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Voorne aan Zee/2. Inschrijfdocumenten/3.1 Gepubliceerd/"/>
    </mc:Choice>
  </mc:AlternateContent>
  <xr:revisionPtr revIDLastSave="2" documentId="8_{ACD31C79-7F0E-4AF6-9184-9F793DEBD3CC}" xr6:coauthVersionLast="47" xr6:coauthVersionMax="47" xr10:uidLastSave="{CC325F1F-13B0-42C2-9BD5-7AA8BDEB3C95}"/>
  <bookViews>
    <workbookView xWindow="-108" yWindow="-108" windowWidth="23256" windowHeight="12456"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'10-Glasbewassing'!$A$14:$Z$44</definedName>
    <definedName name="_xlnm._FilterDatabase" localSheetId="1" hidden="1">'2-Kosten per locatie'!$A$14:$J$23</definedName>
    <definedName name="_xlnm._FilterDatabase" localSheetId="3" hidden="1">'4-Basis ruimtestaat'!$B$9:$AD$345</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locatie'!$A$3:$AB$22</definedName>
    <definedName name="_xlnm.Print_Area" localSheetId="3">'4-Basis ruimtestaat'!$B$3:$AD$345</definedName>
    <definedName name="_xlnm.Print_Area" localSheetId="4">'5-Premies en opslagen'!$A$3:$E$55</definedName>
    <definedName name="_xlnm.Print_Area" localSheetId="5">'6-Opbouw uurtarief productie'!$A$1:$R$63</definedName>
    <definedName name="_xlnm.Print_Area" localSheetId="8">'9-Afroepprijs'!$A$3:$F$42</definedName>
    <definedName name="_xlnm.Print_Titles" localSheetId="9">'10-Glasbewassing'!$14:$14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2" l="1"/>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4" i="2"/>
  <c r="Y125" i="2"/>
  <c r="Y126" i="2"/>
  <c r="Y127" i="2"/>
  <c r="Y128" i="2"/>
  <c r="Y129" i="2"/>
  <c r="Y130" i="2"/>
  <c r="Y131" i="2"/>
  <c r="Y132" i="2"/>
  <c r="Y134" i="2"/>
  <c r="Y135" i="2"/>
  <c r="Y136" i="2"/>
  <c r="Y137" i="2"/>
  <c r="Y138" i="2"/>
  <c r="Y139" i="2"/>
  <c r="Y140" i="2"/>
  <c r="Y141" i="2"/>
  <c r="Y143" i="2"/>
  <c r="Y144" i="2"/>
  <c r="Y147" i="2"/>
  <c r="Y148" i="2"/>
  <c r="Y149" i="2"/>
  <c r="Y150" i="2"/>
  <c r="Y151"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AA8"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4" i="2"/>
  <c r="AA125" i="2"/>
  <c r="AA126" i="2"/>
  <c r="AA127" i="2"/>
  <c r="AA128" i="2"/>
  <c r="AA129" i="2"/>
  <c r="AA130" i="2"/>
  <c r="AA131" i="2"/>
  <c r="AA132" i="2"/>
  <c r="AA134" i="2"/>
  <c r="AA135" i="2"/>
  <c r="AA136" i="2"/>
  <c r="AA137" i="2"/>
  <c r="AA138" i="2"/>
  <c r="AA139" i="2"/>
  <c r="AA140" i="2"/>
  <c r="AA141" i="2"/>
  <c r="AA143" i="2"/>
  <c r="AA144" i="2"/>
  <c r="AA147" i="2"/>
  <c r="AA148" i="2"/>
  <c r="AA149" i="2"/>
  <c r="AA150" i="2"/>
  <c r="AA151"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K237" i="2"/>
  <c r="AD237" i="2" s="1"/>
  <c r="K238" i="2"/>
  <c r="AD238" i="2" s="1"/>
  <c r="Z237" i="2"/>
  <c r="Z238" i="2"/>
  <c r="R227" i="2" l="1"/>
  <c r="X227" i="2"/>
  <c r="Z227" i="2"/>
  <c r="Z228" i="2"/>
  <c r="Z229" i="2"/>
  <c r="Z230" i="2"/>
  <c r="Z231" i="2"/>
  <c r="Z232" i="2"/>
  <c r="Z233" i="2"/>
  <c r="Z234" i="2"/>
  <c r="Z235" i="2"/>
  <c r="Z236" i="2"/>
  <c r="Z239" i="2"/>
  <c r="K234" i="2"/>
  <c r="AD234" i="2" s="1"/>
  <c r="K235" i="2"/>
  <c r="AD235" i="2" s="1"/>
  <c r="K236" i="2"/>
  <c r="AD236" i="2" s="1"/>
  <c r="K239" i="2"/>
  <c r="AD239" i="2" s="1"/>
  <c r="K232" i="2"/>
  <c r="AD232" i="2" s="1"/>
  <c r="Z226" i="2"/>
  <c r="K233" i="2"/>
  <c r="AD233" i="2" s="1"/>
  <c r="K231" i="2"/>
  <c r="AD231" i="2" s="1"/>
  <c r="K230" i="2"/>
  <c r="AD230" i="2" s="1"/>
  <c r="K229" i="2"/>
  <c r="AD229" i="2" s="1"/>
  <c r="K228" i="2"/>
  <c r="AD228" i="2" s="1"/>
  <c r="K227" i="2"/>
  <c r="AD227" i="2" s="1"/>
  <c r="K226" i="2"/>
  <c r="AD226" i="2" s="1"/>
  <c r="K217" i="2"/>
  <c r="E38" i="35"/>
  <c r="F38" i="35" s="1"/>
  <c r="H38" i="35" s="1"/>
  <c r="E40" i="35"/>
  <c r="F40" i="35" s="1"/>
  <c r="H40" i="35" s="1"/>
  <c r="E41" i="35"/>
  <c r="F41" i="35" s="1"/>
  <c r="H41" i="35" s="1"/>
  <c r="E42" i="35"/>
  <c r="F42" i="35" s="1"/>
  <c r="H42" i="35" s="1"/>
  <c r="E35" i="35"/>
  <c r="F35" i="35" s="1"/>
  <c r="H35" i="35" s="1"/>
  <c r="E36" i="35"/>
  <c r="F36" i="35" s="1"/>
  <c r="H36" i="35" s="1"/>
  <c r="E37" i="35"/>
  <c r="F37" i="35" s="1"/>
  <c r="H37" i="35" s="1"/>
  <c r="E39" i="35"/>
  <c r="F39" i="35" s="1"/>
  <c r="H39" i="35" s="1"/>
  <c r="Z217" i="2" l="1"/>
  <c r="AD217" i="2"/>
  <c r="Z212" i="2"/>
  <c r="K212" i="2"/>
  <c r="AD212" i="2" s="1"/>
  <c r="Z209" i="2"/>
  <c r="Z210" i="2"/>
  <c r="Z211" i="2"/>
  <c r="Z213" i="2"/>
  <c r="Z214" i="2"/>
  <c r="Z215" i="2"/>
  <c r="Z216" i="2"/>
  <c r="K209" i="2"/>
  <c r="AD209" i="2" s="1"/>
  <c r="K210" i="2"/>
  <c r="AD210" i="2" s="1"/>
  <c r="K211" i="2"/>
  <c r="AD211" i="2" s="1"/>
  <c r="K213" i="2"/>
  <c r="AD213" i="2" s="1"/>
  <c r="K214" i="2"/>
  <c r="AD214" i="2" s="1"/>
  <c r="K215" i="2"/>
  <c r="AD215" i="2" s="1"/>
  <c r="K216" i="2"/>
  <c r="AD216" i="2" s="1"/>
  <c r="K218" i="2"/>
  <c r="R257" i="2"/>
  <c r="R260" i="2"/>
  <c r="K248" i="2"/>
  <c r="X120" i="2" l="1"/>
  <c r="X123" i="2"/>
  <c r="X124" i="2"/>
  <c r="X125" i="2"/>
  <c r="X126" i="2"/>
  <c r="X131" i="2"/>
  <c r="X141" i="2"/>
  <c r="R109" i="2" l="1"/>
  <c r="R111" i="2"/>
  <c r="R120" i="2"/>
  <c r="R123" i="2"/>
  <c r="R124" i="2"/>
  <c r="R125" i="2"/>
  <c r="R126" i="2"/>
  <c r="R131" i="2"/>
  <c r="R141" i="2"/>
  <c r="R150" i="2"/>
  <c r="R151" i="2"/>
  <c r="R152" i="2"/>
  <c r="R154" i="2"/>
  <c r="R163" i="2"/>
  <c r="R167" i="2"/>
  <c r="R168" i="2"/>
  <c r="R169" i="2"/>
  <c r="R170" i="2"/>
  <c r="R182" i="2"/>
  <c r="R197" i="2"/>
  <c r="R198" i="2"/>
  <c r="R203" i="2"/>
  <c r="R204" i="2"/>
  <c r="R205" i="2"/>
  <c r="R225" i="2"/>
  <c r="R262" i="2"/>
  <c r="R270" i="2"/>
  <c r="R274" i="2"/>
  <c r="R275" i="2"/>
  <c r="R278" i="2"/>
  <c r="R279" i="2"/>
  <c r="R280" i="2"/>
  <c r="R281" i="2"/>
  <c r="R306" i="2"/>
  <c r="R307" i="2"/>
  <c r="R308" i="2"/>
  <c r="R327" i="2"/>
  <c r="R329" i="2"/>
  <c r="R331" i="2"/>
  <c r="R333" i="2"/>
  <c r="R335" i="2"/>
  <c r="R337" i="2"/>
  <c r="R341" i="2"/>
  <c r="R342" i="2"/>
  <c r="R344" i="2"/>
  <c r="R345" i="2"/>
  <c r="X225" i="2"/>
  <c r="X257" i="2"/>
  <c r="X260" i="2"/>
  <c r="X262" i="2"/>
  <c r="X270" i="2"/>
  <c r="X274" i="2"/>
  <c r="X275" i="2"/>
  <c r="X278" i="2"/>
  <c r="X279" i="2"/>
  <c r="X280" i="2"/>
  <c r="X281" i="2"/>
  <c r="X293" i="2"/>
  <c r="R293" i="2" s="1"/>
  <c r="X296" i="2"/>
  <c r="R296" i="2" s="1"/>
  <c r="X298" i="2"/>
  <c r="R298" i="2" s="1"/>
  <c r="X299" i="2"/>
  <c r="R299" i="2" s="1"/>
  <c r="X305" i="2"/>
  <c r="R305" i="2" s="1"/>
  <c r="X306" i="2"/>
  <c r="X307" i="2"/>
  <c r="X308" i="2"/>
  <c r="X327" i="2"/>
  <c r="X329" i="2"/>
  <c r="X331" i="2"/>
  <c r="X333" i="2"/>
  <c r="X335" i="2"/>
  <c r="X337" i="2"/>
  <c r="X341" i="2"/>
  <c r="X342" i="2"/>
  <c r="X344" i="2"/>
  <c r="X345" i="2"/>
  <c r="K223" i="2"/>
  <c r="K224" i="2"/>
  <c r="K225" i="2"/>
  <c r="K240" i="2"/>
  <c r="K241" i="2"/>
  <c r="K242" i="2"/>
  <c r="K243" i="2"/>
  <c r="K244" i="2"/>
  <c r="K245" i="2"/>
  <c r="K246" i="2"/>
  <c r="K247"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X150" i="2"/>
  <c r="X151" i="2"/>
  <c r="X152" i="2"/>
  <c r="X154" i="2"/>
  <c r="X163"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19" i="2"/>
  <c r="K220" i="2"/>
  <c r="K221" i="2"/>
  <c r="K222" i="2"/>
  <c r="K138" i="2"/>
  <c r="K139" i="2"/>
  <c r="K140" i="2"/>
  <c r="K141" i="2"/>
  <c r="K142" i="2"/>
  <c r="K143" i="2"/>
  <c r="K144" i="2"/>
  <c r="K145" i="2"/>
  <c r="K146" i="2"/>
  <c r="K147" i="2"/>
  <c r="K148" i="2"/>
  <c r="K149" i="2"/>
  <c r="K150" i="2"/>
  <c r="K151" i="2"/>
  <c r="K152" i="2"/>
  <c r="K153" i="2"/>
  <c r="K154" i="2"/>
  <c r="K155" i="2"/>
  <c r="K156" i="2"/>
  <c r="A31" i="37"/>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3" i="2"/>
  <c r="AD133" i="2" s="1"/>
  <c r="K134" i="2"/>
  <c r="K135" i="2"/>
  <c r="K136" i="2"/>
  <c r="K61" i="2"/>
  <c r="K62" i="2"/>
  <c r="K63" i="2"/>
  <c r="K64" i="2"/>
  <c r="K65" i="2"/>
  <c r="K66" i="2"/>
  <c r="K67" i="2"/>
  <c r="K68" i="2"/>
  <c r="K69" i="2"/>
  <c r="K70" i="2"/>
  <c r="K71" i="2"/>
  <c r="K72" i="2"/>
  <c r="K73" i="2"/>
  <c r="K74" i="2"/>
  <c r="K75" i="2"/>
  <c r="K76" i="2"/>
  <c r="K77" i="2"/>
  <c r="K78" i="2"/>
  <c r="K79" i="2"/>
  <c r="K80" i="2"/>
  <c r="K81" i="2"/>
  <c r="K82" i="2"/>
  <c r="K83" i="2"/>
  <c r="K84" i="2"/>
  <c r="K31" i="2"/>
  <c r="AD31" i="2" s="1"/>
  <c r="K32" i="2"/>
  <c r="AD32" i="2" s="1"/>
  <c r="K33" i="2"/>
  <c r="AD33" i="2" s="1"/>
  <c r="K34" i="2"/>
  <c r="AD34" i="2" s="1"/>
  <c r="K35" i="2"/>
  <c r="AD35" i="2" s="1"/>
  <c r="K36" i="2"/>
  <c r="AD36" i="2" s="1"/>
  <c r="K37" i="2"/>
  <c r="AD37" i="2" s="1"/>
  <c r="K38" i="2"/>
  <c r="AD38" i="2" s="1"/>
  <c r="K39" i="2"/>
  <c r="AD39" i="2" s="1"/>
  <c r="K40" i="2"/>
  <c r="AD40" i="2" s="1"/>
  <c r="K41" i="2"/>
  <c r="AD41" i="2" s="1"/>
  <c r="K42" i="2"/>
  <c r="AD42" i="2" s="1"/>
  <c r="K43" i="2"/>
  <c r="AD43" i="2" s="1"/>
  <c r="K44" i="2"/>
  <c r="AD44" i="2" s="1"/>
  <c r="K45" i="2"/>
  <c r="AD45" i="2" s="1"/>
  <c r="K46" i="2"/>
  <c r="AD46" i="2" s="1"/>
  <c r="K47" i="2"/>
  <c r="AD47" i="2" s="1"/>
  <c r="K48" i="2"/>
  <c r="AD48" i="2" s="1"/>
  <c r="K49" i="2"/>
  <c r="AD49" i="2" s="1"/>
  <c r="K50" i="2"/>
  <c r="AD50" i="2" s="1"/>
  <c r="K51" i="2"/>
  <c r="AD51" i="2" s="1"/>
  <c r="K52" i="2"/>
  <c r="AD52" i="2" s="1"/>
  <c r="K53" i="2"/>
  <c r="AD53" i="2" s="1"/>
  <c r="K54" i="2"/>
  <c r="AD54" i="2" s="1"/>
  <c r="K55" i="2"/>
  <c r="AD55" i="2" s="1"/>
  <c r="K56" i="2"/>
  <c r="AD56" i="2" s="1"/>
  <c r="K57" i="2"/>
  <c r="AD57" i="2" s="1"/>
  <c r="K58" i="2"/>
  <c r="AD58" i="2" s="1"/>
  <c r="K59" i="2"/>
  <c r="AD59" i="2" s="1"/>
  <c r="K60" i="2"/>
  <c r="AD60" i="2" s="1"/>
  <c r="Z57" i="2" l="1"/>
  <c r="Z56" i="2"/>
  <c r="Z40" i="2"/>
  <c r="Z48" i="2"/>
  <c r="Z45" i="2"/>
  <c r="Z44" i="2"/>
  <c r="Z52" i="2"/>
  <c r="Z49" i="2"/>
  <c r="Z38" i="2"/>
  <c r="Z36" i="2"/>
  <c r="Z60" i="2"/>
  <c r="Z34" i="2"/>
  <c r="Z32" i="2"/>
  <c r="Z53" i="2"/>
  <c r="Z41" i="2"/>
  <c r="Z37" i="2"/>
  <c r="Z33" i="2"/>
  <c r="Z47" i="2"/>
  <c r="Z35" i="2"/>
  <c r="Z31" i="2"/>
  <c r="Z59" i="2"/>
  <c r="Z55" i="2"/>
  <c r="Z51" i="2"/>
  <c r="Z43" i="2"/>
  <c r="Z39" i="2"/>
  <c r="Z58" i="2"/>
  <c r="Z46" i="2"/>
  <c r="Z42" i="2"/>
  <c r="Z54" i="2"/>
  <c r="Z50" i="2"/>
  <c r="B1" i="41" l="1"/>
  <c r="E24" i="35"/>
  <c r="F24" i="35" s="1"/>
  <c r="H24" i="35" s="1"/>
  <c r="E25" i="35"/>
  <c r="F25" i="35" s="1"/>
  <c r="H25" i="35" s="1"/>
  <c r="E26" i="35"/>
  <c r="F26" i="35" s="1"/>
  <c r="H26" i="35" s="1"/>
  <c r="E29" i="35" l="1"/>
  <c r="E30" i="35"/>
  <c r="E31" i="35"/>
  <c r="F31" i="35" s="1"/>
  <c r="H31" i="35" s="1"/>
  <c r="E32" i="35"/>
  <c r="F32" i="35" s="1"/>
  <c r="H32" i="35" s="1"/>
  <c r="E33" i="35"/>
  <c r="F33" i="35" s="1"/>
  <c r="E34" i="35"/>
  <c r="F34" i="35" s="1"/>
  <c r="H34" i="35" l="1"/>
  <c r="H33" i="35"/>
  <c r="F30" i="35"/>
  <c r="H30" i="35" s="1"/>
  <c r="F29" i="35"/>
  <c r="H29" i="35" s="1"/>
  <c r="D44" i="35" l="1"/>
  <c r="E15" i="35"/>
  <c r="A28" i="37" l="1"/>
  <c r="A29" i="37"/>
  <c r="A30" i="37"/>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K27" i="2" l="1"/>
  <c r="AD27" i="2" s="1"/>
  <c r="K28" i="2"/>
  <c r="AD28" i="2" s="1"/>
  <c r="K29" i="2"/>
  <c r="AD29" i="2" s="1"/>
  <c r="K30" i="2"/>
  <c r="AD30" i="2" s="1"/>
  <c r="AD61" i="2"/>
  <c r="AD62" i="2"/>
  <c r="AD63" i="2"/>
  <c r="AD64" i="2"/>
  <c r="AD65" i="2"/>
  <c r="AD66" i="2"/>
  <c r="AD67" i="2"/>
  <c r="AD68" i="2"/>
  <c r="AD69" i="2"/>
  <c r="AD70" i="2"/>
  <c r="AD71" i="2"/>
  <c r="AD72" i="2"/>
  <c r="AD73" i="2"/>
  <c r="AD74" i="2"/>
  <c r="AD75" i="2"/>
  <c r="AD76" i="2"/>
  <c r="AD77" i="2"/>
  <c r="AD78" i="2"/>
  <c r="AD79" i="2"/>
  <c r="AD80" i="2"/>
  <c r="AD81" i="2"/>
  <c r="AD82" i="2"/>
  <c r="AD83" i="2"/>
  <c r="AD84" i="2"/>
  <c r="K85" i="2"/>
  <c r="AD85" i="2" s="1"/>
  <c r="K86" i="2"/>
  <c r="AD86" i="2" s="1"/>
  <c r="K87" i="2"/>
  <c r="AD87" i="2" s="1"/>
  <c r="K88" i="2"/>
  <c r="AD88" i="2" s="1"/>
  <c r="K89" i="2"/>
  <c r="AD89" i="2" s="1"/>
  <c r="K90" i="2"/>
  <c r="AD90" i="2" s="1"/>
  <c r="K91" i="2"/>
  <c r="AD91" i="2" s="1"/>
  <c r="K92" i="2"/>
  <c r="AD92" i="2" s="1"/>
  <c r="K93" i="2"/>
  <c r="AD93" i="2" s="1"/>
  <c r="K94" i="2"/>
  <c r="AD94" i="2" s="1"/>
  <c r="K95" i="2"/>
  <c r="AD95" i="2" s="1"/>
  <c r="K96" i="2"/>
  <c r="AD96" i="2" s="1"/>
  <c r="K97" i="2"/>
  <c r="AD97" i="2" s="1"/>
  <c r="K98" i="2"/>
  <c r="AD98" i="2" s="1"/>
  <c r="K99" i="2"/>
  <c r="AD99" i="2" s="1"/>
  <c r="K100" i="2"/>
  <c r="AD100" i="2" s="1"/>
  <c r="K101" i="2"/>
  <c r="AD101" i="2" s="1"/>
  <c r="K102" i="2"/>
  <c r="AD102" i="2" s="1"/>
  <c r="K103" i="2"/>
  <c r="AD103" i="2" s="1"/>
  <c r="K104" i="2"/>
  <c r="AD104" i="2" s="1"/>
  <c r="AD105" i="2"/>
  <c r="AD106" i="2"/>
  <c r="AD107" i="2"/>
  <c r="AD108" i="2"/>
  <c r="AD109" i="2"/>
  <c r="AD110" i="2"/>
  <c r="AD111" i="2"/>
  <c r="AD112" i="2"/>
  <c r="AD113" i="2"/>
  <c r="AD114" i="2"/>
  <c r="AD115" i="2"/>
  <c r="AD116" i="2"/>
  <c r="AD117" i="2"/>
  <c r="AD118" i="2"/>
  <c r="AD119" i="2"/>
  <c r="AD120" i="2"/>
  <c r="AD121" i="2"/>
  <c r="AD122" i="2"/>
  <c r="AD124" i="2"/>
  <c r="AD125" i="2"/>
  <c r="AD126" i="2"/>
  <c r="AD127" i="2"/>
  <c r="AD128" i="2"/>
  <c r="AD129" i="2"/>
  <c r="K130" i="2"/>
  <c r="AD130" i="2" s="1"/>
  <c r="K131" i="2"/>
  <c r="AD131" i="2" s="1"/>
  <c r="K132" i="2"/>
  <c r="AD132" i="2" s="1"/>
  <c r="AD134" i="2"/>
  <c r="AD135" i="2"/>
  <c r="AD136" i="2"/>
  <c r="K137" i="2"/>
  <c r="AD137" i="2" s="1"/>
  <c r="AD138" i="2"/>
  <c r="AD139" i="2"/>
  <c r="AD140" i="2"/>
  <c r="AD141" i="2"/>
  <c r="AD143" i="2"/>
  <c r="AD144" i="2"/>
  <c r="AD147" i="2"/>
  <c r="AD148" i="2"/>
  <c r="AD149" i="2"/>
  <c r="AD150" i="2"/>
  <c r="AD151"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18" i="2"/>
  <c r="AD219" i="2"/>
  <c r="AD220" i="2"/>
  <c r="AD221" i="2"/>
  <c r="AD222" i="2"/>
  <c r="AD223" i="2"/>
  <c r="AD224" i="2"/>
  <c r="AD225"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K274" i="2"/>
  <c r="AD274" i="2" s="1"/>
  <c r="K275" i="2"/>
  <c r="AD275" i="2" s="1"/>
  <c r="K276" i="2"/>
  <c r="AD276" i="2" s="1"/>
  <c r="K277" i="2"/>
  <c r="AD277" i="2" s="1"/>
  <c r="K278" i="2"/>
  <c r="AD278" i="2" s="1"/>
  <c r="K279" i="2"/>
  <c r="AD279" i="2" s="1"/>
  <c r="K280" i="2"/>
  <c r="AD280" i="2" s="1"/>
  <c r="K281" i="2"/>
  <c r="AD281" i="2" s="1"/>
  <c r="K282" i="2"/>
  <c r="AD282" i="2" s="1"/>
  <c r="K283" i="2"/>
  <c r="AD283" i="2" s="1"/>
  <c r="K284" i="2"/>
  <c r="AD284" i="2" s="1"/>
  <c r="K285" i="2"/>
  <c r="AD285" i="2" s="1"/>
  <c r="K286" i="2"/>
  <c r="AD286" i="2" s="1"/>
  <c r="K287" i="2"/>
  <c r="AD287" i="2" s="1"/>
  <c r="K288" i="2"/>
  <c r="AD288" i="2" s="1"/>
  <c r="K289" i="2"/>
  <c r="AD289" i="2" s="1"/>
  <c r="K290" i="2"/>
  <c r="AD290" i="2" s="1"/>
  <c r="K291" i="2"/>
  <c r="AD291" i="2" s="1"/>
  <c r="K292" i="2"/>
  <c r="AD292" i="2" s="1"/>
  <c r="K293" i="2"/>
  <c r="AD293" i="2" s="1"/>
  <c r="K294" i="2"/>
  <c r="AD294" i="2" s="1"/>
  <c r="K295" i="2"/>
  <c r="AD295" i="2" s="1"/>
  <c r="K296" i="2"/>
  <c r="AD296" i="2" s="1"/>
  <c r="K297" i="2"/>
  <c r="AD297" i="2" s="1"/>
  <c r="K298" i="2"/>
  <c r="AD298" i="2" s="1"/>
  <c r="K299" i="2"/>
  <c r="AD299" i="2" s="1"/>
  <c r="K300" i="2"/>
  <c r="AD300" i="2" s="1"/>
  <c r="K301" i="2"/>
  <c r="AD301" i="2" s="1"/>
  <c r="K302" i="2"/>
  <c r="AD302" i="2" s="1"/>
  <c r="K303" i="2"/>
  <c r="AD303" i="2" s="1"/>
  <c r="K304" i="2"/>
  <c r="AD304" i="2" s="1"/>
  <c r="K305" i="2"/>
  <c r="AD305" i="2" s="1"/>
  <c r="K306" i="2"/>
  <c r="AD306" i="2" s="1"/>
  <c r="K307" i="2"/>
  <c r="AD307" i="2" s="1"/>
  <c r="K308" i="2"/>
  <c r="AD308" i="2" s="1"/>
  <c r="K309" i="2"/>
  <c r="AD309" i="2" s="1"/>
  <c r="K310" i="2"/>
  <c r="AD310" i="2" s="1"/>
  <c r="K311" i="2"/>
  <c r="AD311" i="2" s="1"/>
  <c r="K312" i="2"/>
  <c r="AD312" i="2" s="1"/>
  <c r="K313" i="2"/>
  <c r="AD313" i="2" s="1"/>
  <c r="K314" i="2"/>
  <c r="AD314" i="2" s="1"/>
  <c r="K315" i="2"/>
  <c r="AD315" i="2" s="1"/>
  <c r="K316" i="2"/>
  <c r="AD316" i="2" s="1"/>
  <c r="K317" i="2"/>
  <c r="AD317" i="2" s="1"/>
  <c r="K318" i="2"/>
  <c r="AD318" i="2" s="1"/>
  <c r="K319" i="2"/>
  <c r="AD319" i="2" s="1"/>
  <c r="K320" i="2"/>
  <c r="AD320" i="2" s="1"/>
  <c r="K321" i="2"/>
  <c r="AD321" i="2" s="1"/>
  <c r="K322" i="2"/>
  <c r="AD322" i="2" s="1"/>
  <c r="K323" i="2"/>
  <c r="AD323" i="2" s="1"/>
  <c r="K324" i="2"/>
  <c r="AD324" i="2" s="1"/>
  <c r="K325" i="2"/>
  <c r="AD325" i="2" s="1"/>
  <c r="K326" i="2"/>
  <c r="AD326" i="2" s="1"/>
  <c r="K327" i="2"/>
  <c r="AD327" i="2" s="1"/>
  <c r="K328" i="2"/>
  <c r="AD328" i="2" s="1"/>
  <c r="K329" i="2"/>
  <c r="AD329" i="2" s="1"/>
  <c r="K330" i="2"/>
  <c r="AD330" i="2" s="1"/>
  <c r="K331" i="2"/>
  <c r="AD331" i="2" s="1"/>
  <c r="K332" i="2"/>
  <c r="AD332" i="2" s="1"/>
  <c r="K333" i="2"/>
  <c r="AD333" i="2" s="1"/>
  <c r="K334" i="2"/>
  <c r="AD334" i="2" s="1"/>
  <c r="K335" i="2"/>
  <c r="AD335" i="2" s="1"/>
  <c r="K336" i="2"/>
  <c r="AD336" i="2" s="1"/>
  <c r="K337" i="2"/>
  <c r="AD337" i="2" s="1"/>
  <c r="K338" i="2"/>
  <c r="AD338" i="2" s="1"/>
  <c r="K339" i="2"/>
  <c r="AD339" i="2" s="1"/>
  <c r="K340" i="2"/>
  <c r="AD340" i="2" s="1"/>
  <c r="K341" i="2"/>
  <c r="AD341" i="2" s="1"/>
  <c r="K342" i="2"/>
  <c r="AD342" i="2" s="1"/>
  <c r="K343" i="2"/>
  <c r="AD343" i="2" s="1"/>
  <c r="K344" i="2"/>
  <c r="AD344" i="2" s="1"/>
  <c r="K345" i="2"/>
  <c r="AD345" i="2" s="1"/>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4" i="2"/>
  <c r="Z125" i="2"/>
  <c r="Z126" i="2"/>
  <c r="Z127" i="2"/>
  <c r="Z128" i="2"/>
  <c r="Z129" i="2"/>
  <c r="Z130" i="2"/>
  <c r="Z131" i="2"/>
  <c r="Z132" i="2"/>
  <c r="Z134" i="2"/>
  <c r="Z135" i="2"/>
  <c r="Z136" i="2"/>
  <c r="Z137" i="2"/>
  <c r="Z138" i="2"/>
  <c r="Z139" i="2"/>
  <c r="Z140" i="2"/>
  <c r="Z141" i="2"/>
  <c r="Z143" i="2"/>
  <c r="Z144" i="2"/>
  <c r="Z147" i="2"/>
  <c r="Z148" i="2"/>
  <c r="Z149" i="2"/>
  <c r="Z150" i="2"/>
  <c r="Z151" i="2"/>
  <c r="Z153" i="2"/>
  <c r="Z154" i="2"/>
  <c r="Z155" i="2"/>
  <c r="Z156" i="2"/>
  <c r="Z157" i="2"/>
  <c r="Z158" i="2"/>
  <c r="Z159" i="2"/>
  <c r="Z160" i="2"/>
  <c r="Z161" i="2"/>
  <c r="Z162" i="2"/>
  <c r="Z163" i="2"/>
  <c r="Z164" i="2"/>
  <c r="Z165" i="2"/>
  <c r="Z166" i="2"/>
  <c r="Z167" i="2"/>
  <c r="Z168" i="2"/>
  <c r="Z169" i="2"/>
  <c r="X170" i="2"/>
  <c r="Z170" i="2"/>
  <c r="Z171" i="2"/>
  <c r="Z172" i="2"/>
  <c r="Z173" i="2"/>
  <c r="Z174" i="2"/>
  <c r="Z175" i="2"/>
  <c r="Z176" i="2"/>
  <c r="Z177" i="2"/>
  <c r="Z178" i="2"/>
  <c r="Z179" i="2"/>
  <c r="Z180" i="2"/>
  <c r="Z181" i="2"/>
  <c r="X182" i="2"/>
  <c r="Z182" i="2"/>
  <c r="Z197" i="2"/>
  <c r="Z198" i="2"/>
  <c r="Z199" i="2"/>
  <c r="Z200" i="2"/>
  <c r="Z201" i="2"/>
  <c r="Z202" i="2"/>
  <c r="Z203" i="2"/>
  <c r="Z204" i="2"/>
  <c r="X205" i="2"/>
  <c r="Z205" i="2"/>
  <c r="Z206" i="2"/>
  <c r="Z207" i="2"/>
  <c r="Z208" i="2"/>
  <c r="Z218" i="2"/>
  <c r="Z219" i="2"/>
  <c r="Z220" i="2"/>
  <c r="Z221" i="2"/>
  <c r="Z222" i="2"/>
  <c r="Z223" i="2"/>
  <c r="Z224" i="2"/>
  <c r="Z225"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B4" i="41" l="1"/>
  <c r="B3" i="41"/>
  <c r="B2" i="41" l="1"/>
  <c r="K52" i="38" l="1"/>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AD11" i="2" s="1"/>
  <c r="K12" i="2"/>
  <c r="AD12" i="2" s="1"/>
  <c r="K13" i="2"/>
  <c r="AD13" i="2" s="1"/>
  <c r="K14" i="2"/>
  <c r="AD14" i="2" s="1"/>
  <c r="K15" i="2"/>
  <c r="AD15" i="2" s="1"/>
  <c r="K16" i="2"/>
  <c r="AD16" i="2" s="1"/>
  <c r="K17" i="2"/>
  <c r="AD17" i="2" s="1"/>
  <c r="K18" i="2"/>
  <c r="AD18" i="2" s="1"/>
  <c r="K19" i="2"/>
  <c r="AD19" i="2" s="1"/>
  <c r="K20" i="2"/>
  <c r="AD20" i="2" s="1"/>
  <c r="K21" i="2"/>
  <c r="AD21" i="2" s="1"/>
  <c r="K22" i="2"/>
  <c r="AD22" i="2" s="1"/>
  <c r="K23" i="2"/>
  <c r="AD23" i="2" s="1"/>
  <c r="K24" i="2"/>
  <c r="AD24" i="2" s="1"/>
  <c r="K25" i="2"/>
  <c r="AD25" i="2" s="1"/>
  <c r="K26" i="2"/>
  <c r="AD26" i="2" s="1"/>
  <c r="K10" i="2"/>
  <c r="AD10" i="2" s="1"/>
  <c r="F15" i="31"/>
  <c r="H15" i="31" s="1"/>
  <c r="B6" i="28"/>
  <c r="B5" i="28"/>
  <c r="B3" i="28"/>
  <c r="A4" i="28"/>
  <c r="A5" i="28"/>
  <c r="A6" i="28"/>
  <c r="A3" i="28"/>
  <c r="B7" i="2"/>
  <c r="B6" i="2"/>
  <c r="B5" i="2"/>
  <c r="B4" i="2"/>
  <c r="B3" i="2"/>
  <c r="C7" i="2"/>
  <c r="C6" i="2"/>
  <c r="C5" i="2"/>
  <c r="C3" i="2"/>
  <c r="K54" i="18"/>
  <c r="K55" i="18"/>
  <c r="K56" i="18"/>
  <c r="K57" i="18"/>
  <c r="K58" i="18"/>
  <c r="K59" i="18"/>
  <c r="K60" i="18"/>
  <c r="K53" i="18"/>
  <c r="K51" i="18"/>
  <c r="K50" i="18"/>
  <c r="X237" i="2" l="1"/>
  <c r="R237" i="2" s="1"/>
  <c r="X238" i="2"/>
  <c r="R238" i="2" s="1"/>
  <c r="X229" i="2"/>
  <c r="R229" i="2" s="1"/>
  <c r="X239" i="2"/>
  <c r="R239" i="2" s="1"/>
  <c r="X230" i="2"/>
  <c r="R230" i="2" s="1"/>
  <c r="X233" i="2"/>
  <c r="R233" i="2" s="1"/>
  <c r="X235" i="2"/>
  <c r="R235" i="2" s="1"/>
  <c r="X228" i="2"/>
  <c r="R228" i="2" s="1"/>
  <c r="X236" i="2"/>
  <c r="R236" i="2" s="1"/>
  <c r="X226" i="2"/>
  <c r="R226" i="2" s="1"/>
  <c r="X231" i="2"/>
  <c r="R231" i="2" s="1"/>
  <c r="X232" i="2"/>
  <c r="R232" i="2" s="1"/>
  <c r="X234" i="2"/>
  <c r="R234" i="2" s="1"/>
  <c r="X212" i="2"/>
  <c r="R212" i="2" s="1"/>
  <c r="X209" i="2"/>
  <c r="R209" i="2" s="1"/>
  <c r="X213" i="2"/>
  <c r="R213" i="2" s="1"/>
  <c r="X217" i="2"/>
  <c r="R217" i="2" s="1"/>
  <c r="X210" i="2"/>
  <c r="R210" i="2" s="1"/>
  <c r="X214" i="2"/>
  <c r="R214" i="2" s="1"/>
  <c r="X215" i="2"/>
  <c r="R215" i="2" s="1"/>
  <c r="X216" i="2"/>
  <c r="R216" i="2" s="1"/>
  <c r="X211" i="2"/>
  <c r="R211" i="2" s="1"/>
  <c r="X224" i="2"/>
  <c r="R224" i="2" s="1"/>
  <c r="X246" i="2"/>
  <c r="R246" i="2" s="1"/>
  <c r="X254" i="2"/>
  <c r="R254" i="2" s="1"/>
  <c r="X272" i="2"/>
  <c r="R272" i="2" s="1"/>
  <c r="X288" i="2"/>
  <c r="R288" i="2" s="1"/>
  <c r="X304" i="2"/>
  <c r="R304" i="2" s="1"/>
  <c r="X312" i="2"/>
  <c r="R312" i="2" s="1"/>
  <c r="X320" i="2"/>
  <c r="R320" i="2" s="1"/>
  <c r="X339" i="2"/>
  <c r="R339" i="2" s="1"/>
  <c r="X143" i="2"/>
  <c r="R143" i="2" s="1"/>
  <c r="X159" i="2"/>
  <c r="R159" i="2" s="1"/>
  <c r="X242" i="2"/>
  <c r="R242" i="2" s="1"/>
  <c r="X300" i="2"/>
  <c r="R300" i="2" s="1"/>
  <c r="X221" i="2"/>
  <c r="R221" i="2" s="1"/>
  <c r="X285" i="2"/>
  <c r="R285" i="2" s="1"/>
  <c r="X328" i="2"/>
  <c r="R328" i="2" s="1"/>
  <c r="X244" i="2"/>
  <c r="R244" i="2" s="1"/>
  <c r="X310" i="2"/>
  <c r="R310" i="2" s="1"/>
  <c r="X253" i="2"/>
  <c r="R253" i="2" s="1"/>
  <c r="X303" i="2"/>
  <c r="R303" i="2" s="1"/>
  <c r="X142" i="2"/>
  <c r="R142" i="2" s="1"/>
  <c r="X247" i="2"/>
  <c r="R247" i="2" s="1"/>
  <c r="X255" i="2"/>
  <c r="R255" i="2" s="1"/>
  <c r="X263" i="2"/>
  <c r="R263" i="2" s="1"/>
  <c r="X273" i="2"/>
  <c r="R273" i="2" s="1"/>
  <c r="X289" i="2"/>
  <c r="R289" i="2" s="1"/>
  <c r="X297" i="2"/>
  <c r="R297" i="2" s="1"/>
  <c r="X313" i="2"/>
  <c r="R313" i="2" s="1"/>
  <c r="X322" i="2"/>
  <c r="R322" i="2" s="1"/>
  <c r="X332" i="2"/>
  <c r="R332" i="2" s="1"/>
  <c r="X340" i="2"/>
  <c r="R340" i="2" s="1"/>
  <c r="X144" i="2"/>
  <c r="R144" i="2" s="1"/>
  <c r="X160" i="2"/>
  <c r="R160" i="2" s="1"/>
  <c r="X258" i="2"/>
  <c r="R258" i="2" s="1"/>
  <c r="X276" i="2"/>
  <c r="R276" i="2" s="1"/>
  <c r="X316" i="2"/>
  <c r="R316" i="2" s="1"/>
  <c r="X155" i="2"/>
  <c r="R155" i="2" s="1"/>
  <c r="X251" i="2"/>
  <c r="R251" i="2" s="1"/>
  <c r="X259" i="2"/>
  <c r="R259" i="2" s="1"/>
  <c r="X317" i="2"/>
  <c r="R317" i="2" s="1"/>
  <c r="X148" i="2"/>
  <c r="R148" i="2" s="1"/>
  <c r="X222" i="2"/>
  <c r="R222" i="2" s="1"/>
  <c r="X294" i="2"/>
  <c r="R294" i="2" s="1"/>
  <c r="X149" i="2"/>
  <c r="R149" i="2" s="1"/>
  <c r="X223" i="2"/>
  <c r="R223" i="2" s="1"/>
  <c r="X271" i="2"/>
  <c r="R271" i="2" s="1"/>
  <c r="X311" i="2"/>
  <c r="R311" i="2" s="1"/>
  <c r="X330" i="2"/>
  <c r="R330" i="2" s="1"/>
  <c r="X158" i="2"/>
  <c r="R158" i="2" s="1"/>
  <c r="X240" i="2"/>
  <c r="R240" i="2" s="1"/>
  <c r="X248" i="2"/>
  <c r="R248" i="2" s="1"/>
  <c r="X256" i="2"/>
  <c r="R256" i="2" s="1"/>
  <c r="X265" i="2"/>
  <c r="R265" i="2" s="1"/>
  <c r="X282" i="2"/>
  <c r="R282" i="2" s="1"/>
  <c r="X290" i="2"/>
  <c r="R290" i="2" s="1"/>
  <c r="X314" i="2"/>
  <c r="R314" i="2" s="1"/>
  <c r="X323" i="2"/>
  <c r="R323" i="2" s="1"/>
  <c r="X145" i="2"/>
  <c r="R145" i="2" s="1"/>
  <c r="X153" i="2"/>
  <c r="R153" i="2" s="1"/>
  <c r="X161" i="2"/>
  <c r="R161" i="2" s="1"/>
  <c r="X325" i="2"/>
  <c r="R325" i="2" s="1"/>
  <c r="X162" i="2"/>
  <c r="R162" i="2" s="1"/>
  <c r="X250" i="2"/>
  <c r="R250" i="2" s="1"/>
  <c r="X284" i="2"/>
  <c r="R284" i="2" s="1"/>
  <c r="X147" i="2"/>
  <c r="R147" i="2" s="1"/>
  <c r="X268" i="2"/>
  <c r="R268" i="2" s="1"/>
  <c r="X309" i="2"/>
  <c r="R309" i="2" s="1"/>
  <c r="X252" i="2"/>
  <c r="R252" i="2" s="1"/>
  <c r="X302" i="2"/>
  <c r="R302" i="2" s="1"/>
  <c r="X261" i="2"/>
  <c r="R261" i="2" s="1"/>
  <c r="X295" i="2"/>
  <c r="R295" i="2" s="1"/>
  <c r="X338" i="2"/>
  <c r="R338" i="2" s="1"/>
  <c r="X241" i="2"/>
  <c r="R241" i="2" s="1"/>
  <c r="X249" i="2"/>
  <c r="R249" i="2" s="1"/>
  <c r="X266" i="2"/>
  <c r="R266" i="2" s="1"/>
  <c r="X283" i="2"/>
  <c r="R283" i="2" s="1"/>
  <c r="X291" i="2"/>
  <c r="R291" i="2" s="1"/>
  <c r="X315" i="2"/>
  <c r="R315" i="2" s="1"/>
  <c r="X334" i="2"/>
  <c r="R334" i="2" s="1"/>
  <c r="X146" i="2"/>
  <c r="R146" i="2" s="1"/>
  <c r="X220" i="2"/>
  <c r="R220" i="2" s="1"/>
  <c r="X267" i="2"/>
  <c r="R267" i="2" s="1"/>
  <c r="X292" i="2"/>
  <c r="R292" i="2" s="1"/>
  <c r="X343" i="2"/>
  <c r="R343" i="2" s="1"/>
  <c r="X243" i="2"/>
  <c r="R243" i="2" s="1"/>
  <c r="X277" i="2"/>
  <c r="R277" i="2" s="1"/>
  <c r="X301" i="2"/>
  <c r="R301" i="2" s="1"/>
  <c r="X336" i="2"/>
  <c r="R336" i="2" s="1"/>
  <c r="X156" i="2"/>
  <c r="R156" i="2" s="1"/>
  <c r="X286" i="2"/>
  <c r="R286" i="2" s="1"/>
  <c r="X318" i="2"/>
  <c r="R318" i="2" s="1"/>
  <c r="X157" i="2"/>
  <c r="R157" i="2" s="1"/>
  <c r="X245" i="2"/>
  <c r="R245" i="2" s="1"/>
  <c r="X287" i="2"/>
  <c r="R287" i="2" s="1"/>
  <c r="X319" i="2"/>
  <c r="R319" i="2" s="1"/>
  <c r="X135" i="2"/>
  <c r="R135" i="2" s="1"/>
  <c r="X128" i="2"/>
  <c r="R128" i="2" s="1"/>
  <c r="X137" i="2"/>
  <c r="R137" i="2" s="1"/>
  <c r="X127" i="2"/>
  <c r="R127" i="2" s="1"/>
  <c r="X134" i="2"/>
  <c r="R134" i="2" s="1"/>
  <c r="X129" i="2"/>
  <c r="R129" i="2" s="1"/>
  <c r="X130" i="2"/>
  <c r="R130" i="2" s="1"/>
  <c r="X138" i="2"/>
  <c r="R138" i="2" s="1"/>
  <c r="X140" i="2"/>
  <c r="R140" i="2" s="1"/>
  <c r="X132" i="2"/>
  <c r="R132" i="2" s="1"/>
  <c r="X326" i="2"/>
  <c r="R326" i="2" s="1"/>
  <c r="X136" i="2"/>
  <c r="R136" i="2" s="1"/>
  <c r="X324" i="2"/>
  <c r="R324" i="2" s="1"/>
  <c r="X269" i="2"/>
  <c r="R269" i="2" s="1"/>
  <c r="X321" i="2"/>
  <c r="R321" i="2" s="1"/>
  <c r="X119" i="2"/>
  <c r="R119" i="2" s="1"/>
  <c r="X121" i="2"/>
  <c r="R121" i="2" s="1"/>
  <c r="X122" i="2"/>
  <c r="R122" i="2" s="1"/>
  <c r="X133" i="2"/>
  <c r="R133" i="2" s="1"/>
  <c r="X264" i="2"/>
  <c r="R264" i="2" s="1"/>
  <c r="X139" i="2"/>
  <c r="R139" i="2" s="1"/>
  <c r="X219" i="2"/>
  <c r="R219" i="2" s="1"/>
  <c r="X206" i="2"/>
  <c r="R206" i="2" s="1"/>
  <c r="X207" i="2"/>
  <c r="R207" i="2" s="1"/>
  <c r="H31" i="37"/>
  <c r="D21" i="37"/>
  <c r="G21" i="37"/>
  <c r="B21" i="37"/>
  <c r="D20" i="37"/>
  <c r="E21" i="37"/>
  <c r="I31" i="37"/>
  <c r="X117" i="2"/>
  <c r="R117" i="2" s="1"/>
  <c r="X101" i="2"/>
  <c r="R101" i="2" s="1"/>
  <c r="X32" i="2"/>
  <c r="R32" i="2" s="1"/>
  <c r="X50" i="2"/>
  <c r="R50" i="2" s="1"/>
  <c r="X49" i="2"/>
  <c r="R49" i="2" s="1"/>
  <c r="X60" i="2"/>
  <c r="R60" i="2" s="1"/>
  <c r="X31" i="2"/>
  <c r="R31" i="2" s="1"/>
  <c r="X40" i="2"/>
  <c r="R40" i="2" s="1"/>
  <c r="X59" i="2"/>
  <c r="R59" i="2" s="1"/>
  <c r="X39" i="2"/>
  <c r="R39" i="2" s="1"/>
  <c r="X48" i="2"/>
  <c r="R48" i="2" s="1"/>
  <c r="X57" i="2"/>
  <c r="R57" i="2" s="1"/>
  <c r="X58" i="2"/>
  <c r="R58" i="2" s="1"/>
  <c r="X53" i="2"/>
  <c r="R53" i="2" s="1"/>
  <c r="X37" i="2"/>
  <c r="R37" i="2" s="1"/>
  <c r="X38" i="2"/>
  <c r="R38" i="2" s="1"/>
  <c r="X47" i="2"/>
  <c r="R47" i="2" s="1"/>
  <c r="X55" i="2"/>
  <c r="R55" i="2" s="1"/>
  <c r="X56" i="2"/>
  <c r="R56" i="2" s="1"/>
  <c r="X36" i="2"/>
  <c r="R36" i="2" s="1"/>
  <c r="X46" i="2"/>
  <c r="R46" i="2" s="1"/>
  <c r="X54" i="2"/>
  <c r="R54" i="2" s="1"/>
  <c r="X35" i="2"/>
  <c r="R35" i="2" s="1"/>
  <c r="X45" i="2"/>
  <c r="R45" i="2" s="1"/>
  <c r="X34" i="2"/>
  <c r="R34" i="2" s="1"/>
  <c r="X44" i="2"/>
  <c r="R44" i="2" s="1"/>
  <c r="X52" i="2"/>
  <c r="R52" i="2" s="1"/>
  <c r="X42" i="2"/>
  <c r="R42" i="2" s="1"/>
  <c r="X33" i="2"/>
  <c r="R33" i="2" s="1"/>
  <c r="X43" i="2"/>
  <c r="R43" i="2" s="1"/>
  <c r="X51" i="2"/>
  <c r="R51" i="2" s="1"/>
  <c r="X41" i="2"/>
  <c r="R41" i="2" s="1"/>
  <c r="X27" i="2"/>
  <c r="R27" i="2" s="1"/>
  <c r="X29" i="2"/>
  <c r="R29" i="2" s="1"/>
  <c r="X62" i="2"/>
  <c r="R62" i="2" s="1"/>
  <c r="X64" i="2"/>
  <c r="R64" i="2" s="1"/>
  <c r="X73" i="2"/>
  <c r="R73" i="2" s="1"/>
  <c r="X82" i="2"/>
  <c r="R82" i="2" s="1"/>
  <c r="X93" i="2"/>
  <c r="R93" i="2" s="1"/>
  <c r="X95" i="2"/>
  <c r="R95" i="2" s="1"/>
  <c r="X115" i="2"/>
  <c r="R115" i="2" s="1"/>
  <c r="X172" i="2"/>
  <c r="R172" i="2" s="1"/>
  <c r="X174" i="2"/>
  <c r="R174" i="2" s="1"/>
  <c r="X176" i="2"/>
  <c r="R176" i="2" s="1"/>
  <c r="X187" i="2"/>
  <c r="R187" i="2" s="1"/>
  <c r="X196" i="2"/>
  <c r="R196" i="2" s="1"/>
  <c r="X198" i="2"/>
  <c r="X200" i="2"/>
  <c r="R200" i="2" s="1"/>
  <c r="X72" i="2"/>
  <c r="R72" i="2" s="1"/>
  <c r="X90" i="2"/>
  <c r="R90" i="2" s="1"/>
  <c r="X99" i="2"/>
  <c r="R99" i="2" s="1"/>
  <c r="X63" i="2"/>
  <c r="R63" i="2" s="1"/>
  <c r="X96" i="2"/>
  <c r="R96" i="2" s="1"/>
  <c r="X105" i="2"/>
  <c r="R105" i="2" s="1"/>
  <c r="X175" i="2"/>
  <c r="R175" i="2" s="1"/>
  <c r="X201" i="2"/>
  <c r="R201" i="2" s="1"/>
  <c r="X85" i="2"/>
  <c r="R85" i="2" s="1"/>
  <c r="X111" i="2"/>
  <c r="X84" i="2"/>
  <c r="R84" i="2" s="1"/>
  <c r="X86" i="2"/>
  <c r="R86" i="2" s="1"/>
  <c r="X88" i="2"/>
  <c r="R88" i="2" s="1"/>
  <c r="X97" i="2"/>
  <c r="R97" i="2" s="1"/>
  <c r="X106" i="2"/>
  <c r="R106" i="2" s="1"/>
  <c r="X108" i="2"/>
  <c r="R108" i="2" s="1"/>
  <c r="X110" i="2"/>
  <c r="R110" i="2" s="1"/>
  <c r="X112" i="2"/>
  <c r="R112" i="2" s="1"/>
  <c r="X165" i="2"/>
  <c r="R165" i="2" s="1"/>
  <c r="X167" i="2"/>
  <c r="X169" i="2"/>
  <c r="X178" i="2"/>
  <c r="R178" i="2" s="1"/>
  <c r="X189" i="2"/>
  <c r="R189" i="2" s="1"/>
  <c r="X191" i="2"/>
  <c r="R191" i="2" s="1"/>
  <c r="X193" i="2"/>
  <c r="R193" i="2" s="1"/>
  <c r="X202" i="2"/>
  <c r="R202" i="2" s="1"/>
  <c r="X70" i="2"/>
  <c r="R70" i="2" s="1"/>
  <c r="X103" i="2"/>
  <c r="R103" i="2" s="1"/>
  <c r="X114" i="2"/>
  <c r="R114" i="2" s="1"/>
  <c r="X171" i="2"/>
  <c r="R171" i="2" s="1"/>
  <c r="X186" i="2"/>
  <c r="R186" i="2" s="1"/>
  <c r="X204" i="2"/>
  <c r="X28" i="2"/>
  <c r="R28" i="2" s="1"/>
  <c r="X94" i="2"/>
  <c r="R94" i="2" s="1"/>
  <c r="X118" i="2"/>
  <c r="R118" i="2" s="1"/>
  <c r="X177" i="2"/>
  <c r="R177" i="2" s="1"/>
  <c r="X199" i="2"/>
  <c r="R199" i="2" s="1"/>
  <c r="X74" i="2"/>
  <c r="R74" i="2" s="1"/>
  <c r="X87" i="2"/>
  <c r="R87" i="2" s="1"/>
  <c r="X107" i="2"/>
  <c r="R107" i="2" s="1"/>
  <c r="X166" i="2"/>
  <c r="R166" i="2" s="1"/>
  <c r="X179" i="2"/>
  <c r="R179" i="2" s="1"/>
  <c r="X66" i="2"/>
  <c r="R66" i="2" s="1"/>
  <c r="X75" i="2"/>
  <c r="R75" i="2" s="1"/>
  <c r="X77" i="2"/>
  <c r="R77" i="2" s="1"/>
  <c r="X79" i="2"/>
  <c r="R79" i="2" s="1"/>
  <c r="X180" i="2"/>
  <c r="R180" i="2" s="1"/>
  <c r="X184" i="2"/>
  <c r="R184" i="2" s="1"/>
  <c r="X68" i="2"/>
  <c r="R68" i="2" s="1"/>
  <c r="X81" i="2"/>
  <c r="R81" i="2" s="1"/>
  <c r="X195" i="2"/>
  <c r="R195" i="2" s="1"/>
  <c r="X208" i="2"/>
  <c r="R208" i="2" s="1"/>
  <c r="X30" i="2"/>
  <c r="R30" i="2" s="1"/>
  <c r="X61" i="2"/>
  <c r="R61" i="2" s="1"/>
  <c r="X92" i="2"/>
  <c r="R92" i="2" s="1"/>
  <c r="X116" i="2"/>
  <c r="R116" i="2" s="1"/>
  <c r="X173" i="2"/>
  <c r="R173" i="2" s="1"/>
  <c r="X197" i="2"/>
  <c r="X65" i="2"/>
  <c r="R65" i="2" s="1"/>
  <c r="X83" i="2"/>
  <c r="R83" i="2" s="1"/>
  <c r="X109" i="2"/>
  <c r="X164" i="2"/>
  <c r="R164" i="2" s="1"/>
  <c r="X168" i="2"/>
  <c r="X188" i="2"/>
  <c r="R188" i="2" s="1"/>
  <c r="X69" i="2"/>
  <c r="R69" i="2" s="1"/>
  <c r="X80" i="2"/>
  <c r="R80" i="2" s="1"/>
  <c r="X89" i="2"/>
  <c r="R89" i="2" s="1"/>
  <c r="X91" i="2"/>
  <c r="R91" i="2" s="1"/>
  <c r="X104" i="2"/>
  <c r="R104" i="2" s="1"/>
  <c r="X185" i="2"/>
  <c r="R185" i="2" s="1"/>
  <c r="X190" i="2"/>
  <c r="R190" i="2" s="1"/>
  <c r="X71" i="2"/>
  <c r="R71" i="2" s="1"/>
  <c r="X67" i="2"/>
  <c r="R67" i="2" s="1"/>
  <c r="X78" i="2"/>
  <c r="R78" i="2" s="1"/>
  <c r="X98" i="2"/>
  <c r="R98" i="2" s="1"/>
  <c r="X100" i="2"/>
  <c r="R100" i="2" s="1"/>
  <c r="X102" i="2"/>
  <c r="R102" i="2" s="1"/>
  <c r="X181" i="2"/>
  <c r="R181" i="2" s="1"/>
  <c r="X183" i="2"/>
  <c r="R183" i="2" s="1"/>
  <c r="X218" i="2"/>
  <c r="R218" i="2" s="1"/>
  <c r="X113" i="2"/>
  <c r="R113" i="2" s="1"/>
  <c r="X76" i="2"/>
  <c r="R76" i="2" s="1"/>
  <c r="X192" i="2"/>
  <c r="R192" i="2" s="1"/>
  <c r="X194" i="2"/>
  <c r="R194" i="2" s="1"/>
  <c r="X203" i="2"/>
  <c r="I30" i="37"/>
  <c r="I28" i="37"/>
  <c r="H28" i="37"/>
  <c r="H30" i="37"/>
  <c r="H29" i="37"/>
  <c r="B18" i="37"/>
  <c r="D18" i="37"/>
  <c r="G18" i="37"/>
  <c r="B19" i="37"/>
  <c r="E18" i="37"/>
  <c r="D19" i="37"/>
  <c r="G19" i="37"/>
  <c r="E19" i="37"/>
  <c r="X11" i="2"/>
  <c r="R11" i="2" s="1"/>
  <c r="X13" i="2"/>
  <c r="R13" i="2" s="1"/>
  <c r="X12" i="2"/>
  <c r="R12" i="2" s="1"/>
  <c r="X14" i="2"/>
  <c r="X15" i="2"/>
  <c r="R15" i="2" s="1"/>
  <c r="X23" i="2"/>
  <c r="R23" i="2" s="1"/>
  <c r="X18" i="2"/>
  <c r="R18" i="2" s="1"/>
  <c r="X26" i="2"/>
  <c r="R26" i="2" s="1"/>
  <c r="X10" i="2"/>
  <c r="R10" i="2" s="1"/>
  <c r="X21" i="2"/>
  <c r="R21" i="2" s="1"/>
  <c r="X16" i="2"/>
  <c r="R16" i="2" s="1"/>
  <c r="X24" i="2"/>
  <c r="R24" i="2" s="1"/>
  <c r="X19" i="2"/>
  <c r="R19" i="2" s="1"/>
  <c r="X22" i="2"/>
  <c r="R22" i="2" s="1"/>
  <c r="X17" i="2"/>
  <c r="R17" i="2" s="1"/>
  <c r="X25" i="2"/>
  <c r="R25" i="2" s="1"/>
  <c r="X20" i="2"/>
  <c r="R20" i="2" s="1"/>
  <c r="E17" i="37"/>
  <c r="E15" i="37"/>
  <c r="E16" i="37"/>
  <c r="D15" i="37"/>
  <c r="D16" i="37"/>
  <c r="D17" i="37"/>
  <c r="R14" i="2" l="1"/>
  <c r="F21" i="37"/>
  <c r="H21" i="37" s="1"/>
  <c r="K21" i="37"/>
  <c r="I21" i="37"/>
  <c r="Z27" i="2"/>
  <c r="Z30" i="2"/>
  <c r="Z28" i="2"/>
  <c r="Z29" i="2"/>
  <c r="F18" i="37"/>
  <c r="J18" i="37" s="1"/>
  <c r="F19" i="37"/>
  <c r="H19" i="37" s="1"/>
  <c r="I19" i="37"/>
  <c r="K19" i="37"/>
  <c r="K18" i="37"/>
  <c r="I18" i="37"/>
  <c r="I30" i="38"/>
  <c r="I27" i="38"/>
  <c r="J27" i="38"/>
  <c r="K27" i="38"/>
  <c r="L27" i="38"/>
  <c r="M27" i="38"/>
  <c r="N27" i="38"/>
  <c r="I28" i="38"/>
  <c r="J28" i="38"/>
  <c r="K28" i="38"/>
  <c r="L28" i="38"/>
  <c r="M28" i="38"/>
  <c r="N28" i="38"/>
  <c r="I29" i="38"/>
  <c r="J29" i="38"/>
  <c r="K29" i="38"/>
  <c r="L29" i="38"/>
  <c r="M29" i="38"/>
  <c r="N29" i="38"/>
  <c r="J21" i="37" l="1"/>
  <c r="F20" i="37"/>
  <c r="J20" i="37" s="1"/>
  <c r="H18" i="37"/>
  <c r="J19" i="37"/>
  <c r="F15" i="37"/>
  <c r="F17" i="37"/>
  <c r="F16" i="37"/>
  <c r="F22" i="37" l="1"/>
  <c r="H20" i="37"/>
  <c r="A26" i="37"/>
  <c r="A27" i="37"/>
  <c r="A25" i="37"/>
  <c r="C16" i="17" l="1"/>
  <c r="N30" i="38" l="1"/>
  <c r="M30" i="38"/>
  <c r="L30" i="38"/>
  <c r="K30" i="38"/>
  <c r="J30" i="38"/>
  <c r="J31" i="38" l="1"/>
  <c r="I31" i="38"/>
  <c r="M31" i="38"/>
  <c r="L31" i="38"/>
  <c r="I40" i="18"/>
  <c r="N40" i="18"/>
  <c r="M40" i="18"/>
  <c r="N23" i="38"/>
  <c r="M23" i="38"/>
  <c r="L23" i="38"/>
  <c r="K23" i="38"/>
  <c r="J23" i="38"/>
  <c r="I23" i="38"/>
  <c r="B4" i="38"/>
  <c r="E16" i="35"/>
  <c r="F16" i="35" s="1"/>
  <c r="E17" i="35"/>
  <c r="F17" i="35" s="1"/>
  <c r="E18" i="35"/>
  <c r="F18" i="35" s="1"/>
  <c r="E19" i="35"/>
  <c r="F19" i="35" s="1"/>
  <c r="E20" i="35"/>
  <c r="F20" i="35" s="1"/>
  <c r="E21" i="35"/>
  <c r="F21" i="35" s="1"/>
  <c r="E22" i="35"/>
  <c r="F22" i="35" s="1"/>
  <c r="E23" i="35"/>
  <c r="F23" i="35" s="1"/>
  <c r="E27" i="35"/>
  <c r="F27" i="35" s="1"/>
  <c r="E28" i="35"/>
  <c r="F28" i="35" s="1"/>
  <c r="F15" i="35"/>
  <c r="Z8" i="2"/>
  <c r="Z14" i="2" s="1"/>
  <c r="T14" i="2" s="1"/>
  <c r="B4" i="37"/>
  <c r="B4" i="5"/>
  <c r="B4" i="31"/>
  <c r="N29" i="18"/>
  <c r="M29" i="18"/>
  <c r="L29" i="18"/>
  <c r="K29" i="18"/>
  <c r="J29" i="18"/>
  <c r="I29" i="18"/>
  <c r="F13" i="31"/>
  <c r="F20" i="31"/>
  <c r="H20" i="31" s="1"/>
  <c r="F12" i="31"/>
  <c r="F14" i="31"/>
  <c r="H14" i="31" s="1"/>
  <c r="F16" i="31"/>
  <c r="H16" i="31" s="1"/>
  <c r="F17" i="31"/>
  <c r="H17" i="31" s="1"/>
  <c r="F18" i="31"/>
  <c r="H18" i="31" s="1"/>
  <c r="F19" i="31"/>
  <c r="H19" i="31" s="1"/>
  <c r="F11" i="31"/>
  <c r="B4" i="28"/>
  <c r="C4" i="2"/>
  <c r="B4" i="18"/>
  <c r="B4" i="17"/>
  <c r="B41" i="17"/>
  <c r="B47" i="17" s="1"/>
  <c r="B51" i="17" s="1"/>
  <c r="B52" i="17"/>
  <c r="Z193" i="2" l="1"/>
  <c r="T193" i="2" s="1"/>
  <c r="Z187" i="2"/>
  <c r="T187" i="2" s="1"/>
  <c r="Z184" i="2"/>
  <c r="T184" i="2" s="1"/>
  <c r="Z188" i="2"/>
  <c r="T188" i="2" s="1"/>
  <c r="Z186" i="2"/>
  <c r="T186" i="2" s="1"/>
  <c r="Z190" i="2"/>
  <c r="T190" i="2" s="1"/>
  <c r="Z195" i="2"/>
  <c r="T195" i="2" s="1"/>
  <c r="Z189" i="2"/>
  <c r="T189" i="2" s="1"/>
  <c r="Z185" i="2"/>
  <c r="T185" i="2" s="1"/>
  <c r="Z194" i="2"/>
  <c r="T194" i="2" s="1"/>
  <c r="Z183" i="2"/>
  <c r="T183" i="2" s="1"/>
  <c r="Z191" i="2"/>
  <c r="T191" i="2" s="1"/>
  <c r="Z192" i="2"/>
  <c r="T192" i="2" s="1"/>
  <c r="Z196" i="2"/>
  <c r="T196" i="2" s="1"/>
  <c r="Z12" i="2"/>
  <c r="T12" i="2" s="1"/>
  <c r="Z23" i="2"/>
  <c r="T23" i="2" s="1"/>
  <c r="Z17" i="2"/>
  <c r="T17" i="2" s="1"/>
  <c r="Z26" i="2"/>
  <c r="T26" i="2" s="1"/>
  <c r="Z21" i="2"/>
  <c r="T21" i="2" s="1"/>
  <c r="Z22" i="2"/>
  <c r="T22" i="2" s="1"/>
  <c r="Z20" i="2"/>
  <c r="T20" i="2" s="1"/>
  <c r="Z15" i="2"/>
  <c r="T15" i="2" s="1"/>
  <c r="Z16" i="2"/>
  <c r="T16" i="2" s="1"/>
  <c r="Z18" i="2"/>
  <c r="T18" i="2" s="1"/>
  <c r="Z13" i="2"/>
  <c r="T13" i="2" s="1"/>
  <c r="Z19" i="2"/>
  <c r="T19" i="2" s="1"/>
  <c r="Z11" i="2"/>
  <c r="T11" i="2" s="1"/>
  <c r="Z24" i="2"/>
  <c r="T24" i="2" s="1"/>
  <c r="Z25" i="2"/>
  <c r="T25" i="2" s="1"/>
  <c r="Z10" i="2"/>
  <c r="T10" i="2" s="1"/>
  <c r="B16" i="37"/>
  <c r="B15" i="37"/>
  <c r="B17" i="37"/>
  <c r="H28" i="35"/>
  <c r="H27" i="35"/>
  <c r="I29" i="37" s="1"/>
  <c r="H23" i="35"/>
  <c r="H22" i="35"/>
  <c r="H21" i="35"/>
  <c r="H20" i="35"/>
  <c r="H19" i="35"/>
  <c r="H18" i="35"/>
  <c r="H15" i="35"/>
  <c r="H17" i="35"/>
  <c r="H16" i="35"/>
  <c r="O29" i="18"/>
  <c r="F23" i="31"/>
  <c r="B49" i="17"/>
  <c r="B50" i="17"/>
  <c r="O23" i="38"/>
  <c r="K31" i="38"/>
  <c r="J40" i="18"/>
  <c r="N31" i="38"/>
  <c r="L40" i="18"/>
  <c r="K40" i="18"/>
  <c r="H44" i="35" l="1"/>
  <c r="I27" i="37"/>
  <c r="I25" i="37"/>
  <c r="I26" i="37"/>
  <c r="E12" i="18"/>
  <c r="E15" i="18" s="1"/>
  <c r="B53" i="17"/>
  <c r="E12" i="38"/>
  <c r="E15" i="38" s="1"/>
  <c r="I32" i="37" l="1"/>
  <c r="G16" i="37"/>
  <c r="I16" i="37" s="1"/>
  <c r="G17" i="37"/>
  <c r="E17" i="38"/>
  <c r="K46" i="38" s="1"/>
  <c r="K45" i="38"/>
  <c r="H16" i="37"/>
  <c r="J15" i="37"/>
  <c r="J16" i="37"/>
  <c r="E18" i="18"/>
  <c r="K47" i="18" s="1"/>
  <c r="K45" i="18"/>
  <c r="H15" i="37"/>
  <c r="H17" i="37"/>
  <c r="J17" i="37"/>
  <c r="E18" i="38"/>
  <c r="E17" i="18"/>
  <c r="J22" i="37" l="1"/>
  <c r="H22" i="37"/>
  <c r="I17" i="37"/>
  <c r="G15" i="37"/>
  <c r="K16" i="37"/>
  <c r="K17" i="37"/>
  <c r="E19" i="38"/>
  <c r="E21" i="38" s="1"/>
  <c r="K47" i="38"/>
  <c r="E19" i="18"/>
  <c r="E21" i="18" s="1"/>
  <c r="C29" i="17" s="1"/>
  <c r="C31" i="17" s="1"/>
  <c r="C34" i="17" s="1"/>
  <c r="C21" i="17" s="1"/>
  <c r="C24" i="17" s="1"/>
  <c r="K46" i="18"/>
  <c r="K15" i="37" l="1"/>
  <c r="E22" i="38"/>
  <c r="E23" i="38" s="1"/>
  <c r="E25" i="38" s="1"/>
  <c r="I15" i="37"/>
  <c r="E22" i="18"/>
  <c r="K48" i="38" l="1"/>
  <c r="E26" i="38"/>
  <c r="E32" i="38" s="1"/>
  <c r="E43" i="38" s="1"/>
  <c r="K61" i="38" s="1"/>
  <c r="K49" i="38"/>
  <c r="E23" i="18"/>
  <c r="E25" i="18" s="1"/>
  <c r="K48" i="18"/>
  <c r="K63" i="38" l="1"/>
  <c r="E26" i="18"/>
  <c r="E32" i="18" s="1"/>
  <c r="K49" i="18"/>
  <c r="E47" i="38"/>
  <c r="E31" i="37" s="1"/>
  <c r="G31" i="37" s="1"/>
  <c r="E28" i="37" l="1"/>
  <c r="E29" i="37"/>
  <c r="E30" i="37"/>
  <c r="E27" i="37"/>
  <c r="E26" i="37"/>
  <c r="E25" i="37"/>
  <c r="F35" i="38"/>
  <c r="F36" i="38"/>
  <c r="F37" i="38"/>
  <c r="F38" i="38"/>
  <c r="F39" i="38"/>
  <c r="F40" i="38"/>
  <c r="F41" i="38"/>
  <c r="E49" i="38"/>
  <c r="K65" i="38" s="1"/>
  <c r="F34" i="38"/>
  <c r="E53" i="38"/>
  <c r="F19" i="38"/>
  <c r="F45" i="38"/>
  <c r="F26" i="38"/>
  <c r="E51" i="38"/>
  <c r="F31" i="37" s="1"/>
  <c r="F23" i="38"/>
  <c r="F32" i="38"/>
  <c r="F43" i="38"/>
  <c r="E43" i="18"/>
  <c r="E32" i="37" l="1"/>
  <c r="F28" i="37"/>
  <c r="F29" i="37"/>
  <c r="K61" i="18"/>
  <c r="K69" i="38"/>
  <c r="K67" i="38"/>
  <c r="F26" i="37"/>
  <c r="F27" i="37"/>
  <c r="F25" i="37"/>
  <c r="F47" i="38"/>
  <c r="G28" i="37" l="1"/>
  <c r="G29" i="37"/>
  <c r="E47" i="18"/>
  <c r="E49" i="18" s="1"/>
  <c r="G27" i="37"/>
  <c r="G26" i="37"/>
  <c r="G25" i="37"/>
  <c r="F32" i="18" l="1"/>
  <c r="F34" i="18"/>
  <c r="B31" i="37"/>
  <c r="B29" i="37"/>
  <c r="B30" i="37"/>
  <c r="B28" i="37"/>
  <c r="H2" i="31"/>
  <c r="H12" i="31" s="1"/>
  <c r="H26" i="37" s="1"/>
  <c r="F26" i="18"/>
  <c r="F40" i="18"/>
  <c r="F41" i="18"/>
  <c r="F23" i="18"/>
  <c r="F39" i="18"/>
  <c r="F38" i="18"/>
  <c r="F45" i="18"/>
  <c r="F37" i="18"/>
  <c r="B25" i="37"/>
  <c r="F19" i="18"/>
  <c r="F36" i="18"/>
  <c r="B27" i="37"/>
  <c r="E53" i="18"/>
  <c r="E51" i="18"/>
  <c r="K67" i="18" s="1"/>
  <c r="F43" i="18"/>
  <c r="F42" i="18"/>
  <c r="F35" i="18"/>
  <c r="B26" i="37"/>
  <c r="K65" i="18"/>
  <c r="B32" i="37" l="1"/>
  <c r="C31" i="37"/>
  <c r="F47" i="18"/>
  <c r="C25" i="37"/>
  <c r="C27" i="37"/>
  <c r="C26" i="37"/>
  <c r="H11" i="31"/>
  <c r="H3" i="31"/>
  <c r="C29" i="37"/>
  <c r="C28" i="37"/>
  <c r="K69" i="18"/>
  <c r="H4" i="31"/>
  <c r="H13" i="31" s="1"/>
  <c r="H27" i="37" s="1"/>
  <c r="D31" i="37" l="1"/>
  <c r="H25" i="37"/>
  <c r="H32" i="37" s="1"/>
  <c r="D28" i="37"/>
  <c r="D29" i="37"/>
  <c r="D26" i="37"/>
  <c r="J26" i="37" s="1"/>
  <c r="D25" i="37"/>
  <c r="D27" i="37"/>
  <c r="H23" i="31"/>
  <c r="J25" i="37" l="1"/>
  <c r="K25" i="37" s="1"/>
  <c r="J28" i="37"/>
  <c r="K28" i="37" s="1"/>
  <c r="J31" i="37"/>
  <c r="K31" i="37" s="1"/>
  <c r="J27" i="37"/>
  <c r="J29" i="37"/>
  <c r="K29" i="37" s="1"/>
  <c r="K26" i="37"/>
  <c r="K52" i="18"/>
  <c r="K63" i="18" s="1"/>
  <c r="G20" i="37"/>
  <c r="G22" i="37" s="1"/>
  <c r="B20" i="37"/>
  <c r="B22" i="37" s="1"/>
  <c r="J10" i="28"/>
  <c r="J29" i="28"/>
  <c r="J11" i="28"/>
  <c r="J18" i="28"/>
  <c r="J25" i="28"/>
  <c r="J17" i="28"/>
  <c r="J27" i="28"/>
  <c r="J19" i="28"/>
  <c r="J26" i="28"/>
  <c r="J24" i="28"/>
  <c r="J16" i="28"/>
  <c r="J22" i="28"/>
  <c r="J14" i="28"/>
  <c r="J21" i="28"/>
  <c r="J13" i="28"/>
  <c r="J15" i="28"/>
  <c r="J28" i="28"/>
  <c r="J20" i="28"/>
  <c r="J12" i="28"/>
  <c r="J23" i="28"/>
  <c r="E20" i="37"/>
  <c r="K27" i="37" l="1"/>
  <c r="J31" i="28"/>
  <c r="G6" i="28"/>
  <c r="I20" i="37"/>
  <c r="I22" i="37" s="1"/>
  <c r="K20" i="37"/>
  <c r="K22" i="37" s="1"/>
  <c r="C30" i="37" l="1"/>
  <c r="C32" i="37" s="1"/>
  <c r="F30" i="37"/>
  <c r="F32" i="37" s="1"/>
  <c r="D30" i="37" l="1"/>
  <c r="G30" i="37"/>
  <c r="G32" i="37" s="1"/>
  <c r="D32" i="37" l="1"/>
  <c r="J30" i="37"/>
  <c r="J32" i="37" s="1"/>
  <c r="P1" i="37" s="1"/>
  <c r="P2" i="37" s="1"/>
  <c r="P3" i="37" s="1"/>
  <c r="K30" i="37" l="1"/>
  <c r="K32" i="37" s="1"/>
</calcChain>
</file>

<file path=xl/sharedStrings.xml><?xml version="1.0" encoding="utf-8"?>
<sst xmlns="http://schemas.openxmlformats.org/spreadsheetml/2006/main" count="3131" uniqueCount="688">
  <si>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</si>
  <si>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</si>
  <si>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</si>
  <si>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</si>
  <si>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</si>
  <si>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</si>
  <si>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</si>
  <si>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</si>
  <si>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</si>
  <si>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</si>
  <si>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</si>
  <si>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</si>
  <si>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</si>
  <si>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</si>
  <si>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</si>
  <si>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</si>
  <si>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</si>
  <si>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PRODUCTIE UREN PER JAAR</t>
  </si>
  <si>
    <t>UREN OPSLAG MINIMALE TAAKGROOTTE PER JAAR</t>
  </si>
  <si>
    <t>TOEZICHTUREN PER JAAR</t>
  </si>
  <si>
    <t>Locatie</t>
  </si>
  <si>
    <t>Totaal m2</t>
  </si>
  <si>
    <t>Locatie factor</t>
  </si>
  <si>
    <t>Hoogste frequentie ma t/m vr</t>
  </si>
  <si>
    <t>Hoogste frequentie za - zo</t>
  </si>
  <si>
    <t>Productie uren ma t/m vr</t>
  </si>
  <si>
    <t>Productie uren za - zo</t>
  </si>
  <si>
    <t>Uren minimale taakgrootte ma t/m vrij</t>
  </si>
  <si>
    <t>Uren minimale taakgrootte za - zo</t>
  </si>
  <si>
    <t>Toezicht uren per jaar ma t/m vr</t>
  </si>
  <si>
    <t>Toezicht uren per jaar za - zo</t>
  </si>
  <si>
    <t>Totaal</t>
  </si>
  <si>
    <t>Kosten productie per jaar ma t/m vr incl minimale taakgrootte</t>
  </si>
  <si>
    <t>Kosten productie per jaar za - zo incl minimale taakgrootte</t>
  </si>
  <si>
    <t>Totale kosten productie per jaar</t>
  </si>
  <si>
    <t xml:space="preserve">Kosten toezicht per jaar ma t/m vr </t>
  </si>
  <si>
    <t>Kosten toezicht per jaar za - zo</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</si>
  <si>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</si>
  <si>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</si>
  <si>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</si>
  <si>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</si>
  <si>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</si>
  <si>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</si>
  <si>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</si>
  <si>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</si>
  <si>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</si>
  <si>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</si>
  <si>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</si>
  <si>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</si>
  <si>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</si>
  <si>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Naloop weekend / feestdag opslag</t>
  </si>
  <si>
    <t>Administratieve ruimten</t>
  </si>
  <si>
    <t>Sanitaire ruimten</t>
  </si>
  <si>
    <t>Gang, hal</t>
  </si>
  <si>
    <t>Pantry/keuken</t>
  </si>
  <si>
    <t>Restauratieve ruimten</t>
  </si>
  <si>
    <t>Kleedruimten</t>
  </si>
  <si>
    <t>Vergaderruimten</t>
  </si>
  <si>
    <t>Opslagruimte</t>
  </si>
  <si>
    <t>Sportzaal</t>
  </si>
  <si>
    <t>Entree</t>
  </si>
  <si>
    <t>Lift</t>
  </si>
  <si>
    <t>Nio</t>
  </si>
  <si>
    <t>Kolom voor matrix</t>
  </si>
  <si>
    <t>Frequentie verklaring</t>
  </si>
  <si>
    <t>Freq</t>
  </si>
  <si>
    <t>Kolom</t>
  </si>
  <si>
    <t>1 x per week (52 weken)</t>
  </si>
  <si>
    <t>2 x per week (52 weken)</t>
  </si>
  <si>
    <t>3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</si>
  <si>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</si>
  <si>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</si>
  <si>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</si>
  <si>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</si>
  <si>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</si>
  <si>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</si>
  <si>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</si>
  <si>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</si>
  <si>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</si>
  <si>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</si>
  <si>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</si>
  <si>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</si>
  <si>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</si>
  <si>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</si>
  <si>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</si>
  <si>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</si>
  <si>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</si>
  <si>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</si>
  <si>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</si>
  <si>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</si>
  <si>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</si>
  <si>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</si>
  <si>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</si>
  <si>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</si>
  <si>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Bijzonderheden / opmerkingen</t>
  </si>
  <si>
    <t>M2 per jaar</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</si>
  <si>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</si>
  <si>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</si>
  <si>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</si>
  <si>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</si>
  <si>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</si>
  <si>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</si>
  <si>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</si>
  <si>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</si>
  <si>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</si>
  <si>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</si>
  <si>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</si>
  <si>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</si>
  <si>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</si>
  <si>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</si>
  <si>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</si>
  <si>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</si>
  <si>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</si>
  <si>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</si>
  <si>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</si>
  <si>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</si>
  <si>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</si>
  <si>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</si>
  <si>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</si>
  <si>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</si>
  <si>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</si>
  <si>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</si>
  <si>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</si>
  <si>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</si>
  <si>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</si>
  <si>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</si>
  <si>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</si>
  <si>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</si>
  <si>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</si>
  <si>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</si>
  <si>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</si>
  <si>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</si>
  <si>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</si>
  <si>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</si>
  <si>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</si>
  <si>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</si>
  <si>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</si>
  <si>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</si>
  <si>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</si>
  <si>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</si>
  <si>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</si>
  <si>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</si>
  <si>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</si>
  <si>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</si>
  <si>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</si>
  <si>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</si>
  <si>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</si>
  <si>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</si>
  <si>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</si>
  <si>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</si>
  <si>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</si>
  <si>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</si>
  <si>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</si>
  <si>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</si>
  <si>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</si>
  <si>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</si>
  <si>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</si>
  <si>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</si>
  <si>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</si>
  <si>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</si>
  <si>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</si>
  <si>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</si>
  <si>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</si>
  <si>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</si>
  <si>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</si>
  <si>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</si>
  <si>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</si>
  <si>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</si>
  <si>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</si>
  <si>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</si>
  <si>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</si>
  <si>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</si>
  <si>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</si>
  <si>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</si>
  <si>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</si>
  <si>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</si>
  <si>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</si>
  <si>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</si>
  <si>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</si>
  <si>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</si>
  <si>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</si>
  <si>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</si>
  <si>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</si>
  <si>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</si>
  <si>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</si>
  <si>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</si>
  <si>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</si>
  <si>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</si>
  <si>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</si>
  <si>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</si>
  <si>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</si>
  <si>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</si>
  <si>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</si>
  <si>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</si>
  <si>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</si>
  <si>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</si>
  <si>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</si>
  <si>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</si>
  <si>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</si>
  <si>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</si>
  <si>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</si>
  <si>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</si>
  <si>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</si>
  <si>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</si>
  <si>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</si>
  <si>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</si>
  <si>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</si>
  <si>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</si>
  <si>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</si>
  <si>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</si>
  <si>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</si>
  <si>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</si>
  <si>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</si>
  <si>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</si>
  <si>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</si>
  <si>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</si>
  <si>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</si>
  <si>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</si>
  <si>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</si>
  <si>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</si>
  <si>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</si>
  <si>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</si>
  <si>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</si>
  <si>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</si>
  <si>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</si>
  <si>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</si>
  <si>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</si>
  <si>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</si>
  <si>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</si>
  <si>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</si>
  <si>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</si>
  <si>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</si>
  <si>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</si>
  <si>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</si>
  <si>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</si>
  <si>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</si>
  <si>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Tapijt</t>
  </si>
  <si>
    <t>Plaats</t>
  </si>
  <si>
    <t>steen</t>
  </si>
  <si>
    <t>lift</t>
  </si>
  <si>
    <t>hout</t>
  </si>
  <si>
    <t>lino</t>
  </si>
  <si>
    <t>kantoor</t>
  </si>
  <si>
    <t>toilet</t>
  </si>
  <si>
    <t>keukentje</t>
  </si>
  <si>
    <t>Buitenzijde glas in lood</t>
  </si>
  <si>
    <t>Binnenzijde glas in lood</t>
  </si>
  <si>
    <t>Aula</t>
  </si>
  <si>
    <t>toiletten</t>
  </si>
  <si>
    <t>tegels</t>
  </si>
  <si>
    <t>sportzaal</t>
  </si>
  <si>
    <t>Activiteitenruimte</t>
  </si>
  <si>
    <t>Buitenzijde gevelglas</t>
  </si>
  <si>
    <t>Binnenzijde gevelglas</t>
  </si>
  <si>
    <t>BG</t>
  </si>
  <si>
    <t>linoleum</t>
  </si>
  <si>
    <t>Oostvoorne</t>
  </si>
  <si>
    <t>Trap</t>
  </si>
  <si>
    <t>BG/1</t>
  </si>
  <si>
    <t>Toilet</t>
  </si>
  <si>
    <t>douche</t>
  </si>
  <si>
    <t>gietvloer</t>
  </si>
  <si>
    <t>beton</t>
  </si>
  <si>
    <t>sanitair</t>
  </si>
  <si>
    <t>Lino</t>
  </si>
  <si>
    <t>aula</t>
  </si>
  <si>
    <t>dakkoepel binnen</t>
  </si>
  <si>
    <t>dakkoepel buiten</t>
  </si>
  <si>
    <t>Gemeente Voorne aan Zee</t>
  </si>
  <si>
    <t>Perceel 1</t>
  </si>
  <si>
    <t>TN521819</t>
  </si>
  <si>
    <t>MFC de Meander</t>
  </si>
  <si>
    <t>CC de Man</t>
  </si>
  <si>
    <t>Gymzaal MH Tromp</t>
  </si>
  <si>
    <t>Gymzaal Reede</t>
  </si>
  <si>
    <t>Dukdaf/Bres</t>
  </si>
  <si>
    <t>Vlinderslag 5</t>
  </si>
  <si>
    <t>vuile voeten gang</t>
  </si>
  <si>
    <t>kleedkamer 1</t>
  </si>
  <si>
    <t>kleedkamer 2</t>
  </si>
  <si>
    <t>kleedkamer 3</t>
  </si>
  <si>
    <t>kleedkamer 4</t>
  </si>
  <si>
    <t>schone voeten gang</t>
  </si>
  <si>
    <t>personeel</t>
  </si>
  <si>
    <t>gang kluisjes</t>
  </si>
  <si>
    <t>kleedkamer pers bij douche</t>
  </si>
  <si>
    <t>kleedkamer pers bij douche 2</t>
  </si>
  <si>
    <t>totaal kk per 2</t>
  </si>
  <si>
    <t>doorgang naar zwembad</t>
  </si>
  <si>
    <t>foyer</t>
  </si>
  <si>
    <t>Toiletten</t>
  </si>
  <si>
    <t>Oefen ruimte</t>
  </si>
  <si>
    <t>sportvloer</t>
  </si>
  <si>
    <t>gang kantoren</t>
  </si>
  <si>
    <t>kantoor sport</t>
  </si>
  <si>
    <t>Foyer</t>
  </si>
  <si>
    <t>tribune</t>
  </si>
  <si>
    <t>anti slib</t>
  </si>
  <si>
    <t>omloop Bad</t>
  </si>
  <si>
    <t>Instructie 2</t>
  </si>
  <si>
    <t>instructie 1</t>
  </si>
  <si>
    <t>sportzaal 1</t>
  </si>
  <si>
    <t>sportzaal 2</t>
  </si>
  <si>
    <t>sportzaal 3</t>
  </si>
  <si>
    <t>Toestelberging</t>
  </si>
  <si>
    <t>EHBO Sport</t>
  </si>
  <si>
    <t>gang sport</t>
  </si>
  <si>
    <t>Scheidsrechter</t>
  </si>
  <si>
    <t>Douches Sport 1</t>
  </si>
  <si>
    <t>Douches Sport 2</t>
  </si>
  <si>
    <t>Douches Sport 3</t>
  </si>
  <si>
    <t>kleedkamers sport 1</t>
  </si>
  <si>
    <t>kleedkamers sport 2</t>
  </si>
  <si>
    <t>kleedkamers sport 3</t>
  </si>
  <si>
    <t>Douches Sport 4</t>
  </si>
  <si>
    <t>kleedkamers sport 4</t>
  </si>
  <si>
    <t>gang achter sport</t>
  </si>
  <si>
    <t>hal/gang</t>
  </si>
  <si>
    <t>Douches</t>
  </si>
  <si>
    <t>peron zwembad</t>
  </si>
  <si>
    <t>Trappen</t>
  </si>
  <si>
    <t>T dijckhuis</t>
  </si>
  <si>
    <t>BGG</t>
  </si>
  <si>
    <t>C0.01</t>
  </si>
  <si>
    <t>inoopmat</t>
  </si>
  <si>
    <t>D0.19</t>
  </si>
  <si>
    <t>D0.18</t>
  </si>
  <si>
    <t>D016</t>
  </si>
  <si>
    <t>Fysio</t>
  </si>
  <si>
    <t>D0.20</t>
  </si>
  <si>
    <t>D0.21</t>
  </si>
  <si>
    <t>D0.37</t>
  </si>
  <si>
    <t>Miva</t>
  </si>
  <si>
    <t>D0.02</t>
  </si>
  <si>
    <t>Tegels</t>
  </si>
  <si>
    <t>D0.12</t>
  </si>
  <si>
    <t>senioren</t>
  </si>
  <si>
    <t>D0.15</t>
  </si>
  <si>
    <t>Zaal</t>
  </si>
  <si>
    <t>D0.03</t>
  </si>
  <si>
    <t>Zaal 1</t>
  </si>
  <si>
    <t>D0.04</t>
  </si>
  <si>
    <t>Zaal 2</t>
  </si>
  <si>
    <t>D0.05</t>
  </si>
  <si>
    <t>Gang</t>
  </si>
  <si>
    <t>Gietvloer</t>
  </si>
  <si>
    <t>D0.09</t>
  </si>
  <si>
    <t>Zaal 3</t>
  </si>
  <si>
    <t>Parket</t>
  </si>
  <si>
    <t>BGG/1</t>
  </si>
  <si>
    <t>Beton</t>
  </si>
  <si>
    <t>vinyl noppen</t>
  </si>
  <si>
    <t>SV1.01</t>
  </si>
  <si>
    <t>Hal</t>
  </si>
  <si>
    <t>SV1.09</t>
  </si>
  <si>
    <t>Toiilet</t>
  </si>
  <si>
    <t>Sv1.06</t>
  </si>
  <si>
    <t>kleed/was</t>
  </si>
  <si>
    <t>SV1.04</t>
  </si>
  <si>
    <t>SV1.07</t>
  </si>
  <si>
    <t>SV1,07T</t>
  </si>
  <si>
    <t>SV1,02</t>
  </si>
  <si>
    <t>SV1.05</t>
  </si>
  <si>
    <t>noodtrap0</t>
  </si>
  <si>
    <t>Dijckpotingen 10</t>
  </si>
  <si>
    <t>Vierpolders</t>
  </si>
  <si>
    <t>Reede 3</t>
  </si>
  <si>
    <t>Brielle</t>
  </si>
  <si>
    <t xml:space="preserve">BG </t>
  </si>
  <si>
    <t>0.1</t>
  </si>
  <si>
    <t>entree</t>
  </si>
  <si>
    <t>0.2</t>
  </si>
  <si>
    <t>0.3</t>
  </si>
  <si>
    <t>sanitair 1</t>
  </si>
  <si>
    <t>0.4</t>
  </si>
  <si>
    <t>douches 1</t>
  </si>
  <si>
    <t>0.5</t>
  </si>
  <si>
    <t>0.6</t>
  </si>
  <si>
    <t>sanitair 2</t>
  </si>
  <si>
    <t>0.7</t>
  </si>
  <si>
    <t>douches 2</t>
  </si>
  <si>
    <t>0.8</t>
  </si>
  <si>
    <t>0.9</t>
  </si>
  <si>
    <t>sportberging</t>
  </si>
  <si>
    <t>0.10</t>
  </si>
  <si>
    <t>docentkamer</t>
  </si>
  <si>
    <t>0.11</t>
  </si>
  <si>
    <t>docent sanitair + douche</t>
  </si>
  <si>
    <t>0.12</t>
  </si>
  <si>
    <t>berging kleedkamer 1</t>
  </si>
  <si>
    <t>0.13</t>
  </si>
  <si>
    <t>berging kleedkamer 2</t>
  </si>
  <si>
    <t>douches</t>
  </si>
  <si>
    <t>M.H. Trompstraat 24</t>
  </si>
  <si>
    <t>Kleedkamer 1</t>
  </si>
  <si>
    <t>Sanitair 1</t>
  </si>
  <si>
    <t>douche 2</t>
  </si>
  <si>
    <t>Sanitair 2</t>
  </si>
  <si>
    <t>berging sport</t>
  </si>
  <si>
    <t>leraar ruimte</t>
  </si>
  <si>
    <t>pvc</t>
  </si>
  <si>
    <t>sanitair leraar</t>
  </si>
  <si>
    <t>Kelder</t>
  </si>
  <si>
    <t>-1.1</t>
  </si>
  <si>
    <t>-1.2</t>
  </si>
  <si>
    <t>-1.3</t>
  </si>
  <si>
    <t>-1.4</t>
  </si>
  <si>
    <t>-1.5</t>
  </si>
  <si>
    <t>-1.6</t>
  </si>
  <si>
    <t>-1.7</t>
  </si>
  <si>
    <t>-1.8</t>
  </si>
  <si>
    <t>Niet in onderhoud</t>
  </si>
  <si>
    <t>nio</t>
  </si>
  <si>
    <t>Jongerenwerk</t>
  </si>
  <si>
    <t>Opslag</t>
  </si>
  <si>
    <t>MIVA</t>
  </si>
  <si>
    <t>Toilet dames</t>
  </si>
  <si>
    <t>Toilet heren</t>
  </si>
  <si>
    <t>Kelder/ BGG</t>
  </si>
  <si>
    <t>Begane grond</t>
  </si>
  <si>
    <t>trap</t>
  </si>
  <si>
    <t>0.14</t>
  </si>
  <si>
    <t>0.15</t>
  </si>
  <si>
    <t>0.16</t>
  </si>
  <si>
    <t>0.17</t>
  </si>
  <si>
    <t>0.18</t>
  </si>
  <si>
    <t>0.19</t>
  </si>
  <si>
    <t>0.18b</t>
  </si>
  <si>
    <t>0.18c</t>
  </si>
  <si>
    <t>Meterkast</t>
  </si>
  <si>
    <t>Cafe</t>
  </si>
  <si>
    <t>0.4a</t>
  </si>
  <si>
    <t>werkkast</t>
  </si>
  <si>
    <t>Bijkeuken</t>
  </si>
  <si>
    <t>keuken</t>
  </si>
  <si>
    <t>Coulisse</t>
  </si>
  <si>
    <t>Podium</t>
  </si>
  <si>
    <t>grote zaal</t>
  </si>
  <si>
    <t>kleedruimte</t>
  </si>
  <si>
    <t>0.18a</t>
  </si>
  <si>
    <t>sluis</t>
  </si>
  <si>
    <t>Theaterzaal</t>
  </si>
  <si>
    <t>inloopmat</t>
  </si>
  <si>
    <t>podiumvloer</t>
  </si>
  <si>
    <t>lino/tapijt</t>
  </si>
  <si>
    <t>tapijt</t>
  </si>
  <si>
    <t>1.01</t>
  </si>
  <si>
    <t>1.02</t>
  </si>
  <si>
    <t>1.03</t>
  </si>
  <si>
    <t>1.04</t>
  </si>
  <si>
    <t>1.05</t>
  </si>
  <si>
    <t>eerste</t>
  </si>
  <si>
    <t>trappenhuis</t>
  </si>
  <si>
    <t>zaal 1</t>
  </si>
  <si>
    <t>zaal 2</t>
  </si>
  <si>
    <t>zaal 3</t>
  </si>
  <si>
    <t>Burgermeester letteweg 30</t>
  </si>
  <si>
    <t>CC de Merel/ Zeewinde</t>
  </si>
  <si>
    <t>Reede 2a</t>
  </si>
  <si>
    <t xml:space="preserve">verhoging </t>
  </si>
  <si>
    <t>Uitgifte keuken</t>
  </si>
  <si>
    <t>Portaak keuken</t>
  </si>
  <si>
    <t>Gang bij toiletten</t>
  </si>
  <si>
    <t>Opslag keuken</t>
  </si>
  <si>
    <t>LBH install en gaskast</t>
  </si>
  <si>
    <t>gang kleedkamers</t>
  </si>
  <si>
    <t>achter antree sport</t>
  </si>
  <si>
    <t>Kleedruimte heren</t>
  </si>
  <si>
    <t>douche heren</t>
  </si>
  <si>
    <t>kleedruimte heren 2</t>
  </si>
  <si>
    <t>EHBO ruimte</t>
  </si>
  <si>
    <t>Leidersruimte 1</t>
  </si>
  <si>
    <t>Leidersruimte 2</t>
  </si>
  <si>
    <t>Berging</t>
  </si>
  <si>
    <t>Douche dames</t>
  </si>
  <si>
    <t>kleedruimte dames 2</t>
  </si>
  <si>
    <t>kleedruimte dames</t>
  </si>
  <si>
    <t>Squash 1</t>
  </si>
  <si>
    <t>Squash 2</t>
  </si>
  <si>
    <t>Squash 3</t>
  </si>
  <si>
    <t>Squash 4</t>
  </si>
  <si>
    <t>gang bij squash</t>
  </si>
  <si>
    <t>douche dames</t>
  </si>
  <si>
    <t>toilet dames</t>
  </si>
  <si>
    <t>toilet heren</t>
  </si>
  <si>
    <t>squash</t>
  </si>
  <si>
    <t>Toestel bering 1</t>
  </si>
  <si>
    <t>Toestel bering 2</t>
  </si>
  <si>
    <t>Opslag sluis</t>
  </si>
  <si>
    <t>werkplaats</t>
  </si>
  <si>
    <t>Zwembad</t>
  </si>
  <si>
    <t>gang kleedruimten</t>
  </si>
  <si>
    <t>kleedhokjes</t>
  </si>
  <si>
    <t>Kleedruimte heren 2</t>
  </si>
  <si>
    <t>Kleedruimte dames</t>
  </si>
  <si>
    <t>Sanitair zwembad</t>
  </si>
  <si>
    <t>afsproeiruimte</t>
  </si>
  <si>
    <t>Omloop bad klein</t>
  </si>
  <si>
    <t>personeels toilet</t>
  </si>
  <si>
    <t>MIVA toilet</t>
  </si>
  <si>
    <t>afsproeiruimte 2</t>
  </si>
  <si>
    <t xml:space="preserve">afsproeiruimte </t>
  </si>
  <si>
    <t>Omloop bad groot</t>
  </si>
  <si>
    <t>Omloop kinderbad</t>
  </si>
  <si>
    <t>Bar</t>
  </si>
  <si>
    <t>Pvc</t>
  </si>
  <si>
    <t>opslag</t>
  </si>
  <si>
    <t>personeelsruimte</t>
  </si>
  <si>
    <t>gang</t>
  </si>
  <si>
    <t>bergruimte</t>
  </si>
  <si>
    <t>kleedruimte heren</t>
  </si>
  <si>
    <t>Kassa</t>
  </si>
  <si>
    <t>kopieer ruimte</t>
  </si>
  <si>
    <t>Begane grond/1</t>
  </si>
  <si>
    <t>spreekkamer</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</si>
  <si>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</si>
  <si>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</si>
  <si>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</si>
  <si>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</si>
  <si>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</si>
  <si>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</si>
  <si>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</si>
  <si>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</si>
  <si>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</si>
  <si>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</si>
  <si>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</si>
  <si>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</si>
  <si>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</si>
  <si>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</si>
  <si>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</si>
  <si>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</si>
  <si>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</si>
  <si>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</si>
  <si>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</si>
  <si>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</si>
  <si>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</si>
  <si>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</si>
  <si>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</si>
  <si>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</si>
  <si>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</si>
  <si>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</si>
  <si>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</si>
  <si>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</si>
  <si>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</si>
  <si>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</si>
  <si>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</si>
  <si>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</si>
  <si>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</si>
  <si>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</si>
  <si>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</si>
  <si>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</si>
  <si>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</si>
  <si>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</si>
  <si>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</si>
  <si>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</si>
  <si>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</si>
  <si>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</si>
  <si>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</si>
  <si>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</si>
  <si>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</si>
  <si>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</si>
  <si>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</si>
  <si>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</si>
  <si>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</si>
  <si>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</si>
  <si>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Willem de Waalstraat 3</t>
  </si>
  <si>
    <t>Rockanje</t>
  </si>
  <si>
    <t>groepruimte onderbouw</t>
  </si>
  <si>
    <t>verwerkingsruimte onderbouw</t>
  </si>
  <si>
    <t>Peuters</t>
  </si>
  <si>
    <t>nieuwe lokalen met uitbouw</t>
  </si>
  <si>
    <t>werkruimte kinderen</t>
  </si>
  <si>
    <t>Entree onderbouw</t>
  </si>
  <si>
    <t>Verschoonruimte peuters</t>
  </si>
  <si>
    <t>Toegang speellokaal</t>
  </si>
  <si>
    <t>Berging speellokaal</t>
  </si>
  <si>
    <t>Toiletten 4</t>
  </si>
  <si>
    <t>Werkkast onderbouw</t>
  </si>
  <si>
    <t>Toiletten onderbouw 4</t>
  </si>
  <si>
    <t>Spreekkamer Humankind</t>
  </si>
  <si>
    <t>Toiletten onderbouw</t>
  </si>
  <si>
    <t>Bibliotheek</t>
  </si>
  <si>
    <t>Repro</t>
  </si>
  <si>
    <t>Groepsruimte onderbouw</t>
  </si>
  <si>
    <t>Flexkantoor</t>
  </si>
  <si>
    <t>Keuken</t>
  </si>
  <si>
    <t>Ontmoeten</t>
  </si>
  <si>
    <t>Entree bovenbouw</t>
  </si>
  <si>
    <t>Entree/ontvangst</t>
  </si>
  <si>
    <t>Keuken/opslagruimte</t>
  </si>
  <si>
    <t>Berging/verblijfsruimte</t>
  </si>
  <si>
    <t>Muziekschool</t>
  </si>
  <si>
    <t>Multifunctionele zaal</t>
  </si>
  <si>
    <t>Berging karate (GP)</t>
  </si>
  <si>
    <t>Berging probaro (GP)</t>
  </si>
  <si>
    <t>Beging IDO koersbal (schoonmaak)</t>
  </si>
  <si>
    <t>Berging OG</t>
  </si>
  <si>
    <t>Entree sportzaal</t>
  </si>
  <si>
    <t>Toiletten ontmoetingsruimte 2</t>
  </si>
  <si>
    <t>Kleedruimte</t>
  </si>
  <si>
    <t>Douche</t>
  </si>
  <si>
    <t>Kleedkamer</t>
  </si>
  <si>
    <t>EHBO</t>
  </si>
  <si>
    <t>Berging sportzaal</t>
  </si>
  <si>
    <t>MIVA toilet/douche</t>
  </si>
  <si>
    <t>Sporttribune</t>
  </si>
  <si>
    <t>Toilet speellokaal</t>
  </si>
  <si>
    <t>Toilet Douche</t>
  </si>
  <si>
    <t>Kast</t>
  </si>
  <si>
    <t>Werkkast</t>
  </si>
  <si>
    <t>Schrobmachine</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</si>
  <si>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</si>
  <si>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</si>
  <si>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</si>
  <si>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</si>
  <si>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</si>
  <si>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</si>
  <si>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</si>
  <si>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</si>
  <si>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</si>
  <si>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</si>
  <si>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</si>
  <si>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</si>
  <si>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</si>
  <si>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</si>
  <si>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</si>
  <si>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</si>
  <si>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</si>
  <si>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</si>
  <si>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</si>
  <si>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</si>
  <si>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</si>
  <si>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</si>
  <si>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</si>
  <si>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</si>
  <si>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</si>
  <si>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</si>
  <si>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</si>
  <si>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</si>
  <si>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</si>
  <si>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1.36</t>
  </si>
  <si>
    <t>1.38</t>
  </si>
  <si>
    <t>1.39</t>
  </si>
  <si>
    <t>Groepsruimte bovenbouw</t>
  </si>
  <si>
    <t>Verwerkingsruimte bovenbouw</t>
  </si>
  <si>
    <t>Teamruimte</t>
  </si>
  <si>
    <t>Directie</t>
  </si>
  <si>
    <t>Flexvergaderruimte</t>
  </si>
  <si>
    <t>Studieplein</t>
  </si>
  <si>
    <t>Trappenhuis</t>
  </si>
  <si>
    <t>Spreekkamer</t>
  </si>
  <si>
    <t>Werkkast bovenbouw</t>
  </si>
  <si>
    <t>Toiletten bovenbouw</t>
  </si>
  <si>
    <t>Werkkast middenbouw</t>
  </si>
  <si>
    <t>Toiletten middenbouw</t>
  </si>
  <si>
    <t>Pantry</t>
  </si>
  <si>
    <t>Technische ruimte</t>
  </si>
  <si>
    <t>leslokaal</t>
  </si>
  <si>
    <t>linoleim</t>
  </si>
  <si>
    <t>zweewinde</t>
  </si>
  <si>
    <t>BSO</t>
  </si>
  <si>
    <t>zeewinde</t>
  </si>
  <si>
    <t>sporthal</t>
  </si>
  <si>
    <t>6</t>
  </si>
  <si>
    <t>Lokaal 1</t>
  </si>
  <si>
    <t>Lokaal 2</t>
  </si>
  <si>
    <t>Lokaal 3</t>
  </si>
  <si>
    <t>dakglas binnen</t>
  </si>
  <si>
    <t>dakglas buiten</t>
  </si>
  <si>
    <t>ballustradeglas</t>
  </si>
  <si>
    <t>speellokaal</t>
  </si>
  <si>
    <t>coulisse</t>
  </si>
  <si>
    <t>lokaal 4</t>
  </si>
  <si>
    <t>lokaal 5</t>
  </si>
  <si>
    <t>kleedruimte 1</t>
  </si>
  <si>
    <t>douche kleedruimte 1</t>
  </si>
  <si>
    <t>kleedruimte 2</t>
  </si>
  <si>
    <t>douche kleedruimte 2</t>
  </si>
  <si>
    <t>toilet kleedruimte 1</t>
  </si>
  <si>
    <t>toilet kleedruimte 2</t>
  </si>
  <si>
    <t>theaterzaal</t>
  </si>
  <si>
    <t>podium</t>
  </si>
  <si>
    <t>dansvloer</t>
  </si>
  <si>
    <t>tapijt/linoleum</t>
  </si>
  <si>
    <t>1x per week schoolweken</t>
  </si>
  <si>
    <t>2x per week schoolweken</t>
  </si>
  <si>
    <t>5 x per week schoolweken</t>
  </si>
  <si>
    <t>Prijzenblad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</si>
</sst>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
  </numFmts>
  <fonts count="148">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u/>
      <sz val="10"/>
      <color rgb="FFFF000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color indexed="10"/>
      <name val="Verdana"/>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7" applyNumberFormat="0" applyAlignment="0" applyProtection="0"/>
    <xf numFmtId="0" fontId="8" fillId="0" borderId="0"/>
    <xf numFmtId="0" fontId="41" fillId="55" borderId="17" applyNumberFormat="0" applyAlignment="0" applyProtection="0"/>
    <xf numFmtId="0" fontId="42" fillId="56" borderId="18" applyNumberFormat="0" applyAlignment="0" applyProtection="0"/>
    <xf numFmtId="0" fontId="42" fillId="56" borderId="18" applyNumberFormat="0" applyAlignment="0" applyProtection="0"/>
    <xf numFmtId="0" fontId="43" fillId="0" borderId="0" applyNumberFormat="0" applyFill="0" applyBorder="0" applyAlignment="0" applyProtection="0"/>
    <xf numFmtId="0" fontId="44" fillId="0" borderId="19"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57" borderId="17" applyNumberFormat="0" applyAlignment="0" applyProtection="0"/>
    <xf numFmtId="0" fontId="36" fillId="58" borderId="1"/>
    <xf numFmtId="0" fontId="50" fillId="0" borderId="23" applyNumberFormat="0" applyFill="0" applyAlignment="0" applyProtection="0"/>
    <xf numFmtId="0" fontId="51" fillId="0" borderId="24" applyNumberFormat="0" applyFill="0" applyAlignment="0" applyProtection="0"/>
    <xf numFmtId="0" fontId="52" fillId="0" borderId="25"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6"/>
    <xf numFmtId="0" fontId="55" fillId="0" borderId="27"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8" applyNumberFormat="0" applyFont="0" applyAlignment="0" applyProtection="0"/>
    <xf numFmtId="0" fontId="35" fillId="59" borderId="28" applyNumberFormat="0" applyFont="0" applyAlignment="0" applyProtection="0"/>
    <xf numFmtId="0" fontId="57" fillId="37" borderId="0" applyNumberFormat="0" applyBorder="0" applyAlignment="0" applyProtection="0"/>
    <xf numFmtId="0" fontId="58" fillId="55" borderId="29" applyNumberFormat="0" applyAlignment="0" applyProtection="0"/>
    <xf numFmtId="0" fontId="54" fillId="60" borderId="30"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1" applyNumberFormat="0" applyFill="0" applyAlignment="0" applyProtection="0"/>
    <xf numFmtId="0" fontId="61" fillId="0" borderId="32" applyNumberFormat="0" applyFill="0" applyAlignment="0" applyProtection="0"/>
    <xf numFmtId="0" fontId="58" fillId="54" borderId="29"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6"/>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xf numFmtId="43" fontId="1" fillId="0" borderId="0" applyFont="0" applyFill="0" applyBorder="0" applyAlignment="0" applyProtection="0"/>
  </cellStyleXfs>
  <cellXfs count="502">
    <xf numFmtId="0" fontId="0" fillId="0" borderId="0" xfId="0"/>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6" fontId="66" fillId="0" borderId="0" xfId="13" applyNumberFormat="1" applyFont="1" applyAlignment="1" applyProtection="1">
      <alignment vertical="center"/>
      <protection hidden="1"/>
    </xf>
    <xf numFmtId="0" fontId="70" fillId="0" borderId="0" xfId="13" applyFont="1" applyAlignment="1" applyProtection="1">
      <alignment vertical="center"/>
      <protection hidden="1"/>
    </xf>
    <xf numFmtId="2" fontId="66" fillId="0" borderId="0" xfId="0" applyNumberFormat="1" applyFont="1" applyAlignment="1">
      <alignment vertical="center"/>
    </xf>
    <xf numFmtId="176" fontId="72" fillId="0" borderId="0" xfId="13" applyNumberFormat="1" applyFont="1" applyAlignment="1" applyProtection="1">
      <alignment vertical="center"/>
      <protection hidden="1"/>
    </xf>
    <xf numFmtId="177"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66" fillId="0" borderId="0" xfId="89" applyFont="1"/>
    <xf numFmtId="0" fontId="71" fillId="0" borderId="0" xfId="0" applyFont="1"/>
    <xf numFmtId="0" fontId="68" fillId="0" borderId="0" xfId="0" applyFont="1"/>
    <xf numFmtId="0" fontId="66" fillId="0" borderId="0" xfId="0" applyFont="1" applyAlignment="1">
      <alignment vertical="center"/>
    </xf>
    <xf numFmtId="2" fontId="66" fillId="0" borderId="0" xfId="13" applyNumberFormat="1" applyFont="1" applyAlignment="1" applyProtection="1">
      <alignment vertical="center"/>
      <protection hidden="1"/>
    </xf>
    <xf numFmtId="177" fontId="66" fillId="2" borderId="0" xfId="11" applyNumberFormat="1" applyFont="1" applyFill="1" applyAlignment="1" applyProtection="1">
      <alignment vertical="center"/>
      <protection hidden="1"/>
    </xf>
    <xf numFmtId="10" fontId="70" fillId="0" borderId="0" xfId="16" applyNumberFormat="1" applyFont="1" applyFill="1" applyBorder="1" applyAlignment="1" applyProtection="1">
      <alignment horizontal="right" vertical="center"/>
      <protection hidden="1"/>
    </xf>
    <xf numFmtId="10" fontId="65" fillId="0" borderId="0" xfId="16" applyNumberFormat="1" applyFont="1" applyFill="1" applyBorder="1" applyAlignment="1"/>
    <xf numFmtId="179" fontId="66" fillId="0" borderId="0" xfId="13" applyNumberFormat="1" applyFont="1" applyAlignment="1" applyProtection="1">
      <alignment vertical="center"/>
      <protection hidden="1"/>
    </xf>
    <xf numFmtId="0" fontId="66" fillId="0" borderId="0" xfId="0" applyFont="1" applyAlignment="1">
      <alignment horizontal="center" wrapText="1"/>
    </xf>
    <xf numFmtId="0" fontId="69" fillId="0" borderId="0" xfId="0" applyFont="1" applyAlignment="1">
      <alignment wrapText="1"/>
    </xf>
    <xf numFmtId="0" fontId="66" fillId="0" borderId="0" xfId="84" applyFont="1"/>
    <xf numFmtId="175" fontId="67" fillId="0" borderId="0" xfId="3" applyNumberFormat="1" applyFont="1" applyFill="1" applyBorder="1" applyAlignment="1" applyProtection="1">
      <alignment horizontal="center"/>
      <protection hidden="1"/>
    </xf>
    <xf numFmtId="169" fontId="67" fillId="0" borderId="0" xfId="3" applyFont="1" applyFill="1" applyBorder="1" applyAlignment="1" applyProtection="1">
      <alignment horizontal="center"/>
      <protection hidden="1"/>
    </xf>
    <xf numFmtId="0" fontId="67" fillId="0" borderId="0" xfId="13" applyFont="1" applyAlignment="1" applyProtection="1">
      <alignment horizontal="center"/>
      <protection hidden="1"/>
    </xf>
    <xf numFmtId="0" fontId="66" fillId="0" borderId="0" xfId="84" applyFont="1" applyAlignment="1">
      <alignment horizontal="center" vertical="center"/>
    </xf>
    <xf numFmtId="175" fontId="66" fillId="0" borderId="0" xfId="84" applyNumberFormat="1" applyFont="1" applyAlignment="1">
      <alignment horizontal="center" vertical="center"/>
    </xf>
    <xf numFmtId="0" fontId="66" fillId="0" borderId="0" xfId="103" applyFont="1"/>
    <xf numFmtId="0" fontId="71" fillId="0" borderId="0" xfId="103" applyFont="1"/>
    <xf numFmtId="0" fontId="73" fillId="0" borderId="0" xfId="13" applyFont="1" applyProtection="1">
      <protection hidden="1"/>
    </xf>
    <xf numFmtId="0" fontId="73" fillId="0" borderId="0" xfId="13" applyFont="1" applyAlignment="1" applyProtection="1">
      <alignment horizontal="right" vertical="center"/>
      <protection hidden="1"/>
    </xf>
    <xf numFmtId="2" fontId="73" fillId="0" borderId="0" xfId="13" applyNumberFormat="1" applyFont="1" applyAlignment="1" applyProtection="1">
      <alignment vertical="center"/>
      <protection hidden="1"/>
    </xf>
    <xf numFmtId="0" fontId="73" fillId="0" borderId="0" xfId="13" applyFont="1" applyAlignment="1" applyProtection="1">
      <alignment vertical="center"/>
      <protection hidden="1"/>
    </xf>
    <xf numFmtId="0" fontId="73" fillId="0" borderId="0" xfId="0" applyFont="1"/>
    <xf numFmtId="44" fontId="66" fillId="0" borderId="0" xfId="0" applyNumberFormat="1"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167" fontId="79" fillId="0" borderId="36" xfId="8" applyFont="1" applyBorder="1"/>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2" fontId="84" fillId="0" borderId="0" xfId="12" applyNumberFormat="1" applyFont="1"/>
    <xf numFmtId="0" fontId="83" fillId="0" borderId="0" xfId="89" applyFont="1"/>
    <xf numFmtId="167" fontId="83" fillId="0" borderId="0" xfId="8" applyFont="1"/>
    <xf numFmtId="2" fontId="81" fillId="0" borderId="0" xfId="89" applyNumberFormat="1" applyFont="1"/>
    <xf numFmtId="0" fontId="86" fillId="0" borderId="0" xfId="89" applyFont="1"/>
    <xf numFmtId="166" fontId="79" fillId="2" borderId="38" xfId="18" applyFont="1" applyFill="1" applyBorder="1" applyAlignment="1">
      <alignment horizontal="right"/>
    </xf>
    <xf numFmtId="166" fontId="79" fillId="2" borderId="38" xfId="18" applyFont="1" applyFill="1" applyBorder="1" applyAlignment="1">
      <alignment horizontal="center"/>
    </xf>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167" fontId="79" fillId="0" borderId="0" xfId="8" applyFont="1" applyAlignment="1">
      <alignment horizontal="right"/>
    </xf>
    <xf numFmtId="0" fontId="89" fillId="0" borderId="0" xfId="17" applyFont="1"/>
    <xf numFmtId="0" fontId="79" fillId="0" borderId="38" xfId="0" applyFont="1" applyBorder="1"/>
    <xf numFmtId="1" fontId="79" fillId="0" borderId="38" xfId="61" applyNumberFormat="1" applyFont="1" applyBorder="1" applyAlignment="1">
      <alignment horizontal="center"/>
    </xf>
    <xf numFmtId="1" fontId="89" fillId="0" borderId="38" xfId="61"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0" fontId="79" fillId="0" borderId="4" xfId="0" applyFont="1" applyBorder="1"/>
    <xf numFmtId="1" fontId="79" fillId="0" borderId="4" xfId="0" applyNumberFormat="1" applyFont="1" applyBorder="1" applyAlignment="1">
      <alignment horizontal="center"/>
    </xf>
    <xf numFmtId="0" fontId="79" fillId="0" borderId="16" xfId="0" applyFont="1" applyBorder="1" applyAlignment="1">
      <alignment wrapText="1"/>
    </xf>
    <xf numFmtId="0" fontId="79" fillId="0" borderId="16" xfId="0" applyFont="1" applyBorder="1"/>
    <xf numFmtId="0" fontId="79" fillId="2" borderId="16" xfId="0" applyFont="1" applyFill="1" applyBorder="1" applyAlignment="1">
      <alignment wrapText="1"/>
    </xf>
    <xf numFmtId="167" fontId="86" fillId="0" borderId="0" xfId="8" applyFont="1" applyFill="1" applyBorder="1" applyAlignment="1">
      <alignment horizontal="center"/>
    </xf>
    <xf numFmtId="2" fontId="86" fillId="0" borderId="0" xfId="8" applyNumberFormat="1" applyFont="1" applyFill="1" applyBorder="1" applyAlignment="1">
      <alignment horizontal="center"/>
    </xf>
    <xf numFmtId="2" fontId="79" fillId="0" borderId="0" xfId="0" applyNumberFormat="1" applyFont="1"/>
    <xf numFmtId="1" fontId="79" fillId="0" borderId="0" xfId="0" applyNumberFormat="1" applyFont="1" applyAlignment="1">
      <alignment horizontal="center"/>
    </xf>
    <xf numFmtId="0" fontId="79" fillId="0" borderId="0" xfId="8" applyNumberFormat="1" applyFont="1" applyFill="1" applyBorder="1" applyAlignment="1"/>
    <xf numFmtId="2" fontId="79" fillId="0" borderId="0" xfId="0" applyNumberFormat="1" applyFont="1" applyAlignment="1">
      <alignment horizontal="right"/>
    </xf>
    <xf numFmtId="1" fontId="83" fillId="0" borderId="0" xfId="0" applyNumberFormat="1" applyFont="1" applyAlignment="1">
      <alignment horizontal="center"/>
    </xf>
    <xf numFmtId="1" fontId="85" fillId="0" borderId="0" xfId="0" applyNumberFormat="1" applyFont="1" applyAlignment="1">
      <alignment horizontal="center"/>
    </xf>
    <xf numFmtId="43"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7" xfId="0" applyFont="1" applyBorder="1"/>
    <xf numFmtId="0" fontId="79" fillId="0" borderId="36"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6"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8" xfId="3" applyNumberFormat="1" applyFont="1" applyFill="1" applyBorder="1" applyAlignment="1" applyProtection="1">
      <protection hidden="1"/>
    </xf>
    <xf numFmtId="1" fontId="81" fillId="0" borderId="38" xfId="13" applyNumberFormat="1" applyFont="1" applyBorder="1" applyAlignment="1" applyProtection="1">
      <alignment horizontal="center"/>
      <protection hidden="1"/>
    </xf>
    <xf numFmtId="0" fontId="79" fillId="0" borderId="37" xfId="13" applyFont="1" applyBorder="1" applyProtection="1">
      <protection hidden="1"/>
    </xf>
    <xf numFmtId="0" fontId="104" fillId="0" borderId="36"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7" xfId="13" applyNumberFormat="1" applyFont="1" applyBorder="1" applyProtection="1">
      <protection hidden="1"/>
    </xf>
    <xf numFmtId="0" fontId="81" fillId="0" borderId="38" xfId="0" applyFont="1" applyBorder="1"/>
    <xf numFmtId="0" fontId="105" fillId="0" borderId="0" xfId="0" applyFont="1"/>
    <xf numFmtId="0" fontId="108" fillId="0" borderId="37" xfId="13" applyFont="1" applyBorder="1" applyProtection="1">
      <protection hidden="1"/>
    </xf>
    <xf numFmtId="0" fontId="109" fillId="0" borderId="39" xfId="13" applyFont="1" applyBorder="1" applyProtection="1">
      <protection hidden="1"/>
    </xf>
    <xf numFmtId="0" fontId="109" fillId="0" borderId="36" xfId="13" applyFont="1" applyBorder="1" applyAlignment="1" applyProtection="1">
      <alignment horizontal="right"/>
      <protection hidden="1"/>
    </xf>
    <xf numFmtId="0" fontId="89" fillId="0" borderId="35"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0" fontId="79" fillId="2" borderId="37" xfId="10" applyFont="1" applyFill="1" applyBorder="1"/>
    <xf numFmtId="44" fontId="79" fillId="35" borderId="39" xfId="66" applyFont="1" applyFill="1" applyBorder="1" applyAlignment="1" applyProtection="1">
      <protection locked="0"/>
    </xf>
    <xf numFmtId="44" fontId="79" fillId="35" borderId="36" xfId="66" applyFont="1" applyFill="1" applyBorder="1" applyAlignment="1" applyProtection="1">
      <protection locked="0"/>
    </xf>
    <xf numFmtId="2" fontId="77" fillId="0" borderId="0" xfId="63" applyNumberFormat="1" applyFont="1"/>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0" xfId="10" applyFont="1"/>
    <xf numFmtId="0" fontId="81" fillId="0" borderId="0" xfId="9" applyFont="1" applyAlignment="1" applyProtection="1">
      <alignment horizontal="left" vertical="center"/>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175" fontId="110" fillId="0" borderId="0" xfId="3" applyNumberFormat="1" applyFont="1" applyFill="1" applyBorder="1" applyAlignment="1" applyProtection="1">
      <alignment horizontal="center"/>
      <protection hidden="1"/>
    </xf>
    <xf numFmtId="2" fontId="91"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3" applyFont="1"/>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38" xfId="84" applyFont="1" applyBorder="1"/>
    <xf numFmtId="0" fontId="80" fillId="63" borderId="38" xfId="0" applyFont="1" applyFill="1" applyBorder="1" applyAlignment="1">
      <alignment wrapText="1"/>
    </xf>
    <xf numFmtId="0" fontId="80" fillId="63" borderId="38" xfId="0" applyFont="1" applyFill="1" applyBorder="1"/>
    <xf numFmtId="2" fontId="77" fillId="64" borderId="0" xfId="12" applyNumberFormat="1" applyFont="1" applyFill="1"/>
    <xf numFmtId="0" fontId="79" fillId="64" borderId="2" xfId="10" applyFont="1" applyFill="1" applyBorder="1"/>
    <xf numFmtId="167" fontId="114" fillId="63" borderId="33"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1" fontId="81" fillId="0" borderId="38" xfId="61" applyNumberFormat="1" applyFont="1" applyBorder="1" applyAlignment="1">
      <alignment horizontal="center"/>
    </xf>
    <xf numFmtId="2" fontId="118" fillId="0" borderId="0" xfId="0" applyNumberFormat="1" applyFont="1"/>
    <xf numFmtId="2" fontId="116" fillId="63" borderId="33"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3" fillId="63" borderId="37" xfId="13" applyNumberFormat="1" applyFont="1" applyFill="1" applyBorder="1" applyAlignment="1" applyProtection="1">
      <alignment horizontal="left" vertical="center" wrapText="1"/>
      <protection hidden="1"/>
    </xf>
    <xf numFmtId="2" fontId="123" fillId="63" borderId="38" xfId="3" applyNumberFormat="1" applyFont="1" applyFill="1" applyBorder="1" applyAlignment="1" applyProtection="1">
      <alignment vertical="center" wrapText="1"/>
      <protection hidden="1"/>
    </xf>
    <xf numFmtId="173" fontId="114" fillId="63" borderId="37" xfId="8" applyNumberFormat="1" applyFont="1" applyFill="1" applyBorder="1" applyAlignment="1">
      <alignment vertical="top" wrapText="1"/>
    </xf>
    <xf numFmtId="173" fontId="114" fillId="63" borderId="39" xfId="8" applyNumberFormat="1" applyFont="1" applyFill="1" applyBorder="1" applyAlignment="1">
      <alignment vertical="top" wrapText="1"/>
    </xf>
    <xf numFmtId="173" fontId="114" fillId="63" borderId="36" xfId="8" applyNumberFormat="1" applyFont="1" applyFill="1" applyBorder="1" applyAlignment="1">
      <alignment vertical="top" wrapText="1"/>
    </xf>
    <xf numFmtId="173" fontId="114" fillId="63" borderId="41" xfId="8" applyNumberFormat="1" applyFont="1" applyFill="1" applyBorder="1" applyAlignment="1">
      <alignment vertical="top" wrapText="1"/>
    </xf>
    <xf numFmtId="0" fontId="84" fillId="0" borderId="0" xfId="9" applyFont="1" applyAlignment="1" applyProtection="1">
      <alignment horizontal="left" vertical="center"/>
      <protection hidden="1"/>
    </xf>
    <xf numFmtId="2" fontId="114" fillId="63" borderId="33" xfId="0" applyNumberFormat="1" applyFont="1" applyFill="1" applyBorder="1" applyAlignment="1">
      <alignment horizontal="left" vertical="top" wrapText="1"/>
    </xf>
    <xf numFmtId="166" fontId="130" fillId="2" borderId="36" xfId="18" applyFont="1" applyFill="1" applyBorder="1" applyAlignment="1"/>
    <xf numFmtId="167" fontId="36" fillId="64" borderId="38" xfId="8" applyFont="1" applyFill="1" applyBorder="1" applyAlignment="1">
      <alignment horizontal="left"/>
    </xf>
    <xf numFmtId="0" fontId="131" fillId="0" borderId="0" xfId="63" applyFont="1"/>
    <xf numFmtId="178" fontId="131" fillId="0" borderId="2" xfId="6" applyNumberFormat="1" applyFont="1" applyFill="1" applyBorder="1" applyAlignment="1"/>
    <xf numFmtId="44" fontId="131" fillId="0" borderId="0" xfId="63" applyNumberFormat="1" applyFont="1"/>
    <xf numFmtId="9" fontId="36" fillId="64" borderId="38" xfId="16" applyFont="1" applyFill="1" applyBorder="1" applyAlignment="1">
      <alignment horizontal="center"/>
    </xf>
    <xf numFmtId="44" fontId="128" fillId="63" borderId="36" xfId="63" applyNumberFormat="1" applyFont="1" applyFill="1" applyBorder="1"/>
    <xf numFmtId="2" fontId="36" fillId="64" borderId="38" xfId="8" applyNumberFormat="1" applyFont="1" applyFill="1" applyBorder="1" applyAlignment="1">
      <alignment horizontal="center"/>
    </xf>
    <xf numFmtId="1" fontId="129" fillId="2" borderId="38" xfId="8" applyNumberFormat="1" applyFont="1" applyFill="1" applyBorder="1" applyAlignment="1">
      <alignment horizontal="center"/>
    </xf>
    <xf numFmtId="167" fontId="129" fillId="2" borderId="38" xfId="8" applyFont="1" applyFill="1" applyBorder="1"/>
    <xf numFmtId="166" fontId="36" fillId="0" borderId="38" xfId="18" applyFont="1" applyBorder="1"/>
    <xf numFmtId="166" fontId="36" fillId="0" borderId="38" xfId="89" applyNumberFormat="1" applyFont="1" applyBorder="1"/>
    <xf numFmtId="173" fontId="80" fillId="63" borderId="37" xfId="8" applyNumberFormat="1" applyFont="1" applyFill="1" applyBorder="1" applyAlignment="1">
      <alignment horizontal="left"/>
    </xf>
    <xf numFmtId="167" fontId="80" fillId="63" borderId="36" xfId="8" applyFont="1" applyFill="1" applyBorder="1"/>
    <xf numFmtId="49" fontId="82" fillId="0" borderId="37" xfId="63" applyNumberFormat="1" applyFont="1" applyBorder="1" applyAlignment="1">
      <alignment vertical="top"/>
    </xf>
    <xf numFmtId="0" fontId="79" fillId="0" borderId="39" xfId="63" applyFont="1" applyBorder="1"/>
    <xf numFmtId="49" fontId="81" fillId="0" borderId="39" xfId="63" applyNumberFormat="1" applyFont="1" applyBorder="1"/>
    <xf numFmtId="49" fontId="80" fillId="63" borderId="37" xfId="63" applyNumberFormat="1" applyFont="1" applyFill="1" applyBorder="1"/>
    <xf numFmtId="0" fontId="80" fillId="63" borderId="39" xfId="63" applyFont="1" applyFill="1" applyBorder="1"/>
    <xf numFmtId="173" fontId="80" fillId="63" borderId="38" xfId="8" applyNumberFormat="1" applyFont="1" applyFill="1" applyBorder="1" applyAlignment="1">
      <alignment vertical="top" wrapText="1"/>
    </xf>
    <xf numFmtId="173" fontId="80" fillId="63" borderId="38" xfId="8" applyNumberFormat="1" applyFont="1" applyFill="1" applyBorder="1" applyAlignment="1">
      <alignment horizontal="center" vertical="top" wrapText="1"/>
    </xf>
    <xf numFmtId="167" fontId="80" fillId="63" borderId="38" xfId="8" applyFont="1" applyFill="1" applyBorder="1" applyAlignment="1">
      <alignment horizontal="center" vertical="top" wrapText="1"/>
    </xf>
    <xf numFmtId="2" fontId="80" fillId="63" borderId="33" xfId="89" applyNumberFormat="1" applyFont="1" applyFill="1" applyBorder="1" applyAlignment="1">
      <alignment vertical="top" wrapText="1"/>
    </xf>
    <xf numFmtId="167" fontId="80" fillId="63" borderId="33" xfId="8" applyFont="1" applyFill="1" applyBorder="1" applyAlignment="1">
      <alignment horizontal="center" vertical="top" wrapText="1"/>
    </xf>
    <xf numFmtId="0" fontId="36" fillId="0" borderId="0" xfId="17" applyFont="1"/>
    <xf numFmtId="0" fontId="129" fillId="0" borderId="0" xfId="17" applyFont="1"/>
    <xf numFmtId="0" fontId="36" fillId="0" borderId="0" xfId="0" applyFont="1"/>
    <xf numFmtId="0" fontId="36"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8" fillId="0" borderId="0" xfId="12" applyNumberFormat="1" applyFont="1" applyAlignment="1">
      <alignment horizontal="center"/>
    </xf>
    <xf numFmtId="174" fontId="36" fillId="0" borderId="4" xfId="0" applyNumberFormat="1" applyFont="1" applyBorder="1" applyAlignment="1">
      <alignment horizontal="center"/>
    </xf>
    <xf numFmtId="0" fontId="36" fillId="0" borderId="16" xfId="0" applyFont="1" applyBorder="1" applyAlignment="1">
      <alignment horizontal="center" wrapText="1"/>
    </xf>
    <xf numFmtId="174" fontId="36" fillId="0" borderId="0" xfId="0" applyNumberFormat="1" applyFont="1" applyAlignment="1">
      <alignment horizontal="center"/>
    </xf>
    <xf numFmtId="43" fontId="134" fillId="0" borderId="38" xfId="8" applyNumberFormat="1" applyFont="1" applyFill="1" applyBorder="1" applyAlignment="1">
      <alignment horizontal="center"/>
    </xf>
    <xf numFmtId="1" fontId="135" fillId="0" borderId="38" xfId="0" applyNumberFormat="1" applyFont="1" applyBorder="1" applyAlignment="1">
      <alignment horizontal="center"/>
    </xf>
    <xf numFmtId="14" fontId="133" fillId="0" borderId="0" xfId="12" applyNumberFormat="1" applyFont="1" applyAlignment="1">
      <alignment horizontal="left"/>
    </xf>
    <xf numFmtId="177" fontId="36" fillId="64" borderId="38" xfId="11" applyNumberFormat="1" applyFont="1" applyFill="1" applyBorder="1" applyAlignment="1" applyProtection="1">
      <alignment vertical="center"/>
      <protection hidden="1"/>
    </xf>
    <xf numFmtId="179" fontId="139" fillId="0" borderId="6" xfId="13" applyNumberFormat="1" applyFont="1" applyBorder="1" applyAlignment="1" applyProtection="1">
      <alignment horizontal="left" vertical="center"/>
      <protection hidden="1"/>
    </xf>
    <xf numFmtId="181" fontId="36" fillId="0" borderId="0" xfId="11" applyNumberFormat="1" applyFont="1" applyProtection="1">
      <protection hidden="1"/>
    </xf>
    <xf numFmtId="2" fontId="139" fillId="0" borderId="38" xfId="3" applyNumberFormat="1" applyFont="1" applyFill="1" applyBorder="1" applyAlignment="1" applyProtection="1">
      <protection hidden="1"/>
    </xf>
    <xf numFmtId="166" fontId="139" fillId="35" borderId="38" xfId="18" applyFont="1" applyFill="1" applyBorder="1" applyAlignment="1" applyProtection="1">
      <protection locked="0"/>
    </xf>
    <xf numFmtId="175" fontId="140" fillId="0" borderId="5" xfId="0" applyNumberFormat="1" applyFont="1" applyBorder="1" applyAlignment="1">
      <alignment horizontal="center" vertical="center"/>
    </xf>
    <xf numFmtId="166" fontId="139" fillId="65" borderId="38" xfId="18" applyFont="1" applyFill="1" applyBorder="1" applyAlignment="1" applyProtection="1">
      <protection locked="0"/>
    </xf>
    <xf numFmtId="179" fontId="129" fillId="0" borderId="38" xfId="3" applyNumberFormat="1" applyFont="1" applyFill="1" applyBorder="1" applyAlignment="1" applyProtection="1">
      <protection hidden="1"/>
    </xf>
    <xf numFmtId="169" fontId="139" fillId="0" borderId="38" xfId="3" applyFont="1" applyFill="1" applyBorder="1" applyAlignment="1" applyProtection="1">
      <protection hidden="1"/>
    </xf>
    <xf numFmtId="166" fontId="139" fillId="0" borderId="38" xfId="18" applyFont="1" applyFill="1" applyBorder="1" applyAlignment="1" applyProtection="1">
      <protection locked="0"/>
    </xf>
    <xf numFmtId="169" fontId="139" fillId="0" borderId="38" xfId="3" applyFont="1" applyFill="1" applyBorder="1" applyAlignment="1" applyProtection="1">
      <protection locked="0"/>
    </xf>
    <xf numFmtId="166" fontId="142" fillId="2" borderId="38" xfId="18"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3" fillId="0" borderId="5" xfId="0" applyNumberFormat="1" applyFont="1" applyBorder="1" applyAlignment="1">
      <alignment horizontal="center" vertical="center"/>
    </xf>
    <xf numFmtId="175" fontId="36" fillId="0" borderId="5" xfId="0" applyNumberFormat="1" applyFont="1" applyBorder="1"/>
    <xf numFmtId="179" fontId="129" fillId="0" borderId="4" xfId="5" applyNumberFormat="1" applyFont="1" applyFill="1" applyBorder="1" applyAlignment="1" applyProtection="1">
      <protection hidden="1"/>
    </xf>
    <xf numFmtId="175" fontId="36" fillId="0" borderId="6" xfId="0" applyNumberFormat="1" applyFont="1" applyBorder="1" applyAlignment="1">
      <alignment horizontal="center" vertical="center"/>
    </xf>
    <xf numFmtId="175" fontId="36" fillId="0" borderId="0" xfId="0" applyNumberFormat="1" applyFont="1"/>
    <xf numFmtId="179" fontId="144" fillId="0" borderId="38"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6" fillId="0" borderId="37" xfId="18" applyFont="1" applyFill="1" applyBorder="1" applyAlignment="1" applyProtection="1">
      <protection hidden="1"/>
    </xf>
    <xf numFmtId="166" fontId="129" fillId="0" borderId="38" xfId="18" applyFont="1" applyBorder="1"/>
    <xf numFmtId="1" fontId="129" fillId="0" borderId="38" xfId="13" applyNumberFormat="1" applyFont="1" applyBorder="1" applyAlignment="1" applyProtection="1">
      <alignment horizontal="center"/>
      <protection hidden="1"/>
    </xf>
    <xf numFmtId="166" fontId="36" fillId="64" borderId="38" xfId="18" applyFont="1" applyFill="1" applyBorder="1"/>
    <xf numFmtId="2" fontId="36" fillId="0" borderId="37" xfId="13" applyNumberFormat="1" applyFont="1" applyBorder="1" applyProtection="1">
      <protection hidden="1"/>
    </xf>
    <xf numFmtId="44" fontId="36" fillId="65" borderId="36" xfId="66" applyFont="1" applyFill="1" applyBorder="1" applyAlignment="1" applyProtection="1">
      <protection locked="0"/>
    </xf>
    <xf numFmtId="14" fontId="133" fillId="0" borderId="0" xfId="63" applyNumberFormat="1" applyFont="1" applyAlignment="1">
      <alignment horizontal="left"/>
    </xf>
    <xf numFmtId="0" fontId="36" fillId="0" borderId="0" xfId="103" applyFont="1"/>
    <xf numFmtId="49" fontId="78" fillId="65" borderId="38" xfId="62" applyNumberFormat="1" applyFont="1" applyFill="1" applyBorder="1" applyAlignment="1" applyProtection="1">
      <alignment horizontal="left" vertical="top"/>
      <protection hidden="1"/>
    </xf>
    <xf numFmtId="2" fontId="80" fillId="63" borderId="38" xfId="89" applyNumberFormat="1" applyFont="1" applyFill="1" applyBorder="1" applyAlignment="1">
      <alignment vertical="top" wrapText="1"/>
    </xf>
    <xf numFmtId="2" fontId="79" fillId="0" borderId="38" xfId="0" applyNumberFormat="1" applyFont="1" applyBorder="1"/>
    <xf numFmtId="2" fontId="79" fillId="0" borderId="38" xfId="89" applyNumberFormat="1" applyFont="1" applyBorder="1"/>
    <xf numFmtId="0" fontId="85" fillId="0" borderId="38" xfId="0" applyFont="1" applyBorder="1"/>
    <xf numFmtId="0" fontId="81" fillId="0" borderId="38" xfId="89" applyFont="1" applyBorder="1"/>
    <xf numFmtId="166" fontId="36" fillId="2" borderId="38" xfId="18" applyFont="1" applyFill="1" applyBorder="1" applyAlignment="1">
      <alignment horizontal="center"/>
    </xf>
    <xf numFmtId="166" fontId="129" fillId="2" borderId="38" xfId="18" applyFont="1" applyFill="1" applyBorder="1"/>
    <xf numFmtId="1" fontId="112" fillId="0" borderId="37" xfId="0" applyNumberFormat="1" applyFont="1" applyBorder="1" applyAlignment="1">
      <alignment horizontal="left" vertical="center"/>
    </xf>
    <xf numFmtId="1" fontId="112" fillId="0" borderId="39" xfId="0" applyNumberFormat="1" applyFont="1" applyBorder="1" applyAlignment="1">
      <alignment horizontal="left" vertical="center"/>
    </xf>
    <xf numFmtId="1" fontId="137" fillId="0" borderId="39" xfId="0" applyNumberFormat="1" applyFont="1" applyBorder="1" applyAlignment="1">
      <alignment horizontal="center" vertical="center" wrapText="1"/>
    </xf>
    <xf numFmtId="1" fontId="112" fillId="0" borderId="36" xfId="0" applyNumberFormat="1" applyFont="1" applyBorder="1" applyAlignment="1">
      <alignment horizontal="center" vertical="center" wrapText="1"/>
    </xf>
    <xf numFmtId="2" fontId="114" fillId="63" borderId="38" xfId="0" applyNumberFormat="1" applyFont="1" applyFill="1" applyBorder="1" applyAlignment="1">
      <alignment horizontal="left" vertical="center" wrapText="1"/>
    </xf>
    <xf numFmtId="1" fontId="114" fillId="63" borderId="38" xfId="0" applyNumberFormat="1" applyFont="1" applyFill="1" applyBorder="1" applyAlignment="1">
      <alignment horizontal="center" vertical="center" wrapText="1"/>
    </xf>
    <xf numFmtId="9" fontId="127" fillId="64" borderId="38" xfId="61" applyNumberFormat="1" applyFont="1" applyFill="1" applyBorder="1" applyAlignment="1">
      <alignment horizontal="center" vertical="center"/>
    </xf>
    <xf numFmtId="0" fontId="114" fillId="63" borderId="38" xfId="0" applyFont="1" applyFill="1" applyBorder="1" applyAlignment="1">
      <alignment horizontal="left" vertical="center" wrapText="1"/>
    </xf>
    <xf numFmtId="2" fontId="114" fillId="63" borderId="38" xfId="0" applyNumberFormat="1" applyFont="1" applyFill="1" applyBorder="1" applyAlignment="1">
      <alignment horizontal="center" vertical="center" wrapText="1"/>
    </xf>
    <xf numFmtId="1" fontId="115" fillId="0" borderId="38" xfId="0" applyNumberFormat="1" applyFont="1" applyBorder="1" applyAlignment="1">
      <alignment horizontal="center" vertical="center" wrapText="1"/>
    </xf>
    <xf numFmtId="0" fontId="79" fillId="2" borderId="38" xfId="0" applyFont="1" applyFill="1" applyBorder="1" applyAlignment="1">
      <alignment vertical="center"/>
    </xf>
    <xf numFmtId="173" fontId="129" fillId="64" borderId="38" xfId="8" applyNumberFormat="1" applyFont="1" applyFill="1" applyBorder="1" applyAlignment="1">
      <alignment horizontal="center"/>
    </xf>
    <xf numFmtId="173" fontId="36" fillId="0" borderId="38" xfId="8" applyNumberFormat="1" applyFont="1" applyFill="1" applyBorder="1" applyAlignment="1">
      <alignment horizontal="center" vertical="center"/>
    </xf>
    <xf numFmtId="0" fontId="79" fillId="0" borderId="38" xfId="0" applyFont="1" applyBorder="1" applyAlignment="1">
      <alignment vertical="center"/>
    </xf>
    <xf numFmtId="173" fontId="129" fillId="0" borderId="38" xfId="8" applyNumberFormat="1" applyFont="1" applyFill="1" applyBorder="1" applyAlignment="1">
      <alignment horizontal="center"/>
    </xf>
    <xf numFmtId="173" fontId="136" fillId="0" borderId="38" xfId="8" applyNumberFormat="1" applyFont="1" applyFill="1" applyBorder="1" applyAlignment="1">
      <alignment horizontal="center"/>
    </xf>
    <xf numFmtId="49" fontId="36" fillId="0" borderId="38" xfId="0" applyNumberFormat="1" applyFont="1" applyBorder="1" applyAlignment="1">
      <alignment horizontal="center"/>
    </xf>
    <xf numFmtId="49" fontId="136" fillId="0" borderId="38" xfId="17" applyNumberFormat="1" applyFont="1" applyBorder="1" applyAlignment="1">
      <alignment horizontal="center"/>
    </xf>
    <xf numFmtId="0" fontId="81" fillId="0" borderId="38" xfId="0" applyFont="1" applyBorder="1" applyAlignment="1">
      <alignment vertical="center"/>
    </xf>
    <xf numFmtId="0" fontId="129" fillId="0" borderId="38" xfId="0" applyFont="1" applyBorder="1"/>
    <xf numFmtId="0" fontId="136" fillId="0" borderId="38" xfId="17" applyFont="1" applyBorder="1" applyAlignment="1">
      <alignment horizontal="left"/>
    </xf>
    <xf numFmtId="173" fontId="129" fillId="0" borderId="38" xfId="8" applyNumberFormat="1" applyFont="1" applyFill="1" applyBorder="1" applyAlignment="1">
      <alignment horizontal="center" vertical="center"/>
    </xf>
    <xf numFmtId="1" fontId="114" fillId="63" borderId="38" xfId="0" applyNumberFormat="1" applyFont="1" applyFill="1" applyBorder="1" applyAlignment="1">
      <alignment horizontal="left"/>
    </xf>
    <xf numFmtId="1" fontId="114" fillId="63" borderId="38" xfId="0" applyNumberFormat="1" applyFont="1" applyFill="1" applyBorder="1" applyAlignment="1">
      <alignment horizontal="center"/>
    </xf>
    <xf numFmtId="9" fontId="130" fillId="63" borderId="33" xfId="16" applyFont="1" applyFill="1" applyBorder="1" applyAlignment="1">
      <alignment horizontal="center" vertical="top" wrapText="1"/>
    </xf>
    <xf numFmtId="0" fontId="114" fillId="63" borderId="33" xfId="0" applyFont="1" applyFill="1" applyBorder="1" applyAlignment="1">
      <alignment horizontal="left" vertical="top" wrapText="1"/>
    </xf>
    <xf numFmtId="182" fontId="114" fillId="63" borderId="33" xfId="8" applyNumberFormat="1" applyFont="1" applyFill="1" applyBorder="1" applyAlignment="1">
      <alignment horizontal="left" vertical="top" wrapText="1"/>
    </xf>
    <xf numFmtId="167" fontId="116" fillId="63" borderId="33" xfId="8" applyFont="1" applyFill="1" applyBorder="1" applyAlignment="1">
      <alignment horizontal="center" vertical="top" wrapText="1"/>
    </xf>
    <xf numFmtId="1" fontId="79" fillId="0" borderId="38" xfId="0" applyNumberFormat="1" applyFont="1" applyBorder="1" applyAlignment="1">
      <alignment horizontal="center"/>
    </xf>
    <xf numFmtId="174" fontId="36" fillId="0" borderId="38" xfId="0" applyNumberFormat="1" applyFont="1" applyBorder="1" applyAlignment="1">
      <alignment horizontal="center"/>
    </xf>
    <xf numFmtId="2" fontId="36" fillId="0" borderId="38" xfId="0" applyNumberFormat="1" applyFont="1" applyBorder="1" applyAlignment="1">
      <alignment horizontal="right"/>
    </xf>
    <xf numFmtId="1" fontId="131" fillId="0" borderId="38" xfId="0" applyNumberFormat="1" applyFont="1" applyBorder="1" applyAlignment="1">
      <alignment horizontal="center"/>
    </xf>
    <xf numFmtId="1" fontId="134" fillId="0" borderId="38" xfId="8" applyNumberFormat="1" applyFont="1" applyFill="1" applyBorder="1" applyAlignment="1">
      <alignment horizontal="center"/>
    </xf>
    <xf numFmtId="2" fontId="86" fillId="0" borderId="38" xfId="8" applyNumberFormat="1" applyFont="1" applyFill="1" applyBorder="1" applyAlignment="1">
      <alignment horizontal="center"/>
    </xf>
    <xf numFmtId="173" fontId="134" fillId="0" borderId="38" xfId="8" applyNumberFormat="1" applyFont="1" applyFill="1" applyBorder="1" applyAlignment="1">
      <alignment horizontal="center"/>
    </xf>
    <xf numFmtId="0" fontId="79" fillId="0" borderId="36" xfId="0" applyFont="1" applyBorder="1"/>
    <xf numFmtId="1" fontId="36" fillId="0" borderId="38" xfId="0" applyNumberFormat="1" applyFont="1" applyBorder="1" applyAlignment="1">
      <alignment horizontal="right"/>
    </xf>
    <xf numFmtId="0" fontId="79" fillId="0" borderId="33" xfId="0" applyFont="1" applyBorder="1"/>
    <xf numFmtId="2" fontId="36" fillId="0" borderId="36" xfId="0" applyNumberFormat="1" applyFont="1" applyBorder="1" applyAlignment="1">
      <alignment horizontal="right"/>
    </xf>
    <xf numFmtId="2" fontId="120" fillId="63" borderId="37" xfId="13" applyNumberFormat="1" applyFont="1" applyFill="1" applyBorder="1" applyAlignment="1" applyProtection="1">
      <alignment horizontal="left" vertical="center"/>
      <protection hidden="1"/>
    </xf>
    <xf numFmtId="2" fontId="92" fillId="63" borderId="39" xfId="11" applyNumberFormat="1" applyFont="1" applyFill="1" applyBorder="1" applyProtection="1">
      <protection hidden="1"/>
    </xf>
    <xf numFmtId="2" fontId="92" fillId="63" borderId="36" xfId="11" applyNumberFormat="1" applyFont="1" applyFill="1" applyBorder="1" applyProtection="1">
      <protection hidden="1"/>
    </xf>
    <xf numFmtId="2" fontId="79" fillId="0" borderId="37" xfId="11" applyNumberFormat="1" applyFont="1" applyBorder="1" applyProtection="1">
      <protection hidden="1"/>
    </xf>
    <xf numFmtId="2" fontId="79" fillId="0" borderId="36" xfId="11" applyNumberFormat="1" applyFont="1" applyBorder="1" applyProtection="1">
      <protection hidden="1"/>
    </xf>
    <xf numFmtId="0" fontId="81" fillId="0" borderId="37" xfId="0" applyFont="1" applyBorder="1"/>
    <xf numFmtId="0" fontId="81" fillId="0" borderId="36" xfId="0" applyFont="1" applyBorder="1"/>
    <xf numFmtId="177" fontId="129" fillId="0" borderId="38" xfId="11" applyNumberFormat="1" applyFont="1" applyBorder="1" applyAlignment="1" applyProtection="1">
      <alignment vertical="center"/>
      <protection hidden="1"/>
    </xf>
    <xf numFmtId="177" fontId="36" fillId="0" borderId="38" xfId="11" applyNumberFormat="1" applyFont="1" applyBorder="1" applyAlignment="1" applyProtection="1">
      <alignment vertical="center"/>
      <protection hidden="1"/>
    </xf>
    <xf numFmtId="10" fontId="129" fillId="0" borderId="36" xfId="0" applyNumberFormat="1" applyFont="1" applyBorder="1"/>
    <xf numFmtId="2" fontId="81" fillId="0" borderId="38" xfId="11" applyNumberFormat="1" applyFont="1" applyBorder="1" applyAlignment="1" applyProtection="1">
      <alignment horizontal="center"/>
      <protection hidden="1"/>
    </xf>
    <xf numFmtId="179" fontId="139" fillId="0" borderId="38" xfId="13" applyNumberFormat="1" applyFont="1" applyBorder="1" applyAlignment="1" applyProtection="1">
      <alignment horizontal="left" vertical="center"/>
      <protection hidden="1"/>
    </xf>
    <xf numFmtId="166" fontId="139" fillId="64" borderId="38" xfId="18" applyFont="1" applyFill="1" applyBorder="1" applyAlignment="1" applyProtection="1">
      <alignment horizontal="right" vertical="center"/>
      <protection hidden="1"/>
    </xf>
    <xf numFmtId="0" fontId="79" fillId="0" borderId="37" xfId="11" applyFont="1" applyBorder="1" applyAlignment="1" applyProtection="1">
      <alignment vertical="center"/>
      <protection hidden="1"/>
    </xf>
    <xf numFmtId="10" fontId="36" fillId="64" borderId="38" xfId="11" applyNumberFormat="1" applyFont="1" applyFill="1" applyBorder="1" applyAlignment="1" applyProtection="1">
      <alignment vertical="center"/>
      <protection hidden="1"/>
    </xf>
    <xf numFmtId="0" fontId="79" fillId="0" borderId="39" xfId="0" applyFont="1" applyBorder="1"/>
    <xf numFmtId="0" fontId="81" fillId="0" borderId="37" xfId="13" applyFont="1" applyBorder="1" applyAlignment="1" applyProtection="1">
      <alignment vertical="center"/>
      <protection hidden="1"/>
    </xf>
    <xf numFmtId="0" fontId="81" fillId="0" borderId="39" xfId="0" applyFont="1" applyBorder="1"/>
    <xf numFmtId="10" fontId="129" fillId="0" borderId="38" xfId="16" applyNumberFormat="1" applyFont="1" applyFill="1" applyBorder="1" applyAlignment="1"/>
    <xf numFmtId="0" fontId="120" fillId="63" borderId="37" xfId="13" applyFont="1" applyFill="1" applyBorder="1" applyAlignment="1" applyProtection="1">
      <alignment horizontal="left" vertical="center"/>
      <protection hidden="1"/>
    </xf>
    <xf numFmtId="0" fontId="121" fillId="63" borderId="39" xfId="13" applyFont="1" applyFill="1" applyBorder="1" applyAlignment="1" applyProtection="1">
      <alignment horizontal="left" vertical="center"/>
      <protection hidden="1"/>
    </xf>
    <xf numFmtId="9" fontId="122" fillId="63" borderId="36" xfId="13" applyNumberFormat="1" applyFont="1" applyFill="1" applyBorder="1" applyAlignment="1" applyProtection="1">
      <alignment vertical="center"/>
      <protection hidden="1"/>
    </xf>
    <xf numFmtId="0" fontId="114" fillId="63" borderId="38" xfId="13" applyFont="1" applyFill="1" applyBorder="1" applyAlignment="1" applyProtection="1">
      <alignment horizontal="left" vertical="center"/>
      <protection hidden="1"/>
    </xf>
    <xf numFmtId="0" fontId="89" fillId="0" borderId="38" xfId="13" applyFont="1" applyBorder="1" applyAlignment="1" applyProtection="1">
      <alignment horizontal="left" vertical="center"/>
      <protection hidden="1"/>
    </xf>
    <xf numFmtId="2" fontId="139" fillId="2" borderId="38" xfId="13" applyNumberFormat="1" applyFont="1" applyFill="1" applyBorder="1" applyAlignment="1" applyProtection="1">
      <alignment horizontal="right" vertical="center"/>
      <protection hidden="1"/>
    </xf>
    <xf numFmtId="0" fontId="81" fillId="0" borderId="38" xfId="13" applyFont="1" applyBorder="1" applyAlignment="1" applyProtection="1">
      <alignment vertical="center"/>
      <protection hidden="1"/>
    </xf>
    <xf numFmtId="2" fontId="129" fillId="0" borderId="38" xfId="13" applyNumberFormat="1" applyFont="1" applyBorder="1" applyAlignment="1" applyProtection="1">
      <alignment vertical="center"/>
      <protection hidden="1"/>
    </xf>
    <xf numFmtId="0" fontId="93" fillId="0" borderId="38" xfId="13" applyFont="1" applyBorder="1" applyAlignment="1" applyProtection="1">
      <alignment vertical="center"/>
      <protection hidden="1"/>
    </xf>
    <xf numFmtId="0" fontId="36" fillId="0" borderId="38" xfId="0" applyFont="1" applyBorder="1" applyAlignment="1">
      <alignment vertical="center"/>
    </xf>
    <xf numFmtId="2" fontId="139" fillId="64" borderId="38" xfId="13" applyNumberFormat="1" applyFont="1" applyFill="1" applyBorder="1" applyAlignment="1" applyProtection="1">
      <alignment horizontal="right" vertical="center"/>
      <protection hidden="1"/>
    </xf>
    <xf numFmtId="0" fontId="94" fillId="0" borderId="38" xfId="13" applyFont="1" applyBorder="1" applyAlignment="1" applyProtection="1">
      <alignment vertical="center"/>
      <protection hidden="1"/>
    </xf>
    <xf numFmtId="0" fontId="79" fillId="0" borderId="38" xfId="13" applyFont="1" applyBorder="1" applyAlignment="1" applyProtection="1">
      <alignment vertical="center"/>
      <protection hidden="1"/>
    </xf>
    <xf numFmtId="10" fontId="139" fillId="0" borderId="38" xfId="16" applyNumberFormat="1" applyFont="1" applyFill="1" applyBorder="1" applyAlignment="1" applyProtection="1">
      <alignment vertical="center"/>
      <protection hidden="1"/>
    </xf>
    <xf numFmtId="10" fontId="129" fillId="0" borderId="38" xfId="16" applyNumberFormat="1" applyFont="1" applyFill="1" applyBorder="1" applyAlignment="1" applyProtection="1">
      <alignment vertical="center"/>
      <protection hidden="1"/>
    </xf>
    <xf numFmtId="2" fontId="123" fillId="63" borderId="39" xfId="13" applyNumberFormat="1" applyFont="1" applyFill="1" applyBorder="1" applyAlignment="1" applyProtection="1">
      <alignment horizontal="center" wrapText="1"/>
      <protection hidden="1"/>
    </xf>
    <xf numFmtId="2" fontId="123" fillId="63" borderId="36" xfId="13" applyNumberFormat="1" applyFont="1" applyFill="1" applyBorder="1" applyAlignment="1" applyProtection="1">
      <alignment horizontal="right" wrapText="1"/>
      <protection hidden="1"/>
    </xf>
    <xf numFmtId="2" fontId="101" fillId="0" borderId="39" xfId="3" applyNumberFormat="1" applyFont="1" applyFill="1" applyBorder="1" applyAlignment="1" applyProtection="1">
      <alignment horizontal="center" vertical="center"/>
      <protection hidden="1"/>
    </xf>
    <xf numFmtId="2" fontId="101" fillId="0" borderId="36" xfId="3" applyNumberFormat="1" applyFont="1" applyFill="1" applyBorder="1" applyAlignment="1" applyProtection="1">
      <alignment horizontal="right" vertical="center"/>
      <protection hidden="1"/>
    </xf>
    <xf numFmtId="175" fontId="140" fillId="0" borderId="41" xfId="0" applyNumberFormat="1" applyFont="1" applyBorder="1" applyAlignment="1">
      <alignment horizontal="center" vertical="center"/>
    </xf>
    <xf numFmtId="2" fontId="102" fillId="0" borderId="39" xfId="3" applyNumberFormat="1" applyFont="1" applyFill="1" applyBorder="1" applyAlignment="1" applyProtection="1">
      <alignment horizontal="left" vertical="center"/>
      <protection hidden="1"/>
    </xf>
    <xf numFmtId="2" fontId="96" fillId="0" borderId="36" xfId="3" applyNumberFormat="1" applyFont="1" applyFill="1" applyBorder="1" applyAlignment="1" applyProtection="1">
      <alignment horizontal="right" vertical="center"/>
      <protection hidden="1"/>
    </xf>
    <xf numFmtId="10" fontId="103" fillId="0" borderId="36" xfId="16" applyNumberFormat="1" applyFont="1" applyFill="1" applyBorder="1" applyAlignment="1" applyProtection="1">
      <alignment horizontal="right"/>
      <protection hidden="1"/>
    </xf>
    <xf numFmtId="0" fontId="81" fillId="0" borderId="37" xfId="13" applyFont="1" applyBorder="1" applyProtection="1">
      <protection hidden="1"/>
    </xf>
    <xf numFmtId="0" fontId="105" fillId="0" borderId="39" xfId="13" applyFont="1" applyBorder="1" applyProtection="1">
      <protection hidden="1"/>
    </xf>
    <xf numFmtId="0" fontId="105" fillId="0" borderId="36" xfId="13" applyFont="1" applyBorder="1" applyAlignment="1" applyProtection="1">
      <alignment horizontal="right"/>
      <protection hidden="1"/>
    </xf>
    <xf numFmtId="0" fontId="103" fillId="0" borderId="39" xfId="13" applyFont="1" applyBorder="1" applyAlignment="1" applyProtection="1">
      <alignment horizontal="right"/>
      <protection hidden="1"/>
    </xf>
    <xf numFmtId="0" fontId="103" fillId="0" borderId="36" xfId="13" applyFont="1" applyBorder="1" applyAlignment="1" applyProtection="1">
      <alignment horizontal="right"/>
      <protection hidden="1"/>
    </xf>
    <xf numFmtId="0" fontId="89" fillId="0" borderId="37" xfId="13" applyFont="1" applyBorder="1" applyProtection="1">
      <protection hidden="1"/>
    </xf>
    <xf numFmtId="10" fontId="145" fillId="64" borderId="38" xfId="16" applyNumberFormat="1" applyFont="1" applyFill="1" applyBorder="1" applyAlignment="1" applyProtection="1">
      <alignment horizontal="right"/>
      <protection hidden="1"/>
    </xf>
    <xf numFmtId="0" fontId="104" fillId="0" borderId="39" xfId="13" applyFont="1" applyBorder="1" applyAlignment="1" applyProtection="1">
      <alignment horizontal="center"/>
      <protection hidden="1"/>
    </xf>
    <xf numFmtId="175" fontId="141" fillId="0" borderId="38" xfId="16" applyNumberFormat="1" applyFont="1" applyFill="1" applyBorder="1" applyAlignment="1" applyProtection="1">
      <alignment horizontal="center"/>
      <protection hidden="1"/>
    </xf>
    <xf numFmtId="0" fontId="86" fillId="0" borderId="37" xfId="13" applyFont="1" applyBorder="1" applyProtection="1">
      <protection hidden="1"/>
    </xf>
    <xf numFmtId="10" fontId="103" fillId="0" borderId="39" xfId="13" applyNumberFormat="1" applyFont="1" applyBorder="1" applyAlignment="1" applyProtection="1">
      <alignment horizontal="right"/>
      <protection hidden="1"/>
    </xf>
    <xf numFmtId="175" fontId="104" fillId="0" borderId="36" xfId="16" applyNumberFormat="1" applyFont="1" applyFill="1" applyBorder="1" applyAlignment="1" applyProtection="1">
      <alignment horizontal="right"/>
      <protection hidden="1"/>
    </xf>
    <xf numFmtId="9" fontId="139" fillId="64" borderId="38" xfId="16" applyFont="1" applyFill="1" applyBorder="1" applyAlignment="1" applyProtection="1">
      <alignment horizontal="center"/>
      <protection hidden="1"/>
    </xf>
    <xf numFmtId="0" fontId="107" fillId="0" borderId="39" xfId="13" applyFont="1" applyBorder="1" applyAlignment="1" applyProtection="1">
      <alignment horizontal="center"/>
      <protection hidden="1"/>
    </xf>
    <xf numFmtId="169" fontId="104" fillId="0" borderId="39" xfId="13" applyNumberFormat="1" applyFont="1" applyBorder="1" applyAlignment="1" applyProtection="1">
      <alignment horizontal="center"/>
      <protection hidden="1"/>
    </xf>
    <xf numFmtId="165" fontId="104" fillId="0" borderId="39" xfId="13" applyNumberFormat="1" applyFont="1" applyBorder="1" applyAlignment="1" applyProtection="1">
      <alignment horizontal="center"/>
      <protection hidden="1"/>
    </xf>
    <xf numFmtId="9" fontId="129" fillId="0" borderId="38" xfId="0" applyNumberFormat="1" applyFont="1" applyBorder="1" applyAlignment="1">
      <alignment horizontal="center"/>
    </xf>
    <xf numFmtId="9" fontId="129" fillId="61" borderId="38" xfId="65" applyFont="1" applyFill="1" applyBorder="1" applyAlignment="1">
      <alignment horizontal="center"/>
    </xf>
    <xf numFmtId="0" fontId="79" fillId="64" borderId="37" xfId="13" applyFont="1" applyFill="1" applyBorder="1" applyProtection="1">
      <protection hidden="1"/>
    </xf>
    <xf numFmtId="0" fontId="104" fillId="64" borderId="39" xfId="13" applyFont="1" applyFill="1" applyBorder="1" applyAlignment="1" applyProtection="1">
      <alignment horizontal="center"/>
      <protection hidden="1"/>
    </xf>
    <xf numFmtId="0" fontId="104" fillId="64" borderId="36" xfId="13" applyFont="1" applyFill="1" applyBorder="1" applyAlignment="1" applyProtection="1">
      <alignment horizontal="right"/>
      <protection hidden="1"/>
    </xf>
    <xf numFmtId="167" fontId="104" fillId="0" borderId="36" xfId="8" applyFont="1" applyFill="1" applyBorder="1" applyAlignment="1" applyProtection="1">
      <alignment horizontal="right"/>
      <protection hidden="1"/>
    </xf>
    <xf numFmtId="10" fontId="104" fillId="0" borderId="36" xfId="16" applyNumberFormat="1" applyFont="1" applyFill="1" applyBorder="1" applyAlignment="1" applyProtection="1">
      <alignment horizontal="right"/>
      <protection hidden="1"/>
    </xf>
    <xf numFmtId="10" fontId="104" fillId="64" borderId="36" xfId="16" applyNumberFormat="1" applyFont="1" applyFill="1" applyBorder="1" applyAlignment="1" applyProtection="1">
      <alignment horizontal="right"/>
      <protection hidden="1"/>
    </xf>
    <xf numFmtId="0" fontId="104" fillId="0" borderId="39" xfId="13" applyFont="1" applyBorder="1" applyProtection="1">
      <protection hidden="1"/>
    </xf>
    <xf numFmtId="169" fontId="105" fillId="0" borderId="39" xfId="13" applyNumberFormat="1" applyFont="1" applyBorder="1" applyProtection="1">
      <protection hidden="1"/>
    </xf>
    <xf numFmtId="169" fontId="104" fillId="0" borderId="36" xfId="13" applyNumberFormat="1" applyFont="1" applyBorder="1" applyAlignment="1" applyProtection="1">
      <alignment horizontal="right"/>
      <protection hidden="1"/>
    </xf>
    <xf numFmtId="0" fontId="105" fillId="0" borderId="41" xfId="0" applyFont="1" applyBorder="1" applyAlignment="1">
      <alignment horizontal="right"/>
    </xf>
    <xf numFmtId="0" fontId="90" fillId="0" borderId="37" xfId="13" applyFont="1" applyBorder="1" applyProtection="1">
      <protection hidden="1"/>
    </xf>
    <xf numFmtId="169" fontId="103"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2" fontId="121" fillId="63" borderId="37" xfId="13" applyNumberFormat="1" applyFont="1" applyFill="1" applyBorder="1" applyAlignment="1" applyProtection="1">
      <alignment horizontal="left" vertical="center" wrapText="1"/>
      <protection hidden="1"/>
    </xf>
    <xf numFmtId="175" fontId="88" fillId="0" borderId="41" xfId="0" applyNumberFormat="1" applyFont="1" applyBorder="1" applyAlignment="1">
      <alignment horizontal="center" vertical="center"/>
    </xf>
    <xf numFmtId="166" fontId="129" fillId="0" borderId="38" xfId="18" applyFont="1" applyBorder="1" applyAlignment="1">
      <alignment horizontal="center"/>
    </xf>
    <xf numFmtId="0" fontId="114" fillId="63" borderId="38" xfId="59" applyFont="1" applyFill="1" applyBorder="1" applyAlignment="1">
      <alignment horizontal="left" vertical="top" wrapText="1"/>
    </xf>
    <xf numFmtId="0" fontId="36" fillId="0" borderId="38" xfId="0" applyFont="1" applyBorder="1" applyAlignment="1">
      <alignment horizontal="center"/>
    </xf>
    <xf numFmtId="167" fontId="36" fillId="0" borderId="38" xfId="8" applyFont="1" applyBorder="1"/>
    <xf numFmtId="44" fontId="139" fillId="35" borderId="38" xfId="66" applyFont="1" applyFill="1" applyBorder="1" applyAlignment="1" applyProtection="1">
      <protection locked="0"/>
    </xf>
    <xf numFmtId="167" fontId="129" fillId="0" borderId="38" xfId="8" applyFont="1" applyBorder="1"/>
    <xf numFmtId="0" fontId="121" fillId="63" borderId="37" xfId="9" applyFont="1" applyFill="1" applyBorder="1" applyAlignment="1" applyProtection="1">
      <alignment horizontal="left" vertical="center"/>
      <protection hidden="1"/>
    </xf>
    <xf numFmtId="0" fontId="122" fillId="63" borderId="39" xfId="10" applyFont="1" applyFill="1" applyBorder="1"/>
    <xf numFmtId="0" fontId="125" fillId="63" borderId="39" xfId="10" applyFont="1" applyFill="1" applyBorder="1"/>
    <xf numFmtId="0" fontId="125" fillId="63" borderId="36" xfId="10" applyFont="1" applyFill="1" applyBorder="1"/>
    <xf numFmtId="0" fontId="79" fillId="0" borderId="37" xfId="9" applyFont="1" applyBorder="1" applyAlignment="1" applyProtection="1">
      <alignment horizontal="left"/>
      <protection hidden="1"/>
    </xf>
    <xf numFmtId="0" fontId="79" fillId="0" borderId="36" xfId="9" applyFont="1" applyBorder="1" applyAlignment="1" applyProtection="1">
      <alignment horizontal="left"/>
      <protection hidden="1"/>
    </xf>
    <xf numFmtId="0" fontId="79" fillId="0" borderId="38" xfId="9" applyFont="1" applyBorder="1" applyAlignment="1" applyProtection="1">
      <alignment horizontal="left"/>
      <protection hidden="1"/>
    </xf>
    <xf numFmtId="0" fontId="36" fillId="0" borderId="38" xfId="9" applyFont="1" applyBorder="1" applyAlignment="1" applyProtection="1">
      <alignment horizontal="center"/>
      <protection hidden="1"/>
    </xf>
    <xf numFmtId="0" fontId="79" fillId="0" borderId="38" xfId="10" applyFont="1" applyBorder="1"/>
    <xf numFmtId="179" fontId="146" fillId="64" borderId="38" xfId="10" applyNumberFormat="1" applyFont="1" applyFill="1" applyBorder="1"/>
    <xf numFmtId="0" fontId="79" fillId="64" borderId="38" xfId="10" applyFont="1" applyFill="1" applyBorder="1"/>
    <xf numFmtId="0" fontId="92" fillId="63" borderId="39" xfId="10" applyFont="1" applyFill="1" applyBorder="1"/>
    <xf numFmtId="0" fontId="92" fillId="63" borderId="36" xfId="10" applyFont="1" applyFill="1" applyBorder="1"/>
    <xf numFmtId="0" fontId="79" fillId="0" borderId="37" xfId="9" applyFont="1" applyBorder="1" applyAlignment="1" applyProtection="1">
      <alignment horizontal="left" vertical="top"/>
      <protection hidden="1"/>
    </xf>
    <xf numFmtId="0" fontId="79" fillId="0" borderId="39" xfId="9" applyFont="1" applyBorder="1" applyAlignment="1" applyProtection="1">
      <alignment horizontal="left" vertical="top"/>
      <protection hidden="1"/>
    </xf>
    <xf numFmtId="0" fontId="79" fillId="0" borderId="36" xfId="9" applyFont="1" applyBorder="1" applyAlignment="1" applyProtection="1">
      <alignment horizontal="center" vertical="top"/>
      <protection hidden="1"/>
    </xf>
    <xf numFmtId="0" fontId="79" fillId="0" borderId="38" xfId="9" applyFont="1" applyBorder="1" applyAlignment="1" applyProtection="1">
      <alignment horizontal="center"/>
      <protection hidden="1"/>
    </xf>
    <xf numFmtId="0" fontId="79" fillId="64" borderId="39" xfId="10" applyFont="1" applyFill="1" applyBorder="1"/>
    <xf numFmtId="0" fontId="79" fillId="64" borderId="37" xfId="10" applyFont="1" applyFill="1" applyBorder="1"/>
    <xf numFmtId="0" fontId="79" fillId="0" borderId="39" xfId="10" applyFont="1" applyBorder="1"/>
    <xf numFmtId="0" fontId="79" fillId="0" borderId="38" xfId="9" applyFont="1" applyBorder="1" applyAlignment="1" applyProtection="1">
      <alignment horizontal="right"/>
      <protection hidden="1"/>
    </xf>
    <xf numFmtId="173" fontId="114" fillId="63" borderId="33" xfId="8" applyNumberFormat="1" applyFont="1" applyFill="1" applyBorder="1" applyAlignment="1">
      <alignment vertical="top" wrapText="1"/>
    </xf>
    <xf numFmtId="0" fontId="79" fillId="0" borderId="38" xfId="103" applyFont="1" applyBorder="1" applyAlignment="1">
      <alignment vertical="top" wrapText="1"/>
    </xf>
    <xf numFmtId="44" fontId="36" fillId="65" borderId="38" xfId="66" applyFont="1" applyFill="1" applyBorder="1" applyAlignment="1" applyProtection="1">
      <protection locked="0"/>
    </xf>
    <xf numFmtId="0" fontId="79" fillId="0" borderId="38" xfId="103" applyFont="1" applyBorder="1" applyAlignment="1">
      <alignment vertical="top"/>
    </xf>
    <xf numFmtId="2" fontId="114" fillId="63" borderId="33" xfId="84" applyNumberFormat="1" applyFont="1" applyFill="1" applyBorder="1" applyAlignment="1">
      <alignment horizontal="left" vertical="top" wrapText="1"/>
    </xf>
    <xf numFmtId="2" fontId="114" fillId="63" borderId="33" xfId="84" applyNumberFormat="1" applyFont="1" applyFill="1" applyBorder="1" applyAlignment="1">
      <alignment vertical="top" wrapText="1"/>
    </xf>
    <xf numFmtId="166" fontId="36" fillId="0" borderId="38" xfId="18" applyFont="1" applyBorder="1" applyAlignment="1">
      <alignment horizontal="center" vertical="top" wrapText="1"/>
    </xf>
    <xf numFmtId="44" fontId="36" fillId="0" borderId="38" xfId="66" applyFont="1" applyBorder="1" applyAlignment="1">
      <alignment vertical="top" wrapText="1"/>
    </xf>
    <xf numFmtId="49" fontId="36" fillId="0" borderId="38" xfId="103" applyNumberFormat="1" applyFont="1" applyBorder="1" applyAlignment="1">
      <alignment horizontal="center" vertical="top" wrapText="1"/>
    </xf>
    <xf numFmtId="2" fontId="81" fillId="2" borderId="37" xfId="84" applyNumberFormat="1" applyFont="1" applyFill="1" applyBorder="1" applyAlignment="1">
      <alignment vertical="top" wrapText="1"/>
    </xf>
    <xf numFmtId="2" fontId="81" fillId="2" borderId="36" xfId="84" applyNumberFormat="1" applyFont="1" applyFill="1" applyBorder="1" applyAlignment="1">
      <alignment vertical="top" wrapText="1"/>
    </xf>
    <xf numFmtId="2" fontId="81" fillId="2" borderId="39" xfId="84" applyNumberFormat="1" applyFont="1" applyFill="1" applyBorder="1" applyAlignment="1">
      <alignment vertical="top" wrapText="1"/>
    </xf>
    <xf numFmtId="3" fontId="129" fillId="2" borderId="39" xfId="8" applyNumberFormat="1" applyFont="1" applyFill="1" applyBorder="1" applyAlignment="1">
      <alignment horizontal="center" vertical="top" wrapText="1"/>
    </xf>
    <xf numFmtId="2" fontId="129" fillId="2" borderId="36" xfId="84" applyNumberFormat="1" applyFont="1" applyFill="1" applyBorder="1" applyAlignment="1">
      <alignment vertical="top" wrapText="1"/>
    </xf>
    <xf numFmtId="180" fontId="129" fillId="2" borderId="37" xfId="84" applyNumberFormat="1" applyFont="1" applyFill="1" applyBorder="1" applyAlignment="1">
      <alignment vertical="top" wrapText="1"/>
    </xf>
    <xf numFmtId="2" fontId="129" fillId="2" borderId="39" xfId="84" applyNumberFormat="1" applyFont="1" applyFill="1" applyBorder="1" applyAlignment="1">
      <alignment vertical="top" wrapText="1"/>
    </xf>
    <xf numFmtId="180" fontId="129" fillId="2" borderId="36" xfId="84" applyNumberFormat="1" applyFont="1" applyFill="1" applyBorder="1" applyAlignment="1">
      <alignment vertical="top" wrapText="1"/>
    </xf>
    <xf numFmtId="3" fontId="36" fillId="2" borderId="38" xfId="8" applyNumberFormat="1" applyFont="1" applyFill="1" applyBorder="1" applyAlignment="1">
      <alignment horizontal="center"/>
    </xf>
    <xf numFmtId="3" fontId="129" fillId="2" borderId="38" xfId="8" applyNumberFormat="1" applyFont="1" applyFill="1" applyBorder="1" applyAlignment="1">
      <alignment horizontal="center"/>
    </xf>
    <xf numFmtId="4" fontId="36" fillId="2" borderId="38" xfId="8" applyNumberFormat="1" applyFont="1" applyFill="1" applyBorder="1" applyAlignment="1">
      <alignment horizontal="center"/>
    </xf>
    <xf numFmtId="4" fontId="129" fillId="2" borderId="38" xfId="8" applyNumberFormat="1" applyFont="1" applyFill="1" applyBorder="1" applyAlignment="1">
      <alignment horizontal="center"/>
    </xf>
    <xf numFmtId="0" fontId="8" fillId="0" borderId="0" xfId="0" applyFont="1"/>
    <xf numFmtId="9" fontId="79" fillId="0" borderId="0" xfId="0" applyNumberFormat="1" applyFont="1"/>
    <xf numFmtId="166" fontId="79" fillId="0" borderId="0" xfId="18" applyFont="1"/>
    <xf numFmtId="9" fontId="79" fillId="0" borderId="0" xfId="16" applyFont="1"/>
    <xf numFmtId="44" fontId="79" fillId="0" borderId="0" xfId="0" applyNumberFormat="1" applyFont="1"/>
    <xf numFmtId="49" fontId="78" fillId="65" borderId="38" xfId="9" applyNumberFormat="1" applyFont="1" applyFill="1" applyBorder="1" applyAlignment="1" applyProtection="1">
      <alignment horizontal="left" vertical="top"/>
      <protection hidden="1"/>
    </xf>
    <xf numFmtId="0" fontId="81" fillId="64" borderId="38" xfId="13" applyFont="1" applyFill="1" applyBorder="1" applyProtection="1">
      <protection hidden="1"/>
    </xf>
    <xf numFmtId="166" fontId="36" fillId="0" borderId="38" xfId="18" applyFont="1" applyFill="1" applyBorder="1" applyAlignment="1" applyProtection="1">
      <protection hidden="1"/>
    </xf>
    <xf numFmtId="166" fontId="139" fillId="2" borderId="38" xfId="18" applyFont="1" applyFill="1" applyBorder="1" applyAlignment="1" applyProtection="1">
      <alignment horizontal="center"/>
      <protection hidden="1"/>
    </xf>
    <xf numFmtId="9" fontId="131" fillId="64" borderId="38" xfId="16" applyFont="1" applyFill="1" applyBorder="1" applyAlignment="1" applyProtection="1">
      <alignment horizontal="center"/>
      <protection hidden="1"/>
    </xf>
    <xf numFmtId="9" fontId="135" fillId="64" borderId="38" xfId="16" applyFont="1" applyFill="1" applyBorder="1" applyAlignment="1" applyProtection="1">
      <alignment horizontal="center"/>
      <protection hidden="1"/>
    </xf>
    <xf numFmtId="2" fontId="79" fillId="0" borderId="4" xfId="0" applyNumberFormat="1" applyFont="1" applyBorder="1"/>
    <xf numFmtId="4" fontId="36" fillId="0" borderId="38" xfId="8" applyNumberFormat="1" applyFont="1" applyFill="1" applyBorder="1" applyAlignment="1">
      <alignment horizontal="center" vertical="top" wrapText="1"/>
    </xf>
    <xf numFmtId="0" fontId="111" fillId="0" borderId="0" xfId="84" applyFont="1"/>
    <xf numFmtId="4" fontId="147" fillId="0" borderId="0" xfId="52886" applyNumberFormat="1" applyFont="1" applyAlignment="1">
      <alignment horizontal="right"/>
    </xf>
    <xf numFmtId="173" fontId="81" fillId="0" borderId="0" xfId="8" applyNumberFormat="1" applyFont="1" applyFill="1" applyAlignment="1">
      <alignment horizontal="center"/>
    </xf>
    <xf numFmtId="173" fontId="82" fillId="0" borderId="0" xfId="8" applyNumberFormat="1" applyFont="1" applyFill="1" applyAlignment="1">
      <alignment horizontal="center"/>
    </xf>
    <xf numFmtId="196" fontId="139" fillId="64" borderId="38" xfId="62" applyNumberFormat="1" applyFont="1" applyFill="1" applyBorder="1" applyAlignment="1" applyProtection="1">
      <alignment horizontal="center"/>
      <protection hidden="1"/>
    </xf>
    <xf numFmtId="166" fontId="36" fillId="0" borderId="38" xfId="18" applyFont="1" applyFill="1" applyBorder="1" applyAlignment="1">
      <alignment horizontal="center"/>
    </xf>
    <xf numFmtId="0" fontId="79" fillId="0" borderId="42" xfId="0" applyFont="1" applyBorder="1" applyAlignment="1">
      <alignment horizontal="center" wrapText="1"/>
    </xf>
    <xf numFmtId="2" fontId="36" fillId="0" borderId="38" xfId="8" applyNumberFormat="1" applyFont="1" applyFill="1" applyBorder="1" applyAlignment="1">
      <alignment horizontal="center"/>
    </xf>
    <xf numFmtId="1" fontId="135" fillId="0" borderId="1" xfId="0" applyNumberFormat="1" applyFont="1" applyBorder="1" applyAlignment="1">
      <alignment horizontal="center"/>
    </xf>
    <xf numFmtId="173" fontId="80" fillId="63" borderId="37" xfId="8" applyNumberFormat="1" applyFont="1" applyFill="1" applyBorder="1" applyAlignment="1">
      <alignment horizontal="center" vertical="top"/>
    </xf>
    <xf numFmtId="173" fontId="80" fillId="62" borderId="39" xfId="8" applyNumberFormat="1" applyFont="1" applyFill="1" applyBorder="1" applyAlignment="1">
      <alignment horizontal="center" vertical="top"/>
    </xf>
    <xf numFmtId="173" fontId="80" fillId="62" borderId="36" xfId="8" applyNumberFormat="1" applyFont="1" applyFill="1" applyBorder="1" applyAlignment="1">
      <alignment horizontal="center" vertical="top"/>
    </xf>
    <xf numFmtId="173" fontId="80" fillId="63" borderId="37" xfId="8" applyNumberFormat="1" applyFont="1" applyFill="1" applyBorder="1" applyAlignment="1">
      <alignment horizontal="center"/>
    </xf>
    <xf numFmtId="173" fontId="80" fillId="62" borderId="39" xfId="8" applyNumberFormat="1" applyFont="1" applyFill="1" applyBorder="1" applyAlignment="1">
      <alignment horizontal="center"/>
    </xf>
    <xf numFmtId="173" fontId="80" fillId="62" borderId="36" xfId="8" applyNumberFormat="1" applyFont="1" applyFill="1" applyBorder="1" applyAlignment="1">
      <alignment horizontal="center"/>
    </xf>
    <xf numFmtId="2" fontId="114" fillId="63" borderId="37" xfId="0" applyNumberFormat="1" applyFont="1" applyFill="1" applyBorder="1" applyAlignment="1">
      <alignment horizontal="center" vertical="center" wrapText="1"/>
    </xf>
    <xf numFmtId="2" fontId="114" fillId="63" borderId="39" xfId="0" applyNumberFormat="1" applyFont="1" applyFill="1" applyBorder="1" applyAlignment="1">
      <alignment horizontal="center" vertical="center" wrapText="1"/>
    </xf>
    <xf numFmtId="2" fontId="114" fillId="63" borderId="36" xfId="0" applyNumberFormat="1" applyFont="1" applyFill="1" applyBorder="1" applyAlignment="1">
      <alignment horizontal="center" vertical="center" wrapText="1"/>
    </xf>
    <xf numFmtId="167" fontId="116" fillId="63" borderId="34" xfId="8" applyFont="1" applyFill="1" applyBorder="1" applyAlignment="1">
      <alignment horizontal="center" vertical="top" wrapText="1"/>
    </xf>
    <xf numFmtId="167" fontId="116" fillId="62" borderId="40" xfId="8" applyFont="1" applyFill="1" applyBorder="1" applyAlignment="1">
      <alignment horizontal="center" vertical="top" wrapText="1"/>
    </xf>
    <xf numFmtId="167" fontId="116" fillId="62" borderId="41" xfId="8" applyFont="1" applyFill="1" applyBorder="1" applyAlignment="1">
      <alignment horizontal="center" vertical="top" wrapText="1"/>
    </xf>
    <xf numFmtId="167" fontId="116" fillId="62" borderId="35" xfId="8" applyFont="1" applyFill="1" applyBorder="1" applyAlignment="1">
      <alignment horizontal="center" vertical="top" wrapText="1"/>
    </xf>
    <xf numFmtId="167" fontId="116" fillId="62" borderId="2" xfId="8" applyFont="1" applyFill="1" applyBorder="1" applyAlignment="1">
      <alignment horizontal="center" vertical="top" wrapText="1"/>
    </xf>
    <xf numFmtId="167" fontId="116" fillId="62" borderId="6" xfId="8" applyFont="1" applyFill="1" applyBorder="1" applyAlignment="1">
      <alignment horizontal="center" vertical="top" wrapText="1"/>
    </xf>
    <xf numFmtId="49" fontId="114" fillId="63" borderId="37" xfId="63" applyNumberFormat="1" applyFont="1" applyFill="1" applyBorder="1" applyAlignment="1">
      <alignment horizontal="left" vertical="top" wrapText="1"/>
    </xf>
    <xf numFmtId="49" fontId="114" fillId="62" borderId="39" xfId="63" applyNumberFormat="1" applyFont="1" applyFill="1" applyBorder="1" applyAlignment="1">
      <alignment horizontal="left" vertical="top" wrapText="1"/>
    </xf>
    <xf numFmtId="49" fontId="114" fillId="62" borderId="36" xfId="63" applyNumberFormat="1" applyFont="1" applyFill="1" applyBorder="1" applyAlignment="1">
      <alignment horizontal="left" vertical="top" wrapText="1"/>
    </xf>
    <xf numFmtId="0" fontId="79" fillId="0" borderId="37" xfId="0" applyFont="1" applyBorder="1" applyAlignment="1">
      <alignment horizontal="left"/>
    </xf>
    <xf numFmtId="0" fontId="79" fillId="0" borderId="36" xfId="0" applyFont="1" applyBorder="1" applyAlignment="1">
      <alignment horizontal="left"/>
    </xf>
    <xf numFmtId="0" fontId="81" fillId="0" borderId="37" xfId="13" applyFont="1" applyBorder="1" applyAlignment="1" applyProtection="1">
      <alignment horizontal="left" vertical="center"/>
      <protection hidden="1"/>
    </xf>
    <xf numFmtId="0" fontId="81" fillId="0" borderId="36" xfId="13" applyFont="1" applyBorder="1" applyAlignment="1" applyProtection="1">
      <alignment horizontal="left" vertical="center"/>
      <protection hidden="1"/>
    </xf>
    <xf numFmtId="2" fontId="123" fillId="63" borderId="38" xfId="13" applyNumberFormat="1" applyFont="1" applyFill="1" applyBorder="1" applyAlignment="1" applyProtection="1">
      <alignment horizontal="center" vertical="center" wrapText="1"/>
      <protection hidden="1"/>
    </xf>
    <xf numFmtId="2" fontId="123" fillId="62" borderId="38" xfId="13" applyNumberFormat="1" applyFont="1" applyFill="1" applyBorder="1" applyAlignment="1" applyProtection="1">
      <alignment horizontal="center" vertical="center" wrapText="1"/>
      <protection hidden="1"/>
    </xf>
    <xf numFmtId="2" fontId="123" fillId="63" borderId="37" xfId="3" applyNumberFormat="1" applyFont="1" applyFill="1" applyBorder="1" applyAlignment="1" applyProtection="1">
      <alignment horizontal="center" vertical="center" wrapText="1"/>
      <protection hidden="1"/>
    </xf>
    <xf numFmtId="0" fontId="114" fillId="62" borderId="36" xfId="0" applyFont="1" applyFill="1" applyBorder="1" applyAlignment="1">
      <alignment horizontal="center" vertical="center" wrapText="1"/>
    </xf>
    <xf numFmtId="0" fontId="79" fillId="0" borderId="0" xfId="0" applyFont="1" applyAlignment="1">
      <alignment horizontal="left" vertical="top" wrapText="1"/>
    </xf>
    <xf numFmtId="2" fontId="123" fillId="63" borderId="37" xfId="13" applyNumberFormat="1" applyFont="1" applyFill="1" applyBorder="1" applyAlignment="1" applyProtection="1">
      <alignment horizontal="center" vertical="center" wrapText="1"/>
      <protection hidden="1"/>
    </xf>
    <xf numFmtId="2" fontId="123" fillId="62" borderId="39" xfId="13" applyNumberFormat="1" applyFont="1" applyFill="1" applyBorder="1" applyAlignment="1" applyProtection="1">
      <alignment horizontal="center" vertical="center" wrapText="1"/>
      <protection hidden="1"/>
    </xf>
    <xf numFmtId="2" fontId="123" fillId="62" borderId="36" xfId="13" applyNumberFormat="1" applyFont="1" applyFill="1" applyBorder="1" applyAlignment="1" applyProtection="1">
      <alignment horizontal="center" vertical="center" wrapText="1"/>
      <protection hidden="1"/>
    </xf>
    <xf numFmtId="2" fontId="123" fillId="63" borderId="39" xfId="13" applyNumberFormat="1" applyFont="1" applyFill="1" applyBorder="1" applyAlignment="1" applyProtection="1">
      <alignment horizontal="center" vertical="center" wrapText="1"/>
      <protection hidden="1"/>
    </xf>
    <xf numFmtId="2" fontId="123" fillId="63" borderId="36" xfId="13" applyNumberFormat="1" applyFont="1" applyFill="1" applyBorder="1" applyAlignment="1" applyProtection="1">
      <alignment horizontal="center" vertical="center" wrapText="1"/>
      <protection hidden="1"/>
    </xf>
    <xf numFmtId="0" fontId="79" fillId="0" borderId="37" xfId="9" applyFont="1" applyBorder="1" applyAlignment="1" applyProtection="1">
      <alignment horizontal="center"/>
      <protection hidden="1"/>
    </xf>
    <xf numFmtId="0" fontId="79" fillId="0" borderId="39" xfId="9" applyFont="1" applyBorder="1" applyAlignment="1" applyProtection="1">
      <alignment horizontal="center"/>
      <protection hidden="1"/>
    </xf>
    <xf numFmtId="0" fontId="79" fillId="0" borderId="36" xfId="9" applyFont="1" applyBorder="1" applyAlignment="1" applyProtection="1">
      <alignment horizontal="center"/>
      <protection hidden="1"/>
    </xf>
  </cellXfs>
  <cellStyles count="52888">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mma 7" xfId="52887" xr:uid="{372A7142-000F-476E-9EDD-77C651DDBA25}"/>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5" xfId="52886" xr:uid="{C29776B6-467D-4070-BF29-3965FB3023C1}"/>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a:t>
          </a:r>
          <a:r>
            <a:rPr lang="nl-NL" sz="1200" b="0">
              <a:solidFill>
                <a:sysClr val="windowText" lastClr="000000"/>
              </a:solidFill>
              <a:effectLst/>
              <a:latin typeface="Georgia" panose="02040502050405020303" pitchFamily="18" charset="0"/>
              <a:ea typeface="+mn-ea"/>
              <a:cs typeface="+mn-cs"/>
            </a:rPr>
            <a:t>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34</xdr:row>
      <xdr:rowOff>9525</xdr:rowOff>
    </xdr:from>
    <xdr:to>
      <xdr:col>8</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8</xdr:row>
      <xdr:rowOff>127000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15739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11" activePane="bottomLeft" state="frozen"/>
      <selection pane="bottomLeft" activeCell="B1" sqref="B1"/>
    </sheetView>
  </sheetViews>
  <sheetFormatPr defaultRowHeight="12.6"/>
  <cols>
    <col min="1" max="1" width="27.6640625" customWidth="1"/>
  </cols>
  <sheetData>
    <row r="1" spans="1:13" ht="15.6">
      <c r="A1" s="38" t="s">
        <v>0</v>
      </c>
      <c r="B1" s="39" t="str">
        <f>'2-Kosten per locatie'!B3</f>
        <v>Gemeente Voorne aan Zee</v>
      </c>
    </row>
    <row r="2" spans="1:13" ht="15.6">
      <c r="A2" s="38" t="s">
        <v>1</v>
      </c>
      <c r="B2" s="39" t="str">
        <f ca="1">MID(CELL("bestandsnaam",$B$11),SEARCH("]",CELL("bestandsnaam",$B$11),1)+1,256)</f>
        <v>1-Uitgangspunten</v>
      </c>
    </row>
    <row r="3" spans="1:13" ht="15.6">
      <c r="A3" s="38" t="s">
        <v>2</v>
      </c>
      <c r="B3" s="39" t="str">
        <f>'2-Kosten per locatie'!B5</f>
        <v>Perceel 1</v>
      </c>
    </row>
    <row r="4" spans="1:13" ht="15.6">
      <c r="A4" s="38" t="s">
        <v>3</v>
      </c>
      <c r="B4" s="39" t="str">
        <f>'2-Kosten per locatie'!B6</f>
        <v>TN521819</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44"/>
  <sheetViews>
    <sheetView showGridLines="0" zoomScale="85" zoomScaleNormal="85" zoomScaleSheetLayoutView="50" zoomScalePageLayoutView="50" workbookViewId="0">
      <pane ySplit="14" topLeftCell="A51" activePane="bottomLeft" state="frozen"/>
      <selection activeCell="B1" sqref="B1"/>
      <selection pane="bottomLeft" activeCell="K13" sqref="K13"/>
    </sheetView>
  </sheetViews>
  <sheetFormatPr defaultColWidth="13.6640625" defaultRowHeight="13.2"/>
  <cols>
    <col min="1" max="1" width="46.109375" style="181" customWidth="1"/>
    <col min="2" max="2" width="29.109375" style="182" customWidth="1"/>
    <col min="3" max="3" width="27.5546875" style="182" customWidth="1"/>
    <col min="4" max="4" width="12.109375" style="181" customWidth="1"/>
    <col min="5" max="5" width="24.33203125" style="183" customWidth="1"/>
    <col min="6" max="6" width="16.109375" style="184" customWidth="1"/>
    <col min="7" max="7" width="13.6640625" style="183" customWidth="1"/>
    <col min="8" max="8" width="15.88671875" style="183"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51" t="s">
        <v>4</v>
      </c>
      <c r="B1" s="174"/>
      <c r="C1" s="174"/>
      <c r="D1" s="100"/>
      <c r="E1" s="100"/>
      <c r="F1" s="175"/>
      <c r="G1" s="100"/>
      <c r="H1" s="100"/>
    </row>
    <row r="2" spans="1:26" s="23" customFormat="1" ht="16.2">
      <c r="A2" s="100"/>
      <c r="B2" s="174"/>
      <c r="C2" s="174"/>
      <c r="D2" s="176"/>
      <c r="E2" s="424" t="s">
        <v>227</v>
      </c>
      <c r="F2" s="424" t="s">
        <v>228</v>
      </c>
      <c r="G2" s="176"/>
      <c r="H2" s="100"/>
    </row>
    <row r="3" spans="1:26" s="23" customFormat="1" ht="15.6">
      <c r="A3" s="38" t="str">
        <f>'2-Kosten per locatie'!A3</f>
        <v>Naam opdrachtgever</v>
      </c>
      <c r="B3" s="160" t="str">
        <f>'2-Kosten per locatie'!B3</f>
        <v>Gemeente Voorne aan Zee</v>
      </c>
      <c r="C3" s="160"/>
      <c r="D3" s="176"/>
      <c r="E3" s="425" t="s">
        <v>252</v>
      </c>
      <c r="F3" s="426"/>
      <c r="G3" s="176"/>
      <c r="H3" s="100"/>
    </row>
    <row r="4" spans="1:26" s="23" customFormat="1" ht="15.6">
      <c r="A4" s="38" t="str">
        <f>'2-Kosten per locatie'!A4</f>
        <v>Calculatie onderdeel</v>
      </c>
      <c r="B4" s="160" t="str">
        <f ca="1">MID(CELL("bestandsnaam",$C$9),SEARCH("]",CELL("bestandsnaam",$C$9),1)+1,256)</f>
        <v>10-Glasbewassing</v>
      </c>
      <c r="C4" s="160"/>
      <c r="D4" s="176"/>
      <c r="E4" s="425" t="s">
        <v>253</v>
      </c>
      <c r="F4" s="426"/>
      <c r="G4" s="176"/>
      <c r="H4" s="100"/>
    </row>
    <row r="5" spans="1:26" s="23" customFormat="1" ht="15.6">
      <c r="A5" s="38" t="str">
        <f>'2-Kosten per locatie'!A5</f>
        <v>Gebouw/plaats</v>
      </c>
      <c r="B5" s="160" t="str">
        <f>'2-Kosten per locatie'!B5</f>
        <v>Perceel 1</v>
      </c>
      <c r="C5" s="160"/>
      <c r="D5" s="176"/>
      <c r="E5" s="427" t="s">
        <v>229</v>
      </c>
      <c r="F5" s="426"/>
      <c r="G5" s="176"/>
      <c r="H5" s="177"/>
      <c r="J5" s="25"/>
      <c r="K5" s="24"/>
      <c r="L5" s="25"/>
      <c r="M5" s="25"/>
      <c r="N5" s="24"/>
      <c r="O5" s="26"/>
      <c r="P5" s="25"/>
      <c r="Q5" s="24"/>
      <c r="R5" s="25"/>
      <c r="S5" s="25"/>
      <c r="T5" s="24"/>
      <c r="U5" s="25"/>
      <c r="V5" s="25"/>
      <c r="W5" s="24"/>
      <c r="X5" s="25"/>
      <c r="Y5" s="25"/>
      <c r="Z5" s="24"/>
    </row>
    <row r="6" spans="1:26" s="23" customFormat="1" ht="17.25" customHeight="1">
      <c r="A6" s="38" t="str">
        <f>'2-Kosten per locatie'!A6</f>
        <v>Referentie nummer</v>
      </c>
      <c r="B6" s="160" t="str">
        <f>'2-Kosten per locatie'!B6</f>
        <v>TN521819</v>
      </c>
      <c r="C6" s="160"/>
      <c r="D6" s="176"/>
      <c r="E6" s="425" t="s">
        <v>246</v>
      </c>
      <c r="F6" s="426"/>
      <c r="G6" s="176"/>
      <c r="H6" s="458"/>
      <c r="J6" s="27"/>
      <c r="K6" s="28"/>
      <c r="L6" s="25"/>
      <c r="M6" s="27"/>
      <c r="N6" s="28"/>
      <c r="O6" s="26"/>
      <c r="P6" s="27"/>
      <c r="Q6" s="28"/>
      <c r="R6" s="25"/>
      <c r="S6" s="27"/>
      <c r="T6" s="28"/>
      <c r="U6" s="25"/>
      <c r="V6" s="27"/>
      <c r="W6" s="28"/>
      <c r="X6" s="25"/>
      <c r="Y6" s="27"/>
      <c r="Z6" s="28"/>
    </row>
    <row r="7" spans="1:26" s="23" customFormat="1" ht="17.25" customHeight="1">
      <c r="A7" s="38" t="str">
        <f>'2-Kosten per locatie'!A7</f>
        <v>Naam dienstverlener</v>
      </c>
      <c r="B7" s="160">
        <f>'2-Kosten per locatie'!B7</f>
        <v>0</v>
      </c>
      <c r="C7" s="122"/>
      <c r="D7" s="176"/>
      <c r="E7" s="425" t="s">
        <v>245</v>
      </c>
      <c r="F7" s="426"/>
      <c r="G7" s="176"/>
      <c r="H7" s="458"/>
    </row>
    <row r="8" spans="1:26" s="23" customFormat="1" ht="17.25" customHeight="1">
      <c r="A8" s="38" t="str">
        <f>'2-Kosten per locatie'!A8</f>
        <v>Prijspeil</v>
      </c>
      <c r="B8" s="273">
        <f>'2-Kosten per locatie'!B8</f>
        <v>46023</v>
      </c>
      <c r="C8" s="48"/>
      <c r="D8" s="176"/>
      <c r="E8" s="425" t="s">
        <v>266</v>
      </c>
      <c r="F8" s="426"/>
      <c r="G8" s="176"/>
      <c r="H8" s="177"/>
    </row>
    <row r="9" spans="1:26" s="23" customFormat="1" ht="17.25" customHeight="1">
      <c r="A9" s="176"/>
      <c r="B9" s="176"/>
      <c r="C9" s="176"/>
      <c r="D9" s="176"/>
      <c r="E9" s="425" t="s">
        <v>267</v>
      </c>
      <c r="F9" s="426"/>
      <c r="G9" s="176"/>
      <c r="H9" s="177"/>
    </row>
    <row r="10" spans="1:26" s="23" customFormat="1" ht="17.25" customHeight="1">
      <c r="A10" s="176"/>
      <c r="B10" s="176"/>
      <c r="C10" s="176"/>
      <c r="D10" s="176"/>
      <c r="E10" s="425" t="s">
        <v>669</v>
      </c>
      <c r="F10" s="426"/>
      <c r="G10" s="176"/>
      <c r="H10" s="177"/>
    </row>
    <row r="11" spans="1:26" s="23" customFormat="1" ht="17.25" customHeight="1">
      <c r="A11" s="176"/>
      <c r="B11" s="176"/>
      <c r="C11" s="176"/>
      <c r="D11" s="176"/>
      <c r="E11" s="425" t="s">
        <v>667</v>
      </c>
      <c r="F11" s="426"/>
      <c r="G11" s="176"/>
      <c r="H11" s="177"/>
    </row>
    <row r="12" spans="1:26" s="23" customFormat="1" ht="17.25" customHeight="1">
      <c r="A12" s="176"/>
      <c r="B12" s="176"/>
      <c r="C12" s="176"/>
      <c r="D12" s="176"/>
      <c r="E12" s="425" t="s">
        <v>668</v>
      </c>
      <c r="F12" s="426"/>
      <c r="G12" s="176"/>
      <c r="H12" s="177"/>
    </row>
    <row r="13" spans="1:26" s="23" customFormat="1" ht="15.6">
      <c r="A13" s="178"/>
      <c r="B13" s="176"/>
      <c r="C13" s="176"/>
      <c r="D13" s="179"/>
      <c r="E13" s="176"/>
      <c r="F13" s="180"/>
      <c r="G13" s="179"/>
      <c r="H13" s="177"/>
    </row>
    <row r="14" spans="1:26" s="30" customFormat="1" ht="43.5" customHeight="1">
      <c r="A14" s="428" t="s">
        <v>20</v>
      </c>
      <c r="B14" s="429" t="s">
        <v>227</v>
      </c>
      <c r="C14" s="429" t="s">
        <v>230</v>
      </c>
      <c r="D14" s="424" t="s">
        <v>231</v>
      </c>
      <c r="E14" s="429" t="s">
        <v>232</v>
      </c>
      <c r="F14" s="429" t="s">
        <v>233</v>
      </c>
      <c r="G14" s="429" t="s">
        <v>234</v>
      </c>
      <c r="H14" s="429" t="s">
        <v>235</v>
      </c>
    </row>
    <row r="15" spans="1:26">
      <c r="A15" s="278" t="s">
        <v>271</v>
      </c>
      <c r="B15" s="425" t="s">
        <v>252</v>
      </c>
      <c r="C15" s="427"/>
      <c r="D15" s="457">
        <v>236.23</v>
      </c>
      <c r="E15" s="430">
        <f>VLOOKUP(B15,$E$3:$F$12,2,FALSE)</f>
        <v>0</v>
      </c>
      <c r="F15" s="431">
        <f>(D15*E15)</f>
        <v>0</v>
      </c>
      <c r="G15" s="432" t="s">
        <v>663</v>
      </c>
      <c r="H15" s="431">
        <f t="shared" ref="H15:H28" si="0">G15*F15</f>
        <v>0</v>
      </c>
    </row>
    <row r="16" spans="1:26">
      <c r="A16" s="278" t="s">
        <v>271</v>
      </c>
      <c r="B16" s="425" t="s">
        <v>253</v>
      </c>
      <c r="C16" s="427"/>
      <c r="D16" s="457">
        <v>236.23</v>
      </c>
      <c r="E16" s="430">
        <f>VLOOKUP(B16,$E$3:$F$12,2,FALSE)</f>
        <v>0</v>
      </c>
      <c r="F16" s="431">
        <f t="shared" ref="F16:F17" si="1">(D16*E16)</f>
        <v>0</v>
      </c>
      <c r="G16" s="432" t="s">
        <v>663</v>
      </c>
      <c r="H16" s="431">
        <f t="shared" si="0"/>
        <v>0</v>
      </c>
    </row>
    <row r="17" spans="1:8">
      <c r="A17" s="278" t="s">
        <v>271</v>
      </c>
      <c r="B17" s="427" t="s">
        <v>229</v>
      </c>
      <c r="C17" s="425"/>
      <c r="D17" s="457">
        <v>206.92</v>
      </c>
      <c r="E17" s="430">
        <f>VLOOKUP(B17,$E$3:$F$12,2,FALSE)</f>
        <v>0</v>
      </c>
      <c r="F17" s="431">
        <f t="shared" si="1"/>
        <v>0</v>
      </c>
      <c r="G17" s="432" t="s">
        <v>663</v>
      </c>
      <c r="H17" s="431">
        <f t="shared" si="0"/>
        <v>0</v>
      </c>
    </row>
    <row r="18" spans="1:8">
      <c r="A18" s="278" t="s">
        <v>321</v>
      </c>
      <c r="B18" s="425" t="s">
        <v>252</v>
      </c>
      <c r="C18" s="425"/>
      <c r="D18" s="457">
        <v>81.28</v>
      </c>
      <c r="E18" s="430">
        <f t="shared" ref="E18:E28" si="2">VLOOKUP(B18,$E$3:$F$12,2,FALSE)</f>
        <v>0</v>
      </c>
      <c r="F18" s="431">
        <f>(D18*E18)</f>
        <v>0</v>
      </c>
      <c r="G18" s="432" t="s">
        <v>663</v>
      </c>
      <c r="H18" s="431">
        <f t="shared" si="0"/>
        <v>0</v>
      </c>
    </row>
    <row r="19" spans="1:8">
      <c r="A19" s="278" t="s">
        <v>321</v>
      </c>
      <c r="B19" s="425" t="s">
        <v>253</v>
      </c>
      <c r="C19" s="425"/>
      <c r="D19" s="457">
        <v>81.28</v>
      </c>
      <c r="E19" s="430">
        <f t="shared" si="2"/>
        <v>0</v>
      </c>
      <c r="F19" s="431">
        <f t="shared" ref="F19:F23" si="3">(D19*E19)</f>
        <v>0</v>
      </c>
      <c r="G19" s="432" t="s">
        <v>663</v>
      </c>
      <c r="H19" s="431">
        <f t="shared" si="0"/>
        <v>0</v>
      </c>
    </row>
    <row r="20" spans="1:8">
      <c r="A20" s="278" t="s">
        <v>321</v>
      </c>
      <c r="B20" s="427" t="s">
        <v>229</v>
      </c>
      <c r="C20" s="427"/>
      <c r="D20" s="457">
        <v>113.49</v>
      </c>
      <c r="E20" s="430">
        <f t="shared" si="2"/>
        <v>0</v>
      </c>
      <c r="F20" s="431">
        <f t="shared" si="3"/>
        <v>0</v>
      </c>
      <c r="G20" s="432" t="s">
        <v>663</v>
      </c>
      <c r="H20" s="431">
        <f t="shared" si="0"/>
        <v>0</v>
      </c>
    </row>
    <row r="21" spans="1:8">
      <c r="A21" s="185" t="s">
        <v>274</v>
      </c>
      <c r="B21" s="425" t="s">
        <v>252</v>
      </c>
      <c r="C21" s="427"/>
      <c r="D21" s="457">
        <v>155.5</v>
      </c>
      <c r="E21" s="430">
        <f t="shared" si="2"/>
        <v>0</v>
      </c>
      <c r="F21" s="431">
        <f t="shared" si="3"/>
        <v>0</v>
      </c>
      <c r="G21" s="432" t="s">
        <v>663</v>
      </c>
      <c r="H21" s="431">
        <f t="shared" si="0"/>
        <v>0</v>
      </c>
    </row>
    <row r="22" spans="1:8">
      <c r="A22" s="185" t="s">
        <v>274</v>
      </c>
      <c r="B22" s="425" t="s">
        <v>253</v>
      </c>
      <c r="C22" s="425"/>
      <c r="D22" s="457">
        <v>155.5</v>
      </c>
      <c r="E22" s="430">
        <f t="shared" si="2"/>
        <v>0</v>
      </c>
      <c r="F22" s="431">
        <f t="shared" si="3"/>
        <v>0</v>
      </c>
      <c r="G22" s="432" t="s">
        <v>663</v>
      </c>
      <c r="H22" s="431">
        <f t="shared" si="0"/>
        <v>0</v>
      </c>
    </row>
    <row r="23" spans="1:8">
      <c r="A23" s="185" t="s">
        <v>274</v>
      </c>
      <c r="B23" s="427" t="s">
        <v>229</v>
      </c>
      <c r="C23" s="425"/>
      <c r="D23" s="457">
        <v>20</v>
      </c>
      <c r="E23" s="430">
        <f t="shared" si="2"/>
        <v>0</v>
      </c>
      <c r="F23" s="431">
        <f t="shared" si="3"/>
        <v>0</v>
      </c>
      <c r="G23" s="432" t="s">
        <v>663</v>
      </c>
      <c r="H23" s="431">
        <f t="shared" si="0"/>
        <v>0</v>
      </c>
    </row>
    <row r="24" spans="1:8">
      <c r="A24" s="185" t="s">
        <v>273</v>
      </c>
      <c r="B24" s="425" t="s">
        <v>252</v>
      </c>
      <c r="C24" s="425"/>
      <c r="D24" s="457">
        <v>85</v>
      </c>
      <c r="E24" s="430">
        <f t="shared" ref="E24:E26" si="4">VLOOKUP(B24,$E$3:$F$12,2,FALSE)</f>
        <v>0</v>
      </c>
      <c r="F24" s="431">
        <f t="shared" ref="F24:F26" si="5">(D24*E24)</f>
        <v>0</v>
      </c>
      <c r="G24" s="432" t="s">
        <v>663</v>
      </c>
      <c r="H24" s="431">
        <f t="shared" ref="H24:H26" si="6">G24*F24</f>
        <v>0</v>
      </c>
    </row>
    <row r="25" spans="1:8">
      <c r="A25" s="185" t="s">
        <v>273</v>
      </c>
      <c r="B25" s="425" t="s">
        <v>253</v>
      </c>
      <c r="C25" s="425"/>
      <c r="D25" s="457">
        <v>85</v>
      </c>
      <c r="E25" s="430">
        <f t="shared" si="4"/>
        <v>0</v>
      </c>
      <c r="F25" s="431">
        <f t="shared" si="5"/>
        <v>0</v>
      </c>
      <c r="G25" s="432" t="s">
        <v>663</v>
      </c>
      <c r="H25" s="431">
        <f t="shared" si="6"/>
        <v>0</v>
      </c>
    </row>
    <row r="26" spans="1:8">
      <c r="A26" s="185" t="s">
        <v>273</v>
      </c>
      <c r="B26" s="427" t="s">
        <v>229</v>
      </c>
      <c r="C26" s="425"/>
      <c r="D26" s="457">
        <v>17</v>
      </c>
      <c r="E26" s="430">
        <f t="shared" si="4"/>
        <v>0</v>
      </c>
      <c r="F26" s="431">
        <f t="shared" si="5"/>
        <v>0</v>
      </c>
      <c r="G26" s="432" t="s">
        <v>663</v>
      </c>
      <c r="H26" s="431">
        <f t="shared" si="6"/>
        <v>0</v>
      </c>
    </row>
    <row r="27" spans="1:8">
      <c r="A27" s="185" t="s">
        <v>272</v>
      </c>
      <c r="B27" s="425" t="s">
        <v>252</v>
      </c>
      <c r="C27" s="427"/>
      <c r="D27" s="457">
        <v>91.31</v>
      </c>
      <c r="E27" s="430">
        <f t="shared" si="2"/>
        <v>0</v>
      </c>
      <c r="F27" s="431">
        <f>(D27*E27)</f>
        <v>0</v>
      </c>
      <c r="G27" s="432" t="s">
        <v>663</v>
      </c>
      <c r="H27" s="431">
        <f t="shared" si="0"/>
        <v>0</v>
      </c>
    </row>
    <row r="28" spans="1:8">
      <c r="A28" s="185" t="s">
        <v>272</v>
      </c>
      <c r="B28" s="425" t="s">
        <v>253</v>
      </c>
      <c r="C28" s="425"/>
      <c r="D28" s="457">
        <v>91.31</v>
      </c>
      <c r="E28" s="430">
        <f t="shared" si="2"/>
        <v>0</v>
      </c>
      <c r="F28" s="431">
        <f t="shared" ref="F28:F34" si="7">(D28*E28)</f>
        <v>0</v>
      </c>
      <c r="G28" s="432" t="s">
        <v>663</v>
      </c>
      <c r="H28" s="431">
        <f t="shared" si="0"/>
        <v>0</v>
      </c>
    </row>
    <row r="29" spans="1:8">
      <c r="A29" s="185" t="s">
        <v>272</v>
      </c>
      <c r="B29" s="425" t="s">
        <v>229</v>
      </c>
      <c r="C29" s="425"/>
      <c r="D29" s="457">
        <v>17.5</v>
      </c>
      <c r="E29" s="430">
        <f t="shared" ref="E29:E34" si="8">VLOOKUP(B29,$E$3:$F$12,2,FALSE)</f>
        <v>0</v>
      </c>
      <c r="F29" s="431">
        <f t="shared" si="7"/>
        <v>0</v>
      </c>
      <c r="G29" s="432" t="s">
        <v>663</v>
      </c>
      <c r="H29" s="431">
        <f t="shared" ref="H29:H34" si="9">G29*F29</f>
        <v>0</v>
      </c>
    </row>
    <row r="30" spans="1:8">
      <c r="A30" s="185" t="s">
        <v>275</v>
      </c>
      <c r="B30" s="425" t="s">
        <v>252</v>
      </c>
      <c r="C30" s="425"/>
      <c r="D30" s="457">
        <v>333.91</v>
      </c>
      <c r="E30" s="430">
        <f t="shared" si="8"/>
        <v>0</v>
      </c>
      <c r="F30" s="431">
        <f t="shared" si="7"/>
        <v>0</v>
      </c>
      <c r="G30" s="432" t="s">
        <v>663</v>
      </c>
      <c r="H30" s="431">
        <f t="shared" si="9"/>
        <v>0</v>
      </c>
    </row>
    <row r="31" spans="1:8">
      <c r="A31" s="185" t="s">
        <v>275</v>
      </c>
      <c r="B31" s="425" t="s">
        <v>253</v>
      </c>
      <c r="C31" s="425"/>
      <c r="D31" s="457">
        <v>333.91</v>
      </c>
      <c r="E31" s="430">
        <f t="shared" si="8"/>
        <v>0</v>
      </c>
      <c r="F31" s="431">
        <f t="shared" si="7"/>
        <v>0</v>
      </c>
      <c r="G31" s="432" t="s">
        <v>663</v>
      </c>
      <c r="H31" s="431">
        <f t="shared" si="9"/>
        <v>0</v>
      </c>
    </row>
    <row r="32" spans="1:8">
      <c r="A32" s="185" t="s">
        <v>275</v>
      </c>
      <c r="B32" s="425" t="s">
        <v>229</v>
      </c>
      <c r="C32" s="425"/>
      <c r="D32" s="457">
        <v>230.71</v>
      </c>
      <c r="E32" s="430">
        <f t="shared" si="8"/>
        <v>0</v>
      </c>
      <c r="F32" s="431">
        <f t="shared" si="7"/>
        <v>0</v>
      </c>
      <c r="G32" s="432" t="s">
        <v>663</v>
      </c>
      <c r="H32" s="431">
        <f t="shared" si="9"/>
        <v>0</v>
      </c>
    </row>
    <row r="33" spans="1:8">
      <c r="A33" s="185" t="s">
        <v>275</v>
      </c>
      <c r="B33" s="425" t="s">
        <v>266</v>
      </c>
      <c r="C33" s="425"/>
      <c r="D33" s="457">
        <v>9</v>
      </c>
      <c r="E33" s="430">
        <f t="shared" si="8"/>
        <v>0</v>
      </c>
      <c r="F33" s="431">
        <f t="shared" si="7"/>
        <v>0</v>
      </c>
      <c r="G33" s="432" t="s">
        <v>663</v>
      </c>
      <c r="H33" s="431">
        <f t="shared" si="9"/>
        <v>0</v>
      </c>
    </row>
    <row r="34" spans="1:8">
      <c r="A34" s="185" t="s">
        <v>275</v>
      </c>
      <c r="B34" s="425" t="s">
        <v>267</v>
      </c>
      <c r="C34" s="425"/>
      <c r="D34" s="457">
        <v>9</v>
      </c>
      <c r="E34" s="430">
        <f t="shared" si="8"/>
        <v>0</v>
      </c>
      <c r="F34" s="431">
        <f t="shared" si="7"/>
        <v>0</v>
      </c>
      <c r="G34" s="432" t="s">
        <v>663</v>
      </c>
      <c r="H34" s="431">
        <f t="shared" si="9"/>
        <v>0</v>
      </c>
    </row>
    <row r="35" spans="1:8">
      <c r="A35" s="185" t="s">
        <v>457</v>
      </c>
      <c r="B35" s="425" t="s">
        <v>252</v>
      </c>
      <c r="C35" s="425"/>
      <c r="D35" s="457">
        <v>465</v>
      </c>
      <c r="E35" s="430">
        <f t="shared" ref="E35:E39" si="10">VLOOKUP(B35,$E$3:$F$12,2,FALSE)</f>
        <v>0</v>
      </c>
      <c r="F35" s="431">
        <f t="shared" ref="F35:F39" si="11">(D35*E35)</f>
        <v>0</v>
      </c>
      <c r="G35" s="432" t="s">
        <v>663</v>
      </c>
      <c r="H35" s="431">
        <f t="shared" ref="H35:H39" si="12">G35*F35</f>
        <v>0</v>
      </c>
    </row>
    <row r="36" spans="1:8">
      <c r="A36" s="185" t="s">
        <v>457</v>
      </c>
      <c r="B36" s="425" t="s">
        <v>253</v>
      </c>
      <c r="C36" s="425"/>
      <c r="D36" s="457">
        <v>465</v>
      </c>
      <c r="E36" s="430">
        <f t="shared" si="10"/>
        <v>0</v>
      </c>
      <c r="F36" s="431">
        <f t="shared" si="11"/>
        <v>0</v>
      </c>
      <c r="G36" s="432" t="s">
        <v>663</v>
      </c>
      <c r="H36" s="431">
        <f t="shared" si="12"/>
        <v>0</v>
      </c>
    </row>
    <row r="37" spans="1:8">
      <c r="A37" s="185" t="s">
        <v>457</v>
      </c>
      <c r="B37" s="425" t="s">
        <v>229</v>
      </c>
      <c r="C37" s="425"/>
      <c r="D37" s="457">
        <v>556.76</v>
      </c>
      <c r="E37" s="430">
        <f t="shared" si="10"/>
        <v>0</v>
      </c>
      <c r="F37" s="431">
        <f t="shared" si="11"/>
        <v>0</v>
      </c>
      <c r="G37" s="432" t="s">
        <v>663</v>
      </c>
      <c r="H37" s="431">
        <f t="shared" si="12"/>
        <v>0</v>
      </c>
    </row>
    <row r="38" spans="1:8">
      <c r="A38" s="185" t="s">
        <v>457</v>
      </c>
      <c r="B38" s="425" t="s">
        <v>669</v>
      </c>
      <c r="C38" s="425"/>
      <c r="D38" s="457">
        <v>39.200000000000003</v>
      </c>
      <c r="E38" s="430">
        <f t="shared" ref="E38" si="13">VLOOKUP(B38,$E$3:$F$12,2,FALSE)</f>
        <v>0</v>
      </c>
      <c r="F38" s="431">
        <f t="shared" ref="F38" si="14">(D38*E38)</f>
        <v>0</v>
      </c>
      <c r="G38" s="432" t="s">
        <v>663</v>
      </c>
      <c r="H38" s="431">
        <f t="shared" ref="H38" si="15">G38*F38</f>
        <v>0</v>
      </c>
    </row>
    <row r="39" spans="1:8">
      <c r="A39" s="185" t="s">
        <v>457</v>
      </c>
      <c r="B39" s="425" t="s">
        <v>266</v>
      </c>
      <c r="C39" s="425"/>
      <c r="D39" s="457">
        <v>6</v>
      </c>
      <c r="E39" s="430">
        <f t="shared" si="10"/>
        <v>0</v>
      </c>
      <c r="F39" s="431">
        <f t="shared" si="11"/>
        <v>0</v>
      </c>
      <c r="G39" s="432" t="s">
        <v>663</v>
      </c>
      <c r="H39" s="431">
        <f t="shared" si="12"/>
        <v>0</v>
      </c>
    </row>
    <row r="40" spans="1:8">
      <c r="A40" s="185" t="s">
        <v>457</v>
      </c>
      <c r="B40" s="425" t="s">
        <v>267</v>
      </c>
      <c r="C40" s="425"/>
      <c r="D40" s="457">
        <v>6</v>
      </c>
      <c r="E40" s="430">
        <f t="shared" ref="E40:E42" si="16">VLOOKUP(B40,$E$3:$F$12,2,FALSE)</f>
        <v>0</v>
      </c>
      <c r="F40" s="431">
        <f t="shared" ref="F40:F42" si="17">(D40*E40)</f>
        <v>0</v>
      </c>
      <c r="G40" s="432" t="s">
        <v>663</v>
      </c>
      <c r="H40" s="431">
        <f t="shared" ref="H40:H42" si="18">G40*F40</f>
        <v>0</v>
      </c>
    </row>
    <row r="41" spans="1:8">
      <c r="A41" s="185" t="s">
        <v>457</v>
      </c>
      <c r="B41" s="425" t="s">
        <v>667</v>
      </c>
      <c r="C41" s="425"/>
      <c r="D41" s="457">
        <v>81</v>
      </c>
      <c r="E41" s="430">
        <f t="shared" si="16"/>
        <v>0</v>
      </c>
      <c r="F41" s="431">
        <f t="shared" si="17"/>
        <v>0</v>
      </c>
      <c r="G41" s="432" t="s">
        <v>663</v>
      </c>
      <c r="H41" s="431">
        <f t="shared" si="18"/>
        <v>0</v>
      </c>
    </row>
    <row r="42" spans="1:8">
      <c r="A42" s="185" t="s">
        <v>457</v>
      </c>
      <c r="B42" s="425" t="s">
        <v>668</v>
      </c>
      <c r="C42" s="425"/>
      <c r="D42" s="457">
        <v>81</v>
      </c>
      <c r="E42" s="430">
        <f t="shared" si="16"/>
        <v>0</v>
      </c>
      <c r="F42" s="431">
        <f t="shared" si="17"/>
        <v>0</v>
      </c>
      <c r="G42" s="432" t="s">
        <v>663</v>
      </c>
      <c r="H42" s="431">
        <f t="shared" si="18"/>
        <v>0</v>
      </c>
    </row>
    <row r="43" spans="1:8">
      <c r="B43" s="181"/>
      <c r="C43" s="181"/>
      <c r="D43" s="274"/>
      <c r="E43" s="274"/>
      <c r="F43" s="274"/>
      <c r="G43" s="274"/>
      <c r="H43" s="274"/>
    </row>
    <row r="44" spans="1:8">
      <c r="A44" s="433" t="s">
        <v>31</v>
      </c>
      <c r="B44" s="434"/>
      <c r="C44" s="435"/>
      <c r="D44" s="436">
        <f>SUM(D15:D34)</f>
        <v>2590.08</v>
      </c>
      <c r="E44" s="437"/>
      <c r="F44" s="438"/>
      <c r="G44" s="439"/>
      <c r="H44" s="440">
        <f>SUM(H15:H42)</f>
        <v>0</v>
      </c>
    </row>
  </sheetData>
  <autoFilter ref="A14:Z44" xr:uid="{00000000-0009-0000-0000-00000A000000}"/>
  <phoneticPr fontId="74"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33"/>
  <sheetViews>
    <sheetView showGridLines="0" showZeros="0" tabSelected="1" zoomScale="70" zoomScaleNormal="70" workbookViewId="0">
      <selection activeCell="G10" sqref="G10"/>
    </sheetView>
  </sheetViews>
  <sheetFormatPr defaultColWidth="8.6640625" defaultRowHeight="14.1" customHeight="1"/>
  <cols>
    <col min="1" max="1" width="34.6640625" style="40" customWidth="1"/>
    <col min="2" max="2" width="19.33203125" style="40" customWidth="1"/>
    <col min="3" max="3" width="16" style="40" customWidth="1"/>
    <col min="4" max="4" width="16.77734375" style="41" customWidth="1"/>
    <col min="5" max="5" width="16.33203125" style="41" customWidth="1"/>
    <col min="6" max="7" width="13.6640625" style="41" customWidth="1"/>
    <col min="8" max="9" width="21.109375" style="41" bestFit="1" customWidth="1"/>
    <col min="10" max="10" width="29.44140625" style="41" customWidth="1"/>
    <col min="11" max="14" width="13.6640625" style="41" customWidth="1"/>
    <col min="15" max="15" width="19.109375" style="41" customWidth="1"/>
    <col min="16" max="16" width="17.33203125" style="41" customWidth="1"/>
    <col min="17" max="17" width="13.6640625" style="41" customWidth="1"/>
    <col min="18" max="18" width="16.5546875" style="41" customWidth="1"/>
    <col min="19" max="19" width="13.6640625" style="41" customWidth="1"/>
    <col min="20" max="20" width="15.44140625" style="41" bestFit="1" customWidth="1"/>
    <col min="21" max="23" width="13.6640625" style="41" customWidth="1"/>
    <col min="24" max="28" width="13.33203125" style="41" customWidth="1"/>
    <col min="29" max="29" width="14.6640625" style="41" customWidth="1"/>
    <col min="30" max="33" width="13.33203125" style="41" customWidth="1"/>
    <col min="34" max="16384" width="8.6640625" style="40"/>
  </cols>
  <sheetData>
    <row r="1" spans="1:34" ht="14.1" customHeight="1">
      <c r="A1" s="275" t="s">
        <v>4</v>
      </c>
      <c r="E1" s="220" t="s">
        <v>5</v>
      </c>
      <c r="F1" s="221"/>
      <c r="G1" s="42"/>
      <c r="J1" s="222" t="s">
        <v>6</v>
      </c>
      <c r="K1" s="223"/>
      <c r="L1" s="223"/>
      <c r="M1" s="223"/>
      <c r="N1" s="223"/>
      <c r="O1" s="224"/>
      <c r="P1" s="208" t="e">
        <f>J32</f>
        <v>#DIV/0!</v>
      </c>
    </row>
    <row r="2" spans="1:34" ht="14.1" customHeight="1">
      <c r="E2" s="209"/>
      <c r="F2" s="43" t="s">
        <v>7</v>
      </c>
      <c r="G2" s="42"/>
      <c r="J2" s="44" t="s">
        <v>8</v>
      </c>
      <c r="K2" s="45"/>
      <c r="L2" s="45"/>
      <c r="M2" s="45"/>
      <c r="N2" s="45"/>
      <c r="O2" s="46">
        <v>0.21</v>
      </c>
      <c r="P2" s="211" t="e">
        <f>O2*P1</f>
        <v>#DIV/0!</v>
      </c>
    </row>
    <row r="3" spans="1:34" ht="14.1" customHeight="1">
      <c r="A3" s="38" t="s">
        <v>0</v>
      </c>
      <c r="B3" s="47" t="s">
        <v>268</v>
      </c>
      <c r="C3" s="38"/>
      <c r="D3" s="42"/>
      <c r="E3" s="42"/>
      <c r="G3" s="42"/>
      <c r="H3" s="42"/>
      <c r="I3" s="42"/>
      <c r="J3" s="44" t="s">
        <v>9</v>
      </c>
      <c r="K3" s="45"/>
      <c r="L3" s="45"/>
      <c r="M3" s="45"/>
      <c r="N3" s="45"/>
      <c r="O3" s="45"/>
      <c r="P3" s="212" t="e">
        <f>P1+P2</f>
        <v>#DIV/0!</v>
      </c>
      <c r="AF3" s="42"/>
      <c r="AG3" s="42"/>
    </row>
    <row r="4" spans="1:34" ht="14.1" customHeight="1">
      <c r="A4" s="38" t="s">
        <v>1</v>
      </c>
      <c r="B4" s="47" t="str">
        <f ca="1">MID(CELL("bestandsnaam",$B$13),SEARCH("]",CELL("bestandsnaam",$B$13),1)+1,256)</f>
        <v>2-Kosten per locatie</v>
      </c>
      <c r="C4" s="47"/>
      <c r="D4" s="42"/>
      <c r="E4" s="220" t="s">
        <v>10</v>
      </c>
      <c r="F4" s="221"/>
      <c r="G4" s="42"/>
      <c r="H4" s="42"/>
      <c r="I4" s="42"/>
      <c r="J4" s="45"/>
      <c r="K4" s="45"/>
      <c r="L4" s="45"/>
      <c r="M4" s="45"/>
      <c r="N4" s="45"/>
      <c r="O4" s="45"/>
      <c r="P4" s="210"/>
      <c r="AF4" s="42"/>
      <c r="AG4" s="42"/>
    </row>
    <row r="5" spans="1:34" ht="14.1" customHeight="1">
      <c r="A5" s="38" t="s">
        <v>2</v>
      </c>
      <c r="B5" s="47" t="s">
        <v>269</v>
      </c>
      <c r="C5" s="38"/>
      <c r="D5" s="42"/>
      <c r="E5" s="213"/>
      <c r="F5" s="43" t="s">
        <v>11</v>
      </c>
      <c r="G5" s="42"/>
      <c r="H5" s="42"/>
      <c r="I5" s="42"/>
      <c r="J5" s="225" t="s">
        <v>12</v>
      </c>
      <c r="K5" s="226"/>
      <c r="L5" s="226"/>
      <c r="M5" s="226"/>
      <c r="N5" s="226"/>
      <c r="O5" s="226"/>
      <c r="P5" s="214">
        <v>285000</v>
      </c>
      <c r="AF5" s="42"/>
      <c r="AG5" s="42"/>
    </row>
    <row r="6" spans="1:34" ht="14.1" customHeight="1">
      <c r="A6" s="38" t="s">
        <v>3</v>
      </c>
      <c r="B6" s="47" t="s">
        <v>270</v>
      </c>
      <c r="C6" s="38"/>
      <c r="D6" s="42"/>
      <c r="E6" s="42"/>
      <c r="F6" s="42"/>
      <c r="G6" s="42"/>
      <c r="H6" s="42"/>
      <c r="I6" s="42"/>
      <c r="J6" s="225" t="s">
        <v>13</v>
      </c>
      <c r="K6" s="226"/>
      <c r="L6" s="226"/>
      <c r="M6" s="226"/>
      <c r="N6" s="226"/>
      <c r="O6" s="226"/>
      <c r="P6" s="214">
        <v>255000</v>
      </c>
      <c r="AF6" s="42"/>
      <c r="AG6" s="42"/>
    </row>
    <row r="7" spans="1:34" ht="14.1" customHeight="1">
      <c r="A7" s="38" t="s">
        <v>14</v>
      </c>
      <c r="B7" s="188"/>
      <c r="C7" s="38"/>
      <c r="D7" s="42"/>
      <c r="E7" s="42"/>
      <c r="F7" s="42"/>
      <c r="G7" s="42"/>
      <c r="H7" s="42"/>
      <c r="I7" s="42"/>
      <c r="J7" s="42"/>
      <c r="K7" s="42"/>
      <c r="V7" s="42"/>
      <c r="W7" s="40"/>
      <c r="X7" s="40"/>
      <c r="Y7" s="40"/>
      <c r="AF7" s="42"/>
      <c r="AG7" s="42"/>
    </row>
    <row r="8" spans="1:34" ht="14.1" customHeight="1">
      <c r="A8" s="38" t="s">
        <v>15</v>
      </c>
      <c r="B8" s="48">
        <v>46023</v>
      </c>
      <c r="C8" s="38"/>
      <c r="D8" s="42"/>
      <c r="E8" s="42"/>
      <c r="F8" s="42"/>
      <c r="G8" s="42"/>
      <c r="H8" s="42"/>
      <c r="I8" s="42"/>
      <c r="J8" s="42"/>
      <c r="K8" s="42"/>
      <c r="L8" s="42"/>
      <c r="M8" s="42"/>
      <c r="N8" s="42"/>
      <c r="O8" s="42"/>
      <c r="P8" s="42"/>
      <c r="Q8" s="42"/>
      <c r="R8" s="42"/>
      <c r="S8" s="42"/>
      <c r="T8" s="42"/>
      <c r="U8" s="42"/>
      <c r="V8" s="42"/>
      <c r="W8" s="42"/>
      <c r="X8" s="42"/>
      <c r="Y8" s="42"/>
      <c r="Z8" s="42"/>
      <c r="AA8" s="49"/>
      <c r="AB8" s="49"/>
      <c r="AC8" s="49"/>
      <c r="AD8" s="49"/>
      <c r="AE8" s="49"/>
      <c r="AF8" s="42"/>
      <c r="AG8" s="42"/>
    </row>
    <row r="9" spans="1:34" ht="14.1" customHeight="1">
      <c r="A9" s="38" t="s">
        <v>16</v>
      </c>
      <c r="B9" s="50" t="s">
        <v>687</v>
      </c>
      <c r="C9" s="38"/>
      <c r="D9" s="460"/>
      <c r="E9" s="461"/>
      <c r="F9" s="460"/>
      <c r="G9" s="460"/>
      <c r="H9" s="42"/>
      <c r="I9" s="42"/>
      <c r="J9" s="51"/>
      <c r="L9" s="42"/>
      <c r="M9" s="42"/>
      <c r="P9" s="42"/>
      <c r="Q9" s="42"/>
      <c r="V9" s="42"/>
      <c r="W9" s="40"/>
      <c r="X9" s="40"/>
      <c r="Y9" s="40"/>
      <c r="Z9" s="40"/>
      <c r="AA9" s="40"/>
      <c r="AB9" s="40"/>
      <c r="AC9" s="40"/>
      <c r="AD9" s="40"/>
      <c r="AE9" s="40"/>
      <c r="AF9" s="42"/>
      <c r="AG9" s="42"/>
    </row>
    <row r="10" spans="1:34" ht="14.1" customHeight="1">
      <c r="A10" s="38"/>
      <c r="B10" s="38"/>
      <c r="C10" s="38"/>
      <c r="D10" s="42"/>
      <c r="E10" s="42"/>
      <c r="F10" s="42"/>
      <c r="G10" s="42"/>
      <c r="H10" s="42"/>
      <c r="I10" s="42"/>
      <c r="J10" s="51"/>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4" ht="14.1" customHeight="1">
      <c r="A11" s="38"/>
      <c r="B11" s="38"/>
      <c r="C11" s="38"/>
      <c r="D11" s="42"/>
      <c r="E11" s="42"/>
      <c r="F11" s="42"/>
      <c r="G11" s="42"/>
      <c r="H11" s="42"/>
      <c r="I11" s="42"/>
      <c r="J11" s="51"/>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4" ht="15.6">
      <c r="C12" s="48"/>
      <c r="J12" s="52"/>
      <c r="AA12" s="42"/>
      <c r="AB12" s="42"/>
      <c r="AC12" s="42"/>
      <c r="AD12" s="42"/>
      <c r="AE12" s="42"/>
      <c r="AF12" s="42"/>
      <c r="AG12" s="42"/>
    </row>
    <row r="13" spans="1:34" ht="18" customHeight="1">
      <c r="A13" s="53"/>
      <c r="B13" s="53"/>
      <c r="C13" s="53"/>
      <c r="D13" s="53"/>
      <c r="E13" s="53"/>
      <c r="F13" s="53"/>
      <c r="G13" s="53"/>
      <c r="H13" s="53"/>
      <c r="I13" s="53"/>
      <c r="J13" s="467" t="s">
        <v>17</v>
      </c>
      <c r="K13" s="468"/>
      <c r="L13" s="468"/>
      <c r="M13" s="468"/>
      <c r="N13" s="468"/>
      <c r="O13" s="469"/>
      <c r="P13" s="467" t="s">
        <v>18</v>
      </c>
      <c r="Q13" s="468"/>
      <c r="R13" s="468"/>
      <c r="S13" s="468"/>
      <c r="T13" s="468"/>
      <c r="U13" s="469"/>
      <c r="V13" s="470" t="s">
        <v>19</v>
      </c>
      <c r="W13" s="471"/>
      <c r="X13" s="471"/>
      <c r="Y13" s="471"/>
      <c r="Z13" s="471"/>
      <c r="AA13" s="472"/>
      <c r="AB13" s="42"/>
      <c r="AC13" s="42"/>
      <c r="AD13" s="42"/>
      <c r="AE13" s="42"/>
      <c r="AF13" s="42"/>
      <c r="AG13" s="42"/>
      <c r="AH13" s="42"/>
    </row>
    <row r="14" spans="1:34" ht="64.5" customHeight="1">
      <c r="A14" s="276" t="s">
        <v>20</v>
      </c>
      <c r="B14" s="227" t="s">
        <v>21</v>
      </c>
      <c r="C14" s="227" t="s">
        <v>22</v>
      </c>
      <c r="D14" s="228" t="s">
        <v>23</v>
      </c>
      <c r="E14" s="228" t="s">
        <v>24</v>
      </c>
      <c r="F14" s="229" t="s">
        <v>25</v>
      </c>
      <c r="G14" s="229" t="s">
        <v>26</v>
      </c>
      <c r="H14" s="229" t="s">
        <v>27</v>
      </c>
      <c r="I14" s="229" t="s">
        <v>28</v>
      </c>
      <c r="J14" s="229" t="s">
        <v>29</v>
      </c>
      <c r="K14" s="229" t="s">
        <v>30</v>
      </c>
      <c r="L14" s="42"/>
      <c r="M14" s="40"/>
      <c r="N14" s="40"/>
      <c r="O14" s="40"/>
      <c r="P14" s="40"/>
      <c r="Q14" s="40"/>
      <c r="R14" s="40"/>
      <c r="S14" s="40"/>
      <c r="T14" s="40"/>
      <c r="U14" s="40"/>
      <c r="V14" s="40"/>
      <c r="W14" s="40"/>
      <c r="X14" s="40"/>
      <c r="Y14" s="40"/>
      <c r="Z14" s="40"/>
      <c r="AA14" s="40"/>
      <c r="AB14" s="40"/>
      <c r="AC14" s="40"/>
      <c r="AD14" s="40"/>
      <c r="AE14" s="40"/>
      <c r="AF14" s="40"/>
      <c r="AG14" s="40"/>
    </row>
    <row r="15" spans="1:34" s="54" customFormat="1" ht="15" customHeight="1">
      <c r="A15" s="278" t="s">
        <v>271</v>
      </c>
      <c r="B15" s="441">
        <f>SUMIF('4-Basis ruimtestaat'!B:B,'2-Kosten per locatie'!A15,'4-Basis ruimtestaat'!J:J)</f>
        <v>2610.79</v>
      </c>
      <c r="C15" s="215"/>
      <c r="D15" s="216">
        <f>_xlfn.MAXIFS('4-Basis ruimtestaat'!L:L,'4-Basis ruimtestaat'!B:B,'2-Kosten per locatie'!A15)</f>
        <v>255</v>
      </c>
      <c r="E15" s="216">
        <f>_xlfn.MAXIFS('4-Basis ruimtestaat'!N:N,'4-Basis ruimtestaat'!B:B,'2-Kosten per locatie'!A15)</f>
        <v>52</v>
      </c>
      <c r="F15" s="443" t="e">
        <f>SUMIF('4-Basis ruimtestaat'!B:B,'2-Kosten per locatie'!A15,'4-Basis ruimtestaat'!R:R)</f>
        <v>#DIV/0!</v>
      </c>
      <c r="G15" s="443" t="e">
        <f>SUMIF('4-Basis ruimtestaat'!B:B,'2-Kosten per locatie'!A15,'4-Basis ruimtestaat'!T:T)</f>
        <v>#DIV/0!</v>
      </c>
      <c r="H15" s="443" t="e">
        <f t="shared" ref="H15:I21" si="0">IF(F15&lt;(D15*$E$2),D15*$E$2-F15,0)</f>
        <v>#DIV/0!</v>
      </c>
      <c r="I15" s="443" t="e">
        <f t="shared" si="0"/>
        <v>#DIV/0!</v>
      </c>
      <c r="J15" s="443" t="e">
        <f t="shared" ref="J15:K21" si="1">F15*$E$5</f>
        <v>#DIV/0!</v>
      </c>
      <c r="K15" s="443" t="e">
        <f t="shared" si="1"/>
        <v>#DIV/0!</v>
      </c>
      <c r="L15" s="42"/>
    </row>
    <row r="16" spans="1:34" ht="15" customHeight="1">
      <c r="A16" s="278" t="s">
        <v>321</v>
      </c>
      <c r="B16" s="441">
        <f>SUMIF('4-Basis ruimtestaat'!B:B,'2-Kosten per locatie'!A16,'4-Basis ruimtestaat'!J:J)</f>
        <v>1268.6099999999997</v>
      </c>
      <c r="C16" s="215"/>
      <c r="D16" s="216">
        <f>_xlfn.MAXIFS('4-Basis ruimtestaat'!L:L,'4-Basis ruimtestaat'!B:B,'2-Kosten per locatie'!A16)</f>
        <v>52</v>
      </c>
      <c r="E16" s="216">
        <f>_xlfn.MAXIFS('4-Basis ruimtestaat'!N:N,'4-Basis ruimtestaat'!B:B,'2-Kosten per locatie'!A16)</f>
        <v>0</v>
      </c>
      <c r="F16" s="443" t="e">
        <f>SUMIF('4-Basis ruimtestaat'!B:B,'2-Kosten per locatie'!A16,'4-Basis ruimtestaat'!R:R)</f>
        <v>#DIV/0!</v>
      </c>
      <c r="G16" s="443">
        <f>SUMIF('4-Basis ruimtestaat'!B:B,'2-Kosten per locatie'!A16,'4-Basis ruimtestaat'!T:T)</f>
        <v>0</v>
      </c>
      <c r="H16" s="443" t="e">
        <f t="shared" si="0"/>
        <v>#DIV/0!</v>
      </c>
      <c r="I16" s="443">
        <f t="shared" si="0"/>
        <v>0</v>
      </c>
      <c r="J16" s="443" t="e">
        <f t="shared" si="1"/>
        <v>#DIV/0!</v>
      </c>
      <c r="K16" s="443">
        <f t="shared" si="1"/>
        <v>0</v>
      </c>
      <c r="L16" s="42"/>
      <c r="M16" s="40"/>
      <c r="N16" s="40"/>
      <c r="O16" s="40"/>
      <c r="P16" s="40"/>
      <c r="Q16" s="40"/>
      <c r="R16" s="40"/>
      <c r="S16" s="40"/>
      <c r="T16" s="40"/>
      <c r="U16" s="40"/>
      <c r="V16" s="40"/>
      <c r="W16" s="40"/>
      <c r="X16" s="40"/>
      <c r="Y16" s="40"/>
      <c r="Z16" s="40"/>
      <c r="AA16" s="40"/>
      <c r="AB16" s="40"/>
      <c r="AC16" s="40"/>
      <c r="AD16" s="40"/>
      <c r="AE16" s="40"/>
      <c r="AF16" s="40"/>
      <c r="AG16" s="40"/>
    </row>
    <row r="17" spans="1:33" ht="15" customHeight="1">
      <c r="A17" s="278" t="s">
        <v>274</v>
      </c>
      <c r="B17" s="441">
        <f>SUMIF('4-Basis ruimtestaat'!B:B,'2-Kosten per locatie'!A17,'4-Basis ruimtestaat'!J:J)</f>
        <v>428.35999999999996</v>
      </c>
      <c r="C17" s="215"/>
      <c r="D17" s="216">
        <f>_xlfn.MAXIFS('4-Basis ruimtestaat'!L:L,'4-Basis ruimtestaat'!B:B,'2-Kosten per locatie'!A17)</f>
        <v>205</v>
      </c>
      <c r="E17" s="216">
        <f>_xlfn.MAXIFS('4-Basis ruimtestaat'!N:N,'4-Basis ruimtestaat'!B:B,'2-Kosten per locatie'!A17)</f>
        <v>0</v>
      </c>
      <c r="F17" s="443" t="e">
        <f>SUMIF('4-Basis ruimtestaat'!B:B,'2-Kosten per locatie'!A17,'4-Basis ruimtestaat'!R:R)</f>
        <v>#DIV/0!</v>
      </c>
      <c r="G17" s="443">
        <f>SUMIF('4-Basis ruimtestaat'!B:B,'2-Kosten per locatie'!A17,'4-Basis ruimtestaat'!T:T)</f>
        <v>0</v>
      </c>
      <c r="H17" s="443" t="e">
        <f t="shared" si="0"/>
        <v>#DIV/0!</v>
      </c>
      <c r="I17" s="443">
        <f t="shared" si="0"/>
        <v>0</v>
      </c>
      <c r="J17" s="443" t="e">
        <f t="shared" si="1"/>
        <v>#DIV/0!</v>
      </c>
      <c r="K17" s="443">
        <f t="shared" si="1"/>
        <v>0</v>
      </c>
      <c r="L17" s="42"/>
      <c r="M17" s="40"/>
      <c r="N17" s="40"/>
      <c r="O17" s="40"/>
      <c r="P17" s="40"/>
      <c r="Q17" s="40"/>
      <c r="R17" s="40"/>
      <c r="S17" s="40"/>
      <c r="T17" s="40"/>
      <c r="U17" s="40"/>
      <c r="V17" s="40"/>
      <c r="W17" s="40"/>
      <c r="X17" s="40"/>
      <c r="Y17" s="40"/>
      <c r="Z17" s="40"/>
      <c r="AA17" s="40"/>
      <c r="AB17" s="40"/>
      <c r="AC17" s="40"/>
      <c r="AD17" s="40"/>
      <c r="AE17" s="40"/>
      <c r="AF17" s="40"/>
      <c r="AG17" s="40"/>
    </row>
    <row r="18" spans="1:33" ht="15" customHeight="1">
      <c r="A18" s="278" t="s">
        <v>273</v>
      </c>
      <c r="B18" s="441">
        <f>SUMIF('4-Basis ruimtestaat'!B:B,'2-Kosten per locatie'!A18,'4-Basis ruimtestaat'!J:J)</f>
        <v>316.22000000000008</v>
      </c>
      <c r="C18" s="215"/>
      <c r="D18" s="216">
        <f>_xlfn.MAXIFS('4-Basis ruimtestaat'!L:L,'4-Basis ruimtestaat'!B:B,'2-Kosten per locatie'!A18)</f>
        <v>205</v>
      </c>
      <c r="E18" s="216">
        <f>_xlfn.MAXIFS('4-Basis ruimtestaat'!N:N,'4-Basis ruimtestaat'!B:B,'2-Kosten per locatie'!A18)</f>
        <v>0</v>
      </c>
      <c r="F18" s="443" t="e">
        <f>SUMIF('4-Basis ruimtestaat'!B:B,'2-Kosten per locatie'!A18,'4-Basis ruimtestaat'!R:R)</f>
        <v>#DIV/0!</v>
      </c>
      <c r="G18" s="443">
        <f>SUMIF('4-Basis ruimtestaat'!B:B,'2-Kosten per locatie'!A18,'4-Basis ruimtestaat'!T:T)</f>
        <v>0</v>
      </c>
      <c r="H18" s="443" t="e">
        <f t="shared" si="0"/>
        <v>#DIV/0!</v>
      </c>
      <c r="I18" s="443">
        <f t="shared" si="0"/>
        <v>0</v>
      </c>
      <c r="J18" s="443" t="e">
        <f t="shared" si="1"/>
        <v>#DIV/0!</v>
      </c>
      <c r="K18" s="443">
        <f t="shared" si="1"/>
        <v>0</v>
      </c>
      <c r="L18" s="42"/>
      <c r="M18" s="40"/>
      <c r="N18" s="40"/>
      <c r="O18" s="40"/>
      <c r="P18" s="40"/>
      <c r="Q18" s="40"/>
      <c r="R18" s="40"/>
      <c r="S18" s="40"/>
      <c r="T18" s="40"/>
      <c r="U18" s="40"/>
      <c r="V18" s="40"/>
      <c r="W18" s="40"/>
      <c r="X18" s="40"/>
      <c r="Y18" s="40"/>
      <c r="Z18" s="40"/>
      <c r="AA18" s="40"/>
      <c r="AB18" s="40"/>
      <c r="AC18" s="40"/>
      <c r="AD18" s="40"/>
      <c r="AE18" s="40"/>
      <c r="AF18" s="40"/>
      <c r="AG18" s="40"/>
    </row>
    <row r="19" spans="1:33" ht="15" customHeight="1">
      <c r="A19" s="278" t="s">
        <v>272</v>
      </c>
      <c r="B19" s="441">
        <f>SUMIF('4-Basis ruimtestaat'!B:B,'2-Kosten per locatie'!A19,'4-Basis ruimtestaat'!J:J)</f>
        <v>894.5</v>
      </c>
      <c r="C19" s="215"/>
      <c r="D19" s="216">
        <f>_xlfn.MAXIFS('4-Basis ruimtestaat'!L:L,'4-Basis ruimtestaat'!B:B,'2-Kosten per locatie'!A19)</f>
        <v>52</v>
      </c>
      <c r="E19" s="216">
        <f>_xlfn.MAXIFS('4-Basis ruimtestaat'!N:N,'4-Basis ruimtestaat'!B:B,'2-Kosten per locatie'!A19)</f>
        <v>0</v>
      </c>
      <c r="F19" s="443" t="e">
        <f>SUMIF('4-Basis ruimtestaat'!B:B,'2-Kosten per locatie'!A19,'4-Basis ruimtestaat'!R:R)</f>
        <v>#DIV/0!</v>
      </c>
      <c r="G19" s="443">
        <f>SUMIF('4-Basis ruimtestaat'!B:B,'2-Kosten per locatie'!A19,'4-Basis ruimtestaat'!T:T)</f>
        <v>0</v>
      </c>
      <c r="H19" s="443" t="e">
        <f t="shared" si="0"/>
        <v>#DIV/0!</v>
      </c>
      <c r="I19" s="443">
        <f t="shared" si="0"/>
        <v>0</v>
      </c>
      <c r="J19" s="443" t="e">
        <f t="shared" si="1"/>
        <v>#DIV/0!</v>
      </c>
      <c r="K19" s="443">
        <f t="shared" si="1"/>
        <v>0</v>
      </c>
      <c r="L19" s="42"/>
      <c r="M19" s="40"/>
      <c r="N19" s="40"/>
      <c r="O19" s="40"/>
      <c r="P19" s="40"/>
      <c r="Q19" s="40"/>
      <c r="R19" s="40"/>
      <c r="S19" s="40"/>
      <c r="T19" s="40"/>
      <c r="U19" s="40"/>
      <c r="V19" s="40"/>
      <c r="W19" s="40"/>
      <c r="X19" s="40"/>
      <c r="Y19" s="40"/>
      <c r="Z19" s="40"/>
      <c r="AA19" s="40"/>
      <c r="AB19" s="40"/>
      <c r="AC19" s="40"/>
      <c r="AD19" s="40"/>
      <c r="AE19" s="40"/>
      <c r="AF19" s="40"/>
      <c r="AG19" s="40"/>
    </row>
    <row r="20" spans="1:33" ht="15" customHeight="1">
      <c r="A20" s="278" t="s">
        <v>275</v>
      </c>
      <c r="B20" s="441">
        <f>SUMIF('4-Basis ruimtestaat'!B:B,'2-Kosten per locatie'!A20,'4-Basis ruimtestaat'!J:J)</f>
        <v>4071.5499999999997</v>
      </c>
      <c r="C20" s="215"/>
      <c r="D20" s="216">
        <f>_xlfn.MAXIFS('4-Basis ruimtestaat'!L:L,'4-Basis ruimtestaat'!B:B,'2-Kosten per locatie'!A20)</f>
        <v>255</v>
      </c>
      <c r="E20" s="216">
        <f>_xlfn.MAXIFS('4-Basis ruimtestaat'!N:N,'4-Basis ruimtestaat'!B:B,'2-Kosten per locatie'!A20)</f>
        <v>102</v>
      </c>
      <c r="F20" s="443" t="e">
        <f>SUMIF('4-Basis ruimtestaat'!B:B,'2-Kosten per locatie'!A20,'4-Basis ruimtestaat'!R:R)</f>
        <v>#DIV/0!</v>
      </c>
      <c r="G20" s="443" t="e">
        <f>SUMIF('4-Basis ruimtestaat'!B:B,'2-Kosten per locatie'!A20,'4-Basis ruimtestaat'!T:T)</f>
        <v>#DIV/0!</v>
      </c>
      <c r="H20" s="443" t="e">
        <f t="shared" si="0"/>
        <v>#DIV/0!</v>
      </c>
      <c r="I20" s="443" t="e">
        <f t="shared" si="0"/>
        <v>#DIV/0!</v>
      </c>
      <c r="J20" s="443" t="e">
        <f t="shared" si="1"/>
        <v>#DIV/0!</v>
      </c>
      <c r="K20" s="443" t="e">
        <f t="shared" si="1"/>
        <v>#DIV/0!</v>
      </c>
      <c r="L20" s="42"/>
      <c r="M20" s="40"/>
      <c r="N20" s="40"/>
      <c r="O20" s="40"/>
      <c r="P20" s="40"/>
      <c r="Q20" s="40"/>
      <c r="R20" s="40"/>
      <c r="S20" s="40"/>
      <c r="T20" s="40"/>
      <c r="U20" s="40"/>
      <c r="V20" s="40"/>
      <c r="W20" s="40"/>
      <c r="X20" s="40"/>
      <c r="Y20" s="40"/>
      <c r="Z20" s="40"/>
      <c r="AA20" s="40"/>
      <c r="AB20" s="40"/>
      <c r="AC20" s="40"/>
      <c r="AD20" s="40"/>
      <c r="AE20" s="40"/>
      <c r="AF20" s="40"/>
      <c r="AG20" s="40"/>
    </row>
    <row r="21" spans="1:33" ht="15" customHeight="1">
      <c r="A21" s="278" t="s">
        <v>457</v>
      </c>
      <c r="B21" s="441">
        <f>SUMIF('4-Basis ruimtestaat'!B:B,'2-Kosten per locatie'!A21,'4-Basis ruimtestaat'!J:J)</f>
        <v>3176.4199999999987</v>
      </c>
      <c r="C21" s="215"/>
      <c r="D21" s="216">
        <f>_xlfn.MAXIFS('4-Basis ruimtestaat'!L:L,'4-Basis ruimtestaat'!B:B,'2-Kosten per locatie'!A21)</f>
        <v>255</v>
      </c>
      <c r="E21" s="216">
        <f>_xlfn.MAXIFS('4-Basis ruimtestaat'!N:N,'4-Basis ruimtestaat'!B:B,'2-Kosten per locatie'!A21)</f>
        <v>0</v>
      </c>
      <c r="F21" s="443" t="e">
        <f>SUMIF('4-Basis ruimtestaat'!B:B,'2-Kosten per locatie'!A21,'4-Basis ruimtestaat'!R:R)</f>
        <v>#DIV/0!</v>
      </c>
      <c r="G21" s="443">
        <f>SUMIF('4-Basis ruimtestaat'!B:B,'2-Kosten per locatie'!A21,'4-Basis ruimtestaat'!T:T)</f>
        <v>0</v>
      </c>
      <c r="H21" s="443" t="e">
        <f t="shared" si="0"/>
        <v>#DIV/0!</v>
      </c>
      <c r="I21" s="443">
        <f t="shared" si="0"/>
        <v>0</v>
      </c>
      <c r="J21" s="443" t="e">
        <f t="shared" si="1"/>
        <v>#DIV/0!</v>
      </c>
      <c r="K21" s="443">
        <f t="shared" si="1"/>
        <v>0</v>
      </c>
      <c r="L21" s="42"/>
      <c r="M21" s="40"/>
      <c r="N21" s="40"/>
      <c r="O21" s="40"/>
      <c r="P21" s="40"/>
      <c r="Q21" s="40"/>
      <c r="R21" s="40"/>
      <c r="S21" s="40"/>
      <c r="T21" s="40"/>
      <c r="U21" s="40"/>
      <c r="V21" s="40"/>
      <c r="W21" s="40"/>
      <c r="X21" s="40"/>
      <c r="Y21" s="40"/>
      <c r="Z21" s="40"/>
      <c r="AA21" s="40"/>
      <c r="AB21" s="40"/>
      <c r="AC21" s="40"/>
      <c r="AD21" s="40"/>
      <c r="AE21" s="40"/>
      <c r="AF21" s="40"/>
      <c r="AG21" s="40"/>
    </row>
    <row r="22" spans="1:33" s="57" customFormat="1" ht="15" customHeight="1">
      <c r="A22" s="280" t="s">
        <v>31</v>
      </c>
      <c r="B22" s="442">
        <f>SUM(B15:B20)</f>
        <v>9590.0299999999988</v>
      </c>
      <c r="C22" s="465"/>
      <c r="D22" s="217"/>
      <c r="E22" s="217"/>
      <c r="F22" s="444" t="e">
        <f>SUM(F15:F21)</f>
        <v>#DIV/0!</v>
      </c>
      <c r="G22" s="444" t="e">
        <f t="shared" ref="G22" si="2">SUM(G15:G21)</f>
        <v>#DIV/0!</v>
      </c>
      <c r="H22" s="444" t="e">
        <f>SUM(H15:H21)</f>
        <v>#DIV/0!</v>
      </c>
      <c r="I22" s="444" t="e">
        <f t="shared" ref="I22:K22" si="3">SUM(I15:I21)</f>
        <v>#DIV/0!</v>
      </c>
      <c r="J22" s="444" t="e">
        <f t="shared" si="3"/>
        <v>#DIV/0!</v>
      </c>
      <c r="K22" s="444" t="e">
        <f t="shared" si="3"/>
        <v>#DIV/0!</v>
      </c>
      <c r="L22" s="42"/>
    </row>
    <row r="23" spans="1:33" s="54" customFormat="1" ht="14.1" customHeight="1">
      <c r="AD23" s="40"/>
    </row>
    <row r="24" spans="1:33" ht="83.4" customHeight="1">
      <c r="A24" s="230" t="s">
        <v>20</v>
      </c>
      <c r="B24" s="231" t="s">
        <v>32</v>
      </c>
      <c r="C24" s="231" t="s">
        <v>33</v>
      </c>
      <c r="D24" s="231" t="s">
        <v>34</v>
      </c>
      <c r="E24" s="231" t="s">
        <v>35</v>
      </c>
      <c r="F24" s="231" t="s">
        <v>36</v>
      </c>
      <c r="G24" s="229" t="s">
        <v>37</v>
      </c>
      <c r="H24" s="231" t="s">
        <v>38</v>
      </c>
      <c r="I24" s="231" t="s">
        <v>39</v>
      </c>
      <c r="J24" s="231" t="s">
        <v>40</v>
      </c>
      <c r="K24" s="231" t="s">
        <v>41</v>
      </c>
      <c r="X24" s="54"/>
      <c r="Y24" s="40"/>
      <c r="Z24" s="40"/>
      <c r="AA24" s="40"/>
      <c r="AB24" s="40"/>
      <c r="AC24" s="40"/>
      <c r="AD24" s="40"/>
      <c r="AE24" s="40"/>
      <c r="AF24" s="40"/>
      <c r="AG24" s="40"/>
    </row>
    <row r="25" spans="1:33" s="54" customFormat="1" ht="15" customHeight="1">
      <c r="A25" s="278" t="str">
        <f t="shared" ref="A25:A31" si="4">A15</f>
        <v>MFC de Meander</v>
      </c>
      <c r="B25" s="55" t="e">
        <f>(F15+H15)*'6-Opbouw uurtarief productie'!$E$47</f>
        <v>#DIV/0!</v>
      </c>
      <c r="C25" s="55" t="e">
        <f>(G15+I15)*'6-Opbouw uurtarief productie'!$E$51</f>
        <v>#DIV/0!</v>
      </c>
      <c r="D25" s="56" t="e">
        <f t="shared" ref="D25:D31" si="5">SUM(B25:C25)</f>
        <v>#DIV/0!</v>
      </c>
      <c r="E25" s="56" t="e">
        <f>J15*'7-Opbouw uurtarief toezicht'!$E$47</f>
        <v>#DIV/0!</v>
      </c>
      <c r="F25" s="281" t="e">
        <f>K15*'7-Opbouw uurtarief toezicht'!$E$51</f>
        <v>#DIV/0!</v>
      </c>
      <c r="G25" s="219" t="e">
        <f t="shared" ref="G25:G31" si="6">SUM(E25:F25)</f>
        <v>#DIV/0!</v>
      </c>
      <c r="H25" s="281">
        <f>SUMIF('8-Additionele kosten'!A:A,'2-Kosten per locatie'!A25,'8-Additionele kosten'!H:H)</f>
        <v>0</v>
      </c>
      <c r="I25" s="463">
        <f>SUMIF('10-Glasbewassing'!A:A,'2-Kosten per locatie'!A25,'10-Glasbewassing'!H:H)</f>
        <v>0</v>
      </c>
      <c r="J25" s="281" t="e">
        <f>D25+G25+H25+I25</f>
        <v>#DIV/0!</v>
      </c>
      <c r="K25" s="281" t="e">
        <f>J25/12</f>
        <v>#DIV/0!</v>
      </c>
      <c r="L25" s="41"/>
      <c r="M25" s="41"/>
      <c r="N25" s="41"/>
      <c r="O25" s="41"/>
      <c r="P25" s="41"/>
    </row>
    <row r="26" spans="1:33" ht="15" customHeight="1">
      <c r="A26" s="278" t="str">
        <f t="shared" si="4"/>
        <v>T dijckhuis</v>
      </c>
      <c r="B26" s="55" t="e">
        <f>(F16+H16)*'6-Opbouw uurtarief productie'!$E$47</f>
        <v>#DIV/0!</v>
      </c>
      <c r="C26" s="55" t="e">
        <f>(G16+I16)*'6-Opbouw uurtarief productie'!$E$51</f>
        <v>#DIV/0!</v>
      </c>
      <c r="D26" s="56" t="e">
        <f t="shared" si="5"/>
        <v>#DIV/0!</v>
      </c>
      <c r="E26" s="56" t="e">
        <f>J16*'7-Opbouw uurtarief toezicht'!$E$47</f>
        <v>#DIV/0!</v>
      </c>
      <c r="F26" s="281" t="e">
        <f>K16*'7-Opbouw uurtarief toezicht'!$E$51</f>
        <v>#DIV/0!</v>
      </c>
      <c r="G26" s="219" t="e">
        <f t="shared" si="6"/>
        <v>#DIV/0!</v>
      </c>
      <c r="H26" s="281">
        <f>SUMIF('8-Additionele kosten'!A:A,'2-Kosten per locatie'!A26,'8-Additionele kosten'!H:H)</f>
        <v>0</v>
      </c>
      <c r="I26" s="463">
        <f>SUMIF('10-Glasbewassing'!A:A,'2-Kosten per locatie'!A26,'10-Glasbewassing'!H:H)</f>
        <v>0</v>
      </c>
      <c r="J26" s="281" t="e">
        <f t="shared" ref="J26:J31" si="7">D26+G26+H26+I26</f>
        <v>#DIV/0!</v>
      </c>
      <c r="K26" s="281" t="e">
        <f t="shared" ref="K26:K27" si="8">J26/12</f>
        <v>#DIV/0!</v>
      </c>
      <c r="X26" s="54"/>
      <c r="Y26" s="40"/>
      <c r="Z26" s="40"/>
      <c r="AA26" s="40"/>
      <c r="AB26" s="40"/>
      <c r="AC26" s="40"/>
      <c r="AD26" s="40"/>
      <c r="AE26" s="40"/>
      <c r="AF26" s="40"/>
      <c r="AG26" s="40"/>
    </row>
    <row r="27" spans="1:33" ht="15" customHeight="1">
      <c r="A27" s="278" t="str">
        <f t="shared" si="4"/>
        <v>Gymzaal Reede</v>
      </c>
      <c r="B27" s="55" t="e">
        <f>(F17+H17)*'6-Opbouw uurtarief productie'!$E$47</f>
        <v>#DIV/0!</v>
      </c>
      <c r="C27" s="55" t="e">
        <f>(G17+I17)*'6-Opbouw uurtarief productie'!$E$51</f>
        <v>#DIV/0!</v>
      </c>
      <c r="D27" s="56" t="e">
        <f t="shared" si="5"/>
        <v>#DIV/0!</v>
      </c>
      <c r="E27" s="56" t="e">
        <f>J17*'7-Opbouw uurtarief toezicht'!$E$47</f>
        <v>#DIV/0!</v>
      </c>
      <c r="F27" s="281" t="e">
        <f>K17*'7-Opbouw uurtarief toezicht'!$E$51</f>
        <v>#DIV/0!</v>
      </c>
      <c r="G27" s="219" t="e">
        <f t="shared" si="6"/>
        <v>#DIV/0!</v>
      </c>
      <c r="H27" s="281">
        <f>SUMIF('8-Additionele kosten'!A:A,'2-Kosten per locatie'!A27,'8-Additionele kosten'!H:H)</f>
        <v>0</v>
      </c>
      <c r="I27" s="463">
        <f>SUMIF('10-Glasbewassing'!A:A,'2-Kosten per locatie'!A27,'10-Glasbewassing'!H:H)</f>
        <v>0</v>
      </c>
      <c r="J27" s="281" t="e">
        <f t="shared" si="7"/>
        <v>#DIV/0!</v>
      </c>
      <c r="K27" s="281" t="e">
        <f t="shared" si="8"/>
        <v>#DIV/0!</v>
      </c>
      <c r="X27" s="54"/>
      <c r="Y27" s="40"/>
      <c r="Z27" s="40"/>
      <c r="AA27" s="40"/>
      <c r="AB27" s="40"/>
      <c r="AC27" s="40"/>
      <c r="AD27" s="40"/>
      <c r="AE27" s="40"/>
      <c r="AF27" s="40"/>
      <c r="AG27" s="40"/>
    </row>
    <row r="28" spans="1:33" ht="15" customHeight="1">
      <c r="A28" s="278" t="str">
        <f t="shared" si="4"/>
        <v>Gymzaal MH Tromp</v>
      </c>
      <c r="B28" s="55" t="e">
        <f>(F18+H18)*'6-Opbouw uurtarief productie'!$E$47</f>
        <v>#DIV/0!</v>
      </c>
      <c r="C28" s="55" t="e">
        <f>(G18+I18)*'6-Opbouw uurtarief productie'!$E$51</f>
        <v>#DIV/0!</v>
      </c>
      <c r="D28" s="56" t="e">
        <f t="shared" si="5"/>
        <v>#DIV/0!</v>
      </c>
      <c r="E28" s="56" t="e">
        <f>J18*'7-Opbouw uurtarief toezicht'!$E$47</f>
        <v>#DIV/0!</v>
      </c>
      <c r="F28" s="281" t="e">
        <f>K18*'7-Opbouw uurtarief toezicht'!$E$51</f>
        <v>#DIV/0!</v>
      </c>
      <c r="G28" s="219" t="e">
        <f t="shared" si="6"/>
        <v>#DIV/0!</v>
      </c>
      <c r="H28" s="281">
        <f>SUMIF('8-Additionele kosten'!A:A,'2-Kosten per locatie'!A28,'8-Additionele kosten'!H:H)</f>
        <v>0</v>
      </c>
      <c r="I28" s="463">
        <f>SUMIF('10-Glasbewassing'!A:A,'2-Kosten per locatie'!A28,'10-Glasbewassing'!H:H)</f>
        <v>0</v>
      </c>
      <c r="J28" s="281" t="e">
        <f t="shared" si="7"/>
        <v>#DIV/0!</v>
      </c>
      <c r="K28" s="281" t="e">
        <f t="shared" ref="K28:K30" si="9">J28/12</f>
        <v>#DIV/0!</v>
      </c>
      <c r="X28" s="54"/>
      <c r="Y28" s="40"/>
      <c r="Z28" s="40"/>
      <c r="AA28" s="40"/>
      <c r="AB28" s="40"/>
      <c r="AC28" s="40"/>
      <c r="AD28" s="40"/>
      <c r="AE28" s="40"/>
      <c r="AF28" s="40"/>
      <c r="AG28" s="40"/>
    </row>
    <row r="29" spans="1:33" ht="15" customHeight="1">
      <c r="A29" s="278" t="str">
        <f t="shared" si="4"/>
        <v>CC de Man</v>
      </c>
      <c r="B29" s="55" t="e">
        <f>(F19+H19)*'6-Opbouw uurtarief productie'!$E$47</f>
        <v>#DIV/0!</v>
      </c>
      <c r="C29" s="55" t="e">
        <f>(G19+I19)*'6-Opbouw uurtarief productie'!$E$51</f>
        <v>#DIV/0!</v>
      </c>
      <c r="D29" s="56" t="e">
        <f t="shared" si="5"/>
        <v>#DIV/0!</v>
      </c>
      <c r="E29" s="56" t="e">
        <f>J19*'7-Opbouw uurtarief toezicht'!$E$47</f>
        <v>#DIV/0!</v>
      </c>
      <c r="F29" s="281" t="e">
        <f>K19*'7-Opbouw uurtarief toezicht'!$E$51</f>
        <v>#DIV/0!</v>
      </c>
      <c r="G29" s="219" t="e">
        <f t="shared" si="6"/>
        <v>#DIV/0!</v>
      </c>
      <c r="H29" s="281">
        <f>SUMIF('8-Additionele kosten'!A:A,'2-Kosten per locatie'!A29,'8-Additionele kosten'!H:H)</f>
        <v>0</v>
      </c>
      <c r="I29" s="463">
        <f>SUMIF('10-Glasbewassing'!A:A,'2-Kosten per locatie'!A29,'10-Glasbewassing'!H:H)</f>
        <v>0</v>
      </c>
      <c r="J29" s="281" t="e">
        <f t="shared" si="7"/>
        <v>#DIV/0!</v>
      </c>
      <c r="K29" s="281" t="e">
        <f t="shared" si="9"/>
        <v>#DIV/0!</v>
      </c>
      <c r="X29" s="54"/>
      <c r="Y29" s="40"/>
      <c r="Z29" s="40"/>
      <c r="AA29" s="40"/>
      <c r="AB29" s="40"/>
      <c r="AC29" s="40"/>
      <c r="AD29" s="40"/>
      <c r="AE29" s="40"/>
      <c r="AF29" s="40"/>
      <c r="AG29" s="40"/>
    </row>
    <row r="30" spans="1:33" ht="15" customHeight="1">
      <c r="A30" s="278" t="str">
        <f t="shared" si="4"/>
        <v>Dukdaf/Bres</v>
      </c>
      <c r="B30" s="55" t="e">
        <f>(F20+H20)*'6-Opbouw uurtarief productie'!$E$47</f>
        <v>#DIV/0!</v>
      </c>
      <c r="C30" s="55" t="e">
        <f>(G20+I20)*'6-Opbouw uurtarief productie'!$E$51</f>
        <v>#DIV/0!</v>
      </c>
      <c r="D30" s="56" t="e">
        <f t="shared" si="5"/>
        <v>#DIV/0!</v>
      </c>
      <c r="E30" s="56" t="e">
        <f>J20*'7-Opbouw uurtarief toezicht'!$E$47</f>
        <v>#DIV/0!</v>
      </c>
      <c r="F30" s="281" t="e">
        <f>K20*'7-Opbouw uurtarief toezicht'!$E$51</f>
        <v>#DIV/0!</v>
      </c>
      <c r="G30" s="219" t="e">
        <f t="shared" si="6"/>
        <v>#DIV/0!</v>
      </c>
      <c r="H30" s="281">
        <f>SUMIF('8-Additionele kosten'!A:A,'2-Kosten per locatie'!A30,'8-Additionele kosten'!H:H)</f>
        <v>0</v>
      </c>
      <c r="I30" s="281">
        <f>SUMIF('10-Glasbewassing'!A:A,'2-Kosten per locatie'!A30,'10-Glasbewassing'!H:H)</f>
        <v>0</v>
      </c>
      <c r="J30" s="281" t="e">
        <f t="shared" si="7"/>
        <v>#DIV/0!</v>
      </c>
      <c r="K30" s="281" t="e">
        <f t="shared" si="9"/>
        <v>#DIV/0!</v>
      </c>
      <c r="X30" s="54"/>
      <c r="Y30" s="40"/>
      <c r="Z30" s="40"/>
      <c r="AA30" s="40"/>
      <c r="AB30" s="40"/>
      <c r="AC30" s="40"/>
      <c r="AD30" s="40"/>
      <c r="AE30" s="40"/>
      <c r="AF30" s="40"/>
      <c r="AG30" s="40"/>
    </row>
    <row r="31" spans="1:33" ht="15" customHeight="1">
      <c r="A31" s="278" t="str">
        <f t="shared" si="4"/>
        <v>CC de Merel/ Zeewinde</v>
      </c>
      <c r="B31" s="55" t="e">
        <f>(F21+H21)*'6-Opbouw uurtarief productie'!$E$47</f>
        <v>#DIV/0!</v>
      </c>
      <c r="C31" s="55" t="e">
        <f>(G21+I21)*'6-Opbouw uurtarief productie'!$E$51</f>
        <v>#DIV/0!</v>
      </c>
      <c r="D31" s="56" t="e">
        <f t="shared" si="5"/>
        <v>#DIV/0!</v>
      </c>
      <c r="E31" s="56" t="e">
        <f>J21*'7-Opbouw uurtarief toezicht'!$E$47</f>
        <v>#DIV/0!</v>
      </c>
      <c r="F31" s="281" t="e">
        <f>K21*'7-Opbouw uurtarief toezicht'!$E$51</f>
        <v>#DIV/0!</v>
      </c>
      <c r="G31" s="219" t="e">
        <f t="shared" si="6"/>
        <v>#DIV/0!</v>
      </c>
      <c r="H31" s="281">
        <f>SUMIF('8-Additionele kosten'!A:A,'2-Kosten per locatie'!A31,'8-Additionele kosten'!H:H)</f>
        <v>0</v>
      </c>
      <c r="I31" s="281">
        <f>SUMIF('10-Glasbewassing'!A:A,'2-Kosten per locatie'!A31,'10-Glasbewassing'!H:H)</f>
        <v>0</v>
      </c>
      <c r="J31" s="281" t="e">
        <f t="shared" si="7"/>
        <v>#DIV/0!</v>
      </c>
      <c r="K31" s="281" t="e">
        <f t="shared" ref="K31" si="10">J31/12</f>
        <v>#DIV/0!</v>
      </c>
      <c r="X31" s="54"/>
      <c r="Y31" s="40"/>
      <c r="Z31" s="40"/>
      <c r="AA31" s="40"/>
      <c r="AB31" s="40"/>
      <c r="AC31" s="40"/>
      <c r="AD31" s="40"/>
      <c r="AE31" s="40"/>
      <c r="AF31" s="40"/>
      <c r="AG31" s="40"/>
    </row>
    <row r="32" spans="1:33" s="57" customFormat="1" ht="15" customHeight="1">
      <c r="A32" s="280" t="s">
        <v>31</v>
      </c>
      <c r="B32" s="282" t="e">
        <f t="shared" ref="B32:I32" si="11">SUM(B25:B31)</f>
        <v>#DIV/0!</v>
      </c>
      <c r="C32" s="282" t="e">
        <f t="shared" si="11"/>
        <v>#DIV/0!</v>
      </c>
      <c r="D32" s="282" t="e">
        <f t="shared" si="11"/>
        <v>#DIV/0!</v>
      </c>
      <c r="E32" s="282" t="e">
        <f t="shared" si="11"/>
        <v>#DIV/0!</v>
      </c>
      <c r="F32" s="282" t="e">
        <f t="shared" si="11"/>
        <v>#DIV/0!</v>
      </c>
      <c r="G32" s="282" t="e">
        <f t="shared" si="11"/>
        <v>#DIV/0!</v>
      </c>
      <c r="H32" s="282">
        <f t="shared" si="11"/>
        <v>0</v>
      </c>
      <c r="I32" s="282">
        <f t="shared" si="11"/>
        <v>0</v>
      </c>
      <c r="J32" s="282" t="e">
        <f>SUM(J25:J31)</f>
        <v>#DIV/0!</v>
      </c>
      <c r="K32" s="282" t="e">
        <f>SUM(K25:K31)</f>
        <v>#DIV/0!</v>
      </c>
      <c r="T32" s="54"/>
      <c r="U32" s="54"/>
      <c r="V32" s="54"/>
      <c r="W32" s="54"/>
      <c r="X32" s="54"/>
    </row>
    <row r="33" spans="29:33" ht="14.1" customHeight="1">
      <c r="AC33" s="54"/>
      <c r="AD33" s="54"/>
      <c r="AE33" s="54"/>
      <c r="AF33" s="54"/>
      <c r="AG33" s="54"/>
    </row>
  </sheetData>
  <mergeCells count="3">
    <mergeCell ref="P13:U13"/>
    <mergeCell ref="J13:O13"/>
    <mergeCell ref="V13:AA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2"/>
  <sheetViews>
    <sheetView showGridLines="0" zoomScale="85" zoomScaleNormal="85" workbookViewId="0">
      <pane ySplit="9" topLeftCell="A10" activePane="bottomLeft" state="frozen"/>
      <selection activeCell="B1" sqref="B1"/>
      <selection pane="bottomLeft" activeCell="K8" sqref="K8"/>
    </sheetView>
  </sheetViews>
  <sheetFormatPr defaultColWidth="9.109375" defaultRowHeight="13.2"/>
  <cols>
    <col min="1" max="1" width="29.6640625" style="58" customWidth="1"/>
    <col min="2" max="2" width="9.109375" style="58" customWidth="1"/>
    <col min="3" max="6" width="9.109375" style="58"/>
    <col min="7" max="7" width="17.33203125" style="58" bestFit="1" customWidth="1"/>
    <col min="8" max="8" width="9.109375" style="58"/>
    <col min="9" max="9" width="2.109375" style="58" customWidth="1"/>
    <col min="10" max="10" width="9.109375" style="59"/>
    <col min="11" max="11" width="11.6640625" style="58" customWidth="1"/>
    <col min="12" max="12" width="3" style="58" customWidth="1"/>
    <col min="13" max="13" width="9.109375" style="2"/>
    <col min="14" max="14" width="30.44140625" style="2" customWidth="1"/>
    <col min="15" max="16384" width="9.109375" style="2"/>
  </cols>
  <sheetData>
    <row r="1" spans="1:12">
      <c r="A1" s="450" t="s">
        <v>4</v>
      </c>
    </row>
    <row r="3" spans="1:12" ht="15.6">
      <c r="A3" s="38" t="str">
        <f>'2-Kosten per locatie'!A3</f>
        <v>Naam opdrachtgever</v>
      </c>
      <c r="B3" s="47" t="str">
        <f>'2-Kosten per locatie'!B3</f>
        <v>Gemeente Voorne aan Zee</v>
      </c>
      <c r="C3" s="60"/>
    </row>
    <row r="4" spans="1:12" ht="15.6">
      <c r="A4" s="38" t="str">
        <f>'2-Kosten per locatie'!A4</f>
        <v>Calculatie onderdeel</v>
      </c>
      <c r="B4" s="47" t="str">
        <f ca="1">MID(CELL("bestandsnaam",$B$7),SEARCH("]",CELL("bestandsnaam",$B$7),1)+1,256)</f>
        <v>3-Productie normen</v>
      </c>
      <c r="C4" s="47"/>
    </row>
    <row r="5" spans="1:12" ht="15.6">
      <c r="A5" s="38" t="str">
        <f>'2-Kosten per locatie'!A5</f>
        <v>Gebouw/plaats</v>
      </c>
      <c r="B5" s="47" t="str">
        <f>'2-Kosten per locatie'!B5</f>
        <v>Perceel 1</v>
      </c>
      <c r="C5" s="47"/>
    </row>
    <row r="6" spans="1:12" ht="15.6">
      <c r="A6" s="38" t="str">
        <f>'2-Kosten per locatie'!A6</f>
        <v>Referentie nummer</v>
      </c>
      <c r="B6" s="47" t="str">
        <f>'2-Kosten per locatie'!B6</f>
        <v>TN521819</v>
      </c>
      <c r="C6" s="47"/>
      <c r="E6" s="283" t="s">
        <v>42</v>
      </c>
      <c r="F6" s="284"/>
      <c r="G6" s="285" t="e">
        <f>SUM('4-Basis ruimtestaat'!AD:AD)/SUM('4-Basis ruimtestaat'!R:W)</f>
        <v>#DIV/0!</v>
      </c>
      <c r="H6" s="286" t="s">
        <v>43</v>
      </c>
    </row>
    <row r="7" spans="1:12">
      <c r="A7" s="61"/>
      <c r="B7" s="62"/>
      <c r="C7" s="62"/>
      <c r="D7" s="63"/>
      <c r="E7" s="64"/>
      <c r="F7" s="64"/>
      <c r="G7" s="65"/>
      <c r="H7" s="66"/>
      <c r="I7" s="67"/>
      <c r="K7" s="68"/>
      <c r="L7" s="67"/>
    </row>
    <row r="8" spans="1:12" ht="27.75" customHeight="1">
      <c r="A8" s="287" t="s">
        <v>44</v>
      </c>
      <c r="B8" s="288">
        <v>40</v>
      </c>
      <c r="C8" s="288">
        <v>52</v>
      </c>
      <c r="D8" s="288">
        <v>80</v>
      </c>
      <c r="E8" s="288">
        <v>104</v>
      </c>
      <c r="F8" s="288">
        <v>150</v>
      </c>
      <c r="G8" s="288">
        <v>205</v>
      </c>
      <c r="H8" s="288">
        <v>255</v>
      </c>
      <c r="I8" s="67"/>
      <c r="J8" s="191"/>
      <c r="K8" s="289"/>
      <c r="L8" s="192"/>
    </row>
    <row r="9" spans="1:12" ht="60.6" customHeight="1">
      <c r="A9" s="290" t="s">
        <v>45</v>
      </c>
      <c r="B9" s="473" t="s">
        <v>46</v>
      </c>
      <c r="C9" s="474"/>
      <c r="D9" s="474"/>
      <c r="E9" s="474"/>
      <c r="F9" s="474"/>
      <c r="G9" s="474"/>
      <c r="H9" s="475"/>
      <c r="I9" s="67"/>
      <c r="J9" s="291" t="s">
        <v>47</v>
      </c>
      <c r="K9" s="292" t="s">
        <v>49</v>
      </c>
      <c r="L9" s="192"/>
    </row>
    <row r="10" spans="1:12">
      <c r="A10" s="293" t="s">
        <v>51</v>
      </c>
      <c r="B10" s="294"/>
      <c r="C10" s="294"/>
      <c r="D10" s="294"/>
      <c r="E10" s="294"/>
      <c r="F10" s="297"/>
      <c r="G10" s="297"/>
      <c r="H10" s="294"/>
      <c r="I10" s="232"/>
      <c r="J10" s="295">
        <f>SUMIF('4-Basis ruimtestaat'!H:H,'3-Productie normen'!A10,'4-Basis ruimtestaat'!J:J)</f>
        <v>373.02000000000004</v>
      </c>
      <c r="L10" s="67"/>
    </row>
    <row r="11" spans="1:12">
      <c r="A11" s="293" t="s">
        <v>52</v>
      </c>
      <c r="B11" s="297"/>
      <c r="C11" s="294"/>
      <c r="D11" s="297"/>
      <c r="E11" s="294"/>
      <c r="F11" s="297"/>
      <c r="G11" s="294"/>
      <c r="H11" s="294"/>
      <c r="I11" s="232"/>
      <c r="J11" s="295">
        <f>SUMIF('4-Basis ruimtestaat'!H:H,'3-Productie normen'!A11,'4-Basis ruimtestaat'!J:J)</f>
        <v>276.41000000000003</v>
      </c>
      <c r="L11" s="67"/>
    </row>
    <row r="12" spans="1:12">
      <c r="A12" s="293" t="s">
        <v>53</v>
      </c>
      <c r="B12" s="294"/>
      <c r="C12" s="294"/>
      <c r="D12" s="297"/>
      <c r="E12" s="294"/>
      <c r="F12" s="297"/>
      <c r="G12" s="294"/>
      <c r="H12" s="294"/>
      <c r="I12" s="232"/>
      <c r="J12" s="295">
        <f>SUMIF('4-Basis ruimtestaat'!H:H,'3-Productie normen'!A12,'4-Basis ruimtestaat'!J:J)</f>
        <v>2151.54</v>
      </c>
    </row>
    <row r="13" spans="1:12">
      <c r="A13" s="293" t="s">
        <v>54</v>
      </c>
      <c r="B13" s="297"/>
      <c r="C13" s="297"/>
      <c r="D13" s="297"/>
      <c r="E13" s="297"/>
      <c r="F13" s="294"/>
      <c r="G13" s="297"/>
      <c r="H13" s="294"/>
      <c r="I13" s="232"/>
      <c r="J13" s="295">
        <f>SUMIF('4-Basis ruimtestaat'!H:H,'3-Productie normen'!A13,'4-Basis ruimtestaat'!J:J)</f>
        <v>46</v>
      </c>
      <c r="K13" s="459"/>
    </row>
    <row r="14" spans="1:12">
      <c r="A14" s="296" t="s">
        <v>55</v>
      </c>
      <c r="B14" s="297"/>
      <c r="C14" s="294"/>
      <c r="D14" s="297"/>
      <c r="E14" s="297"/>
      <c r="F14" s="297"/>
      <c r="G14" s="297"/>
      <c r="H14" s="294"/>
      <c r="I14" s="232"/>
      <c r="J14" s="295">
        <f>SUMIF('4-Basis ruimtestaat'!H:H,'3-Productie normen'!A14,'4-Basis ruimtestaat'!J:J)</f>
        <v>138.5</v>
      </c>
      <c r="K14" s="459"/>
    </row>
    <row r="15" spans="1:12">
      <c r="A15" s="293" t="s">
        <v>56</v>
      </c>
      <c r="B15" s="297"/>
      <c r="C15" s="294"/>
      <c r="D15" s="297"/>
      <c r="E15" s="297"/>
      <c r="F15" s="297"/>
      <c r="G15" s="294"/>
      <c r="H15" s="294"/>
      <c r="I15" s="232"/>
      <c r="J15" s="295">
        <f>SUMIF('4-Basis ruimtestaat'!H:H,'3-Productie normen'!A15,'4-Basis ruimtestaat'!J:J)</f>
        <v>858.2800000000002</v>
      </c>
      <c r="K15" s="459"/>
    </row>
    <row r="16" spans="1:12">
      <c r="A16" s="293" t="s">
        <v>57</v>
      </c>
      <c r="B16" s="294"/>
      <c r="C16" s="297"/>
      <c r="D16" s="294"/>
      <c r="E16" s="297"/>
      <c r="F16" s="297"/>
      <c r="G16" s="294"/>
      <c r="H16" s="294"/>
      <c r="I16" s="232"/>
      <c r="J16" s="295">
        <f>SUMIF('4-Basis ruimtestaat'!H:H,'3-Productie normen'!A16,'4-Basis ruimtestaat'!J:J)</f>
        <v>217.86999999999998</v>
      </c>
      <c r="K16" s="459"/>
    </row>
    <row r="17" spans="1:12">
      <c r="A17" s="293" t="s">
        <v>58</v>
      </c>
      <c r="B17" s="294"/>
      <c r="C17" s="297"/>
      <c r="D17" s="297"/>
      <c r="E17" s="297"/>
      <c r="F17" s="297"/>
      <c r="G17" s="294"/>
      <c r="H17" s="297"/>
      <c r="I17" s="232"/>
      <c r="J17" s="295">
        <f>SUMIF('4-Basis ruimtestaat'!H:H,'3-Productie normen'!A17,'4-Basis ruimtestaat'!J:J)</f>
        <v>172.56000000000003</v>
      </c>
      <c r="K17" s="459"/>
    </row>
    <row r="18" spans="1:12">
      <c r="A18" s="293" t="s">
        <v>59</v>
      </c>
      <c r="B18" s="297"/>
      <c r="C18" s="294"/>
      <c r="D18" s="297"/>
      <c r="E18" s="294"/>
      <c r="F18" s="297"/>
      <c r="G18" s="294"/>
      <c r="H18" s="294"/>
      <c r="I18" s="232"/>
      <c r="J18" s="295">
        <f>SUMIF('4-Basis ruimtestaat'!H:H,'3-Productie normen'!A18,'4-Basis ruimtestaat'!J:J)</f>
        <v>3881.9100000000003</v>
      </c>
      <c r="K18" s="459"/>
    </row>
    <row r="19" spans="1:12">
      <c r="A19" s="293" t="s">
        <v>247</v>
      </c>
      <c r="B19" s="297"/>
      <c r="C19" s="294"/>
      <c r="D19" s="297"/>
      <c r="E19" s="297"/>
      <c r="F19" s="297"/>
      <c r="G19" s="297"/>
      <c r="H19" s="297"/>
      <c r="I19" s="232"/>
      <c r="J19" s="295">
        <f>SUMIF('4-Basis ruimtestaat'!H:H,'3-Productie normen'!A19,'4-Basis ruimtestaat'!J:J)</f>
        <v>372.81</v>
      </c>
    </row>
    <row r="20" spans="1:12">
      <c r="A20" s="296" t="s">
        <v>60</v>
      </c>
      <c r="B20" s="297"/>
      <c r="C20" s="294"/>
      <c r="D20" s="297"/>
      <c r="E20" s="297"/>
      <c r="F20" s="297"/>
      <c r="G20" s="294"/>
      <c r="H20" s="294"/>
      <c r="I20" s="232"/>
      <c r="J20" s="295">
        <f>SUMIF('4-Basis ruimtestaat'!H:H,'3-Productie normen'!A20,'4-Basis ruimtestaat'!J:J)</f>
        <v>133.28</v>
      </c>
    </row>
    <row r="21" spans="1:12">
      <c r="A21" s="296" t="s">
        <v>320</v>
      </c>
      <c r="B21" s="297"/>
      <c r="C21" s="294"/>
      <c r="D21" s="297"/>
      <c r="E21" s="297"/>
      <c r="F21" s="297"/>
      <c r="G21" s="294"/>
      <c r="H21" s="294"/>
      <c r="I21" s="232"/>
      <c r="J21" s="295">
        <f>SUMIF('4-Basis ruimtestaat'!H:H,'3-Productie normen'!A21,'4-Basis ruimtestaat'!J:J)</f>
        <v>130.97999999999999</v>
      </c>
    </row>
    <row r="22" spans="1:12">
      <c r="A22" s="296" t="s">
        <v>61</v>
      </c>
      <c r="B22" s="294"/>
      <c r="C22" s="294"/>
      <c r="D22" s="297"/>
      <c r="E22" s="297"/>
      <c r="F22" s="297"/>
      <c r="G22" s="297"/>
      <c r="H22" s="294"/>
      <c r="I22" s="232"/>
      <c r="J22" s="295">
        <f>SUMIF('4-Basis ruimtestaat'!H:H,'3-Productie normen'!A22,'4-Basis ruimtestaat'!J:J)</f>
        <v>20.16</v>
      </c>
    </row>
    <row r="23" spans="1:12">
      <c r="A23" s="296" t="s">
        <v>251</v>
      </c>
      <c r="B23" s="297"/>
      <c r="C23" s="294"/>
      <c r="D23" s="294"/>
      <c r="E23" s="297"/>
      <c r="F23" s="297"/>
      <c r="G23" s="294"/>
      <c r="H23" s="294"/>
      <c r="I23" s="232"/>
      <c r="J23" s="295">
        <f>SUMIF('4-Basis ruimtestaat'!H:H,'3-Productie normen'!A23,'4-Basis ruimtestaat'!J:J)</f>
        <v>730.43</v>
      </c>
    </row>
    <row r="24" spans="1:12">
      <c r="A24" s="296" t="s">
        <v>318</v>
      </c>
      <c r="B24" s="297"/>
      <c r="C24" s="294"/>
      <c r="D24" s="297"/>
      <c r="E24" s="297"/>
      <c r="F24" s="297"/>
      <c r="G24" s="294"/>
      <c r="H24" s="294"/>
      <c r="I24" s="232"/>
      <c r="J24" s="295">
        <f>SUMIF('4-Basis ruimtestaat'!H:H,'3-Productie normen'!A24,'4-Basis ruimtestaat'!J:J)</f>
        <v>260.29999999999995</v>
      </c>
    </row>
    <row r="25" spans="1:12">
      <c r="A25" s="296" t="s">
        <v>319</v>
      </c>
      <c r="B25" s="297"/>
      <c r="C25" s="297"/>
      <c r="D25" s="297"/>
      <c r="E25" s="297"/>
      <c r="F25" s="297"/>
      <c r="G25" s="297"/>
      <c r="H25" s="294"/>
      <c r="I25" s="232"/>
      <c r="J25" s="295">
        <f>SUMIF('4-Basis ruimtestaat'!H:H,'3-Productie normen'!A25,'4-Basis ruimtestaat'!J:J)</f>
        <v>525.09999999999991</v>
      </c>
    </row>
    <row r="26" spans="1:12">
      <c r="A26" s="296" t="s">
        <v>441</v>
      </c>
      <c r="B26" s="297"/>
      <c r="C26" s="294"/>
      <c r="D26" s="297"/>
      <c r="E26" s="297"/>
      <c r="F26" s="297"/>
      <c r="G26" s="297"/>
      <c r="H26" s="297"/>
      <c r="I26" s="232"/>
      <c r="J26" s="295">
        <f>SUMIF('4-Basis ruimtestaat'!H:H,'3-Productie normen'!A26,'4-Basis ruimtestaat'!J:J)</f>
        <v>180</v>
      </c>
    </row>
    <row r="27" spans="1:12">
      <c r="A27" s="296" t="s">
        <v>657</v>
      </c>
      <c r="B27" s="297"/>
      <c r="C27" s="297"/>
      <c r="D27" s="294"/>
      <c r="E27" s="297"/>
      <c r="F27" s="297"/>
      <c r="G27" s="294"/>
      <c r="H27" s="294"/>
      <c r="I27" s="232"/>
      <c r="J27" s="295">
        <f>SUMIF('4-Basis ruimtestaat'!H:H,'3-Productie normen'!A27,'4-Basis ruimtestaat'!J:J)</f>
        <v>1654.45</v>
      </c>
    </row>
    <row r="28" spans="1:12">
      <c r="A28" s="296"/>
      <c r="B28" s="297"/>
      <c r="C28" s="297"/>
      <c r="D28" s="297"/>
      <c r="E28" s="297"/>
      <c r="F28" s="297"/>
      <c r="G28" s="297"/>
      <c r="H28" s="297"/>
      <c r="I28" s="232"/>
      <c r="J28" s="295">
        <f>SUMIF('4-Basis ruimtestaat'!H:H,'3-Productie normen'!A28,'4-Basis ruimtestaat'!J:J)</f>
        <v>0</v>
      </c>
    </row>
    <row r="29" spans="1:12">
      <c r="A29" s="296" t="s">
        <v>62</v>
      </c>
      <c r="B29" s="297"/>
      <c r="C29" s="297"/>
      <c r="D29" s="297"/>
      <c r="E29" s="297"/>
      <c r="F29" s="297"/>
      <c r="G29" s="297"/>
      <c r="H29" s="298"/>
      <c r="I29" s="232"/>
      <c r="J29" s="295">
        <f>SUMIF('4-Basis ruimtestaat'!H:H,'3-Productie normen'!A29,'4-Basis ruimtestaat'!J:J)</f>
        <v>0</v>
      </c>
    </row>
    <row r="30" spans="1:12">
      <c r="A30" s="296"/>
      <c r="B30" s="299"/>
      <c r="C30" s="299"/>
      <c r="D30" s="299"/>
      <c r="E30" s="299"/>
      <c r="F30" s="299"/>
      <c r="G30" s="299"/>
      <c r="H30" s="300"/>
      <c r="I30" s="232"/>
      <c r="J30" s="295"/>
      <c r="L30" s="69"/>
    </row>
    <row r="31" spans="1:12">
      <c r="A31" s="301" t="s">
        <v>31</v>
      </c>
      <c r="B31" s="302"/>
      <c r="C31" s="302"/>
      <c r="D31" s="302"/>
      <c r="E31" s="302"/>
      <c r="F31" s="302"/>
      <c r="G31" s="302"/>
      <c r="H31" s="303"/>
      <c r="I31" s="233"/>
      <c r="J31" s="304">
        <f>SUM(J10:J30)</f>
        <v>12123.6</v>
      </c>
      <c r="L31" s="67"/>
    </row>
    <row r="32" spans="1:12">
      <c r="J32" s="58"/>
      <c r="L32" s="67"/>
    </row>
    <row r="33" spans="1:9" ht="16.2">
      <c r="A33" s="305" t="s">
        <v>63</v>
      </c>
      <c r="B33" s="306">
        <v>2</v>
      </c>
      <c r="C33" s="306">
        <v>3</v>
      </c>
      <c r="D33" s="306">
        <v>4</v>
      </c>
      <c r="E33" s="306">
        <v>5</v>
      </c>
      <c r="F33" s="306">
        <v>6</v>
      </c>
      <c r="G33" s="306">
        <v>7</v>
      </c>
      <c r="H33" s="306">
        <v>8</v>
      </c>
      <c r="I33" s="67"/>
    </row>
    <row r="35" spans="1:9">
      <c r="A35" s="186" t="s">
        <v>64</v>
      </c>
      <c r="B35" s="186" t="s">
        <v>65</v>
      </c>
      <c r="C35" s="187" t="s">
        <v>66</v>
      </c>
    </row>
    <row r="36" spans="1:9">
      <c r="A36" s="70" t="s">
        <v>684</v>
      </c>
      <c r="B36" s="71">
        <v>40</v>
      </c>
      <c r="C36" s="193">
        <v>2</v>
      </c>
    </row>
    <row r="37" spans="1:9">
      <c r="A37" s="70" t="s">
        <v>67</v>
      </c>
      <c r="B37" s="71">
        <v>52</v>
      </c>
      <c r="C37" s="193">
        <v>3</v>
      </c>
    </row>
    <row r="38" spans="1:9">
      <c r="A38" s="70" t="s">
        <v>685</v>
      </c>
      <c r="B38" s="71">
        <v>80</v>
      </c>
      <c r="C38" s="193">
        <v>4</v>
      </c>
    </row>
    <row r="39" spans="1:9">
      <c r="A39" s="70" t="s">
        <v>68</v>
      </c>
      <c r="B39" s="71">
        <v>104</v>
      </c>
      <c r="C39" s="193">
        <v>5</v>
      </c>
    </row>
    <row r="40" spans="1:9">
      <c r="A40" s="70" t="s">
        <v>69</v>
      </c>
      <c r="B40" s="71">
        <v>150</v>
      </c>
      <c r="C40" s="193">
        <v>6</v>
      </c>
    </row>
    <row r="41" spans="1:9">
      <c r="A41" s="70" t="s">
        <v>686</v>
      </c>
      <c r="B41" s="72">
        <v>205</v>
      </c>
      <c r="C41" s="193">
        <v>7</v>
      </c>
    </row>
    <row r="42" spans="1:9">
      <c r="A42" s="70" t="s">
        <v>70</v>
      </c>
      <c r="B42" s="72">
        <v>255</v>
      </c>
      <c r="C42" s="193">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AD354"/>
  <sheetViews>
    <sheetView showGridLines="0" showZeros="0" zoomScale="70" zoomScaleNormal="70" zoomScalePageLayoutView="75" workbookViewId="0">
      <pane xSplit="1" ySplit="9" topLeftCell="H10" activePane="bottomRight" state="frozen"/>
      <selection pane="topRight" activeCell="B1" sqref="B1"/>
      <selection pane="bottomLeft" activeCell="B1" sqref="B1"/>
      <selection pane="bottomRight" activeCell="Z8" sqref="Z8"/>
    </sheetView>
  </sheetViews>
  <sheetFormatPr defaultColWidth="8.6640625" defaultRowHeight="14.1" customHeight="1"/>
  <cols>
    <col min="1" max="1" width="5" style="58" bestFit="1" customWidth="1"/>
    <col min="2" max="2" width="29.109375" style="58" bestFit="1" customWidth="1"/>
    <col min="3" max="3" width="23.88671875" style="58" customWidth="1"/>
    <col min="4" max="4" width="21.109375" style="58" customWidth="1"/>
    <col min="5" max="5" width="20.88671875" style="58" customWidth="1"/>
    <col min="6" max="6" width="20.33203125" style="235" bestFit="1" customWidth="1"/>
    <col min="7" max="7" width="34.33203125" style="58" customWidth="1"/>
    <col min="8" max="8" width="24.6640625" style="58" customWidth="1"/>
    <col min="9" max="9" width="14.44140625" style="58" bestFit="1" customWidth="1"/>
    <col min="10" max="10" width="10.88671875" style="58" customWidth="1"/>
    <col min="11" max="11" width="10.6640625" style="73" customWidth="1"/>
    <col min="12" max="17" width="9.109375" style="98" customWidth="1"/>
    <col min="18" max="18" width="18.21875" style="58" bestFit="1" customWidth="1"/>
    <col min="19" max="19" width="12.5546875" style="58" bestFit="1" customWidth="1"/>
    <col min="20" max="23" width="9.88671875" style="58" customWidth="1"/>
    <col min="24" max="24" width="12" style="58" bestFit="1" customWidth="1"/>
    <col min="25" max="25" width="16.6640625" style="58" customWidth="1"/>
    <col min="26" max="26" width="13" style="58" customWidth="1"/>
    <col min="27" max="27" width="14.6640625" style="58" customWidth="1"/>
    <col min="28" max="28" width="35.109375" style="58" customWidth="1"/>
    <col min="29" max="29" width="3" style="58" customWidth="1"/>
    <col min="30" max="30" width="11.109375" style="58" customWidth="1"/>
    <col min="31" max="31" width="15.5546875" style="2" bestFit="1" customWidth="1"/>
    <col min="32" max="16384" width="8.6640625" style="2"/>
  </cols>
  <sheetData>
    <row r="1" spans="1:30" ht="13.2">
      <c r="L1" s="58"/>
      <c r="M1" s="59"/>
      <c r="N1" s="58"/>
      <c r="O1" s="58"/>
      <c r="P1" s="58"/>
      <c r="Q1" s="58"/>
    </row>
    <row r="2" spans="1:30" ht="14.1" customHeight="1">
      <c r="A2" s="74">
        <v>2</v>
      </c>
      <c r="B2" s="194"/>
      <c r="C2" s="75"/>
      <c r="D2" s="75"/>
      <c r="E2" s="76"/>
      <c r="F2" s="236"/>
      <c r="G2" s="77"/>
      <c r="H2" s="77"/>
      <c r="I2" s="78"/>
      <c r="J2" s="79"/>
      <c r="K2" s="80"/>
      <c r="L2" s="81"/>
      <c r="M2" s="81"/>
      <c r="N2" s="81"/>
      <c r="O2" s="81"/>
      <c r="P2" s="81"/>
      <c r="Q2" s="81"/>
      <c r="R2" s="78"/>
      <c r="S2" s="78"/>
      <c r="T2" s="82"/>
      <c r="U2" s="82"/>
      <c r="V2" s="82"/>
      <c r="W2" s="82"/>
      <c r="X2" s="82"/>
      <c r="Y2" s="82"/>
      <c r="Z2" s="82"/>
      <c r="AA2" s="82"/>
      <c r="AB2" s="77"/>
    </row>
    <row r="3" spans="1:30" ht="14.1" customHeight="1">
      <c r="A3" s="74">
        <v>3</v>
      </c>
      <c r="B3" s="38" t="str">
        <f>'2-Kosten per locatie'!A3</f>
        <v>Naam opdrachtgever</v>
      </c>
      <c r="C3" s="47" t="str">
        <f>'2-Kosten per locatie'!B3</f>
        <v>Gemeente Voorne aan Zee</v>
      </c>
      <c r="D3" s="47"/>
      <c r="F3" s="237"/>
      <c r="I3" s="78"/>
      <c r="J3" s="79"/>
      <c r="K3" s="80"/>
      <c r="L3" s="81"/>
      <c r="M3" s="81"/>
      <c r="N3" s="81"/>
      <c r="O3" s="81"/>
      <c r="P3" s="81"/>
      <c r="Q3" s="81"/>
      <c r="R3" s="78"/>
      <c r="S3" s="78"/>
      <c r="T3" s="82"/>
      <c r="U3" s="82"/>
      <c r="V3" s="82"/>
      <c r="W3" s="82"/>
      <c r="X3" s="82"/>
      <c r="Y3" s="82"/>
      <c r="Z3" s="82"/>
      <c r="AA3" s="82"/>
      <c r="AB3" s="77"/>
    </row>
    <row r="4" spans="1:30" ht="14.1" customHeight="1">
      <c r="A4" s="74">
        <v>4</v>
      </c>
      <c r="B4" s="38" t="str">
        <f>'2-Kosten per locatie'!A4</f>
        <v>Calculatie onderdeel</v>
      </c>
      <c r="C4" s="47" t="str">
        <f ca="1">MID(CELL("bestandsnaam",$E$9),SEARCH("]",CELL("bestandsnaam",$E$9),1)+1,256)</f>
        <v>4-Basis ruimtestaat</v>
      </c>
      <c r="D4" s="47"/>
      <c r="F4" s="238"/>
      <c r="I4" s="78"/>
      <c r="J4" s="79"/>
      <c r="K4" s="80"/>
      <c r="L4" s="81"/>
      <c r="M4" s="81"/>
      <c r="N4" s="81"/>
      <c r="O4" s="81"/>
      <c r="P4" s="81"/>
      <c r="Q4" s="81"/>
      <c r="R4" s="78"/>
      <c r="S4" s="78"/>
      <c r="T4" s="82"/>
      <c r="U4" s="82"/>
      <c r="V4" s="82"/>
      <c r="W4" s="82"/>
      <c r="X4" s="82"/>
      <c r="Y4" s="82"/>
      <c r="Z4" s="82"/>
      <c r="AA4" s="82"/>
      <c r="AB4" s="77"/>
    </row>
    <row r="5" spans="1:30" ht="14.1" customHeight="1">
      <c r="A5" s="74">
        <v>5</v>
      </c>
      <c r="B5" s="38" t="str">
        <f>'2-Kosten per locatie'!A5</f>
        <v>Gebouw/plaats</v>
      </c>
      <c r="C5" s="47" t="str">
        <f>'2-Kosten per locatie'!B5</f>
        <v>Perceel 1</v>
      </c>
      <c r="D5" s="47"/>
      <c r="F5" s="237"/>
      <c r="I5" s="78"/>
      <c r="J5" s="79"/>
      <c r="K5" s="80"/>
      <c r="L5" s="81"/>
      <c r="M5" s="81"/>
      <c r="N5" s="81"/>
      <c r="O5" s="81"/>
      <c r="P5" s="81"/>
      <c r="Q5" s="81"/>
      <c r="R5" s="78"/>
      <c r="S5" s="78"/>
      <c r="T5" s="82"/>
      <c r="U5" s="82"/>
      <c r="V5" s="82"/>
      <c r="W5" s="82"/>
      <c r="X5" s="82"/>
      <c r="Y5" s="82"/>
      <c r="Z5" s="82"/>
      <c r="AA5" s="82"/>
      <c r="AB5" s="77"/>
    </row>
    <row r="6" spans="1:30" ht="14.1" customHeight="1">
      <c r="A6" s="74">
        <v>6</v>
      </c>
      <c r="B6" s="38" t="str">
        <f>'2-Kosten per locatie'!A6</f>
        <v>Referentie nummer</v>
      </c>
      <c r="C6" s="47" t="str">
        <f>'2-Kosten per locatie'!B6</f>
        <v>TN521819</v>
      </c>
      <c r="D6" s="47"/>
      <c r="F6" s="237"/>
      <c r="I6" s="78"/>
      <c r="J6" s="79"/>
      <c r="K6" s="80"/>
      <c r="L6" s="81"/>
      <c r="M6" s="81"/>
      <c r="N6" s="81"/>
      <c r="O6" s="81"/>
      <c r="P6" s="81"/>
      <c r="Q6" s="81"/>
      <c r="R6" s="78"/>
      <c r="S6" s="78"/>
      <c r="T6" s="82"/>
      <c r="U6" s="82"/>
      <c r="V6" s="82"/>
      <c r="W6" s="82"/>
      <c r="X6" s="82"/>
      <c r="Y6" s="476" t="s">
        <v>71</v>
      </c>
      <c r="Z6" s="477"/>
      <c r="AA6" s="478"/>
      <c r="AB6" s="77"/>
    </row>
    <row r="7" spans="1:30" ht="12.75" customHeight="1">
      <c r="A7" s="74">
        <v>7</v>
      </c>
      <c r="B7" s="38" t="str">
        <f>'2-Kosten per locatie'!A7</f>
        <v>Naam dienstverlener</v>
      </c>
      <c r="C7" s="47">
        <f>'2-Kosten per locatie'!B7</f>
        <v>0</v>
      </c>
      <c r="D7" s="47"/>
      <c r="F7" s="237"/>
      <c r="I7" s="78"/>
      <c r="J7" s="79"/>
      <c r="K7" s="80"/>
      <c r="L7" s="81"/>
      <c r="M7" s="81"/>
      <c r="N7" s="81"/>
      <c r="O7" s="81"/>
      <c r="P7" s="81"/>
      <c r="Q7" s="81"/>
      <c r="R7" s="78"/>
      <c r="S7" s="78"/>
      <c r="T7" s="82"/>
      <c r="U7" s="82"/>
      <c r="V7" s="82"/>
      <c r="W7" s="82"/>
      <c r="X7" s="82"/>
      <c r="Y7" s="479"/>
      <c r="Z7" s="480"/>
      <c r="AA7" s="481"/>
      <c r="AB7" s="77"/>
    </row>
    <row r="8" spans="1:30" ht="14.1" customHeight="1">
      <c r="A8" s="74">
        <v>8</v>
      </c>
      <c r="B8" s="77"/>
      <c r="C8" s="77"/>
      <c r="D8" s="77"/>
      <c r="E8" s="76"/>
      <c r="F8" s="236"/>
      <c r="G8" s="77"/>
      <c r="H8" s="77"/>
      <c r="I8" s="78"/>
      <c r="J8" s="79"/>
      <c r="K8" s="80"/>
      <c r="L8" s="81"/>
      <c r="M8" s="81"/>
      <c r="N8" s="81"/>
      <c r="O8" s="81"/>
      <c r="P8" s="81"/>
      <c r="Q8" s="81"/>
      <c r="R8" s="78"/>
      <c r="S8" s="78"/>
      <c r="T8" s="78"/>
      <c r="U8" s="78"/>
      <c r="V8" s="78"/>
      <c r="W8" s="78"/>
      <c r="X8" s="78"/>
      <c r="Y8" s="307" t="e">
        <f>'3-Productie normen'!#REF!</f>
        <v>#REF!</v>
      </c>
      <c r="Z8" s="307">
        <f>'3-Productie normen'!K8</f>
        <v>0</v>
      </c>
      <c r="AA8" s="307" t="e">
        <f>'3-Productie normen'!#REF!</f>
        <v>#REF!</v>
      </c>
      <c r="AB8" s="77"/>
    </row>
    <row r="9" spans="1:30" ht="44.1" customHeight="1">
      <c r="A9" s="74">
        <v>9</v>
      </c>
      <c r="B9" s="207" t="s">
        <v>72</v>
      </c>
      <c r="C9" s="207" t="s">
        <v>73</v>
      </c>
      <c r="D9" s="207" t="s">
        <v>237</v>
      </c>
      <c r="E9" s="207" t="s">
        <v>74</v>
      </c>
      <c r="F9" s="207" t="s">
        <v>75</v>
      </c>
      <c r="G9" s="207" t="s">
        <v>76</v>
      </c>
      <c r="H9" s="207" t="s">
        <v>77</v>
      </c>
      <c r="I9" s="308" t="s">
        <v>78</v>
      </c>
      <c r="J9" s="309" t="s">
        <v>79</v>
      </c>
      <c r="K9" s="310" t="s">
        <v>80</v>
      </c>
      <c r="L9" s="190" t="s">
        <v>81</v>
      </c>
      <c r="M9" s="190" t="s">
        <v>82</v>
      </c>
      <c r="N9" s="190" t="s">
        <v>83</v>
      </c>
      <c r="O9" s="190" t="s">
        <v>84</v>
      </c>
      <c r="P9" s="190" t="s">
        <v>85</v>
      </c>
      <c r="Q9" s="190" t="s">
        <v>86</v>
      </c>
      <c r="R9" s="310" t="s">
        <v>87</v>
      </c>
      <c r="S9" s="310" t="s">
        <v>88</v>
      </c>
      <c r="T9" s="310" t="s">
        <v>89</v>
      </c>
      <c r="U9" s="310" t="s">
        <v>90</v>
      </c>
      <c r="V9" s="310" t="s">
        <v>91</v>
      </c>
      <c r="W9" s="310" t="s">
        <v>92</v>
      </c>
      <c r="X9" s="310" t="s">
        <v>93</v>
      </c>
      <c r="Y9" s="310" t="s">
        <v>48</v>
      </c>
      <c r="Z9" s="310" t="s">
        <v>49</v>
      </c>
      <c r="AA9" s="310" t="s">
        <v>50</v>
      </c>
      <c r="AB9" s="195" t="s">
        <v>94</v>
      </c>
      <c r="AC9" s="196"/>
      <c r="AD9" s="195" t="s">
        <v>95</v>
      </c>
    </row>
    <row r="10" spans="1:30" s="14" customFormat="1" ht="14.1" customHeight="1">
      <c r="A10" s="74">
        <v>10</v>
      </c>
      <c r="B10" s="277" t="s">
        <v>271</v>
      </c>
      <c r="C10" s="277" t="s">
        <v>276</v>
      </c>
      <c r="D10" s="277" t="s">
        <v>256</v>
      </c>
      <c r="E10" s="311" t="s">
        <v>254</v>
      </c>
      <c r="F10" s="312"/>
      <c r="G10" s="277" t="s">
        <v>277</v>
      </c>
      <c r="H10" s="293" t="s">
        <v>53</v>
      </c>
      <c r="I10" s="70" t="s">
        <v>238</v>
      </c>
      <c r="J10" s="313">
        <v>40</v>
      </c>
      <c r="K10" s="314">
        <f t="shared" ref="K10:K73" si="0">SUM(L10:Q10)</f>
        <v>307</v>
      </c>
      <c r="L10" s="243">
        <v>255</v>
      </c>
      <c r="M10" s="243"/>
      <c r="N10" s="243">
        <v>52</v>
      </c>
      <c r="O10" s="243"/>
      <c r="P10" s="243"/>
      <c r="Q10" s="243"/>
      <c r="R10" s="242" t="e">
        <f>IF(L10="nio",0,IF(L10&gt;0,L10*J10/X10,0))*VLOOKUP(B10,'2-Kosten per locatie'!$A$14:$C$21,3,FALSE)</f>
        <v>#DIV/0!</v>
      </c>
      <c r="S10" s="242">
        <f>IF(M10&gt;0,M10*J10/Y10,0)*VLOOKUP(B10,'2-Kosten per locatie'!$A$14:$C$21,3,FALSE)</f>
        <v>0</v>
      </c>
      <c r="T10" s="242" t="e">
        <f>IF(N10&gt;0,N10*J10/Z10,0)*VLOOKUP(B10,'2-Kosten per locatie'!$A$14:$C$21,3,FALSE)</f>
        <v>#DIV/0!</v>
      </c>
      <c r="U10" s="242">
        <f>IF(O10&gt;0,O10*J10/AA10,0)*VLOOKUP(B10,'2-Kosten per locatie'!$A$14:$C$21,3,FALSE)</f>
        <v>0</v>
      </c>
      <c r="V10" s="242">
        <f>IF(P10&gt;0,P10*J10/Z10,0)*VLOOKUP(B10,'2-Kosten per locatie'!$A$14:$C$21,3,FALSE)</f>
        <v>0</v>
      </c>
      <c r="W10" s="242">
        <f>IF(Q10&gt;0,Q10*J10/AA10,0)*VLOOKUP(B10,'2-Kosten per locatie'!$A$14:$C$21,3,FALSE)</f>
        <v>0</v>
      </c>
      <c r="X10" s="315">
        <f>IF(L10="nio",0,IF(L10&gt;0,VLOOKUP(H10,'3-Productie normen'!A:K,VLOOKUP(L10,'3-Productie normen'!$B$36:$C$42,2,FALSE),FALSE)))</f>
        <v>0</v>
      </c>
      <c r="Y10" s="315">
        <f t="shared" ref="Y10:Y41" si="1">IF(M10&gt;0,X10*$Y$8,0)</f>
        <v>0</v>
      </c>
      <c r="Z10" s="315">
        <f t="shared" ref="Z10:Z41" si="2">IF((OR(N10&gt;0,P10&gt;0)),X10*$Z$8,0)</f>
        <v>0</v>
      </c>
      <c r="AA10" s="315">
        <f t="shared" ref="AA10:AA41" si="3">IF((OR(O10&gt;0,Q10&gt;0)),X10*$AA$8,0)</f>
        <v>0</v>
      </c>
      <c r="AB10" s="316" t="s">
        <v>490</v>
      </c>
      <c r="AC10" s="58"/>
      <c r="AD10" s="317">
        <f t="shared" ref="AD10:AD41" si="4">K10*J10</f>
        <v>12280</v>
      </c>
    </row>
    <row r="11" spans="1:30" ht="14.1" customHeight="1">
      <c r="A11" s="74">
        <v>11</v>
      </c>
      <c r="B11" s="277" t="s">
        <v>271</v>
      </c>
      <c r="C11" s="277" t="s">
        <v>276</v>
      </c>
      <c r="D11" s="277" t="s">
        <v>256</v>
      </c>
      <c r="E11" s="311" t="s">
        <v>254</v>
      </c>
      <c r="F11" s="312"/>
      <c r="G11" s="277" t="s">
        <v>278</v>
      </c>
      <c r="H11" s="293" t="s">
        <v>56</v>
      </c>
      <c r="I11" s="70" t="s">
        <v>238</v>
      </c>
      <c r="J11" s="313">
        <v>24</v>
      </c>
      <c r="K11" s="314">
        <f t="shared" si="0"/>
        <v>307</v>
      </c>
      <c r="L11" s="243">
        <v>255</v>
      </c>
      <c r="M11" s="243"/>
      <c r="N11" s="243">
        <v>52</v>
      </c>
      <c r="O11" s="243"/>
      <c r="P11" s="243"/>
      <c r="Q11" s="243"/>
      <c r="R11" s="242" t="e">
        <f>IF(L11="nio",0,IF(L11&gt;0,L11*J11/X11,0))*VLOOKUP(B11,'2-Kosten per locatie'!$A$14:$C$21,3,FALSE)</f>
        <v>#DIV/0!</v>
      </c>
      <c r="S11" s="242">
        <f>IF(M11&gt;0,M11*J11/Y11,0)*VLOOKUP(B11,'2-Kosten per locatie'!$A$14:$C$21,3,FALSE)</f>
        <v>0</v>
      </c>
      <c r="T11" s="242" t="e">
        <f>IF(N11&gt;0,N11*J11/Z11,0)*VLOOKUP(B11,'2-Kosten per locatie'!$A$14:$C$21,3,FALSE)</f>
        <v>#DIV/0!</v>
      </c>
      <c r="U11" s="242">
        <f>IF(O11&gt;0,O11*J11/AA11,0)*VLOOKUP(B11,'2-Kosten per locatie'!$A$14:$C$21,3,FALSE)</f>
        <v>0</v>
      </c>
      <c r="V11" s="242">
        <f>IF(P11&gt;0,P11*J11/Z11,0)*VLOOKUP(B11,'2-Kosten per locatie'!$A$14:$C$21,3,FALSE)</f>
        <v>0</v>
      </c>
      <c r="W11" s="242">
        <f>IF(Q11&gt;0,Q11*J11/AA11,0)*VLOOKUP(B11,'2-Kosten per locatie'!$A$14:$C$21,3,FALSE)</f>
        <v>0</v>
      </c>
      <c r="X11" s="315">
        <f>IF(L11="nio",0,IF(L11&gt;0,VLOOKUP(H11,'3-Productie normen'!A:K,VLOOKUP(L11,'3-Productie normen'!$B$36:$C$42,2,FALSE),FALSE)))</f>
        <v>0</v>
      </c>
      <c r="Y11" s="315">
        <f t="shared" si="1"/>
        <v>0</v>
      </c>
      <c r="Z11" s="315">
        <f t="shared" si="2"/>
        <v>0</v>
      </c>
      <c r="AA11" s="315">
        <f t="shared" si="3"/>
        <v>0</v>
      </c>
      <c r="AB11" s="316" t="s">
        <v>490</v>
      </c>
      <c r="AD11" s="317">
        <f t="shared" si="4"/>
        <v>7368</v>
      </c>
    </row>
    <row r="12" spans="1:30" ht="14.1" customHeight="1">
      <c r="A12" s="74">
        <v>12</v>
      </c>
      <c r="B12" s="277" t="s">
        <v>271</v>
      </c>
      <c r="C12" s="277" t="s">
        <v>276</v>
      </c>
      <c r="D12" s="277" t="s">
        <v>256</v>
      </c>
      <c r="E12" s="311" t="s">
        <v>254</v>
      </c>
      <c r="F12" s="312"/>
      <c r="G12" s="277" t="s">
        <v>279</v>
      </c>
      <c r="H12" s="293" t="s">
        <v>56</v>
      </c>
      <c r="I12" s="70" t="s">
        <v>238</v>
      </c>
      <c r="J12" s="313">
        <v>18.899999999999999</v>
      </c>
      <c r="K12" s="314">
        <f t="shared" si="0"/>
        <v>307</v>
      </c>
      <c r="L12" s="243">
        <v>255</v>
      </c>
      <c r="M12" s="243"/>
      <c r="N12" s="243">
        <v>52</v>
      </c>
      <c r="O12" s="243"/>
      <c r="P12" s="243"/>
      <c r="Q12" s="243"/>
      <c r="R12" s="242" t="e">
        <f>IF(L12="nio",0,IF(L12&gt;0,L12*J12/X12,0))*VLOOKUP(B12,'2-Kosten per locatie'!$A$14:$C$21,3,FALSE)</f>
        <v>#DIV/0!</v>
      </c>
      <c r="S12" s="242">
        <f>IF(M12&gt;0,M12*J12/Y12,0)*VLOOKUP(B12,'2-Kosten per locatie'!$A$14:$C$21,3,FALSE)</f>
        <v>0</v>
      </c>
      <c r="T12" s="242" t="e">
        <f>IF(N12&gt;0,N12*J12/Z12,0)*VLOOKUP(B12,'2-Kosten per locatie'!$A$14:$C$21,3,FALSE)</f>
        <v>#DIV/0!</v>
      </c>
      <c r="U12" s="242">
        <f>IF(O12&gt;0,O12*J12/AA12,0)*VLOOKUP(B12,'2-Kosten per locatie'!$A$14:$C$21,3,FALSE)</f>
        <v>0</v>
      </c>
      <c r="V12" s="242">
        <f>IF(P12&gt;0,P12*J12/Z12,0)*VLOOKUP(B12,'2-Kosten per locatie'!$A$14:$C$21,3,FALSE)</f>
        <v>0</v>
      </c>
      <c r="W12" s="242">
        <f>IF(Q12&gt;0,Q12*J12/AA12,0)*VLOOKUP(B12,'2-Kosten per locatie'!$A$14:$C$21,3,FALSE)</f>
        <v>0</v>
      </c>
      <c r="X12" s="315">
        <f>IF(L12="nio",0,IF(L12&gt;0,VLOOKUP(H12,'3-Productie normen'!A:K,VLOOKUP(L12,'3-Productie normen'!$B$36:$C$42,2,FALSE),FALSE)))</f>
        <v>0</v>
      </c>
      <c r="Y12" s="315">
        <f t="shared" si="1"/>
        <v>0</v>
      </c>
      <c r="Z12" s="315">
        <f t="shared" si="2"/>
        <v>0</v>
      </c>
      <c r="AA12" s="315">
        <f t="shared" si="3"/>
        <v>0</v>
      </c>
      <c r="AB12" s="316" t="s">
        <v>490</v>
      </c>
      <c r="AD12" s="317">
        <f t="shared" si="4"/>
        <v>5802.2999999999993</v>
      </c>
    </row>
    <row r="13" spans="1:30" ht="14.1" customHeight="1">
      <c r="A13" s="74">
        <v>13</v>
      </c>
      <c r="B13" s="277" t="s">
        <v>271</v>
      </c>
      <c r="C13" s="277" t="s">
        <v>276</v>
      </c>
      <c r="D13" s="277" t="s">
        <v>256</v>
      </c>
      <c r="E13" s="311" t="s">
        <v>254</v>
      </c>
      <c r="F13" s="312"/>
      <c r="G13" s="70" t="s">
        <v>280</v>
      </c>
      <c r="H13" s="293" t="s">
        <v>56</v>
      </c>
      <c r="I13" s="70" t="s">
        <v>238</v>
      </c>
      <c r="J13" s="313">
        <v>18.899999999999999</v>
      </c>
      <c r="K13" s="314">
        <f t="shared" si="0"/>
        <v>307</v>
      </c>
      <c r="L13" s="243">
        <v>255</v>
      </c>
      <c r="M13" s="243"/>
      <c r="N13" s="243">
        <v>52</v>
      </c>
      <c r="O13" s="243"/>
      <c r="P13" s="243"/>
      <c r="Q13" s="243"/>
      <c r="R13" s="242" t="e">
        <f>IF(L13="nio",0,IF(L13&gt;0,L13*J13/X13,0))*VLOOKUP(B13,'2-Kosten per locatie'!$A$14:$C$21,3,FALSE)</f>
        <v>#DIV/0!</v>
      </c>
      <c r="S13" s="242">
        <f>IF(M13&gt;0,M13*J13/Y13,0)*VLOOKUP(B13,'2-Kosten per locatie'!$A$14:$C$21,3,FALSE)</f>
        <v>0</v>
      </c>
      <c r="T13" s="242" t="e">
        <f>IF(N13&gt;0,N13*J13/Z13,0)*VLOOKUP(B13,'2-Kosten per locatie'!$A$14:$C$21,3,FALSE)</f>
        <v>#DIV/0!</v>
      </c>
      <c r="U13" s="242">
        <f>IF(O13&gt;0,O13*J13/AA13,0)*VLOOKUP(B13,'2-Kosten per locatie'!$A$14:$C$21,3,FALSE)</f>
        <v>0</v>
      </c>
      <c r="V13" s="242">
        <f>IF(P13&gt;0,P13*J13/Z13,0)*VLOOKUP(B13,'2-Kosten per locatie'!$A$14:$C$21,3,FALSE)</f>
        <v>0</v>
      </c>
      <c r="W13" s="242">
        <f>IF(Q13&gt;0,Q13*J13/AA13,0)*VLOOKUP(B13,'2-Kosten per locatie'!$A$14:$C$21,3,FALSE)</f>
        <v>0</v>
      </c>
      <c r="X13" s="315">
        <f>IF(L13="nio",0,IF(L13&gt;0,VLOOKUP(H13,'3-Productie normen'!A:K,VLOOKUP(L13,'3-Productie normen'!$B$36:$C$42,2,FALSE),FALSE)))</f>
        <v>0</v>
      </c>
      <c r="Y13" s="315">
        <f t="shared" si="1"/>
        <v>0</v>
      </c>
      <c r="Z13" s="315">
        <f t="shared" si="2"/>
        <v>0</v>
      </c>
      <c r="AA13" s="315">
        <f t="shared" si="3"/>
        <v>0</v>
      </c>
      <c r="AB13" s="316" t="s">
        <v>490</v>
      </c>
      <c r="AD13" s="317">
        <f t="shared" si="4"/>
        <v>5802.2999999999993</v>
      </c>
    </row>
    <row r="14" spans="1:30" ht="14.1" customHeight="1">
      <c r="A14" s="74">
        <v>14</v>
      </c>
      <c r="B14" s="277" t="s">
        <v>271</v>
      </c>
      <c r="C14" s="277" t="s">
        <v>276</v>
      </c>
      <c r="D14" s="277" t="s">
        <v>256</v>
      </c>
      <c r="E14" s="311" t="s">
        <v>254</v>
      </c>
      <c r="F14" s="239"/>
      <c r="G14" s="84" t="s">
        <v>281</v>
      </c>
      <c r="H14" s="293" t="s">
        <v>56</v>
      </c>
      <c r="I14" s="70" t="s">
        <v>238</v>
      </c>
      <c r="J14" s="313">
        <v>18.899999999999999</v>
      </c>
      <c r="K14" s="314">
        <f t="shared" si="0"/>
        <v>307</v>
      </c>
      <c r="L14" s="243">
        <v>255</v>
      </c>
      <c r="M14" s="243"/>
      <c r="N14" s="243">
        <v>52</v>
      </c>
      <c r="O14" s="243"/>
      <c r="P14" s="243"/>
      <c r="Q14" s="243"/>
      <c r="R14" s="242" t="e">
        <f>IF(L14="nio",0,IF(L14&gt;0,L14*J14/X14,0))*VLOOKUP(B14,'2-Kosten per locatie'!$A$14:$C$21,3,FALSE)</f>
        <v>#DIV/0!</v>
      </c>
      <c r="S14" s="242">
        <f>IF(M14&gt;0,M14*J14/Y14,0)*VLOOKUP(B14,'2-Kosten per locatie'!$A$14:$C$21,3,FALSE)</f>
        <v>0</v>
      </c>
      <c r="T14" s="242" t="e">
        <f>IF(N14&gt;0,N14*J14/Z14,0)*VLOOKUP(B14,'2-Kosten per locatie'!$A$14:$C$21,3,FALSE)</f>
        <v>#DIV/0!</v>
      </c>
      <c r="U14" s="242">
        <f>IF(O14&gt;0,O14*J14/AA14,0)*VLOOKUP(B14,'2-Kosten per locatie'!$A$14:$C$21,3,FALSE)</f>
        <v>0</v>
      </c>
      <c r="V14" s="242">
        <f>IF(P14&gt;0,P14*J14/Z14,0)*VLOOKUP(B14,'2-Kosten per locatie'!$A$14:$C$21,3,FALSE)</f>
        <v>0</v>
      </c>
      <c r="W14" s="242">
        <f>IF(Q14&gt;0,Q14*J14/AA14,0)*VLOOKUP(B14,'2-Kosten per locatie'!$A$14:$C$21,3,FALSE)</f>
        <v>0</v>
      </c>
      <c r="X14" s="315">
        <f>IF(L14="nio",0,IF(L14&gt;0,VLOOKUP(H14,'3-Productie normen'!A:K,VLOOKUP(L14,'3-Productie normen'!$B$36:$C$42,2,FALSE),FALSE)))</f>
        <v>0</v>
      </c>
      <c r="Y14" s="315">
        <f t="shared" si="1"/>
        <v>0</v>
      </c>
      <c r="Z14" s="315">
        <f t="shared" si="2"/>
        <v>0</v>
      </c>
      <c r="AA14" s="315">
        <f t="shared" si="3"/>
        <v>0</v>
      </c>
      <c r="AB14" s="316" t="s">
        <v>490</v>
      </c>
      <c r="AD14" s="317">
        <f t="shared" si="4"/>
        <v>5802.2999999999993</v>
      </c>
    </row>
    <row r="15" spans="1:30" ht="14.1" customHeight="1">
      <c r="A15" s="74">
        <v>15</v>
      </c>
      <c r="B15" s="277" t="s">
        <v>271</v>
      </c>
      <c r="C15" s="277" t="s">
        <v>276</v>
      </c>
      <c r="D15" s="277" t="s">
        <v>256</v>
      </c>
      <c r="E15" s="311" t="s">
        <v>254</v>
      </c>
      <c r="F15" s="312"/>
      <c r="G15" s="277" t="s">
        <v>282</v>
      </c>
      <c r="H15" s="277" t="s">
        <v>53</v>
      </c>
      <c r="I15" s="70" t="s">
        <v>238</v>
      </c>
      <c r="J15" s="313">
        <v>32</v>
      </c>
      <c r="K15" s="314">
        <f t="shared" si="0"/>
        <v>307</v>
      </c>
      <c r="L15" s="243">
        <v>255</v>
      </c>
      <c r="M15" s="243"/>
      <c r="N15" s="243">
        <v>52</v>
      </c>
      <c r="O15" s="243"/>
      <c r="P15" s="243"/>
      <c r="Q15" s="243"/>
      <c r="R15" s="242" t="e">
        <f>IF(L15="nio",0,IF(L15&gt;0,L15*J15/X15,0))*VLOOKUP(B15,'2-Kosten per locatie'!$A$14:$C$21,3,FALSE)</f>
        <v>#DIV/0!</v>
      </c>
      <c r="S15" s="242">
        <f>IF(M15&gt;0,M15*J15/Y15,0)*VLOOKUP(B15,'2-Kosten per locatie'!$A$14:$C$21,3,FALSE)</f>
        <v>0</v>
      </c>
      <c r="T15" s="242" t="e">
        <f>IF(N15&gt;0,N15*J15/Z15,0)*VLOOKUP(B15,'2-Kosten per locatie'!$A$14:$C$21,3,FALSE)</f>
        <v>#DIV/0!</v>
      </c>
      <c r="U15" s="242">
        <f>IF(O15&gt;0,O15*J15/AA15,0)*VLOOKUP(B15,'2-Kosten per locatie'!$A$14:$C$21,3,FALSE)</f>
        <v>0</v>
      </c>
      <c r="V15" s="242">
        <f>IF(P15&gt;0,P15*J15/Z15,0)*VLOOKUP(B15,'2-Kosten per locatie'!$A$14:$C$21,3,FALSE)</f>
        <v>0</v>
      </c>
      <c r="W15" s="242">
        <f>IF(Q15&gt;0,Q15*J15/AA15,0)*VLOOKUP(B15,'2-Kosten per locatie'!$A$14:$C$21,3,FALSE)</f>
        <v>0</v>
      </c>
      <c r="X15" s="315">
        <f>IF(L15="nio",0,IF(L15&gt;0,VLOOKUP(H15,'3-Productie normen'!A:K,VLOOKUP(L15,'3-Productie normen'!$B$36:$C$42,2,FALSE),FALSE)))</f>
        <v>0</v>
      </c>
      <c r="Y15" s="315">
        <f t="shared" si="1"/>
        <v>0</v>
      </c>
      <c r="Z15" s="315">
        <f t="shared" si="2"/>
        <v>0</v>
      </c>
      <c r="AA15" s="315">
        <f t="shared" si="3"/>
        <v>0</v>
      </c>
      <c r="AB15" s="316" t="s">
        <v>490</v>
      </c>
      <c r="AD15" s="317">
        <f t="shared" si="4"/>
        <v>9824</v>
      </c>
    </row>
    <row r="16" spans="1:30" ht="14.1" customHeight="1">
      <c r="A16" s="74">
        <v>16</v>
      </c>
      <c r="B16" s="277" t="s">
        <v>271</v>
      </c>
      <c r="C16" s="277" t="s">
        <v>276</v>
      </c>
      <c r="D16" s="277" t="s">
        <v>256</v>
      </c>
      <c r="E16" s="311" t="s">
        <v>254</v>
      </c>
      <c r="F16" s="312"/>
      <c r="G16" s="277" t="s">
        <v>283</v>
      </c>
      <c r="H16" s="277" t="s">
        <v>51</v>
      </c>
      <c r="I16" s="70" t="s">
        <v>238</v>
      </c>
      <c r="J16" s="313">
        <v>16.32</v>
      </c>
      <c r="K16" s="314">
        <f t="shared" si="0"/>
        <v>307</v>
      </c>
      <c r="L16" s="243">
        <v>255</v>
      </c>
      <c r="M16" s="243"/>
      <c r="N16" s="243">
        <v>52</v>
      </c>
      <c r="O16" s="243"/>
      <c r="P16" s="243"/>
      <c r="Q16" s="243"/>
      <c r="R16" s="242" t="e">
        <f>IF(L16="nio",0,IF(L16&gt;0,L16*J16/X16,0))*VLOOKUP(B16,'2-Kosten per locatie'!$A$14:$C$21,3,FALSE)</f>
        <v>#DIV/0!</v>
      </c>
      <c r="S16" s="242">
        <f>IF(M16&gt;0,M16*J16/Y16,0)*VLOOKUP(B16,'2-Kosten per locatie'!$A$14:$C$21,3,FALSE)</f>
        <v>0</v>
      </c>
      <c r="T16" s="242" t="e">
        <f>IF(N16&gt;0,N16*J16/Z16,0)*VLOOKUP(B16,'2-Kosten per locatie'!$A$14:$C$21,3,FALSE)</f>
        <v>#DIV/0!</v>
      </c>
      <c r="U16" s="242">
        <f>IF(O16&gt;0,O16*J16/AA16,0)*VLOOKUP(B16,'2-Kosten per locatie'!$A$14:$C$21,3,FALSE)</f>
        <v>0</v>
      </c>
      <c r="V16" s="242">
        <f>IF(P16&gt;0,P16*J16/Z16,0)*VLOOKUP(B16,'2-Kosten per locatie'!$A$14:$C$21,3,FALSE)</f>
        <v>0</v>
      </c>
      <c r="W16" s="242">
        <f>IF(Q16&gt;0,Q16*J16/AA16,0)*VLOOKUP(B16,'2-Kosten per locatie'!$A$14:$C$21,3,FALSE)</f>
        <v>0</v>
      </c>
      <c r="X16" s="315">
        <f>IF(L16="nio",0,IF(L16&gt;0,VLOOKUP(H16,'3-Productie normen'!A:K,VLOOKUP(L16,'3-Productie normen'!$B$36:$C$42,2,FALSE),FALSE)))</f>
        <v>0</v>
      </c>
      <c r="Y16" s="315">
        <f t="shared" si="1"/>
        <v>0</v>
      </c>
      <c r="Z16" s="315">
        <f t="shared" si="2"/>
        <v>0</v>
      </c>
      <c r="AA16" s="315">
        <f t="shared" si="3"/>
        <v>0</v>
      </c>
      <c r="AB16" s="316" t="s">
        <v>490</v>
      </c>
      <c r="AD16" s="317">
        <f t="shared" si="4"/>
        <v>5010.24</v>
      </c>
    </row>
    <row r="17" spans="1:30" ht="14.1" customHeight="1">
      <c r="A17" s="74">
        <v>17</v>
      </c>
      <c r="B17" s="277" t="s">
        <v>271</v>
      </c>
      <c r="C17" s="277" t="s">
        <v>276</v>
      </c>
      <c r="D17" s="277" t="s">
        <v>256</v>
      </c>
      <c r="E17" s="311" t="s">
        <v>254</v>
      </c>
      <c r="F17" s="312"/>
      <c r="G17" s="277" t="s">
        <v>284</v>
      </c>
      <c r="H17" s="277" t="s">
        <v>53</v>
      </c>
      <c r="I17" s="70" t="s">
        <v>238</v>
      </c>
      <c r="J17" s="313">
        <v>21.830000000000002</v>
      </c>
      <c r="K17" s="314">
        <f t="shared" si="0"/>
        <v>307</v>
      </c>
      <c r="L17" s="243">
        <v>255</v>
      </c>
      <c r="M17" s="243"/>
      <c r="N17" s="243">
        <v>52</v>
      </c>
      <c r="O17" s="243"/>
      <c r="P17" s="243"/>
      <c r="Q17" s="243"/>
      <c r="R17" s="242" t="e">
        <f>IF(L17="nio",0,IF(L17&gt;0,L17*J17/X17,0))*VLOOKUP(B17,'2-Kosten per locatie'!$A$14:$C$21,3,FALSE)</f>
        <v>#DIV/0!</v>
      </c>
      <c r="S17" s="242">
        <f>IF(M17&gt;0,M17*J17/Y17,0)*VLOOKUP(B17,'2-Kosten per locatie'!$A$14:$C$21,3,FALSE)</f>
        <v>0</v>
      </c>
      <c r="T17" s="242" t="e">
        <f>IF(N17&gt;0,N17*J17/Z17,0)*VLOOKUP(B17,'2-Kosten per locatie'!$A$14:$C$21,3,FALSE)</f>
        <v>#DIV/0!</v>
      </c>
      <c r="U17" s="242">
        <f>IF(O17&gt;0,O17*J17/AA17,0)*VLOOKUP(B17,'2-Kosten per locatie'!$A$14:$C$21,3,FALSE)</f>
        <v>0</v>
      </c>
      <c r="V17" s="242">
        <f>IF(P17&gt;0,P17*J17/Z17,0)*VLOOKUP(B17,'2-Kosten per locatie'!$A$14:$C$21,3,FALSE)</f>
        <v>0</v>
      </c>
      <c r="W17" s="242">
        <f>IF(Q17&gt;0,Q17*J17/AA17,0)*VLOOKUP(B17,'2-Kosten per locatie'!$A$14:$C$21,3,FALSE)</f>
        <v>0</v>
      </c>
      <c r="X17" s="315">
        <f>IF(L17="nio",0,IF(L17&gt;0,VLOOKUP(H17,'3-Productie normen'!A:K,VLOOKUP(L17,'3-Productie normen'!$B$36:$C$42,2,FALSE),FALSE)))</f>
        <v>0</v>
      </c>
      <c r="Y17" s="315">
        <f t="shared" si="1"/>
        <v>0</v>
      </c>
      <c r="Z17" s="315">
        <f t="shared" si="2"/>
        <v>0</v>
      </c>
      <c r="AA17" s="315">
        <f t="shared" si="3"/>
        <v>0</v>
      </c>
      <c r="AB17" s="316" t="s">
        <v>490</v>
      </c>
      <c r="AD17" s="317">
        <f t="shared" si="4"/>
        <v>6701.81</v>
      </c>
    </row>
    <row r="18" spans="1:30" ht="14.1" customHeight="1">
      <c r="A18" s="74">
        <v>18</v>
      </c>
      <c r="B18" s="277" t="s">
        <v>271</v>
      </c>
      <c r="C18" s="277" t="s">
        <v>276</v>
      </c>
      <c r="D18" s="277" t="s">
        <v>256</v>
      </c>
      <c r="E18" s="311" t="s">
        <v>254</v>
      </c>
      <c r="F18" s="312"/>
      <c r="G18" s="70" t="s">
        <v>260</v>
      </c>
      <c r="H18" s="296" t="s">
        <v>318</v>
      </c>
      <c r="I18" s="70" t="s">
        <v>238</v>
      </c>
      <c r="J18" s="313">
        <v>16.200000000000003</v>
      </c>
      <c r="K18" s="314">
        <f t="shared" si="0"/>
        <v>307</v>
      </c>
      <c r="L18" s="243">
        <v>255</v>
      </c>
      <c r="M18" s="243"/>
      <c r="N18" s="243">
        <v>52</v>
      </c>
      <c r="O18" s="243"/>
      <c r="P18" s="243"/>
      <c r="Q18" s="243"/>
      <c r="R18" s="242" t="e">
        <f>IF(L18="nio",0,IF(L18&gt;0,L18*J18/X18,0))*VLOOKUP(B18,'2-Kosten per locatie'!$A$14:$C$21,3,FALSE)</f>
        <v>#DIV/0!</v>
      </c>
      <c r="S18" s="242">
        <f>IF(M18&gt;0,M18*J18/Y18,0)*VLOOKUP(B18,'2-Kosten per locatie'!$A$14:$C$21,3,FALSE)</f>
        <v>0</v>
      </c>
      <c r="T18" s="242" t="e">
        <f>IF(N18&gt;0,N18*J18/Z18,0)*VLOOKUP(B18,'2-Kosten per locatie'!$A$14:$C$21,3,FALSE)</f>
        <v>#DIV/0!</v>
      </c>
      <c r="U18" s="242">
        <f>IF(O18&gt;0,O18*J18/AA18,0)*VLOOKUP(B18,'2-Kosten per locatie'!$A$14:$C$21,3,FALSE)</f>
        <v>0</v>
      </c>
      <c r="V18" s="242">
        <f>IF(P18&gt;0,P18*J18/Z18,0)*VLOOKUP(B18,'2-Kosten per locatie'!$A$14:$C$21,3,FALSE)</f>
        <v>0</v>
      </c>
      <c r="W18" s="242">
        <f>IF(Q18&gt;0,Q18*J18/AA18,0)*VLOOKUP(B18,'2-Kosten per locatie'!$A$14:$C$21,3,FALSE)</f>
        <v>0</v>
      </c>
      <c r="X18" s="315">
        <f>IF(L18="nio",0,IF(L18&gt;0,VLOOKUP(H18,'3-Productie normen'!A:K,VLOOKUP(L18,'3-Productie normen'!$B$36:$C$42,2,FALSE),FALSE)))</f>
        <v>0</v>
      </c>
      <c r="Y18" s="315">
        <f t="shared" si="1"/>
        <v>0</v>
      </c>
      <c r="Z18" s="315">
        <f t="shared" si="2"/>
        <v>0</v>
      </c>
      <c r="AA18" s="315">
        <f t="shared" si="3"/>
        <v>0</v>
      </c>
      <c r="AB18" s="316" t="s">
        <v>490</v>
      </c>
      <c r="AD18" s="317">
        <f t="shared" si="4"/>
        <v>4973.4000000000005</v>
      </c>
    </row>
    <row r="19" spans="1:30" ht="14.1" customHeight="1">
      <c r="A19" s="74">
        <v>19</v>
      </c>
      <c r="B19" s="277" t="s">
        <v>271</v>
      </c>
      <c r="C19" s="277" t="s">
        <v>276</v>
      </c>
      <c r="D19" s="277" t="s">
        <v>256</v>
      </c>
      <c r="E19" s="311" t="s">
        <v>254</v>
      </c>
      <c r="F19" s="239"/>
      <c r="G19" s="84" t="s">
        <v>248</v>
      </c>
      <c r="H19" s="277" t="s">
        <v>52</v>
      </c>
      <c r="I19" s="70" t="s">
        <v>238</v>
      </c>
      <c r="J19" s="313">
        <v>6.72</v>
      </c>
      <c r="K19" s="314">
        <f t="shared" si="0"/>
        <v>307</v>
      </c>
      <c r="L19" s="243">
        <v>255</v>
      </c>
      <c r="M19" s="243"/>
      <c r="N19" s="243">
        <v>52</v>
      </c>
      <c r="O19" s="243"/>
      <c r="P19" s="243"/>
      <c r="Q19" s="243"/>
      <c r="R19" s="242" t="e">
        <f>IF(L19="nio",0,IF(L19&gt;0,L19*J19/X19,0))*VLOOKUP(B19,'2-Kosten per locatie'!$A$14:$C$21,3,FALSE)</f>
        <v>#DIV/0!</v>
      </c>
      <c r="S19" s="242">
        <f>IF(M19&gt;0,M19*J19/Y19,0)*VLOOKUP(B19,'2-Kosten per locatie'!$A$14:$C$21,3,FALSE)</f>
        <v>0</v>
      </c>
      <c r="T19" s="242" t="e">
        <f>IF(N19&gt;0,N19*J19/Z19,0)*VLOOKUP(B19,'2-Kosten per locatie'!$A$14:$C$21,3,FALSE)</f>
        <v>#DIV/0!</v>
      </c>
      <c r="U19" s="242">
        <f>IF(O19&gt;0,O19*J19/AA19,0)*VLOOKUP(B19,'2-Kosten per locatie'!$A$14:$C$21,3,FALSE)</f>
        <v>0</v>
      </c>
      <c r="V19" s="242">
        <f>IF(P19&gt;0,P19*J19/Z19,0)*VLOOKUP(B19,'2-Kosten per locatie'!$A$14:$C$21,3,FALSE)</f>
        <v>0</v>
      </c>
      <c r="W19" s="242">
        <f>IF(Q19&gt;0,Q19*J19/AA19,0)*VLOOKUP(B19,'2-Kosten per locatie'!$A$14:$C$21,3,FALSE)</f>
        <v>0</v>
      </c>
      <c r="X19" s="315">
        <f>IF(L19="nio",0,IF(L19&gt;0,VLOOKUP(H19,'3-Productie normen'!A:K,VLOOKUP(L19,'3-Productie normen'!$B$36:$C$42,2,FALSE),FALSE)))</f>
        <v>0</v>
      </c>
      <c r="Y19" s="315">
        <f t="shared" si="1"/>
        <v>0</v>
      </c>
      <c r="Z19" s="315">
        <f t="shared" si="2"/>
        <v>0</v>
      </c>
      <c r="AA19" s="315">
        <f t="shared" si="3"/>
        <v>0</v>
      </c>
      <c r="AB19" s="316" t="s">
        <v>490</v>
      </c>
      <c r="AD19" s="317">
        <f t="shared" si="4"/>
        <v>2063.04</v>
      </c>
    </row>
    <row r="20" spans="1:30" ht="14.1" customHeight="1">
      <c r="A20" s="74">
        <v>20</v>
      </c>
      <c r="B20" s="277" t="s">
        <v>271</v>
      </c>
      <c r="C20" s="277" t="s">
        <v>276</v>
      </c>
      <c r="D20" s="277" t="s">
        <v>256</v>
      </c>
      <c r="E20" s="311" t="s">
        <v>254</v>
      </c>
      <c r="F20" s="312"/>
      <c r="G20" s="277" t="s">
        <v>248</v>
      </c>
      <c r="H20" s="277" t="s">
        <v>52</v>
      </c>
      <c r="I20" s="70" t="s">
        <v>238</v>
      </c>
      <c r="J20" s="313">
        <v>6.72</v>
      </c>
      <c r="K20" s="314">
        <f t="shared" si="0"/>
        <v>307</v>
      </c>
      <c r="L20" s="243">
        <v>255</v>
      </c>
      <c r="M20" s="243"/>
      <c r="N20" s="243">
        <v>52</v>
      </c>
      <c r="O20" s="243"/>
      <c r="P20" s="243"/>
      <c r="Q20" s="243"/>
      <c r="R20" s="242" t="e">
        <f>IF(L20="nio",0,IF(L20&gt;0,L20*J20/X20,0))*VLOOKUP(B20,'2-Kosten per locatie'!$A$14:$C$21,3,FALSE)</f>
        <v>#DIV/0!</v>
      </c>
      <c r="S20" s="242">
        <f>IF(M20&gt;0,M20*J20/Y20,0)*VLOOKUP(B20,'2-Kosten per locatie'!$A$14:$C$21,3,FALSE)</f>
        <v>0</v>
      </c>
      <c r="T20" s="242" t="e">
        <f>IF(N20&gt;0,N20*J20/Z20,0)*VLOOKUP(B20,'2-Kosten per locatie'!$A$14:$C$21,3,FALSE)</f>
        <v>#DIV/0!</v>
      </c>
      <c r="U20" s="242">
        <f>IF(O20&gt;0,O20*J20/AA20,0)*VLOOKUP(B20,'2-Kosten per locatie'!$A$14:$C$21,3,FALSE)</f>
        <v>0</v>
      </c>
      <c r="V20" s="242">
        <f>IF(P20&gt;0,P20*J20/Z20,0)*VLOOKUP(B20,'2-Kosten per locatie'!$A$14:$C$21,3,FALSE)</f>
        <v>0</v>
      </c>
      <c r="W20" s="242">
        <f>IF(Q20&gt;0,Q20*J20/AA20,0)*VLOOKUP(B20,'2-Kosten per locatie'!$A$14:$C$21,3,FALSE)</f>
        <v>0</v>
      </c>
      <c r="X20" s="315">
        <f>IF(L20="nio",0,IF(L20&gt;0,VLOOKUP(H20,'3-Productie normen'!A:K,VLOOKUP(L20,'3-Productie normen'!$B$36:$C$42,2,FALSE),FALSE)))</f>
        <v>0</v>
      </c>
      <c r="Y20" s="315">
        <f t="shared" si="1"/>
        <v>0</v>
      </c>
      <c r="Z20" s="315">
        <f t="shared" si="2"/>
        <v>0</v>
      </c>
      <c r="AA20" s="315">
        <f t="shared" si="3"/>
        <v>0</v>
      </c>
      <c r="AB20" s="316" t="s">
        <v>490</v>
      </c>
      <c r="AD20" s="317">
        <f t="shared" si="4"/>
        <v>2063.04</v>
      </c>
    </row>
    <row r="21" spans="1:30" ht="14.1" customHeight="1">
      <c r="A21" s="74">
        <v>21</v>
      </c>
      <c r="B21" s="277" t="s">
        <v>271</v>
      </c>
      <c r="C21" s="277" t="s">
        <v>276</v>
      </c>
      <c r="D21" s="277" t="s">
        <v>256</v>
      </c>
      <c r="E21" s="311" t="s">
        <v>254</v>
      </c>
      <c r="F21" s="312"/>
      <c r="G21" s="277" t="s">
        <v>285</v>
      </c>
      <c r="H21" s="277" t="s">
        <v>56</v>
      </c>
      <c r="I21" s="70" t="s">
        <v>238</v>
      </c>
      <c r="J21" s="313">
        <v>11.18</v>
      </c>
      <c r="K21" s="314">
        <f t="shared" si="0"/>
        <v>307</v>
      </c>
      <c r="L21" s="243">
        <v>255</v>
      </c>
      <c r="M21" s="243"/>
      <c r="N21" s="243">
        <v>52</v>
      </c>
      <c r="O21" s="243"/>
      <c r="P21" s="243"/>
      <c r="Q21" s="243"/>
      <c r="R21" s="242" t="e">
        <f>IF(L21="nio",0,IF(L21&gt;0,L21*J21/X21,0))*VLOOKUP(B21,'2-Kosten per locatie'!$A$14:$C$21,3,FALSE)</f>
        <v>#DIV/0!</v>
      </c>
      <c r="S21" s="242">
        <f>IF(M21&gt;0,M21*J21/Y21,0)*VLOOKUP(B21,'2-Kosten per locatie'!$A$14:$C$21,3,FALSE)</f>
        <v>0</v>
      </c>
      <c r="T21" s="242" t="e">
        <f>IF(N21&gt;0,N21*J21/Z21,0)*VLOOKUP(B21,'2-Kosten per locatie'!$A$14:$C$21,3,FALSE)</f>
        <v>#DIV/0!</v>
      </c>
      <c r="U21" s="242">
        <f>IF(O21&gt;0,O21*J21/AA21,0)*VLOOKUP(B21,'2-Kosten per locatie'!$A$14:$C$21,3,FALSE)</f>
        <v>0</v>
      </c>
      <c r="V21" s="242">
        <f>IF(P21&gt;0,P21*J21/Z21,0)*VLOOKUP(B21,'2-Kosten per locatie'!$A$14:$C$21,3,FALSE)</f>
        <v>0</v>
      </c>
      <c r="W21" s="242">
        <f>IF(Q21&gt;0,Q21*J21/AA21,0)*VLOOKUP(B21,'2-Kosten per locatie'!$A$14:$C$21,3,FALSE)</f>
        <v>0</v>
      </c>
      <c r="X21" s="315">
        <f>IF(L21="nio",0,IF(L21&gt;0,VLOOKUP(H21,'3-Productie normen'!A:K,VLOOKUP(L21,'3-Productie normen'!$B$36:$C$42,2,FALSE),FALSE)))</f>
        <v>0</v>
      </c>
      <c r="Y21" s="315">
        <f t="shared" si="1"/>
        <v>0</v>
      </c>
      <c r="Z21" s="315">
        <f t="shared" si="2"/>
        <v>0</v>
      </c>
      <c r="AA21" s="315">
        <f t="shared" si="3"/>
        <v>0</v>
      </c>
      <c r="AB21" s="316" t="s">
        <v>490</v>
      </c>
      <c r="AD21" s="317">
        <f t="shared" si="4"/>
        <v>3432.2599999999998</v>
      </c>
    </row>
    <row r="22" spans="1:30" ht="14.1" customHeight="1">
      <c r="A22" s="74">
        <v>22</v>
      </c>
      <c r="B22" s="277" t="s">
        <v>271</v>
      </c>
      <c r="C22" s="277" t="s">
        <v>276</v>
      </c>
      <c r="D22" s="277" t="s">
        <v>256</v>
      </c>
      <c r="E22" s="311" t="s">
        <v>254</v>
      </c>
      <c r="F22" s="312"/>
      <c r="G22" s="277" t="s">
        <v>286</v>
      </c>
      <c r="H22" s="277" t="s">
        <v>56</v>
      </c>
      <c r="I22" s="70" t="s">
        <v>238</v>
      </c>
      <c r="J22" s="313">
        <v>8</v>
      </c>
      <c r="K22" s="314">
        <f t="shared" si="0"/>
        <v>307</v>
      </c>
      <c r="L22" s="243">
        <v>255</v>
      </c>
      <c r="M22" s="243"/>
      <c r="N22" s="243">
        <v>52</v>
      </c>
      <c r="O22" s="243"/>
      <c r="P22" s="243"/>
      <c r="Q22" s="243"/>
      <c r="R22" s="242" t="e">
        <f>IF(L22="nio",0,IF(L22&gt;0,L22*J22/X22,0))*VLOOKUP(B22,'2-Kosten per locatie'!$A$14:$C$21,3,FALSE)</f>
        <v>#DIV/0!</v>
      </c>
      <c r="S22" s="242">
        <f>IF(M22&gt;0,M22*J22/Y22,0)*VLOOKUP(B22,'2-Kosten per locatie'!$A$14:$C$21,3,FALSE)</f>
        <v>0</v>
      </c>
      <c r="T22" s="242" t="e">
        <f>IF(N22&gt;0,N22*J22/Z22,0)*VLOOKUP(B22,'2-Kosten per locatie'!$A$14:$C$21,3,FALSE)</f>
        <v>#DIV/0!</v>
      </c>
      <c r="U22" s="242">
        <f>IF(O22&gt;0,O22*J22/AA22,0)*VLOOKUP(B22,'2-Kosten per locatie'!$A$14:$C$21,3,FALSE)</f>
        <v>0</v>
      </c>
      <c r="V22" s="242">
        <f>IF(P22&gt;0,P22*J22/Z22,0)*VLOOKUP(B22,'2-Kosten per locatie'!$A$14:$C$21,3,FALSE)</f>
        <v>0</v>
      </c>
      <c r="W22" s="242">
        <f>IF(Q22&gt;0,Q22*J22/AA22,0)*VLOOKUP(B22,'2-Kosten per locatie'!$A$14:$C$21,3,FALSE)</f>
        <v>0</v>
      </c>
      <c r="X22" s="315">
        <f>IF(L22="nio",0,IF(L22&gt;0,VLOOKUP(H22,'3-Productie normen'!A:K,VLOOKUP(L22,'3-Productie normen'!$B$36:$C$42,2,FALSE),FALSE)))</f>
        <v>0</v>
      </c>
      <c r="Y22" s="315">
        <f t="shared" si="1"/>
        <v>0</v>
      </c>
      <c r="Z22" s="315">
        <f t="shared" si="2"/>
        <v>0</v>
      </c>
      <c r="AA22" s="315">
        <f t="shared" si="3"/>
        <v>0</v>
      </c>
      <c r="AB22" s="316" t="s">
        <v>490</v>
      </c>
      <c r="AD22" s="317">
        <f t="shared" si="4"/>
        <v>2456</v>
      </c>
    </row>
    <row r="23" spans="1:30" ht="14.1" customHeight="1">
      <c r="A23" s="74">
        <v>23</v>
      </c>
      <c r="B23" s="277" t="s">
        <v>271</v>
      </c>
      <c r="C23" s="277" t="s">
        <v>276</v>
      </c>
      <c r="D23" s="277" t="s">
        <v>256</v>
      </c>
      <c r="E23" s="311" t="s">
        <v>254</v>
      </c>
      <c r="F23" s="312"/>
      <c r="G23" s="70" t="s">
        <v>286</v>
      </c>
      <c r="H23" s="70" t="s">
        <v>56</v>
      </c>
      <c r="I23" s="70" t="s">
        <v>238</v>
      </c>
      <c r="J23" s="313">
        <v>6</v>
      </c>
      <c r="K23" s="314">
        <f t="shared" si="0"/>
        <v>307</v>
      </c>
      <c r="L23" s="243">
        <v>255</v>
      </c>
      <c r="M23" s="243"/>
      <c r="N23" s="243">
        <v>52</v>
      </c>
      <c r="O23" s="243"/>
      <c r="P23" s="243"/>
      <c r="Q23" s="243"/>
      <c r="R23" s="242" t="e">
        <f>IF(L23="nio",0,IF(L23&gt;0,L23*J23/X23,0))*VLOOKUP(B23,'2-Kosten per locatie'!$A$14:$C$21,3,FALSE)</f>
        <v>#DIV/0!</v>
      </c>
      <c r="S23" s="242">
        <f>IF(M23&gt;0,M23*J23/Y23,0)*VLOOKUP(B23,'2-Kosten per locatie'!$A$14:$C$21,3,FALSE)</f>
        <v>0</v>
      </c>
      <c r="T23" s="242" t="e">
        <f>IF(N23&gt;0,N23*J23/Z23,0)*VLOOKUP(B23,'2-Kosten per locatie'!$A$14:$C$21,3,FALSE)</f>
        <v>#DIV/0!</v>
      </c>
      <c r="U23" s="242">
        <f>IF(O23&gt;0,O23*J23/AA23,0)*VLOOKUP(B23,'2-Kosten per locatie'!$A$14:$C$21,3,FALSE)</f>
        <v>0</v>
      </c>
      <c r="V23" s="242">
        <f>IF(P23&gt;0,P23*J23/Z23,0)*VLOOKUP(B23,'2-Kosten per locatie'!$A$14:$C$21,3,FALSE)</f>
        <v>0</v>
      </c>
      <c r="W23" s="242">
        <f>IF(Q23&gt;0,Q23*J23/AA23,0)*VLOOKUP(B23,'2-Kosten per locatie'!$A$14:$C$21,3,FALSE)</f>
        <v>0</v>
      </c>
      <c r="X23" s="315">
        <f>IF(L23="nio",0,IF(L23&gt;0,VLOOKUP(H23,'3-Productie normen'!A:K,VLOOKUP(L23,'3-Productie normen'!$B$36:$C$42,2,FALSE),FALSE)))</f>
        <v>0</v>
      </c>
      <c r="Y23" s="315">
        <f t="shared" si="1"/>
        <v>0</v>
      </c>
      <c r="Z23" s="315">
        <f t="shared" si="2"/>
        <v>0</v>
      </c>
      <c r="AA23" s="315">
        <f t="shared" si="3"/>
        <v>0</v>
      </c>
      <c r="AB23" s="316" t="s">
        <v>490</v>
      </c>
      <c r="AD23" s="317">
        <f t="shared" si="4"/>
        <v>1842</v>
      </c>
    </row>
    <row r="24" spans="1:30" ht="14.1" customHeight="1">
      <c r="A24" s="74">
        <v>24</v>
      </c>
      <c r="B24" s="277" t="s">
        <v>271</v>
      </c>
      <c r="C24" s="277" t="s">
        <v>276</v>
      </c>
      <c r="D24" s="277" t="s">
        <v>256</v>
      </c>
      <c r="E24" s="311" t="s">
        <v>254</v>
      </c>
      <c r="F24" s="239"/>
      <c r="G24" s="84" t="s">
        <v>287</v>
      </c>
      <c r="H24" s="293" t="s">
        <v>56</v>
      </c>
      <c r="I24" s="70" t="s">
        <v>238</v>
      </c>
      <c r="J24" s="313">
        <v>40</v>
      </c>
      <c r="K24" s="314">
        <f t="shared" si="0"/>
        <v>307</v>
      </c>
      <c r="L24" s="243">
        <v>255</v>
      </c>
      <c r="M24" s="243"/>
      <c r="N24" s="243">
        <v>52</v>
      </c>
      <c r="O24" s="243"/>
      <c r="P24" s="243"/>
      <c r="Q24" s="243"/>
      <c r="R24" s="242" t="e">
        <f>IF(L24="nio",0,IF(L24&gt;0,L24*J24/X24,0))*VLOOKUP(B24,'2-Kosten per locatie'!$A$14:$C$21,3,FALSE)</f>
        <v>#DIV/0!</v>
      </c>
      <c r="S24" s="242">
        <f>IF(M24&gt;0,M24*J24/Y24,0)*VLOOKUP(B24,'2-Kosten per locatie'!$A$14:$C$21,3,FALSE)</f>
        <v>0</v>
      </c>
      <c r="T24" s="242" t="e">
        <f>IF(N24&gt;0,N24*J24/Z24,0)*VLOOKUP(B24,'2-Kosten per locatie'!$A$14:$C$21,3,FALSE)</f>
        <v>#DIV/0!</v>
      </c>
      <c r="U24" s="242">
        <f>IF(O24&gt;0,O24*J24/AA24,0)*VLOOKUP(B24,'2-Kosten per locatie'!$A$14:$C$21,3,FALSE)</f>
        <v>0</v>
      </c>
      <c r="V24" s="242">
        <f>IF(P24&gt;0,P24*J24/Z24,0)*VLOOKUP(B24,'2-Kosten per locatie'!$A$14:$C$21,3,FALSE)</f>
        <v>0</v>
      </c>
      <c r="W24" s="242">
        <f>IF(Q24&gt;0,Q24*J24/AA24,0)*VLOOKUP(B24,'2-Kosten per locatie'!$A$14:$C$21,3,FALSE)</f>
        <v>0</v>
      </c>
      <c r="X24" s="315">
        <f>IF(L24="nio",0,IF(L24&gt;0,VLOOKUP(H24,'3-Productie normen'!A:K,VLOOKUP(L24,'3-Productie normen'!$B$36:$C$42,2,FALSE),FALSE)))</f>
        <v>0</v>
      </c>
      <c r="Y24" s="315">
        <f t="shared" si="1"/>
        <v>0</v>
      </c>
      <c r="Z24" s="315">
        <f t="shared" si="2"/>
        <v>0</v>
      </c>
      <c r="AA24" s="315">
        <f t="shared" si="3"/>
        <v>0</v>
      </c>
      <c r="AB24" s="316" t="s">
        <v>490</v>
      </c>
      <c r="AD24" s="317">
        <f t="shared" si="4"/>
        <v>12280</v>
      </c>
    </row>
    <row r="25" spans="1:30" ht="14.1" customHeight="1">
      <c r="A25" s="74">
        <v>25</v>
      </c>
      <c r="B25" s="277" t="s">
        <v>271</v>
      </c>
      <c r="C25" s="277" t="s">
        <v>276</v>
      </c>
      <c r="D25" s="277" t="s">
        <v>256</v>
      </c>
      <c r="E25" s="311" t="s">
        <v>254</v>
      </c>
      <c r="F25" s="312"/>
      <c r="G25" s="277" t="s">
        <v>288</v>
      </c>
      <c r="H25" s="277" t="s">
        <v>53</v>
      </c>
      <c r="I25" s="70" t="s">
        <v>238</v>
      </c>
      <c r="J25" s="313">
        <v>13.72</v>
      </c>
      <c r="K25" s="314">
        <f t="shared" si="0"/>
        <v>307</v>
      </c>
      <c r="L25" s="243">
        <v>255</v>
      </c>
      <c r="M25" s="243"/>
      <c r="N25" s="243">
        <v>52</v>
      </c>
      <c r="O25" s="243"/>
      <c r="P25" s="243"/>
      <c r="Q25" s="243"/>
      <c r="R25" s="242" t="e">
        <f>IF(L25="nio",0,IF(L25&gt;0,L25*J25/X25,0))*VLOOKUP(B25,'2-Kosten per locatie'!$A$14:$C$21,3,FALSE)</f>
        <v>#DIV/0!</v>
      </c>
      <c r="S25" s="242">
        <f>IF(M25&gt;0,M25*J25/Y25,0)*VLOOKUP(B25,'2-Kosten per locatie'!$A$14:$C$21,3,FALSE)</f>
        <v>0</v>
      </c>
      <c r="T25" s="242" t="e">
        <f>IF(N25&gt;0,N25*J25/Z25,0)*VLOOKUP(B25,'2-Kosten per locatie'!$A$14:$C$21,3,FALSE)</f>
        <v>#DIV/0!</v>
      </c>
      <c r="U25" s="242">
        <f>IF(O25&gt;0,O25*J25/AA25,0)*VLOOKUP(B25,'2-Kosten per locatie'!$A$14:$C$21,3,FALSE)</f>
        <v>0</v>
      </c>
      <c r="V25" s="242">
        <f>IF(P25&gt;0,P25*J25/Z25,0)*VLOOKUP(B25,'2-Kosten per locatie'!$A$14:$C$21,3,FALSE)</f>
        <v>0</v>
      </c>
      <c r="W25" s="242">
        <f>IF(Q25&gt;0,Q25*J25/AA25,0)*VLOOKUP(B25,'2-Kosten per locatie'!$A$14:$C$21,3,FALSE)</f>
        <v>0</v>
      </c>
      <c r="X25" s="315">
        <f>IF(L25="nio",0,IF(L25&gt;0,VLOOKUP(H25,'3-Productie normen'!A:K,VLOOKUP(L25,'3-Productie normen'!$B$36:$C$42,2,FALSE),FALSE)))</f>
        <v>0</v>
      </c>
      <c r="Y25" s="315">
        <f t="shared" si="1"/>
        <v>0</v>
      </c>
      <c r="Z25" s="315">
        <f t="shared" si="2"/>
        <v>0</v>
      </c>
      <c r="AA25" s="315">
        <f t="shared" si="3"/>
        <v>0</v>
      </c>
      <c r="AB25" s="316" t="s">
        <v>490</v>
      </c>
      <c r="AD25" s="317">
        <f t="shared" si="4"/>
        <v>4212.04</v>
      </c>
    </row>
    <row r="26" spans="1:30" ht="14.1" customHeight="1">
      <c r="A26" s="74">
        <v>26</v>
      </c>
      <c r="B26" s="277" t="s">
        <v>271</v>
      </c>
      <c r="C26" s="277" t="s">
        <v>276</v>
      </c>
      <c r="D26" s="277" t="s">
        <v>256</v>
      </c>
      <c r="E26" s="311" t="s">
        <v>254</v>
      </c>
      <c r="F26" s="312"/>
      <c r="G26" s="277" t="s">
        <v>298</v>
      </c>
      <c r="H26" s="277" t="s">
        <v>319</v>
      </c>
      <c r="I26" s="70" t="s">
        <v>238</v>
      </c>
      <c r="J26" s="313">
        <v>240.4</v>
      </c>
      <c r="K26" s="314">
        <f t="shared" si="0"/>
        <v>307</v>
      </c>
      <c r="L26" s="243">
        <v>255</v>
      </c>
      <c r="M26" s="243"/>
      <c r="N26" s="243">
        <v>52</v>
      </c>
      <c r="O26" s="243"/>
      <c r="P26" s="243"/>
      <c r="Q26" s="243"/>
      <c r="R26" s="242" t="e">
        <f>IF(L26="nio",0,IF(L26&gt;0,L26*J26/X26,0))*VLOOKUP(B26,'2-Kosten per locatie'!$A$14:$C$21,3,FALSE)</f>
        <v>#DIV/0!</v>
      </c>
      <c r="S26" s="242">
        <f>IF(M26&gt;0,M26*J26/Y26,0)*VLOOKUP(B26,'2-Kosten per locatie'!$A$14:$C$21,3,FALSE)</f>
        <v>0</v>
      </c>
      <c r="T26" s="242" t="e">
        <f>IF(N26&gt;0,N26*J26/Z26,0)*VLOOKUP(B26,'2-Kosten per locatie'!$A$14:$C$21,3,FALSE)</f>
        <v>#DIV/0!</v>
      </c>
      <c r="U26" s="242">
        <f>IF(O26&gt;0,O26*J26/AA26,0)*VLOOKUP(B26,'2-Kosten per locatie'!$A$14:$C$21,3,FALSE)</f>
        <v>0</v>
      </c>
      <c r="V26" s="242">
        <f>IF(P26&gt;0,P26*J26/Z26,0)*VLOOKUP(B26,'2-Kosten per locatie'!$A$14:$C$21,3,FALSE)</f>
        <v>0</v>
      </c>
      <c r="W26" s="242">
        <f>IF(Q26&gt;0,Q26*J26/AA26,0)*VLOOKUP(B26,'2-Kosten per locatie'!$A$14:$C$21,3,FALSE)</f>
        <v>0</v>
      </c>
      <c r="X26" s="315">
        <f>IF(L26="nio",0,IF(L26&gt;0,VLOOKUP(H26,'3-Productie normen'!A:K,VLOOKUP(L26,'3-Productie normen'!$B$36:$C$42,2,FALSE),FALSE)))</f>
        <v>0</v>
      </c>
      <c r="Y26" s="315">
        <f t="shared" si="1"/>
        <v>0</v>
      </c>
      <c r="Z26" s="315">
        <f t="shared" si="2"/>
        <v>0</v>
      </c>
      <c r="AA26" s="315">
        <f t="shared" si="3"/>
        <v>0</v>
      </c>
      <c r="AB26" s="316" t="s">
        <v>490</v>
      </c>
      <c r="AD26" s="317">
        <f t="shared" si="4"/>
        <v>73802.8</v>
      </c>
    </row>
    <row r="27" spans="1:30" ht="14.1" hidden="1" customHeight="1">
      <c r="A27" s="74">
        <v>27</v>
      </c>
      <c r="B27" s="277" t="s">
        <v>271</v>
      </c>
      <c r="C27" s="277" t="s">
        <v>276</v>
      </c>
      <c r="D27" s="277" t="s">
        <v>256</v>
      </c>
      <c r="E27" s="311" t="s">
        <v>254</v>
      </c>
      <c r="F27" s="312"/>
      <c r="G27" s="70" t="s">
        <v>289</v>
      </c>
      <c r="H27" s="70" t="s">
        <v>53</v>
      </c>
      <c r="I27" s="318" t="s">
        <v>238</v>
      </c>
      <c r="J27" s="319">
        <v>162</v>
      </c>
      <c r="K27" s="314">
        <f t="shared" si="0"/>
        <v>255</v>
      </c>
      <c r="L27" s="243">
        <v>255</v>
      </c>
      <c r="M27" s="243"/>
      <c r="N27" s="243"/>
      <c r="O27" s="243"/>
      <c r="P27" s="243"/>
      <c r="Q27" s="243"/>
      <c r="R27" s="242" t="e">
        <f>IF(L27="nio",0,IF(L27&gt;0,L27*J27/X27,0))*VLOOKUP(B27,'2-Kosten per locatie'!$A$14:$C$21,3,FALSE)</f>
        <v>#DIV/0!</v>
      </c>
      <c r="S27" s="242">
        <f>IF(M27&gt;0,M27*J27/Y27,0)*VLOOKUP(B27,'2-Kosten per locatie'!$A$14:$C$21,3,FALSE)</f>
        <v>0</v>
      </c>
      <c r="T27" s="242">
        <f>IF(N27&gt;0,N27*J27/Z27,0)*VLOOKUP(B27,'2-Kosten per locatie'!$A$14:$C$21,3,FALSE)</f>
        <v>0</v>
      </c>
      <c r="U27" s="242">
        <f>IF(O27&gt;0,O27*J27/AA27,0)*VLOOKUP(B27,'2-Kosten per locatie'!$A$14:$C$21,3,FALSE)</f>
        <v>0</v>
      </c>
      <c r="V27" s="242">
        <f>IF(P27&gt;0,P27*J27/Z27,0)*VLOOKUP(B27,'2-Kosten per locatie'!$A$14:$C$21,3,FALSE)</f>
        <v>0</v>
      </c>
      <c r="W27" s="242">
        <f>IF(Q27&gt;0,Q27*J27/AA27,0)*VLOOKUP(B27,'2-Kosten per locatie'!$A$14:$C$21,3,FALSE)</f>
        <v>0</v>
      </c>
      <c r="X27" s="315">
        <f>IF(L27="nio",0,IF(L27&gt;0,VLOOKUP(H27,'3-Productie normen'!A:K,VLOOKUP(L27,'3-Productie normen'!$B$36:$C$42,2,FALSE),FALSE)))</f>
        <v>0</v>
      </c>
      <c r="Y27" s="315">
        <f t="shared" si="1"/>
        <v>0</v>
      </c>
      <c r="Z27" s="315">
        <f t="shared" si="2"/>
        <v>0</v>
      </c>
      <c r="AA27" s="315">
        <f t="shared" si="3"/>
        <v>0</v>
      </c>
      <c r="AB27" s="316"/>
      <c r="AD27" s="317">
        <f t="shared" si="4"/>
        <v>41310</v>
      </c>
    </row>
    <row r="28" spans="1:30" ht="14.1" hidden="1" customHeight="1">
      <c r="A28" s="74">
        <v>28</v>
      </c>
      <c r="B28" s="277" t="s">
        <v>271</v>
      </c>
      <c r="C28" s="277" t="s">
        <v>276</v>
      </c>
      <c r="D28" s="456" t="s">
        <v>256</v>
      </c>
      <c r="E28" s="311" t="s">
        <v>254</v>
      </c>
      <c r="F28" s="239"/>
      <c r="G28" s="84" t="s">
        <v>290</v>
      </c>
      <c r="H28" s="84" t="s">
        <v>52</v>
      </c>
      <c r="I28" s="70" t="s">
        <v>238</v>
      </c>
      <c r="J28" s="319">
        <v>22</v>
      </c>
      <c r="K28" s="314">
        <f t="shared" si="0"/>
        <v>255</v>
      </c>
      <c r="L28" s="243">
        <v>255</v>
      </c>
      <c r="M28" s="243"/>
      <c r="N28" s="243"/>
      <c r="O28" s="243"/>
      <c r="P28" s="243"/>
      <c r="Q28" s="243"/>
      <c r="R28" s="242" t="e">
        <f>IF(L28="nio",0,IF(L28&gt;0,L28*J28/X28,0))*VLOOKUP(B28,'2-Kosten per locatie'!$A$14:$C$21,3,FALSE)</f>
        <v>#DIV/0!</v>
      </c>
      <c r="S28" s="242">
        <f>IF(M28&gt;0,M28*J28/Y28,0)*VLOOKUP(B28,'2-Kosten per locatie'!$A$14:$C$21,3,FALSE)</f>
        <v>0</v>
      </c>
      <c r="T28" s="242">
        <f>IF(N28&gt;0,N28*J28/Z28,0)*VLOOKUP(B28,'2-Kosten per locatie'!$A$14:$C$21,3,FALSE)</f>
        <v>0</v>
      </c>
      <c r="U28" s="242">
        <f>IF(O28&gt;0,O28*J28/AA28,0)*VLOOKUP(B28,'2-Kosten per locatie'!$A$14:$C$21,3,FALSE)</f>
        <v>0</v>
      </c>
      <c r="V28" s="242">
        <f>IF(P28&gt;0,P28*J28/Z28,0)*VLOOKUP(B28,'2-Kosten per locatie'!$A$14:$C$21,3,FALSE)</f>
        <v>0</v>
      </c>
      <c r="W28" s="242">
        <f>IF(Q28&gt;0,Q28*J28/AA28,0)*VLOOKUP(B28,'2-Kosten per locatie'!$A$14:$C$21,3,FALSE)</f>
        <v>0</v>
      </c>
      <c r="X28" s="315">
        <f>IF(L28="nio",0,IF(L28&gt;0,VLOOKUP(H28,'3-Productie normen'!A:K,VLOOKUP(L28,'3-Productie normen'!$B$36:$C$42,2,FALSE),FALSE)))</f>
        <v>0</v>
      </c>
      <c r="Y28" s="315">
        <f t="shared" si="1"/>
        <v>0</v>
      </c>
      <c r="Z28" s="315">
        <f t="shared" si="2"/>
        <v>0</v>
      </c>
      <c r="AA28" s="315">
        <f t="shared" si="3"/>
        <v>0</v>
      </c>
      <c r="AB28" s="316"/>
      <c r="AD28" s="317">
        <f t="shared" si="4"/>
        <v>5610</v>
      </c>
    </row>
    <row r="29" spans="1:30" ht="14.1" hidden="1" customHeight="1">
      <c r="A29" s="74">
        <v>29</v>
      </c>
      <c r="B29" s="277" t="s">
        <v>271</v>
      </c>
      <c r="C29" s="277" t="s">
        <v>276</v>
      </c>
      <c r="D29" s="277" t="s">
        <v>256</v>
      </c>
      <c r="E29" s="311" t="s">
        <v>254</v>
      </c>
      <c r="F29" s="312"/>
      <c r="G29" s="70" t="s">
        <v>291</v>
      </c>
      <c r="H29" s="70" t="s">
        <v>57</v>
      </c>
      <c r="I29" s="70" t="s">
        <v>264</v>
      </c>
      <c r="J29" s="319">
        <v>135</v>
      </c>
      <c r="K29" s="314">
        <f t="shared" si="0"/>
        <v>255</v>
      </c>
      <c r="L29" s="243">
        <v>255</v>
      </c>
      <c r="M29" s="243"/>
      <c r="N29" s="243"/>
      <c r="O29" s="243"/>
      <c r="P29" s="243"/>
      <c r="Q29" s="243"/>
      <c r="R29" s="242" t="e">
        <f>IF(L29="nio",0,IF(L29&gt;0,L29*J29/X29,0))*VLOOKUP(B29,'2-Kosten per locatie'!$A$14:$C$21,3,FALSE)</f>
        <v>#DIV/0!</v>
      </c>
      <c r="S29" s="242">
        <f>IF(M29&gt;0,M29*J29/Y29,0)*VLOOKUP(B29,'2-Kosten per locatie'!$A$14:$C$21,3,FALSE)</f>
        <v>0</v>
      </c>
      <c r="T29" s="242">
        <f>IF(N29&gt;0,N29*J29/Z29,0)*VLOOKUP(B29,'2-Kosten per locatie'!$A$14:$C$21,3,FALSE)</f>
        <v>0</v>
      </c>
      <c r="U29" s="242">
        <f>IF(O29&gt;0,O29*J29/AA29,0)*VLOOKUP(B29,'2-Kosten per locatie'!$A$14:$C$21,3,FALSE)</f>
        <v>0</v>
      </c>
      <c r="V29" s="242">
        <f>IF(P29&gt;0,P29*J29/Z29,0)*VLOOKUP(B29,'2-Kosten per locatie'!$A$14:$C$21,3,FALSE)</f>
        <v>0</v>
      </c>
      <c r="W29" s="242">
        <f>IF(Q29&gt;0,Q29*J29/AA29,0)*VLOOKUP(B29,'2-Kosten per locatie'!$A$14:$C$21,3,FALSE)</f>
        <v>0</v>
      </c>
      <c r="X29" s="315">
        <f>IF(L29="nio",0,IF(L29&gt;0,VLOOKUP(H29,'3-Productie normen'!A:K,VLOOKUP(L29,'3-Productie normen'!$B$36:$C$42,2,FALSE),FALSE)))</f>
        <v>0</v>
      </c>
      <c r="Y29" s="315">
        <f t="shared" si="1"/>
        <v>0</v>
      </c>
      <c r="Z29" s="315">
        <f t="shared" si="2"/>
        <v>0</v>
      </c>
      <c r="AA29" s="315">
        <f t="shared" si="3"/>
        <v>0</v>
      </c>
      <c r="AB29" s="316"/>
      <c r="AD29" s="317">
        <f t="shared" si="4"/>
        <v>34425</v>
      </c>
    </row>
    <row r="30" spans="1:30" ht="14.1" hidden="1" customHeight="1">
      <c r="A30" s="74">
        <v>30</v>
      </c>
      <c r="B30" s="277" t="s">
        <v>271</v>
      </c>
      <c r="C30" s="277" t="s">
        <v>276</v>
      </c>
      <c r="D30" s="277" t="s">
        <v>256</v>
      </c>
      <c r="E30" s="311" t="s">
        <v>254</v>
      </c>
      <c r="F30" s="312"/>
      <c r="G30" s="70" t="s">
        <v>244</v>
      </c>
      <c r="H30" s="70" t="s">
        <v>54</v>
      </c>
      <c r="I30" s="70" t="s">
        <v>264</v>
      </c>
      <c r="J30" s="319">
        <v>7</v>
      </c>
      <c r="K30" s="314">
        <f t="shared" si="0"/>
        <v>255</v>
      </c>
      <c r="L30" s="243">
        <v>255</v>
      </c>
      <c r="M30" s="243"/>
      <c r="N30" s="243"/>
      <c r="O30" s="243"/>
      <c r="P30" s="243"/>
      <c r="Q30" s="243"/>
      <c r="R30" s="242" t="e">
        <f>IF(L30="nio",0,IF(L30&gt;0,L30*J30/X30,0))*VLOOKUP(B30,'2-Kosten per locatie'!$A$14:$C$21,3,FALSE)</f>
        <v>#DIV/0!</v>
      </c>
      <c r="S30" s="242">
        <f>IF(M30&gt;0,M30*J30/Y30,0)*VLOOKUP(B30,'2-Kosten per locatie'!$A$14:$C$21,3,FALSE)</f>
        <v>0</v>
      </c>
      <c r="T30" s="242">
        <f>IF(N30&gt;0,N30*J30/Z30,0)*VLOOKUP(B30,'2-Kosten per locatie'!$A$14:$C$21,3,FALSE)</f>
        <v>0</v>
      </c>
      <c r="U30" s="242">
        <f>IF(O30&gt;0,O30*J30/AA30,0)*VLOOKUP(B30,'2-Kosten per locatie'!$A$14:$C$21,3,FALSE)</f>
        <v>0</v>
      </c>
      <c r="V30" s="242">
        <f>IF(P30&gt;0,P30*J30/Z30,0)*VLOOKUP(B30,'2-Kosten per locatie'!$A$14:$C$21,3,FALSE)</f>
        <v>0</v>
      </c>
      <c r="W30" s="242">
        <f>IF(Q30&gt;0,Q30*J30/AA30,0)*VLOOKUP(B30,'2-Kosten per locatie'!$A$14:$C$21,3,FALSE)</f>
        <v>0</v>
      </c>
      <c r="X30" s="315">
        <f>IF(L30="nio",0,IF(L30&gt;0,VLOOKUP(H30,'3-Productie normen'!A:K,VLOOKUP(L30,'3-Productie normen'!$B$36:$C$42,2,FALSE),FALSE)))</f>
        <v>0</v>
      </c>
      <c r="Y30" s="315">
        <f t="shared" si="1"/>
        <v>0</v>
      </c>
      <c r="Z30" s="315">
        <f t="shared" si="2"/>
        <v>0</v>
      </c>
      <c r="AA30" s="315">
        <f t="shared" si="3"/>
        <v>0</v>
      </c>
      <c r="AB30" s="316"/>
      <c r="AD30" s="317">
        <f t="shared" si="4"/>
        <v>1785</v>
      </c>
    </row>
    <row r="31" spans="1:30" ht="14.1" hidden="1" customHeight="1">
      <c r="A31" s="74">
        <v>31</v>
      </c>
      <c r="B31" s="277" t="s">
        <v>271</v>
      </c>
      <c r="C31" s="277" t="s">
        <v>276</v>
      </c>
      <c r="D31" s="277" t="s">
        <v>256</v>
      </c>
      <c r="E31" s="311" t="s">
        <v>254</v>
      </c>
      <c r="F31" s="312"/>
      <c r="G31" s="70" t="s">
        <v>300</v>
      </c>
      <c r="H31" s="70" t="s">
        <v>51</v>
      </c>
      <c r="I31" s="70" t="s">
        <v>264</v>
      </c>
      <c r="J31" s="319">
        <v>11</v>
      </c>
      <c r="K31" s="314">
        <f t="shared" si="0"/>
        <v>255</v>
      </c>
      <c r="L31" s="243">
        <v>255</v>
      </c>
      <c r="M31" s="243"/>
      <c r="N31" s="243"/>
      <c r="O31" s="243"/>
      <c r="P31" s="243"/>
      <c r="Q31" s="243"/>
      <c r="R31" s="242" t="e">
        <f>IF(L31="nio",0,IF(L31&gt;0,L31*J31/X31,0))*VLOOKUP(B31,'2-Kosten per locatie'!$A$14:$C$21,3,FALSE)</f>
        <v>#DIV/0!</v>
      </c>
      <c r="S31" s="242">
        <f>IF(M31&gt;0,M31*J31/Y31,0)*VLOOKUP(B31,'2-Kosten per locatie'!$A$14:$C$21,3,FALSE)</f>
        <v>0</v>
      </c>
      <c r="T31" s="242">
        <f>IF(N31&gt;0,N31*J31/Z31,0)*VLOOKUP(B31,'2-Kosten per locatie'!$A$14:$C$21,3,FALSE)</f>
        <v>0</v>
      </c>
      <c r="U31" s="242">
        <f>IF(O31&gt;0,O31*J31/AA31,0)*VLOOKUP(B31,'2-Kosten per locatie'!$A$14:$C$21,3,FALSE)</f>
        <v>0</v>
      </c>
      <c r="V31" s="242">
        <f>IF(P31&gt;0,P31*J31/Z31,0)*VLOOKUP(B31,'2-Kosten per locatie'!$A$14:$C$21,3,FALSE)</f>
        <v>0</v>
      </c>
      <c r="W31" s="242">
        <f>IF(Q31&gt;0,Q31*J31/AA31,0)*VLOOKUP(B31,'2-Kosten per locatie'!$A$14:$C$21,3,FALSE)</f>
        <v>0</v>
      </c>
      <c r="X31" s="315">
        <f>IF(L31="nio",0,IF(L31&gt;0,VLOOKUP(H31,'3-Productie normen'!A:K,VLOOKUP(L31,'3-Productie normen'!$B$36:$C$42,2,FALSE),FALSE)))</f>
        <v>0</v>
      </c>
      <c r="Y31" s="315">
        <f t="shared" si="1"/>
        <v>0</v>
      </c>
      <c r="Z31" s="315">
        <f t="shared" si="2"/>
        <v>0</v>
      </c>
      <c r="AA31" s="315">
        <f t="shared" si="3"/>
        <v>0</v>
      </c>
      <c r="AB31" s="316"/>
      <c r="AD31" s="317">
        <f t="shared" si="4"/>
        <v>2805</v>
      </c>
    </row>
    <row r="32" spans="1:30" ht="14.1" hidden="1" customHeight="1">
      <c r="A32" s="74">
        <v>32</v>
      </c>
      <c r="B32" s="277" t="s">
        <v>271</v>
      </c>
      <c r="C32" s="277" t="s">
        <v>276</v>
      </c>
      <c r="D32" s="277" t="s">
        <v>256</v>
      </c>
      <c r="E32" s="311" t="s">
        <v>254</v>
      </c>
      <c r="F32" s="312"/>
      <c r="G32" s="70" t="s">
        <v>299</v>
      </c>
      <c r="H32" s="70" t="s">
        <v>51</v>
      </c>
      <c r="I32" s="70" t="s">
        <v>264</v>
      </c>
      <c r="J32" s="319">
        <v>11</v>
      </c>
      <c r="K32" s="314">
        <f t="shared" si="0"/>
        <v>255</v>
      </c>
      <c r="L32" s="243">
        <v>255</v>
      </c>
      <c r="M32" s="243"/>
      <c r="N32" s="243"/>
      <c r="O32" s="243"/>
      <c r="P32" s="243"/>
      <c r="Q32" s="243"/>
      <c r="R32" s="242" t="e">
        <f>IF(L32="nio",0,IF(L32&gt;0,L32*J32/X32,0))*VLOOKUP(B32,'2-Kosten per locatie'!$A$14:$C$21,3,FALSE)</f>
        <v>#DIV/0!</v>
      </c>
      <c r="S32" s="242">
        <f>IF(M32&gt;0,M32*J32/Y32,0)*VLOOKUP(B32,'2-Kosten per locatie'!$A$14:$C$21,3,FALSE)</f>
        <v>0</v>
      </c>
      <c r="T32" s="242">
        <f>IF(N32&gt;0,N32*J32/Z32,0)*VLOOKUP(B32,'2-Kosten per locatie'!$A$14:$C$21,3,FALSE)</f>
        <v>0</v>
      </c>
      <c r="U32" s="242">
        <f>IF(O32&gt;0,O32*J32/AA32,0)*VLOOKUP(B32,'2-Kosten per locatie'!$A$14:$C$21,3,FALSE)</f>
        <v>0</v>
      </c>
      <c r="V32" s="242">
        <f>IF(P32&gt;0,P32*J32/Z32,0)*VLOOKUP(B32,'2-Kosten per locatie'!$A$14:$C$21,3,FALSE)</f>
        <v>0</v>
      </c>
      <c r="W32" s="242">
        <f>IF(Q32&gt;0,Q32*J32/AA32,0)*VLOOKUP(B32,'2-Kosten per locatie'!$A$14:$C$21,3,FALSE)</f>
        <v>0</v>
      </c>
      <c r="X32" s="315">
        <f>IF(L32="nio",0,IF(L32&gt;0,VLOOKUP(H32,'3-Productie normen'!A:K,VLOOKUP(L32,'3-Productie normen'!$B$36:$C$42,2,FALSE),FALSE)))</f>
        <v>0</v>
      </c>
      <c r="Y32" s="315">
        <f t="shared" si="1"/>
        <v>0</v>
      </c>
      <c r="Z32" s="315">
        <f t="shared" si="2"/>
        <v>0</v>
      </c>
      <c r="AA32" s="315">
        <f t="shared" si="3"/>
        <v>0</v>
      </c>
      <c r="AB32" s="316"/>
      <c r="AD32" s="317">
        <f t="shared" si="4"/>
        <v>2805</v>
      </c>
    </row>
    <row r="33" spans="1:30" ht="14.1" hidden="1" customHeight="1">
      <c r="A33" s="74">
        <v>33</v>
      </c>
      <c r="B33" s="277" t="s">
        <v>271</v>
      </c>
      <c r="C33" s="277" t="s">
        <v>276</v>
      </c>
      <c r="D33" s="277" t="s">
        <v>256</v>
      </c>
      <c r="E33" s="311" t="s">
        <v>254</v>
      </c>
      <c r="F33" s="312"/>
      <c r="G33" s="70" t="s">
        <v>316</v>
      </c>
      <c r="H33" s="70" t="s">
        <v>53</v>
      </c>
      <c r="I33" s="70" t="s">
        <v>264</v>
      </c>
      <c r="J33" s="319">
        <v>40</v>
      </c>
      <c r="K33" s="314">
        <f t="shared" si="0"/>
        <v>255</v>
      </c>
      <c r="L33" s="243">
        <v>255</v>
      </c>
      <c r="M33" s="243"/>
      <c r="N33" s="243"/>
      <c r="O33" s="243"/>
      <c r="P33" s="243"/>
      <c r="Q33" s="243"/>
      <c r="R33" s="242" t="e">
        <f>IF(L33="nio",0,IF(L33&gt;0,L33*J33/X33,0))*VLOOKUP(B33,'2-Kosten per locatie'!$A$14:$C$21,3,FALSE)</f>
        <v>#DIV/0!</v>
      </c>
      <c r="S33" s="242">
        <f>IF(M33&gt;0,M33*J33/Y33,0)*VLOOKUP(B33,'2-Kosten per locatie'!$A$14:$C$21,3,FALSE)</f>
        <v>0</v>
      </c>
      <c r="T33" s="242">
        <f>IF(N33&gt;0,N33*J33/Z33,0)*VLOOKUP(B33,'2-Kosten per locatie'!$A$14:$C$21,3,FALSE)</f>
        <v>0</v>
      </c>
      <c r="U33" s="242">
        <f>IF(O33&gt;0,O33*J33/AA33,0)*VLOOKUP(B33,'2-Kosten per locatie'!$A$14:$C$21,3,FALSE)</f>
        <v>0</v>
      </c>
      <c r="V33" s="242">
        <f>IF(P33&gt;0,P33*J33/Z33,0)*VLOOKUP(B33,'2-Kosten per locatie'!$A$14:$C$21,3,FALSE)</f>
        <v>0</v>
      </c>
      <c r="W33" s="242">
        <f>IF(Q33&gt;0,Q33*J33/AA33,0)*VLOOKUP(B33,'2-Kosten per locatie'!$A$14:$C$21,3,FALSE)</f>
        <v>0</v>
      </c>
      <c r="X33" s="315">
        <f>IF(L33="nio",0,IF(L33&gt;0,VLOOKUP(H33,'3-Productie normen'!A:K,VLOOKUP(L33,'3-Productie normen'!$B$36:$C$42,2,FALSE),FALSE)))</f>
        <v>0</v>
      </c>
      <c r="Y33" s="315">
        <f t="shared" si="1"/>
        <v>0</v>
      </c>
      <c r="Z33" s="315">
        <f t="shared" si="2"/>
        <v>0</v>
      </c>
      <c r="AA33" s="315">
        <f t="shared" si="3"/>
        <v>0</v>
      </c>
      <c r="AB33" s="316"/>
      <c r="AD33" s="317">
        <f t="shared" si="4"/>
        <v>10200</v>
      </c>
    </row>
    <row r="34" spans="1:30" ht="14.1" hidden="1" customHeight="1">
      <c r="A34" s="74">
        <v>34</v>
      </c>
      <c r="B34" s="277" t="s">
        <v>271</v>
      </c>
      <c r="C34" s="277" t="s">
        <v>276</v>
      </c>
      <c r="D34" s="277" t="s">
        <v>256</v>
      </c>
      <c r="E34" s="311" t="s">
        <v>254</v>
      </c>
      <c r="F34" s="312"/>
      <c r="G34" s="70" t="s">
        <v>301</v>
      </c>
      <c r="H34" s="277" t="s">
        <v>59</v>
      </c>
      <c r="I34" s="70" t="s">
        <v>292</v>
      </c>
      <c r="J34" s="319">
        <v>356</v>
      </c>
      <c r="K34" s="314">
        <f t="shared" si="0"/>
        <v>104</v>
      </c>
      <c r="L34" s="243">
        <v>104</v>
      </c>
      <c r="M34" s="243"/>
      <c r="N34" s="243"/>
      <c r="O34" s="243"/>
      <c r="P34" s="243"/>
      <c r="Q34" s="243"/>
      <c r="R34" s="242" t="e">
        <f>IF(L34="nio",0,IF(L34&gt;0,L34*J34/X34,0))*VLOOKUP(B34,'2-Kosten per locatie'!$A$14:$C$21,3,FALSE)</f>
        <v>#DIV/0!</v>
      </c>
      <c r="S34" s="242">
        <f>IF(M34&gt;0,M34*J34/Y34,0)*VLOOKUP(B34,'2-Kosten per locatie'!$A$14:$C$21,3,FALSE)</f>
        <v>0</v>
      </c>
      <c r="T34" s="242">
        <f>IF(N34&gt;0,N34*J34/Z34,0)*VLOOKUP(B34,'2-Kosten per locatie'!$A$14:$C$21,3,FALSE)</f>
        <v>0</v>
      </c>
      <c r="U34" s="242">
        <f>IF(O34&gt;0,O34*J34/AA34,0)*VLOOKUP(B34,'2-Kosten per locatie'!$A$14:$C$21,3,FALSE)</f>
        <v>0</v>
      </c>
      <c r="V34" s="242">
        <f>IF(P34&gt;0,P34*J34/Z34,0)*VLOOKUP(B34,'2-Kosten per locatie'!$A$14:$C$21,3,FALSE)</f>
        <v>0</v>
      </c>
      <c r="W34" s="242">
        <f>IF(Q34&gt;0,Q34*J34/AA34,0)*VLOOKUP(B34,'2-Kosten per locatie'!$A$14:$C$21,3,FALSE)</f>
        <v>0</v>
      </c>
      <c r="X34" s="315">
        <f>IF(L34="nio",0,IF(L34&gt;0,VLOOKUP(H34,'3-Productie normen'!A:K,VLOOKUP(L34,'3-Productie normen'!$B$36:$C$42,2,FALSE),FALSE)))</f>
        <v>0</v>
      </c>
      <c r="Y34" s="315">
        <f t="shared" si="1"/>
        <v>0</v>
      </c>
      <c r="Z34" s="315">
        <f t="shared" si="2"/>
        <v>0</v>
      </c>
      <c r="AA34" s="315">
        <f t="shared" si="3"/>
        <v>0</v>
      </c>
      <c r="AB34" s="316"/>
      <c r="AD34" s="317">
        <f t="shared" si="4"/>
        <v>37024</v>
      </c>
    </row>
    <row r="35" spans="1:30" ht="14.1" hidden="1" customHeight="1">
      <c r="A35" s="74">
        <v>35</v>
      </c>
      <c r="B35" s="277" t="s">
        <v>271</v>
      </c>
      <c r="C35" s="277" t="s">
        <v>276</v>
      </c>
      <c r="D35" s="277" t="s">
        <v>256</v>
      </c>
      <c r="E35" s="311" t="s">
        <v>254</v>
      </c>
      <c r="F35" s="312"/>
      <c r="G35" s="70" t="s">
        <v>302</v>
      </c>
      <c r="H35" s="277" t="s">
        <v>59</v>
      </c>
      <c r="I35" s="70" t="s">
        <v>292</v>
      </c>
      <c r="J35" s="319">
        <v>348</v>
      </c>
      <c r="K35" s="314">
        <f t="shared" si="0"/>
        <v>104</v>
      </c>
      <c r="L35" s="243">
        <v>104</v>
      </c>
      <c r="M35" s="243"/>
      <c r="N35" s="243"/>
      <c r="O35" s="243"/>
      <c r="P35" s="243"/>
      <c r="Q35" s="243"/>
      <c r="R35" s="242" t="e">
        <f>IF(L35="nio",0,IF(L35&gt;0,L35*J35/X35,0))*VLOOKUP(B35,'2-Kosten per locatie'!$A$14:$C$21,3,FALSE)</f>
        <v>#DIV/0!</v>
      </c>
      <c r="S35" s="242">
        <f>IF(M35&gt;0,M35*J35/Y35,0)*VLOOKUP(B35,'2-Kosten per locatie'!$A$14:$C$21,3,FALSE)</f>
        <v>0</v>
      </c>
      <c r="T35" s="242">
        <f>IF(N35&gt;0,N35*J35/Z35,0)*VLOOKUP(B35,'2-Kosten per locatie'!$A$14:$C$21,3,FALSE)</f>
        <v>0</v>
      </c>
      <c r="U35" s="242">
        <f>IF(O35&gt;0,O35*J35/AA35,0)*VLOOKUP(B35,'2-Kosten per locatie'!$A$14:$C$21,3,FALSE)</f>
        <v>0</v>
      </c>
      <c r="V35" s="242">
        <f>IF(P35&gt;0,P35*J35/Z35,0)*VLOOKUP(B35,'2-Kosten per locatie'!$A$14:$C$21,3,FALSE)</f>
        <v>0</v>
      </c>
      <c r="W35" s="242">
        <f>IF(Q35&gt;0,Q35*J35/AA35,0)*VLOOKUP(B35,'2-Kosten per locatie'!$A$14:$C$21,3,FALSE)</f>
        <v>0</v>
      </c>
      <c r="X35" s="315">
        <f>IF(L35="nio",0,IF(L35&gt;0,VLOOKUP(H35,'3-Productie normen'!A:K,VLOOKUP(L35,'3-Productie normen'!$B$36:$C$42,2,FALSE),FALSE)))</f>
        <v>0</v>
      </c>
      <c r="Y35" s="315">
        <f t="shared" si="1"/>
        <v>0</v>
      </c>
      <c r="Z35" s="315">
        <f t="shared" si="2"/>
        <v>0</v>
      </c>
      <c r="AA35" s="315">
        <f t="shared" si="3"/>
        <v>0</v>
      </c>
      <c r="AB35" s="316"/>
      <c r="AD35" s="317">
        <f t="shared" si="4"/>
        <v>36192</v>
      </c>
    </row>
    <row r="36" spans="1:30" ht="14.1" hidden="1" customHeight="1">
      <c r="A36" s="74">
        <v>36</v>
      </c>
      <c r="B36" s="277" t="s">
        <v>271</v>
      </c>
      <c r="C36" s="277" t="s">
        <v>276</v>
      </c>
      <c r="D36" s="277" t="s">
        <v>256</v>
      </c>
      <c r="E36" s="311" t="s">
        <v>254</v>
      </c>
      <c r="F36" s="312"/>
      <c r="G36" s="70" t="s">
        <v>303</v>
      </c>
      <c r="H36" s="277" t="s">
        <v>59</v>
      </c>
      <c r="I36" s="70" t="s">
        <v>292</v>
      </c>
      <c r="J36" s="319">
        <v>356</v>
      </c>
      <c r="K36" s="314">
        <f t="shared" si="0"/>
        <v>104</v>
      </c>
      <c r="L36" s="243">
        <v>104</v>
      </c>
      <c r="M36" s="243"/>
      <c r="N36" s="243"/>
      <c r="O36" s="243"/>
      <c r="P36" s="243"/>
      <c r="Q36" s="243"/>
      <c r="R36" s="242" t="e">
        <f>IF(L36="nio",0,IF(L36&gt;0,L36*J36/X36,0))*VLOOKUP(B36,'2-Kosten per locatie'!$A$14:$C$21,3,FALSE)</f>
        <v>#DIV/0!</v>
      </c>
      <c r="S36" s="242">
        <f>IF(M36&gt;0,M36*J36/Y36,0)*VLOOKUP(B36,'2-Kosten per locatie'!$A$14:$C$21,3,FALSE)</f>
        <v>0</v>
      </c>
      <c r="T36" s="242">
        <f>IF(N36&gt;0,N36*J36/Z36,0)*VLOOKUP(B36,'2-Kosten per locatie'!$A$14:$C$21,3,FALSE)</f>
        <v>0</v>
      </c>
      <c r="U36" s="242">
        <f>IF(O36&gt;0,O36*J36/AA36,0)*VLOOKUP(B36,'2-Kosten per locatie'!$A$14:$C$21,3,FALSE)</f>
        <v>0</v>
      </c>
      <c r="V36" s="242">
        <f>IF(P36&gt;0,P36*J36/Z36,0)*VLOOKUP(B36,'2-Kosten per locatie'!$A$14:$C$21,3,FALSE)</f>
        <v>0</v>
      </c>
      <c r="W36" s="242">
        <f>IF(Q36&gt;0,Q36*J36/AA36,0)*VLOOKUP(B36,'2-Kosten per locatie'!$A$14:$C$21,3,FALSE)</f>
        <v>0</v>
      </c>
      <c r="X36" s="315">
        <f>IF(L36="nio",0,IF(L36&gt;0,VLOOKUP(H36,'3-Productie normen'!A:K,VLOOKUP(L36,'3-Productie normen'!$B$36:$C$42,2,FALSE),FALSE)))</f>
        <v>0</v>
      </c>
      <c r="Y36" s="315">
        <f t="shared" si="1"/>
        <v>0</v>
      </c>
      <c r="Z36" s="315">
        <f t="shared" si="2"/>
        <v>0</v>
      </c>
      <c r="AA36" s="315">
        <f t="shared" si="3"/>
        <v>0</v>
      </c>
      <c r="AB36" s="316"/>
      <c r="AD36" s="317">
        <f t="shared" si="4"/>
        <v>37024</v>
      </c>
    </row>
    <row r="37" spans="1:30" ht="14.1" hidden="1" customHeight="1">
      <c r="A37" s="74">
        <v>37</v>
      </c>
      <c r="B37" s="277" t="s">
        <v>271</v>
      </c>
      <c r="C37" s="277" t="s">
        <v>276</v>
      </c>
      <c r="D37" s="277" t="s">
        <v>256</v>
      </c>
      <c r="E37" s="311" t="s">
        <v>254</v>
      </c>
      <c r="F37" s="312"/>
      <c r="G37" s="70" t="s">
        <v>304</v>
      </c>
      <c r="H37" s="277" t="s">
        <v>59</v>
      </c>
      <c r="I37" s="70" t="s">
        <v>292</v>
      </c>
      <c r="J37" s="319">
        <v>180</v>
      </c>
      <c r="K37" s="314">
        <f t="shared" si="0"/>
        <v>255</v>
      </c>
      <c r="L37" s="243">
        <v>255</v>
      </c>
      <c r="M37" s="243"/>
      <c r="N37" s="243"/>
      <c r="O37" s="243"/>
      <c r="P37" s="243"/>
      <c r="Q37" s="243"/>
      <c r="R37" s="242" t="e">
        <f>IF(L37="nio",0,IF(L37&gt;0,L37*J37/X37,0))*VLOOKUP(B37,'2-Kosten per locatie'!$A$14:$C$21,3,FALSE)</f>
        <v>#DIV/0!</v>
      </c>
      <c r="S37" s="242">
        <f>IF(M37&gt;0,M37*J37/Y37,0)*VLOOKUP(B37,'2-Kosten per locatie'!$A$14:$C$21,3,FALSE)</f>
        <v>0</v>
      </c>
      <c r="T37" s="242">
        <f>IF(N37&gt;0,N37*J37/Z37,0)*VLOOKUP(B37,'2-Kosten per locatie'!$A$14:$C$21,3,FALSE)</f>
        <v>0</v>
      </c>
      <c r="U37" s="242">
        <f>IF(O37&gt;0,O37*J37/AA37,0)*VLOOKUP(B37,'2-Kosten per locatie'!$A$14:$C$21,3,FALSE)</f>
        <v>0</v>
      </c>
      <c r="V37" s="242">
        <f>IF(P37&gt;0,P37*J37/Z37,0)*VLOOKUP(B37,'2-Kosten per locatie'!$A$14:$C$21,3,FALSE)</f>
        <v>0</v>
      </c>
      <c r="W37" s="242">
        <f>IF(Q37&gt;0,Q37*J37/AA37,0)*VLOOKUP(B37,'2-Kosten per locatie'!$A$14:$C$21,3,FALSE)</f>
        <v>0</v>
      </c>
      <c r="X37" s="315">
        <f>IF(L37="nio",0,IF(L37&gt;0,VLOOKUP(H37,'3-Productie normen'!A:K,VLOOKUP(L37,'3-Productie normen'!$B$36:$C$42,2,FALSE),FALSE)))</f>
        <v>0</v>
      </c>
      <c r="Y37" s="315">
        <f t="shared" si="1"/>
        <v>0</v>
      </c>
      <c r="Z37" s="315">
        <f t="shared" si="2"/>
        <v>0</v>
      </c>
      <c r="AA37" s="315">
        <f t="shared" si="3"/>
        <v>0</v>
      </c>
      <c r="AB37" s="316"/>
      <c r="AD37" s="317">
        <f t="shared" si="4"/>
        <v>45900</v>
      </c>
    </row>
    <row r="38" spans="1:30" ht="14.1" hidden="1" customHeight="1">
      <c r="A38" s="74">
        <v>38</v>
      </c>
      <c r="B38" s="277" t="s">
        <v>271</v>
      </c>
      <c r="C38" s="277" t="s">
        <v>276</v>
      </c>
      <c r="D38" s="277" t="s">
        <v>256</v>
      </c>
      <c r="E38" s="311" t="s">
        <v>254</v>
      </c>
      <c r="F38" s="312"/>
      <c r="G38" s="70" t="s">
        <v>305</v>
      </c>
      <c r="H38" s="277" t="s">
        <v>51</v>
      </c>
      <c r="I38" s="70" t="s">
        <v>264</v>
      </c>
      <c r="J38" s="319">
        <v>14</v>
      </c>
      <c r="K38" s="314">
        <f t="shared" si="0"/>
        <v>255</v>
      </c>
      <c r="L38" s="243">
        <v>255</v>
      </c>
      <c r="M38" s="243"/>
      <c r="N38" s="243"/>
      <c r="O38" s="243"/>
      <c r="P38" s="243"/>
      <c r="Q38" s="243"/>
      <c r="R38" s="242" t="e">
        <f>IF(L38="nio",0,IF(L38&gt;0,L38*J38/X38,0))*VLOOKUP(B38,'2-Kosten per locatie'!$A$14:$C$21,3,FALSE)</f>
        <v>#DIV/0!</v>
      </c>
      <c r="S38" s="242">
        <f>IF(M38&gt;0,M38*J38/Y38,0)*VLOOKUP(B38,'2-Kosten per locatie'!$A$14:$C$21,3,FALSE)</f>
        <v>0</v>
      </c>
      <c r="T38" s="242">
        <f>IF(N38&gt;0,N38*J38/Z38,0)*VLOOKUP(B38,'2-Kosten per locatie'!$A$14:$C$21,3,FALSE)</f>
        <v>0</v>
      </c>
      <c r="U38" s="242">
        <f>IF(O38&gt;0,O38*J38/AA38,0)*VLOOKUP(B38,'2-Kosten per locatie'!$A$14:$C$21,3,FALSE)</f>
        <v>0</v>
      </c>
      <c r="V38" s="242">
        <f>IF(P38&gt;0,P38*J38/Z38,0)*VLOOKUP(B38,'2-Kosten per locatie'!$A$14:$C$21,3,FALSE)</f>
        <v>0</v>
      </c>
      <c r="W38" s="242">
        <f>IF(Q38&gt;0,Q38*J38/AA38,0)*VLOOKUP(B38,'2-Kosten per locatie'!$A$14:$C$21,3,FALSE)</f>
        <v>0</v>
      </c>
      <c r="X38" s="315">
        <f>IF(L38="nio",0,IF(L38&gt;0,VLOOKUP(H38,'3-Productie normen'!A:K,VLOOKUP(L38,'3-Productie normen'!$B$36:$C$42,2,FALSE),FALSE)))</f>
        <v>0</v>
      </c>
      <c r="Y38" s="315">
        <f t="shared" si="1"/>
        <v>0</v>
      </c>
      <c r="Z38" s="315">
        <f t="shared" si="2"/>
        <v>0</v>
      </c>
      <c r="AA38" s="315">
        <f t="shared" si="3"/>
        <v>0</v>
      </c>
      <c r="AB38" s="316"/>
      <c r="AD38" s="317">
        <f t="shared" si="4"/>
        <v>3570</v>
      </c>
    </row>
    <row r="39" spans="1:30" ht="14.1" hidden="1" customHeight="1">
      <c r="A39" s="74">
        <v>39</v>
      </c>
      <c r="B39" s="277" t="s">
        <v>271</v>
      </c>
      <c r="C39" s="277" t="s">
        <v>276</v>
      </c>
      <c r="D39" s="277" t="s">
        <v>256</v>
      </c>
      <c r="E39" s="311" t="s">
        <v>254</v>
      </c>
      <c r="F39" s="312"/>
      <c r="G39" s="70" t="s">
        <v>293</v>
      </c>
      <c r="H39" s="277" t="s">
        <v>53</v>
      </c>
      <c r="I39" s="70" t="s">
        <v>238</v>
      </c>
      <c r="J39" s="319">
        <v>13</v>
      </c>
      <c r="K39" s="314">
        <f t="shared" si="0"/>
        <v>255</v>
      </c>
      <c r="L39" s="243">
        <v>255</v>
      </c>
      <c r="M39" s="243"/>
      <c r="N39" s="243"/>
      <c r="O39" s="243"/>
      <c r="P39" s="243"/>
      <c r="Q39" s="243"/>
      <c r="R39" s="242" t="e">
        <f>IF(L39="nio",0,IF(L39&gt;0,L39*J39/X39,0))*VLOOKUP(B39,'2-Kosten per locatie'!$A$14:$C$21,3,FALSE)</f>
        <v>#DIV/0!</v>
      </c>
      <c r="S39" s="242">
        <f>IF(M39&gt;0,M39*J39/Y39,0)*VLOOKUP(B39,'2-Kosten per locatie'!$A$14:$C$21,3,FALSE)</f>
        <v>0</v>
      </c>
      <c r="T39" s="242">
        <f>IF(N39&gt;0,N39*J39/Z39,0)*VLOOKUP(B39,'2-Kosten per locatie'!$A$14:$C$21,3,FALSE)</f>
        <v>0</v>
      </c>
      <c r="U39" s="242">
        <f>IF(O39&gt;0,O39*J39/AA39,0)*VLOOKUP(B39,'2-Kosten per locatie'!$A$14:$C$21,3,FALSE)</f>
        <v>0</v>
      </c>
      <c r="V39" s="242">
        <f>IF(P39&gt;0,P39*J39/Z39,0)*VLOOKUP(B39,'2-Kosten per locatie'!$A$14:$C$21,3,FALSE)</f>
        <v>0</v>
      </c>
      <c r="W39" s="242">
        <f>IF(Q39&gt;0,Q39*J39/AA39,0)*VLOOKUP(B39,'2-Kosten per locatie'!$A$14:$C$21,3,FALSE)</f>
        <v>0</v>
      </c>
      <c r="X39" s="315">
        <f>IF(L39="nio",0,IF(L39&gt;0,VLOOKUP(H39,'3-Productie normen'!A:K,VLOOKUP(L39,'3-Productie normen'!$B$36:$C$42,2,FALSE),FALSE)))</f>
        <v>0</v>
      </c>
      <c r="Y39" s="315">
        <f t="shared" si="1"/>
        <v>0</v>
      </c>
      <c r="Z39" s="315">
        <f t="shared" si="2"/>
        <v>0</v>
      </c>
      <c r="AA39" s="315">
        <f t="shared" si="3"/>
        <v>0</v>
      </c>
      <c r="AB39" s="316"/>
      <c r="AD39" s="317">
        <f t="shared" si="4"/>
        <v>3315</v>
      </c>
    </row>
    <row r="40" spans="1:30" ht="14.1" hidden="1" customHeight="1">
      <c r="A40" s="74">
        <v>40</v>
      </c>
      <c r="B40" s="277" t="s">
        <v>271</v>
      </c>
      <c r="C40" s="277" t="s">
        <v>276</v>
      </c>
      <c r="D40" s="277" t="s">
        <v>256</v>
      </c>
      <c r="E40" s="311" t="s">
        <v>254</v>
      </c>
      <c r="F40" s="312"/>
      <c r="G40" s="70" t="s">
        <v>294</v>
      </c>
      <c r="H40" s="277" t="s">
        <v>51</v>
      </c>
      <c r="I40" s="70" t="s">
        <v>264</v>
      </c>
      <c r="J40" s="319">
        <v>14</v>
      </c>
      <c r="K40" s="314">
        <f t="shared" si="0"/>
        <v>255</v>
      </c>
      <c r="L40" s="243">
        <v>255</v>
      </c>
      <c r="M40" s="243"/>
      <c r="N40" s="243"/>
      <c r="O40" s="243"/>
      <c r="P40" s="243"/>
      <c r="Q40" s="243"/>
      <c r="R40" s="242" t="e">
        <f>IF(L40="nio",0,IF(L40&gt;0,L40*J40/X40,0))*VLOOKUP(B40,'2-Kosten per locatie'!$A$14:$C$21,3,FALSE)</f>
        <v>#DIV/0!</v>
      </c>
      <c r="S40" s="242">
        <f>IF(M40&gt;0,M40*J40/Y40,0)*VLOOKUP(B40,'2-Kosten per locatie'!$A$14:$C$21,3,FALSE)</f>
        <v>0</v>
      </c>
      <c r="T40" s="242">
        <f>IF(N40&gt;0,N40*J40/Z40,0)*VLOOKUP(B40,'2-Kosten per locatie'!$A$14:$C$21,3,FALSE)</f>
        <v>0</v>
      </c>
      <c r="U40" s="242">
        <f>IF(O40&gt;0,O40*J40/AA40,0)*VLOOKUP(B40,'2-Kosten per locatie'!$A$14:$C$21,3,FALSE)</f>
        <v>0</v>
      </c>
      <c r="V40" s="242">
        <f>IF(P40&gt;0,P40*J40/Z40,0)*VLOOKUP(B40,'2-Kosten per locatie'!$A$14:$C$21,3,FALSE)</f>
        <v>0</v>
      </c>
      <c r="W40" s="242">
        <f>IF(Q40&gt;0,Q40*J40/AA40,0)*VLOOKUP(B40,'2-Kosten per locatie'!$A$14:$C$21,3,FALSE)</f>
        <v>0</v>
      </c>
      <c r="X40" s="315">
        <f>IF(L40="nio",0,IF(L40&gt;0,VLOOKUP(H40,'3-Productie normen'!A:K,VLOOKUP(L40,'3-Productie normen'!$B$36:$C$42,2,FALSE),FALSE)))</f>
        <v>0</v>
      </c>
      <c r="Y40" s="315">
        <f t="shared" si="1"/>
        <v>0</v>
      </c>
      <c r="Z40" s="315">
        <f t="shared" si="2"/>
        <v>0</v>
      </c>
      <c r="AA40" s="315">
        <f t="shared" si="3"/>
        <v>0</v>
      </c>
      <c r="AB40" s="316"/>
      <c r="AD40" s="317">
        <f t="shared" si="4"/>
        <v>3570</v>
      </c>
    </row>
    <row r="41" spans="1:30" ht="14.1" hidden="1" customHeight="1">
      <c r="A41" s="74">
        <v>41</v>
      </c>
      <c r="B41" s="277" t="s">
        <v>271</v>
      </c>
      <c r="C41" s="277" t="s">
        <v>276</v>
      </c>
      <c r="D41" s="277" t="s">
        <v>256</v>
      </c>
      <c r="E41" s="311" t="s">
        <v>254</v>
      </c>
      <c r="F41" s="312"/>
      <c r="G41" s="70" t="s">
        <v>294</v>
      </c>
      <c r="H41" s="277" t="s">
        <v>51</v>
      </c>
      <c r="I41" s="70" t="s">
        <v>264</v>
      </c>
      <c r="J41" s="319">
        <v>12</v>
      </c>
      <c r="K41" s="314">
        <f t="shared" si="0"/>
        <v>255</v>
      </c>
      <c r="L41" s="243">
        <v>255</v>
      </c>
      <c r="M41" s="243"/>
      <c r="N41" s="243"/>
      <c r="O41" s="243"/>
      <c r="P41" s="243"/>
      <c r="Q41" s="243"/>
      <c r="R41" s="242" t="e">
        <f>IF(L41="nio",0,IF(L41&gt;0,L41*J41/X41,0))*VLOOKUP(B41,'2-Kosten per locatie'!$A$14:$C$21,3,FALSE)</f>
        <v>#DIV/0!</v>
      </c>
      <c r="S41" s="242">
        <f>IF(M41&gt;0,M41*J41/Y41,0)*VLOOKUP(B41,'2-Kosten per locatie'!$A$14:$C$21,3,FALSE)</f>
        <v>0</v>
      </c>
      <c r="T41" s="242">
        <f>IF(N41&gt;0,N41*J41/Z41,0)*VLOOKUP(B41,'2-Kosten per locatie'!$A$14:$C$21,3,FALSE)</f>
        <v>0</v>
      </c>
      <c r="U41" s="242">
        <f>IF(O41&gt;0,O41*J41/AA41,0)*VLOOKUP(B41,'2-Kosten per locatie'!$A$14:$C$21,3,FALSE)</f>
        <v>0</v>
      </c>
      <c r="V41" s="242">
        <f>IF(P41&gt;0,P41*J41/Z41,0)*VLOOKUP(B41,'2-Kosten per locatie'!$A$14:$C$21,3,FALSE)</f>
        <v>0</v>
      </c>
      <c r="W41" s="242">
        <f>IF(Q41&gt;0,Q41*J41/AA41,0)*VLOOKUP(B41,'2-Kosten per locatie'!$A$14:$C$21,3,FALSE)</f>
        <v>0</v>
      </c>
      <c r="X41" s="315">
        <f>IF(L41="nio",0,IF(L41&gt;0,VLOOKUP(H41,'3-Productie normen'!A:K,VLOOKUP(L41,'3-Productie normen'!$B$36:$C$42,2,FALSE),FALSE)))</f>
        <v>0</v>
      </c>
      <c r="Y41" s="315">
        <f t="shared" si="1"/>
        <v>0</v>
      </c>
      <c r="Z41" s="315">
        <f t="shared" si="2"/>
        <v>0</v>
      </c>
      <c r="AA41" s="315">
        <f t="shared" si="3"/>
        <v>0</v>
      </c>
      <c r="AB41" s="316"/>
      <c r="AD41" s="317">
        <f t="shared" si="4"/>
        <v>3060</v>
      </c>
    </row>
    <row r="42" spans="1:30" ht="14.1" hidden="1" customHeight="1">
      <c r="A42" s="74">
        <v>42</v>
      </c>
      <c r="B42" s="277" t="s">
        <v>271</v>
      </c>
      <c r="C42" s="277" t="s">
        <v>276</v>
      </c>
      <c r="D42" s="277" t="s">
        <v>256</v>
      </c>
      <c r="E42" s="311" t="s">
        <v>254</v>
      </c>
      <c r="F42" s="312"/>
      <c r="G42" s="70" t="s">
        <v>306</v>
      </c>
      <c r="H42" s="277" t="s">
        <v>53</v>
      </c>
      <c r="I42" s="70" t="s">
        <v>264</v>
      </c>
      <c r="J42" s="319">
        <v>13</v>
      </c>
      <c r="K42" s="314">
        <f t="shared" si="0"/>
        <v>255</v>
      </c>
      <c r="L42" s="243">
        <v>255</v>
      </c>
      <c r="M42" s="243"/>
      <c r="N42" s="243"/>
      <c r="O42" s="243"/>
      <c r="P42" s="243"/>
      <c r="Q42" s="243"/>
      <c r="R42" s="242" t="e">
        <f>IF(L42="nio",0,IF(L42&gt;0,L42*J42/X42,0))*VLOOKUP(B42,'2-Kosten per locatie'!$A$14:$C$21,3,FALSE)</f>
        <v>#DIV/0!</v>
      </c>
      <c r="S42" s="242">
        <f>IF(M42&gt;0,M42*J42/Y42,0)*VLOOKUP(B42,'2-Kosten per locatie'!$A$14:$C$21,3,FALSE)</f>
        <v>0</v>
      </c>
      <c r="T42" s="242">
        <f>IF(N42&gt;0,N42*J42/Z42,0)*VLOOKUP(B42,'2-Kosten per locatie'!$A$14:$C$21,3,FALSE)</f>
        <v>0</v>
      </c>
      <c r="U42" s="242">
        <f>IF(O42&gt;0,O42*J42/AA42,0)*VLOOKUP(B42,'2-Kosten per locatie'!$A$14:$C$21,3,FALSE)</f>
        <v>0</v>
      </c>
      <c r="V42" s="242">
        <f>IF(P42&gt;0,P42*J42/Z42,0)*VLOOKUP(B42,'2-Kosten per locatie'!$A$14:$C$21,3,FALSE)</f>
        <v>0</v>
      </c>
      <c r="W42" s="242">
        <f>IF(Q42&gt;0,Q42*J42/AA42,0)*VLOOKUP(B42,'2-Kosten per locatie'!$A$14:$C$21,3,FALSE)</f>
        <v>0</v>
      </c>
      <c r="X42" s="315">
        <f>IF(L42="nio",0,IF(L42&gt;0,VLOOKUP(H42,'3-Productie normen'!A:K,VLOOKUP(L42,'3-Productie normen'!$B$36:$C$42,2,FALSE),FALSE)))</f>
        <v>0</v>
      </c>
      <c r="Y42" s="315">
        <f t="shared" ref="Y42:Y73" si="5">IF(M42&gt;0,X42*$Y$8,0)</f>
        <v>0</v>
      </c>
      <c r="Z42" s="315">
        <f t="shared" ref="Z42:Z73" si="6">IF((OR(N42&gt;0,P42&gt;0)),X42*$Z$8,0)</f>
        <v>0</v>
      </c>
      <c r="AA42" s="315">
        <f t="shared" ref="AA42:AA73" si="7">IF((OR(O42&gt;0,Q42&gt;0)),X42*$AA$8,0)</f>
        <v>0</v>
      </c>
      <c r="AB42" s="316"/>
      <c r="AD42" s="317">
        <f t="shared" ref="AD42:AD73" si="8">K42*J42</f>
        <v>3315</v>
      </c>
    </row>
    <row r="43" spans="1:30" ht="14.1" hidden="1" customHeight="1">
      <c r="A43" s="74">
        <v>43</v>
      </c>
      <c r="B43" s="277" t="s">
        <v>271</v>
      </c>
      <c r="C43" s="277" t="s">
        <v>276</v>
      </c>
      <c r="D43" s="277" t="s">
        <v>256</v>
      </c>
      <c r="E43" s="311" t="s">
        <v>254</v>
      </c>
      <c r="F43" s="312"/>
      <c r="G43" s="70" t="s">
        <v>307</v>
      </c>
      <c r="H43" s="277" t="s">
        <v>56</v>
      </c>
      <c r="I43" s="70" t="s">
        <v>249</v>
      </c>
      <c r="J43" s="319">
        <v>8</v>
      </c>
      <c r="K43" s="314">
        <f t="shared" si="0"/>
        <v>255</v>
      </c>
      <c r="L43" s="243">
        <v>255</v>
      </c>
      <c r="M43" s="243"/>
      <c r="N43" s="243"/>
      <c r="O43" s="243"/>
      <c r="P43" s="243"/>
      <c r="Q43" s="243"/>
      <c r="R43" s="242" t="e">
        <f>IF(L43="nio",0,IF(L43&gt;0,L43*J43/X43,0))*VLOOKUP(B43,'2-Kosten per locatie'!$A$14:$C$21,3,FALSE)</f>
        <v>#DIV/0!</v>
      </c>
      <c r="S43" s="242">
        <f>IF(M43&gt;0,M43*J43/Y43,0)*VLOOKUP(B43,'2-Kosten per locatie'!$A$14:$C$21,3,FALSE)</f>
        <v>0</v>
      </c>
      <c r="T43" s="242">
        <f>IF(N43&gt;0,N43*J43/Z43,0)*VLOOKUP(B43,'2-Kosten per locatie'!$A$14:$C$21,3,FALSE)</f>
        <v>0</v>
      </c>
      <c r="U43" s="242">
        <f>IF(O43&gt;0,O43*J43/AA43,0)*VLOOKUP(B43,'2-Kosten per locatie'!$A$14:$C$21,3,FALSE)</f>
        <v>0</v>
      </c>
      <c r="V43" s="242">
        <f>IF(P43&gt;0,P43*J43/Z43,0)*VLOOKUP(B43,'2-Kosten per locatie'!$A$14:$C$21,3,FALSE)</f>
        <v>0</v>
      </c>
      <c r="W43" s="242">
        <f>IF(Q43&gt;0,Q43*J43/AA43,0)*VLOOKUP(B43,'2-Kosten per locatie'!$A$14:$C$21,3,FALSE)</f>
        <v>0</v>
      </c>
      <c r="X43" s="315">
        <f>IF(L43="nio",0,IF(L43&gt;0,VLOOKUP(H43,'3-Productie normen'!A:K,VLOOKUP(L43,'3-Productie normen'!$B$36:$C$42,2,FALSE),FALSE)))</f>
        <v>0</v>
      </c>
      <c r="Y43" s="315">
        <f t="shared" si="5"/>
        <v>0</v>
      </c>
      <c r="Z43" s="315">
        <f t="shared" si="6"/>
        <v>0</v>
      </c>
      <c r="AA43" s="315">
        <f t="shared" si="7"/>
        <v>0</v>
      </c>
      <c r="AB43" s="316"/>
      <c r="AD43" s="317">
        <f t="shared" si="8"/>
        <v>2040</v>
      </c>
    </row>
    <row r="44" spans="1:30" ht="14.1" hidden="1" customHeight="1">
      <c r="A44" s="74">
        <v>44</v>
      </c>
      <c r="B44" s="277" t="s">
        <v>271</v>
      </c>
      <c r="C44" s="277" t="s">
        <v>276</v>
      </c>
      <c r="D44" s="277" t="s">
        <v>256</v>
      </c>
      <c r="E44" s="311" t="s">
        <v>254</v>
      </c>
      <c r="F44" s="312"/>
      <c r="G44" s="70" t="s">
        <v>311</v>
      </c>
      <c r="H44" s="277" t="s">
        <v>56</v>
      </c>
      <c r="I44" s="70" t="s">
        <v>249</v>
      </c>
      <c r="J44" s="319">
        <v>20</v>
      </c>
      <c r="K44" s="314">
        <f t="shared" si="0"/>
        <v>255</v>
      </c>
      <c r="L44" s="243">
        <v>255</v>
      </c>
      <c r="M44" s="243"/>
      <c r="N44" s="243"/>
      <c r="O44" s="243"/>
      <c r="P44" s="243"/>
      <c r="Q44" s="243"/>
      <c r="R44" s="242" t="e">
        <f>IF(L44="nio",0,IF(L44&gt;0,L44*J44/X44,0))*VLOOKUP(B44,'2-Kosten per locatie'!$A$14:$C$21,3,FALSE)</f>
        <v>#DIV/0!</v>
      </c>
      <c r="S44" s="242">
        <f>IF(M44&gt;0,M44*J44/Y44,0)*VLOOKUP(B44,'2-Kosten per locatie'!$A$14:$C$21,3,FALSE)</f>
        <v>0</v>
      </c>
      <c r="T44" s="242">
        <f>IF(N44&gt;0,N44*J44/Z44,0)*VLOOKUP(B44,'2-Kosten per locatie'!$A$14:$C$21,3,FALSE)</f>
        <v>0</v>
      </c>
      <c r="U44" s="242">
        <f>IF(O44&gt;0,O44*J44/AA44,0)*VLOOKUP(B44,'2-Kosten per locatie'!$A$14:$C$21,3,FALSE)</f>
        <v>0</v>
      </c>
      <c r="V44" s="242">
        <f>IF(P44&gt;0,P44*J44/Z44,0)*VLOOKUP(B44,'2-Kosten per locatie'!$A$14:$C$21,3,FALSE)</f>
        <v>0</v>
      </c>
      <c r="W44" s="242">
        <f>IF(Q44&gt;0,Q44*J44/AA44,0)*VLOOKUP(B44,'2-Kosten per locatie'!$A$14:$C$21,3,FALSE)</f>
        <v>0</v>
      </c>
      <c r="X44" s="315">
        <f>IF(L44="nio",0,IF(L44&gt;0,VLOOKUP(H44,'3-Productie normen'!A:K,VLOOKUP(L44,'3-Productie normen'!$B$36:$C$42,2,FALSE),FALSE)))</f>
        <v>0</v>
      </c>
      <c r="Y44" s="315">
        <f t="shared" si="5"/>
        <v>0</v>
      </c>
      <c r="Z44" s="315">
        <f t="shared" si="6"/>
        <v>0</v>
      </c>
      <c r="AA44" s="315">
        <f t="shared" si="7"/>
        <v>0</v>
      </c>
      <c r="AB44" s="316"/>
      <c r="AD44" s="317">
        <f t="shared" si="8"/>
        <v>5100</v>
      </c>
    </row>
    <row r="45" spans="1:30" ht="14.1" hidden="1" customHeight="1">
      <c r="A45" s="74">
        <v>45</v>
      </c>
      <c r="B45" s="277" t="s">
        <v>271</v>
      </c>
      <c r="C45" s="277" t="s">
        <v>276</v>
      </c>
      <c r="D45" s="277" t="s">
        <v>256</v>
      </c>
      <c r="E45" s="311" t="s">
        <v>254</v>
      </c>
      <c r="F45" s="312"/>
      <c r="G45" s="70" t="s">
        <v>308</v>
      </c>
      <c r="H45" s="70" t="s">
        <v>318</v>
      </c>
      <c r="I45" s="70" t="s">
        <v>249</v>
      </c>
      <c r="J45" s="319">
        <v>12</v>
      </c>
      <c r="K45" s="314">
        <f t="shared" si="0"/>
        <v>255</v>
      </c>
      <c r="L45" s="243">
        <v>255</v>
      </c>
      <c r="M45" s="243"/>
      <c r="N45" s="243"/>
      <c r="O45" s="243"/>
      <c r="P45" s="243"/>
      <c r="Q45" s="243"/>
      <c r="R45" s="242" t="e">
        <f>IF(L45="nio",0,IF(L45&gt;0,L45*J45/X45,0))*VLOOKUP(B45,'2-Kosten per locatie'!$A$14:$C$21,3,FALSE)</f>
        <v>#DIV/0!</v>
      </c>
      <c r="S45" s="242">
        <f>IF(M45&gt;0,M45*J45/Y45,0)*VLOOKUP(B45,'2-Kosten per locatie'!$A$14:$C$21,3,FALSE)</f>
        <v>0</v>
      </c>
      <c r="T45" s="242">
        <f>IF(N45&gt;0,N45*J45/Z45,0)*VLOOKUP(B45,'2-Kosten per locatie'!$A$14:$C$21,3,FALSE)</f>
        <v>0</v>
      </c>
      <c r="U45" s="242">
        <f>IF(O45&gt;0,O45*J45/AA45,0)*VLOOKUP(B45,'2-Kosten per locatie'!$A$14:$C$21,3,FALSE)</f>
        <v>0</v>
      </c>
      <c r="V45" s="242">
        <f>IF(P45&gt;0,P45*J45/Z45,0)*VLOOKUP(B45,'2-Kosten per locatie'!$A$14:$C$21,3,FALSE)</f>
        <v>0</v>
      </c>
      <c r="W45" s="242">
        <f>IF(Q45&gt;0,Q45*J45/AA45,0)*VLOOKUP(B45,'2-Kosten per locatie'!$A$14:$C$21,3,FALSE)</f>
        <v>0</v>
      </c>
      <c r="X45" s="315">
        <f>IF(L45="nio",0,IF(L45&gt;0,VLOOKUP(H45,'3-Productie normen'!A:K,VLOOKUP(L45,'3-Productie normen'!$B$36:$C$42,2,FALSE),FALSE)))</f>
        <v>0</v>
      </c>
      <c r="Y45" s="315">
        <f t="shared" si="5"/>
        <v>0</v>
      </c>
      <c r="Z45" s="315">
        <f t="shared" si="6"/>
        <v>0</v>
      </c>
      <c r="AA45" s="315">
        <f t="shared" si="7"/>
        <v>0</v>
      </c>
      <c r="AB45" s="316"/>
      <c r="AD45" s="317">
        <f t="shared" si="8"/>
        <v>3060</v>
      </c>
    </row>
    <row r="46" spans="1:30" ht="14.1" hidden="1" customHeight="1">
      <c r="A46" s="74">
        <v>46</v>
      </c>
      <c r="B46" s="277" t="s">
        <v>271</v>
      </c>
      <c r="C46" s="277" t="s">
        <v>276</v>
      </c>
      <c r="D46" s="277" t="s">
        <v>256</v>
      </c>
      <c r="E46" s="311" t="s">
        <v>254</v>
      </c>
      <c r="F46" s="312"/>
      <c r="G46" s="70" t="s">
        <v>306</v>
      </c>
      <c r="H46" s="70" t="s">
        <v>53</v>
      </c>
      <c r="I46" s="70" t="s">
        <v>264</v>
      </c>
      <c r="J46" s="319">
        <v>18</v>
      </c>
      <c r="K46" s="314">
        <f t="shared" si="0"/>
        <v>255</v>
      </c>
      <c r="L46" s="243">
        <v>255</v>
      </c>
      <c r="M46" s="243"/>
      <c r="N46" s="243"/>
      <c r="O46" s="243"/>
      <c r="P46" s="243"/>
      <c r="Q46" s="243"/>
      <c r="R46" s="242" t="e">
        <f>IF(L46="nio",0,IF(L46&gt;0,L46*J46/X46,0))*VLOOKUP(B46,'2-Kosten per locatie'!$A$14:$C$21,3,FALSE)</f>
        <v>#DIV/0!</v>
      </c>
      <c r="S46" s="242">
        <f>IF(M46&gt;0,M46*J46/Y46,0)*VLOOKUP(B46,'2-Kosten per locatie'!$A$14:$C$21,3,FALSE)</f>
        <v>0</v>
      </c>
      <c r="T46" s="242">
        <f>IF(N46&gt;0,N46*J46/Z46,0)*VLOOKUP(B46,'2-Kosten per locatie'!$A$14:$C$21,3,FALSE)</f>
        <v>0</v>
      </c>
      <c r="U46" s="242">
        <f>IF(O46&gt;0,O46*J46/AA46,0)*VLOOKUP(B46,'2-Kosten per locatie'!$A$14:$C$21,3,FALSE)</f>
        <v>0</v>
      </c>
      <c r="V46" s="242">
        <f>IF(P46&gt;0,P46*J46/Z46,0)*VLOOKUP(B46,'2-Kosten per locatie'!$A$14:$C$21,3,FALSE)</f>
        <v>0</v>
      </c>
      <c r="W46" s="242">
        <f>IF(Q46&gt;0,Q46*J46/AA46,0)*VLOOKUP(B46,'2-Kosten per locatie'!$A$14:$C$21,3,FALSE)</f>
        <v>0</v>
      </c>
      <c r="X46" s="315">
        <f>IF(L46="nio",0,IF(L46&gt;0,VLOOKUP(H46,'3-Productie normen'!A:K,VLOOKUP(L46,'3-Productie normen'!$B$36:$C$42,2,FALSE),FALSE)))</f>
        <v>0</v>
      </c>
      <c r="Y46" s="315">
        <f t="shared" si="5"/>
        <v>0</v>
      </c>
      <c r="Z46" s="315">
        <f t="shared" si="6"/>
        <v>0</v>
      </c>
      <c r="AA46" s="315">
        <f t="shared" si="7"/>
        <v>0</v>
      </c>
      <c r="AB46" s="316"/>
      <c r="AD46" s="317">
        <f t="shared" si="8"/>
        <v>4590</v>
      </c>
    </row>
    <row r="47" spans="1:30" ht="14.1" hidden="1" customHeight="1">
      <c r="A47" s="74">
        <v>47</v>
      </c>
      <c r="B47" s="277" t="s">
        <v>271</v>
      </c>
      <c r="C47" s="277" t="s">
        <v>276</v>
      </c>
      <c r="D47" s="277" t="s">
        <v>256</v>
      </c>
      <c r="E47" s="311" t="s">
        <v>254</v>
      </c>
      <c r="F47" s="312"/>
      <c r="G47" s="70" t="s">
        <v>312</v>
      </c>
      <c r="H47" s="70" t="s">
        <v>56</v>
      </c>
      <c r="I47" s="70" t="s">
        <v>249</v>
      </c>
      <c r="J47" s="319">
        <v>20</v>
      </c>
      <c r="K47" s="314">
        <f t="shared" si="0"/>
        <v>255</v>
      </c>
      <c r="L47" s="243">
        <v>255</v>
      </c>
      <c r="M47" s="243"/>
      <c r="N47" s="243"/>
      <c r="O47" s="243"/>
      <c r="P47" s="243"/>
      <c r="Q47" s="243"/>
      <c r="R47" s="242" t="e">
        <f>IF(L47="nio",0,IF(L47&gt;0,L47*J47/X47,0))*VLOOKUP(B47,'2-Kosten per locatie'!$A$14:$C$21,3,FALSE)</f>
        <v>#DIV/0!</v>
      </c>
      <c r="S47" s="242">
        <f>IF(M47&gt;0,M47*J47/Y47,0)*VLOOKUP(B47,'2-Kosten per locatie'!$A$14:$C$21,3,FALSE)</f>
        <v>0</v>
      </c>
      <c r="T47" s="242">
        <f>IF(N47&gt;0,N47*J47/Z47,0)*VLOOKUP(B47,'2-Kosten per locatie'!$A$14:$C$21,3,FALSE)</f>
        <v>0</v>
      </c>
      <c r="U47" s="242">
        <f>IF(O47&gt;0,O47*J47/AA47,0)*VLOOKUP(B47,'2-Kosten per locatie'!$A$14:$C$21,3,FALSE)</f>
        <v>0</v>
      </c>
      <c r="V47" s="242">
        <f>IF(P47&gt;0,P47*J47/Z47,0)*VLOOKUP(B47,'2-Kosten per locatie'!$A$14:$C$21,3,FALSE)</f>
        <v>0</v>
      </c>
      <c r="W47" s="242">
        <f>IF(Q47&gt;0,Q47*J47/AA47,0)*VLOOKUP(B47,'2-Kosten per locatie'!$A$14:$C$21,3,FALSE)</f>
        <v>0</v>
      </c>
      <c r="X47" s="315">
        <f>IF(L47="nio",0,IF(L47&gt;0,VLOOKUP(H47,'3-Productie normen'!A:K,VLOOKUP(L47,'3-Productie normen'!$B$36:$C$42,2,FALSE),FALSE)))</f>
        <v>0</v>
      </c>
      <c r="Y47" s="315">
        <f t="shared" si="5"/>
        <v>0</v>
      </c>
      <c r="Z47" s="315">
        <f t="shared" si="6"/>
        <v>0</v>
      </c>
      <c r="AA47" s="315">
        <f t="shared" si="7"/>
        <v>0</v>
      </c>
      <c r="AB47" s="316"/>
      <c r="AD47" s="317">
        <f t="shared" si="8"/>
        <v>5100</v>
      </c>
    </row>
    <row r="48" spans="1:30" ht="14.1" hidden="1" customHeight="1">
      <c r="A48" s="74">
        <v>48</v>
      </c>
      <c r="B48" s="277" t="s">
        <v>271</v>
      </c>
      <c r="C48" s="277" t="s">
        <v>276</v>
      </c>
      <c r="D48" s="277" t="s">
        <v>256</v>
      </c>
      <c r="E48" s="311" t="s">
        <v>254</v>
      </c>
      <c r="F48" s="312"/>
      <c r="G48" s="70" t="s">
        <v>309</v>
      </c>
      <c r="H48" s="70" t="s">
        <v>318</v>
      </c>
      <c r="I48" s="70" t="s">
        <v>249</v>
      </c>
      <c r="J48" s="319">
        <v>12</v>
      </c>
      <c r="K48" s="314">
        <f t="shared" si="0"/>
        <v>255</v>
      </c>
      <c r="L48" s="243">
        <v>255</v>
      </c>
      <c r="M48" s="243"/>
      <c r="N48" s="243"/>
      <c r="O48" s="243"/>
      <c r="P48" s="243"/>
      <c r="Q48" s="243"/>
      <c r="R48" s="242" t="e">
        <f>IF(L48="nio",0,IF(L48&gt;0,L48*J48/X48,0))*VLOOKUP(B48,'2-Kosten per locatie'!$A$14:$C$21,3,FALSE)</f>
        <v>#DIV/0!</v>
      </c>
      <c r="S48" s="242">
        <f>IF(M48&gt;0,M48*J48/Y48,0)*VLOOKUP(B48,'2-Kosten per locatie'!$A$14:$C$21,3,FALSE)</f>
        <v>0</v>
      </c>
      <c r="T48" s="242">
        <f>IF(N48&gt;0,N48*J48/Z48,0)*VLOOKUP(B48,'2-Kosten per locatie'!$A$14:$C$21,3,FALSE)</f>
        <v>0</v>
      </c>
      <c r="U48" s="242">
        <f>IF(O48&gt;0,O48*J48/AA48,0)*VLOOKUP(B48,'2-Kosten per locatie'!$A$14:$C$21,3,FALSE)</f>
        <v>0</v>
      </c>
      <c r="V48" s="242">
        <f>IF(P48&gt;0,P48*J48/Z48,0)*VLOOKUP(B48,'2-Kosten per locatie'!$A$14:$C$21,3,FALSE)</f>
        <v>0</v>
      </c>
      <c r="W48" s="242">
        <f>IF(Q48&gt;0,Q48*J48/AA48,0)*VLOOKUP(B48,'2-Kosten per locatie'!$A$14:$C$21,3,FALSE)</f>
        <v>0</v>
      </c>
      <c r="X48" s="315">
        <f>IF(L48="nio",0,IF(L48&gt;0,VLOOKUP(H48,'3-Productie normen'!A:K,VLOOKUP(L48,'3-Productie normen'!$B$36:$C$42,2,FALSE),FALSE)))</f>
        <v>0</v>
      </c>
      <c r="Y48" s="315">
        <f t="shared" si="5"/>
        <v>0</v>
      </c>
      <c r="Z48" s="315">
        <f t="shared" si="6"/>
        <v>0</v>
      </c>
      <c r="AA48" s="315">
        <f t="shared" si="7"/>
        <v>0</v>
      </c>
      <c r="AB48" s="316"/>
      <c r="AD48" s="317">
        <f t="shared" si="8"/>
        <v>3060</v>
      </c>
    </row>
    <row r="49" spans="1:30" ht="14.1" hidden="1" customHeight="1">
      <c r="A49" s="74">
        <v>49</v>
      </c>
      <c r="B49" s="277" t="s">
        <v>271</v>
      </c>
      <c r="C49" s="277" t="s">
        <v>276</v>
      </c>
      <c r="D49" s="277" t="s">
        <v>256</v>
      </c>
      <c r="E49" s="311" t="s">
        <v>254</v>
      </c>
      <c r="F49" s="312"/>
      <c r="G49" s="70" t="s">
        <v>310</v>
      </c>
      <c r="H49" s="70" t="s">
        <v>318</v>
      </c>
      <c r="I49" s="70" t="s">
        <v>249</v>
      </c>
      <c r="J49" s="319">
        <v>12</v>
      </c>
      <c r="K49" s="314">
        <f t="shared" si="0"/>
        <v>255</v>
      </c>
      <c r="L49" s="243">
        <v>255</v>
      </c>
      <c r="M49" s="243"/>
      <c r="N49" s="243"/>
      <c r="O49" s="243"/>
      <c r="P49" s="243"/>
      <c r="Q49" s="243"/>
      <c r="R49" s="242" t="e">
        <f>IF(L49="nio",0,IF(L49&gt;0,L49*J49/X49,0))*VLOOKUP(B49,'2-Kosten per locatie'!$A$14:$C$21,3,FALSE)</f>
        <v>#DIV/0!</v>
      </c>
      <c r="S49" s="242">
        <f>IF(M49&gt;0,M49*J49/Y49,0)*VLOOKUP(B49,'2-Kosten per locatie'!$A$14:$C$21,3,FALSE)</f>
        <v>0</v>
      </c>
      <c r="T49" s="242">
        <f>IF(N49&gt;0,N49*J49/Z49,0)*VLOOKUP(B49,'2-Kosten per locatie'!$A$14:$C$21,3,FALSE)</f>
        <v>0</v>
      </c>
      <c r="U49" s="242">
        <f>IF(O49&gt;0,O49*J49/AA49,0)*VLOOKUP(B49,'2-Kosten per locatie'!$A$14:$C$21,3,FALSE)</f>
        <v>0</v>
      </c>
      <c r="V49" s="242">
        <f>IF(P49&gt;0,P49*J49/Z49,0)*VLOOKUP(B49,'2-Kosten per locatie'!$A$14:$C$21,3,FALSE)</f>
        <v>0</v>
      </c>
      <c r="W49" s="242">
        <f>IF(Q49&gt;0,Q49*J49/AA49,0)*VLOOKUP(B49,'2-Kosten per locatie'!$A$14:$C$21,3,FALSE)</f>
        <v>0</v>
      </c>
      <c r="X49" s="315">
        <f>IF(L49="nio",0,IF(L49&gt;0,VLOOKUP(H49,'3-Productie normen'!A:K,VLOOKUP(L49,'3-Productie normen'!$B$36:$C$42,2,FALSE),FALSE)))</f>
        <v>0</v>
      </c>
      <c r="Y49" s="315">
        <f t="shared" si="5"/>
        <v>0</v>
      </c>
      <c r="Z49" s="315">
        <f t="shared" si="6"/>
        <v>0</v>
      </c>
      <c r="AA49" s="315">
        <f t="shared" si="7"/>
        <v>0</v>
      </c>
      <c r="AB49" s="316"/>
      <c r="AD49" s="317">
        <f t="shared" si="8"/>
        <v>3060</v>
      </c>
    </row>
    <row r="50" spans="1:30" ht="14.1" hidden="1" customHeight="1">
      <c r="A50" s="74">
        <v>50</v>
      </c>
      <c r="B50" s="277" t="s">
        <v>271</v>
      </c>
      <c r="C50" s="277" t="s">
        <v>276</v>
      </c>
      <c r="D50" s="277" t="s">
        <v>256</v>
      </c>
      <c r="E50" s="311" t="s">
        <v>254</v>
      </c>
      <c r="F50" s="312"/>
      <c r="G50" s="70" t="s">
        <v>313</v>
      </c>
      <c r="H50" s="70" t="s">
        <v>56</v>
      </c>
      <c r="I50" s="70" t="s">
        <v>249</v>
      </c>
      <c r="J50" s="319">
        <v>20</v>
      </c>
      <c r="K50" s="314">
        <f t="shared" si="0"/>
        <v>255</v>
      </c>
      <c r="L50" s="243">
        <v>255</v>
      </c>
      <c r="M50" s="243"/>
      <c r="N50" s="243"/>
      <c r="O50" s="243"/>
      <c r="P50" s="243"/>
      <c r="Q50" s="243"/>
      <c r="R50" s="242" t="e">
        <f>IF(L50="nio",0,IF(L50&gt;0,L50*J50/X50,0))*VLOOKUP(B50,'2-Kosten per locatie'!$A$14:$C$21,3,FALSE)</f>
        <v>#DIV/0!</v>
      </c>
      <c r="S50" s="242">
        <f>IF(M50&gt;0,M50*J50/Y50,0)*VLOOKUP(B50,'2-Kosten per locatie'!$A$14:$C$21,3,FALSE)</f>
        <v>0</v>
      </c>
      <c r="T50" s="242">
        <f>IF(N50&gt;0,N50*J50/Z50,0)*VLOOKUP(B50,'2-Kosten per locatie'!$A$14:$C$21,3,FALSE)</f>
        <v>0</v>
      </c>
      <c r="U50" s="242">
        <f>IF(O50&gt;0,O50*J50/AA50,0)*VLOOKUP(B50,'2-Kosten per locatie'!$A$14:$C$21,3,FALSE)</f>
        <v>0</v>
      </c>
      <c r="V50" s="242">
        <f>IF(P50&gt;0,P50*J50/Z50,0)*VLOOKUP(B50,'2-Kosten per locatie'!$A$14:$C$21,3,FALSE)</f>
        <v>0</v>
      </c>
      <c r="W50" s="242">
        <f>IF(Q50&gt;0,Q50*J50/AA50,0)*VLOOKUP(B50,'2-Kosten per locatie'!$A$14:$C$21,3,FALSE)</f>
        <v>0</v>
      </c>
      <c r="X50" s="315">
        <f>IF(L50="nio",0,IF(L50&gt;0,VLOOKUP(H50,'3-Productie normen'!A:K,VLOOKUP(L50,'3-Productie normen'!$B$36:$C$42,2,FALSE),FALSE)))</f>
        <v>0</v>
      </c>
      <c r="Y50" s="315">
        <f t="shared" si="5"/>
        <v>0</v>
      </c>
      <c r="Z50" s="315">
        <f t="shared" si="6"/>
        <v>0</v>
      </c>
      <c r="AA50" s="315">
        <f t="shared" si="7"/>
        <v>0</v>
      </c>
      <c r="AB50" s="316"/>
      <c r="AD50" s="317">
        <f t="shared" si="8"/>
        <v>5100</v>
      </c>
    </row>
    <row r="51" spans="1:30" ht="14.1" hidden="1" customHeight="1">
      <c r="A51" s="74">
        <v>51</v>
      </c>
      <c r="B51" s="277" t="s">
        <v>271</v>
      </c>
      <c r="C51" s="277" t="s">
        <v>276</v>
      </c>
      <c r="D51" s="277" t="s">
        <v>256</v>
      </c>
      <c r="E51" s="311" t="s">
        <v>254</v>
      </c>
      <c r="F51" s="312"/>
      <c r="G51" s="70" t="s">
        <v>307</v>
      </c>
      <c r="H51" s="70" t="s">
        <v>56</v>
      </c>
      <c r="I51" s="70" t="s">
        <v>249</v>
      </c>
      <c r="J51" s="319">
        <v>8</v>
      </c>
      <c r="K51" s="314">
        <f t="shared" si="0"/>
        <v>255</v>
      </c>
      <c r="L51" s="243">
        <v>255</v>
      </c>
      <c r="M51" s="243"/>
      <c r="N51" s="243"/>
      <c r="O51" s="243"/>
      <c r="P51" s="243"/>
      <c r="Q51" s="243"/>
      <c r="R51" s="242" t="e">
        <f>IF(L51="nio",0,IF(L51&gt;0,L51*J51/X51,0))*VLOOKUP(B51,'2-Kosten per locatie'!$A$14:$C$21,3,FALSE)</f>
        <v>#DIV/0!</v>
      </c>
      <c r="S51" s="242">
        <f>IF(M51&gt;0,M51*J51/Y51,0)*VLOOKUP(B51,'2-Kosten per locatie'!$A$14:$C$21,3,FALSE)</f>
        <v>0</v>
      </c>
      <c r="T51" s="242">
        <f>IF(N51&gt;0,N51*J51/Z51,0)*VLOOKUP(B51,'2-Kosten per locatie'!$A$14:$C$21,3,FALSE)</f>
        <v>0</v>
      </c>
      <c r="U51" s="242">
        <f>IF(O51&gt;0,O51*J51/AA51,0)*VLOOKUP(B51,'2-Kosten per locatie'!$A$14:$C$21,3,FALSE)</f>
        <v>0</v>
      </c>
      <c r="V51" s="242">
        <f>IF(P51&gt;0,P51*J51/Z51,0)*VLOOKUP(B51,'2-Kosten per locatie'!$A$14:$C$21,3,FALSE)</f>
        <v>0</v>
      </c>
      <c r="W51" s="242">
        <f>IF(Q51&gt;0,Q51*J51/AA51,0)*VLOOKUP(B51,'2-Kosten per locatie'!$A$14:$C$21,3,FALSE)</f>
        <v>0</v>
      </c>
      <c r="X51" s="315">
        <f>IF(L51="nio",0,IF(L51&gt;0,VLOOKUP(H51,'3-Productie normen'!A:K,VLOOKUP(L51,'3-Productie normen'!$B$36:$C$42,2,FALSE),FALSE)))</f>
        <v>0</v>
      </c>
      <c r="Y51" s="315">
        <f t="shared" si="5"/>
        <v>0</v>
      </c>
      <c r="Z51" s="315">
        <f t="shared" si="6"/>
        <v>0</v>
      </c>
      <c r="AA51" s="315">
        <f t="shared" si="7"/>
        <v>0</v>
      </c>
      <c r="AB51" s="316"/>
      <c r="AD51" s="317">
        <f t="shared" si="8"/>
        <v>2040</v>
      </c>
    </row>
    <row r="52" spans="1:30" ht="14.1" hidden="1" customHeight="1">
      <c r="A52" s="74">
        <v>52</v>
      </c>
      <c r="B52" s="277" t="s">
        <v>271</v>
      </c>
      <c r="C52" s="277" t="s">
        <v>276</v>
      </c>
      <c r="D52" s="277" t="s">
        <v>256</v>
      </c>
      <c r="E52" s="311" t="s">
        <v>254</v>
      </c>
      <c r="F52" s="312"/>
      <c r="G52" s="70" t="s">
        <v>314</v>
      </c>
      <c r="H52" s="70" t="s">
        <v>318</v>
      </c>
      <c r="I52" s="70" t="s">
        <v>249</v>
      </c>
      <c r="J52" s="319">
        <v>12</v>
      </c>
      <c r="K52" s="314">
        <f t="shared" si="0"/>
        <v>255</v>
      </c>
      <c r="L52" s="243">
        <v>255</v>
      </c>
      <c r="M52" s="243"/>
      <c r="N52" s="243"/>
      <c r="O52" s="243"/>
      <c r="P52" s="243"/>
      <c r="Q52" s="243"/>
      <c r="R52" s="242" t="e">
        <f>IF(L52="nio",0,IF(L52&gt;0,L52*J52/X52,0))*VLOOKUP(B52,'2-Kosten per locatie'!$A$14:$C$21,3,FALSE)</f>
        <v>#DIV/0!</v>
      </c>
      <c r="S52" s="242">
        <f>IF(M52&gt;0,M52*J52/Y52,0)*VLOOKUP(B52,'2-Kosten per locatie'!$A$14:$C$21,3,FALSE)</f>
        <v>0</v>
      </c>
      <c r="T52" s="242">
        <f>IF(N52&gt;0,N52*J52/Z52,0)*VLOOKUP(B52,'2-Kosten per locatie'!$A$14:$C$21,3,FALSE)</f>
        <v>0</v>
      </c>
      <c r="U52" s="242">
        <f>IF(O52&gt;0,O52*J52/AA52,0)*VLOOKUP(B52,'2-Kosten per locatie'!$A$14:$C$21,3,FALSE)</f>
        <v>0</v>
      </c>
      <c r="V52" s="242">
        <f>IF(P52&gt;0,P52*J52/Z52,0)*VLOOKUP(B52,'2-Kosten per locatie'!$A$14:$C$21,3,FALSE)</f>
        <v>0</v>
      </c>
      <c r="W52" s="242">
        <f>IF(Q52&gt;0,Q52*J52/AA52,0)*VLOOKUP(B52,'2-Kosten per locatie'!$A$14:$C$21,3,FALSE)</f>
        <v>0</v>
      </c>
      <c r="X52" s="315">
        <f>IF(L52="nio",0,IF(L52&gt;0,VLOOKUP(H52,'3-Productie normen'!A:K,VLOOKUP(L52,'3-Productie normen'!$B$36:$C$42,2,FALSE),FALSE)))</f>
        <v>0</v>
      </c>
      <c r="Y52" s="315">
        <f t="shared" si="5"/>
        <v>0</v>
      </c>
      <c r="Z52" s="315">
        <f t="shared" si="6"/>
        <v>0</v>
      </c>
      <c r="AA52" s="315">
        <f t="shared" si="7"/>
        <v>0</v>
      </c>
      <c r="AB52" s="316"/>
      <c r="AD52" s="317">
        <f t="shared" si="8"/>
        <v>3060</v>
      </c>
    </row>
    <row r="53" spans="1:30" ht="14.1" hidden="1" customHeight="1">
      <c r="A53" s="74">
        <v>53</v>
      </c>
      <c r="B53" s="277" t="s">
        <v>271</v>
      </c>
      <c r="C53" s="277" t="s">
        <v>276</v>
      </c>
      <c r="D53" s="277" t="s">
        <v>256</v>
      </c>
      <c r="E53" s="311" t="s">
        <v>254</v>
      </c>
      <c r="F53" s="312"/>
      <c r="G53" s="70" t="s">
        <v>315</v>
      </c>
      <c r="H53" s="70" t="s">
        <v>56</v>
      </c>
      <c r="I53" s="70" t="s">
        <v>249</v>
      </c>
      <c r="J53" s="319">
        <v>21</v>
      </c>
      <c r="K53" s="314">
        <f t="shared" si="0"/>
        <v>255</v>
      </c>
      <c r="L53" s="243">
        <v>255</v>
      </c>
      <c r="M53" s="243"/>
      <c r="N53" s="243"/>
      <c r="O53" s="243"/>
      <c r="P53" s="243"/>
      <c r="Q53" s="243"/>
      <c r="R53" s="242" t="e">
        <f>IF(L53="nio",0,IF(L53&gt;0,L53*J53/X53,0))*VLOOKUP(B53,'2-Kosten per locatie'!$A$14:$C$21,3,FALSE)</f>
        <v>#DIV/0!</v>
      </c>
      <c r="S53" s="242">
        <f>IF(M53&gt;0,M53*J53/Y53,0)*VLOOKUP(B53,'2-Kosten per locatie'!$A$14:$C$21,3,FALSE)</f>
        <v>0</v>
      </c>
      <c r="T53" s="242">
        <f>IF(N53&gt;0,N53*J53/Z53,0)*VLOOKUP(B53,'2-Kosten per locatie'!$A$14:$C$21,3,FALSE)</f>
        <v>0</v>
      </c>
      <c r="U53" s="242">
        <f>IF(O53&gt;0,O53*J53/AA53,0)*VLOOKUP(B53,'2-Kosten per locatie'!$A$14:$C$21,3,FALSE)</f>
        <v>0</v>
      </c>
      <c r="V53" s="242">
        <f>IF(P53&gt;0,P53*J53/Z53,0)*VLOOKUP(B53,'2-Kosten per locatie'!$A$14:$C$21,3,FALSE)</f>
        <v>0</v>
      </c>
      <c r="W53" s="242">
        <f>IF(Q53&gt;0,Q53*J53/AA53,0)*VLOOKUP(B53,'2-Kosten per locatie'!$A$14:$C$21,3,FALSE)</f>
        <v>0</v>
      </c>
      <c r="X53" s="315">
        <f>IF(L53="nio",0,IF(L53&gt;0,VLOOKUP(H53,'3-Productie normen'!A:K,VLOOKUP(L53,'3-Productie normen'!$B$36:$C$42,2,FALSE),FALSE)))</f>
        <v>0</v>
      </c>
      <c r="Y53" s="315">
        <f t="shared" si="5"/>
        <v>0</v>
      </c>
      <c r="Z53" s="315">
        <f t="shared" si="6"/>
        <v>0</v>
      </c>
      <c r="AA53" s="315">
        <f t="shared" si="7"/>
        <v>0</v>
      </c>
      <c r="AB53" s="316"/>
      <c r="AD53" s="317">
        <f t="shared" si="8"/>
        <v>5355</v>
      </c>
    </row>
    <row r="54" spans="1:30" ht="14.1" hidden="1" customHeight="1">
      <c r="A54" s="74">
        <v>54</v>
      </c>
      <c r="B54" s="277" t="s">
        <v>271</v>
      </c>
      <c r="C54" s="277" t="s">
        <v>276</v>
      </c>
      <c r="D54" s="277" t="s">
        <v>256</v>
      </c>
      <c r="E54" s="311" t="s">
        <v>258</v>
      </c>
      <c r="F54" s="312"/>
      <c r="G54" s="70" t="s">
        <v>257</v>
      </c>
      <c r="H54" s="70" t="s">
        <v>320</v>
      </c>
      <c r="I54" s="70" t="s">
        <v>240</v>
      </c>
      <c r="J54" s="319">
        <v>15</v>
      </c>
      <c r="K54" s="314">
        <f t="shared" si="0"/>
        <v>255</v>
      </c>
      <c r="L54" s="243">
        <v>255</v>
      </c>
      <c r="M54" s="243"/>
      <c r="N54" s="243"/>
      <c r="O54" s="243"/>
      <c r="P54" s="243"/>
      <c r="Q54" s="243"/>
      <c r="R54" s="242" t="e">
        <f>IF(L54="nio",0,IF(L54&gt;0,L54*J54/X54,0))*VLOOKUP(B54,'2-Kosten per locatie'!$A$14:$C$21,3,FALSE)</f>
        <v>#DIV/0!</v>
      </c>
      <c r="S54" s="242">
        <f>IF(M54&gt;0,M54*J54/Y54,0)*VLOOKUP(B54,'2-Kosten per locatie'!$A$14:$C$21,3,FALSE)</f>
        <v>0</v>
      </c>
      <c r="T54" s="242">
        <f>IF(N54&gt;0,N54*J54/Z54,0)*VLOOKUP(B54,'2-Kosten per locatie'!$A$14:$C$21,3,FALSE)</f>
        <v>0</v>
      </c>
      <c r="U54" s="242">
        <f>IF(O54&gt;0,O54*J54/AA54,0)*VLOOKUP(B54,'2-Kosten per locatie'!$A$14:$C$21,3,FALSE)</f>
        <v>0</v>
      </c>
      <c r="V54" s="242">
        <f>IF(P54&gt;0,P54*J54/Z54,0)*VLOOKUP(B54,'2-Kosten per locatie'!$A$14:$C$21,3,FALSE)</f>
        <v>0</v>
      </c>
      <c r="W54" s="242">
        <f>IF(Q54&gt;0,Q54*J54/AA54,0)*VLOOKUP(B54,'2-Kosten per locatie'!$A$14:$C$21,3,FALSE)</f>
        <v>0</v>
      </c>
      <c r="X54" s="315">
        <f>IF(L54="nio",0,IF(L54&gt;0,VLOOKUP(H54,'3-Productie normen'!A:K,VLOOKUP(L54,'3-Productie normen'!$B$36:$C$42,2,FALSE),FALSE)))</f>
        <v>0</v>
      </c>
      <c r="Y54" s="315">
        <f t="shared" si="5"/>
        <v>0</v>
      </c>
      <c r="Z54" s="315">
        <f t="shared" si="6"/>
        <v>0</v>
      </c>
      <c r="AA54" s="315">
        <f t="shared" si="7"/>
        <v>0</v>
      </c>
      <c r="AB54" s="316"/>
      <c r="AD54" s="317">
        <f t="shared" si="8"/>
        <v>3825</v>
      </c>
    </row>
    <row r="55" spans="1:30" ht="13.2" hidden="1" customHeight="1">
      <c r="A55" s="74">
        <v>55</v>
      </c>
      <c r="B55" s="277" t="s">
        <v>271</v>
      </c>
      <c r="C55" s="277" t="s">
        <v>276</v>
      </c>
      <c r="D55" s="277" t="s">
        <v>256</v>
      </c>
      <c r="E55" s="311">
        <v>1</v>
      </c>
      <c r="F55" s="312"/>
      <c r="G55" s="70" t="s">
        <v>317</v>
      </c>
      <c r="H55" s="70" t="s">
        <v>53</v>
      </c>
      <c r="I55" s="70" t="s">
        <v>238</v>
      </c>
      <c r="J55" s="319">
        <v>36</v>
      </c>
      <c r="K55" s="314">
        <f t="shared" si="0"/>
        <v>255</v>
      </c>
      <c r="L55" s="243">
        <v>255</v>
      </c>
      <c r="M55" s="243"/>
      <c r="N55" s="243"/>
      <c r="O55" s="243"/>
      <c r="P55" s="243"/>
      <c r="Q55" s="243"/>
      <c r="R55" s="242" t="e">
        <f>IF(L55="nio",0,IF(L55&gt;0,L55*J55/X55,0))*VLOOKUP(B55,'2-Kosten per locatie'!$A$14:$C$21,3,FALSE)</f>
        <v>#DIV/0!</v>
      </c>
      <c r="S55" s="242">
        <f>IF(M55&gt;0,M55*J55/Y55,0)*VLOOKUP(B55,'2-Kosten per locatie'!$A$14:$C$21,3,FALSE)</f>
        <v>0</v>
      </c>
      <c r="T55" s="242">
        <f>IF(N55&gt;0,N55*J55/Z55,0)*VLOOKUP(B55,'2-Kosten per locatie'!$A$14:$C$21,3,FALSE)</f>
        <v>0</v>
      </c>
      <c r="U55" s="242">
        <f>IF(O55&gt;0,O55*J55/AA55,0)*VLOOKUP(B55,'2-Kosten per locatie'!$A$14:$C$21,3,FALSE)</f>
        <v>0</v>
      </c>
      <c r="V55" s="242">
        <f>IF(P55&gt;0,P55*J55/Z55,0)*VLOOKUP(B55,'2-Kosten per locatie'!$A$14:$C$21,3,FALSE)</f>
        <v>0</v>
      </c>
      <c r="W55" s="242">
        <f>IF(Q55&gt;0,Q55*J55/AA55,0)*VLOOKUP(B55,'2-Kosten per locatie'!$A$14:$C$21,3,FALSE)</f>
        <v>0</v>
      </c>
      <c r="X55" s="315">
        <f>IF(L55="nio",0,IF(L55&gt;0,VLOOKUP(H55,'3-Productie normen'!A:K,VLOOKUP(L55,'3-Productie normen'!$B$36:$C$42,2,FALSE),FALSE)))</f>
        <v>0</v>
      </c>
      <c r="Y55" s="315">
        <f t="shared" si="5"/>
        <v>0</v>
      </c>
      <c r="Z55" s="315">
        <f t="shared" si="6"/>
        <v>0</v>
      </c>
      <c r="AA55" s="315">
        <f t="shared" si="7"/>
        <v>0</v>
      </c>
      <c r="AB55" s="316"/>
      <c r="AD55" s="317">
        <f t="shared" si="8"/>
        <v>9180</v>
      </c>
    </row>
    <row r="56" spans="1:30" ht="14.1" hidden="1" customHeight="1">
      <c r="A56" s="74">
        <v>56</v>
      </c>
      <c r="B56" s="277" t="s">
        <v>271</v>
      </c>
      <c r="C56" s="277" t="s">
        <v>276</v>
      </c>
      <c r="D56" s="277" t="s">
        <v>256</v>
      </c>
      <c r="E56" s="311">
        <v>1</v>
      </c>
      <c r="F56" s="312"/>
      <c r="G56" s="70" t="s">
        <v>242</v>
      </c>
      <c r="H56" s="70" t="s">
        <v>51</v>
      </c>
      <c r="I56" s="70" t="s">
        <v>241</v>
      </c>
      <c r="J56" s="319">
        <v>26</v>
      </c>
      <c r="K56" s="314">
        <f t="shared" si="0"/>
        <v>104</v>
      </c>
      <c r="L56" s="243">
        <v>104</v>
      </c>
      <c r="M56" s="243"/>
      <c r="N56" s="243"/>
      <c r="O56" s="243"/>
      <c r="P56" s="243"/>
      <c r="Q56" s="243"/>
      <c r="R56" s="242" t="e">
        <f>IF(L56="nio",0,IF(L56&gt;0,L56*J56/X56,0))*VLOOKUP(B56,'2-Kosten per locatie'!$A$14:$C$21,3,FALSE)</f>
        <v>#DIV/0!</v>
      </c>
      <c r="S56" s="242">
        <f>IF(M56&gt;0,M56*J56/Y56,0)*VLOOKUP(B56,'2-Kosten per locatie'!$A$14:$C$21,3,FALSE)</f>
        <v>0</v>
      </c>
      <c r="T56" s="242">
        <f>IF(N56&gt;0,N56*J56/Z56,0)*VLOOKUP(B56,'2-Kosten per locatie'!$A$14:$C$21,3,FALSE)</f>
        <v>0</v>
      </c>
      <c r="U56" s="242">
        <f>IF(O56&gt;0,O56*J56/AA56,0)*VLOOKUP(B56,'2-Kosten per locatie'!$A$14:$C$21,3,FALSE)</f>
        <v>0</v>
      </c>
      <c r="V56" s="242">
        <f>IF(P56&gt;0,P56*J56/Z56,0)*VLOOKUP(B56,'2-Kosten per locatie'!$A$14:$C$21,3,FALSE)</f>
        <v>0</v>
      </c>
      <c r="W56" s="242">
        <f>IF(Q56&gt;0,Q56*J56/AA56,0)*VLOOKUP(B56,'2-Kosten per locatie'!$A$14:$C$21,3,FALSE)</f>
        <v>0</v>
      </c>
      <c r="X56" s="315">
        <f>IF(L56="nio",0,IF(L56&gt;0,VLOOKUP(H56,'3-Productie normen'!A:K,VLOOKUP(L56,'3-Productie normen'!$B$36:$C$42,2,FALSE),FALSE)))</f>
        <v>0</v>
      </c>
      <c r="Y56" s="315">
        <f t="shared" si="5"/>
        <v>0</v>
      </c>
      <c r="Z56" s="315">
        <f t="shared" si="6"/>
        <v>0</v>
      </c>
      <c r="AA56" s="315">
        <f t="shared" si="7"/>
        <v>0</v>
      </c>
      <c r="AB56" s="316"/>
      <c r="AD56" s="317">
        <f t="shared" si="8"/>
        <v>2704</v>
      </c>
    </row>
    <row r="57" spans="1:30" ht="14.1" hidden="1" customHeight="1">
      <c r="A57" s="74">
        <v>57</v>
      </c>
      <c r="B57" s="277" t="s">
        <v>271</v>
      </c>
      <c r="C57" s="277" t="s">
        <v>276</v>
      </c>
      <c r="D57" s="277" t="s">
        <v>256</v>
      </c>
      <c r="E57" s="311">
        <v>1</v>
      </c>
      <c r="F57" s="312"/>
      <c r="G57" s="70" t="s">
        <v>242</v>
      </c>
      <c r="H57" s="70" t="s">
        <v>51</v>
      </c>
      <c r="I57" s="70" t="s">
        <v>241</v>
      </c>
      <c r="J57" s="319">
        <v>21.5</v>
      </c>
      <c r="K57" s="314">
        <f t="shared" si="0"/>
        <v>104</v>
      </c>
      <c r="L57" s="243">
        <v>104</v>
      </c>
      <c r="M57" s="243"/>
      <c r="N57" s="243"/>
      <c r="O57" s="243"/>
      <c r="P57" s="243"/>
      <c r="Q57" s="243"/>
      <c r="R57" s="242" t="e">
        <f>IF(L57="nio",0,IF(L57&gt;0,L57*J57/X57,0))*VLOOKUP(B57,'2-Kosten per locatie'!$A$14:$C$21,3,FALSE)</f>
        <v>#DIV/0!</v>
      </c>
      <c r="S57" s="242">
        <f>IF(M57&gt;0,M57*J57/Y57,0)*VLOOKUP(B57,'2-Kosten per locatie'!$A$14:$C$21,3,FALSE)</f>
        <v>0</v>
      </c>
      <c r="T57" s="242">
        <f>IF(N57&gt;0,N57*J57/Z57,0)*VLOOKUP(B57,'2-Kosten per locatie'!$A$14:$C$21,3,FALSE)</f>
        <v>0</v>
      </c>
      <c r="U57" s="242">
        <f>IF(O57&gt;0,O57*J57/AA57,0)*VLOOKUP(B57,'2-Kosten per locatie'!$A$14:$C$21,3,FALSE)</f>
        <v>0</v>
      </c>
      <c r="V57" s="242">
        <f>IF(P57&gt;0,P57*J57/Z57,0)*VLOOKUP(B57,'2-Kosten per locatie'!$A$14:$C$21,3,FALSE)</f>
        <v>0</v>
      </c>
      <c r="W57" s="242">
        <f>IF(Q57&gt;0,Q57*J57/AA57,0)*VLOOKUP(B57,'2-Kosten per locatie'!$A$14:$C$21,3,FALSE)</f>
        <v>0</v>
      </c>
      <c r="X57" s="315">
        <f>IF(L57="nio",0,IF(L57&gt;0,VLOOKUP(H57,'3-Productie normen'!A:K,VLOOKUP(L57,'3-Productie normen'!$B$36:$C$42,2,FALSE),FALSE)))</f>
        <v>0</v>
      </c>
      <c r="Y57" s="315">
        <f t="shared" si="5"/>
        <v>0</v>
      </c>
      <c r="Z57" s="315">
        <f t="shared" si="6"/>
        <v>0</v>
      </c>
      <c r="AA57" s="315">
        <f t="shared" si="7"/>
        <v>0</v>
      </c>
      <c r="AB57" s="316"/>
      <c r="AD57" s="317">
        <f t="shared" si="8"/>
        <v>2236</v>
      </c>
    </row>
    <row r="58" spans="1:30" ht="14.1" hidden="1" customHeight="1">
      <c r="A58" s="74">
        <v>58</v>
      </c>
      <c r="B58" s="277" t="s">
        <v>271</v>
      </c>
      <c r="C58" s="277" t="s">
        <v>276</v>
      </c>
      <c r="D58" s="277" t="s">
        <v>256</v>
      </c>
      <c r="E58" s="311">
        <v>1</v>
      </c>
      <c r="F58" s="312"/>
      <c r="G58" s="70" t="s">
        <v>296</v>
      </c>
      <c r="H58" s="70" t="s">
        <v>53</v>
      </c>
      <c r="I58" s="70" t="s">
        <v>264</v>
      </c>
      <c r="J58" s="319">
        <v>103</v>
      </c>
      <c r="K58" s="314">
        <f t="shared" si="0"/>
        <v>104</v>
      </c>
      <c r="L58" s="243">
        <v>104</v>
      </c>
      <c r="M58" s="243"/>
      <c r="N58" s="243"/>
      <c r="O58" s="243"/>
      <c r="P58" s="243"/>
      <c r="Q58" s="243"/>
      <c r="R58" s="242" t="e">
        <f>IF(L58="nio",0,IF(L58&gt;0,L58*J58/X58,0))*VLOOKUP(B58,'2-Kosten per locatie'!$A$14:$C$21,3,FALSE)</f>
        <v>#DIV/0!</v>
      </c>
      <c r="S58" s="242">
        <f>IF(M58&gt;0,M58*J58/Y58,0)*VLOOKUP(B58,'2-Kosten per locatie'!$A$14:$C$21,3,FALSE)</f>
        <v>0</v>
      </c>
      <c r="T58" s="242">
        <f>IF(N58&gt;0,N58*J58/Z58,0)*VLOOKUP(B58,'2-Kosten per locatie'!$A$14:$C$21,3,FALSE)</f>
        <v>0</v>
      </c>
      <c r="U58" s="242">
        <f>IF(O58&gt;0,O58*J58/AA58,0)*VLOOKUP(B58,'2-Kosten per locatie'!$A$14:$C$21,3,FALSE)</f>
        <v>0</v>
      </c>
      <c r="V58" s="242">
        <f>IF(P58&gt;0,P58*J58/Z58,0)*VLOOKUP(B58,'2-Kosten per locatie'!$A$14:$C$21,3,FALSE)</f>
        <v>0</v>
      </c>
      <c r="W58" s="242">
        <f>IF(Q58&gt;0,Q58*J58/AA58,0)*VLOOKUP(B58,'2-Kosten per locatie'!$A$14:$C$21,3,FALSE)</f>
        <v>0</v>
      </c>
      <c r="X58" s="315">
        <f>IF(L58="nio",0,IF(L58&gt;0,VLOOKUP(H58,'3-Productie normen'!A:K,VLOOKUP(L58,'3-Productie normen'!$B$36:$C$42,2,FALSE),FALSE)))</f>
        <v>0</v>
      </c>
      <c r="Y58" s="315">
        <f t="shared" si="5"/>
        <v>0</v>
      </c>
      <c r="Z58" s="315">
        <f t="shared" si="6"/>
        <v>0</v>
      </c>
      <c r="AA58" s="315">
        <f t="shared" si="7"/>
        <v>0</v>
      </c>
      <c r="AB58" s="316"/>
      <c r="AD58" s="317">
        <f t="shared" si="8"/>
        <v>10712</v>
      </c>
    </row>
    <row r="59" spans="1:30" ht="14.1" hidden="1" customHeight="1">
      <c r="A59" s="74">
        <v>59</v>
      </c>
      <c r="B59" s="277" t="s">
        <v>271</v>
      </c>
      <c r="C59" s="277" t="s">
        <v>276</v>
      </c>
      <c r="D59" s="277" t="s">
        <v>256</v>
      </c>
      <c r="E59" s="311">
        <v>1</v>
      </c>
      <c r="F59" s="312"/>
      <c r="G59" s="277" t="s">
        <v>263</v>
      </c>
      <c r="H59" s="277" t="s">
        <v>52</v>
      </c>
      <c r="I59" s="70" t="s">
        <v>249</v>
      </c>
      <c r="J59" s="313">
        <v>7</v>
      </c>
      <c r="K59" s="314">
        <f t="shared" si="0"/>
        <v>104</v>
      </c>
      <c r="L59" s="243">
        <v>104</v>
      </c>
      <c r="M59" s="243"/>
      <c r="N59" s="243"/>
      <c r="O59" s="243"/>
      <c r="P59" s="243"/>
      <c r="Q59" s="243"/>
      <c r="R59" s="242" t="e">
        <f>IF(L59="nio",0,IF(L59&gt;0,L59*J59/X59,0))*VLOOKUP(B59,'2-Kosten per locatie'!$A$14:$C$21,3,FALSE)</f>
        <v>#DIV/0!</v>
      </c>
      <c r="S59" s="242">
        <f>IF(M59&gt;0,M59*J59/Y59,0)*VLOOKUP(B59,'2-Kosten per locatie'!$A$14:$C$21,3,FALSE)</f>
        <v>0</v>
      </c>
      <c r="T59" s="242">
        <f>IF(N59&gt;0,N59*J59/Z59,0)*VLOOKUP(B59,'2-Kosten per locatie'!$A$14:$C$21,3,FALSE)</f>
        <v>0</v>
      </c>
      <c r="U59" s="242">
        <f>IF(O59&gt;0,O59*J59/AA59,0)*VLOOKUP(B59,'2-Kosten per locatie'!$A$14:$C$21,3,FALSE)</f>
        <v>0</v>
      </c>
      <c r="V59" s="242">
        <f>IF(P59&gt;0,P59*J59/Z59,0)*VLOOKUP(B59,'2-Kosten per locatie'!$A$14:$C$21,3,FALSE)</f>
        <v>0</v>
      </c>
      <c r="W59" s="242">
        <f>IF(Q59&gt;0,Q59*J59/AA59,0)*VLOOKUP(B59,'2-Kosten per locatie'!$A$14:$C$21,3,FALSE)</f>
        <v>0</v>
      </c>
      <c r="X59" s="315">
        <f>IF(L59="nio",0,IF(L59&gt;0,VLOOKUP(H59,'3-Productie normen'!A:K,VLOOKUP(L59,'3-Productie normen'!$B$36:$C$42,2,FALSE),FALSE)))</f>
        <v>0</v>
      </c>
      <c r="Y59" s="315">
        <f t="shared" si="5"/>
        <v>0</v>
      </c>
      <c r="Z59" s="315">
        <f t="shared" si="6"/>
        <v>0</v>
      </c>
      <c r="AA59" s="315">
        <f t="shared" si="7"/>
        <v>0</v>
      </c>
      <c r="AB59" s="316"/>
      <c r="AD59" s="317">
        <f t="shared" si="8"/>
        <v>728</v>
      </c>
    </row>
    <row r="60" spans="1:30" ht="13.2" hidden="1">
      <c r="A60" s="74">
        <v>60</v>
      </c>
      <c r="B60" s="277" t="s">
        <v>271</v>
      </c>
      <c r="C60" s="277" t="s">
        <v>276</v>
      </c>
      <c r="D60" s="277" t="s">
        <v>256</v>
      </c>
      <c r="E60" s="311">
        <v>1</v>
      </c>
      <c r="F60" s="312"/>
      <c r="G60" s="277" t="s">
        <v>61</v>
      </c>
      <c r="H60" s="277" t="s">
        <v>61</v>
      </c>
      <c r="I60" s="70" t="s">
        <v>297</v>
      </c>
      <c r="J60" s="313">
        <v>5.5</v>
      </c>
      <c r="K60" s="314">
        <f t="shared" si="0"/>
        <v>255</v>
      </c>
      <c r="L60" s="243">
        <v>255</v>
      </c>
      <c r="M60" s="243"/>
      <c r="N60" s="243"/>
      <c r="O60" s="243"/>
      <c r="P60" s="243"/>
      <c r="Q60" s="243"/>
      <c r="R60" s="242" t="e">
        <f>IF(L60="nio",0,IF(L60&gt;0,L60*J60/X60,0))*VLOOKUP(B60,'2-Kosten per locatie'!$A$14:$C$21,3,FALSE)</f>
        <v>#DIV/0!</v>
      </c>
      <c r="S60" s="242">
        <f>IF(M60&gt;0,M60*J60/Y60,0)*VLOOKUP(B60,'2-Kosten per locatie'!$A$14:$C$21,3,FALSE)</f>
        <v>0</v>
      </c>
      <c r="T60" s="242">
        <f>IF(N60&gt;0,N60*J60/Z60,0)*VLOOKUP(B60,'2-Kosten per locatie'!$A$14:$C$21,3,FALSE)</f>
        <v>0</v>
      </c>
      <c r="U60" s="242">
        <f>IF(O60&gt;0,O60*J60/AA60,0)*VLOOKUP(B60,'2-Kosten per locatie'!$A$14:$C$21,3,FALSE)</f>
        <v>0</v>
      </c>
      <c r="V60" s="242">
        <f>IF(P60&gt;0,P60*J60/Z60,0)*VLOOKUP(B60,'2-Kosten per locatie'!$A$14:$C$21,3,FALSE)</f>
        <v>0</v>
      </c>
      <c r="W60" s="242">
        <f>IF(Q60&gt;0,Q60*J60/AA60,0)*VLOOKUP(B60,'2-Kosten per locatie'!$A$14:$C$21,3,FALSE)</f>
        <v>0</v>
      </c>
      <c r="X60" s="315">
        <f>IF(L60="nio",0,IF(L60&gt;0,VLOOKUP(H60,'3-Productie normen'!A:K,VLOOKUP(L60,'3-Productie normen'!$B$36:$C$42,2,FALSE),FALSE)))</f>
        <v>0</v>
      </c>
      <c r="Y60" s="315">
        <f t="shared" si="5"/>
        <v>0</v>
      </c>
      <c r="Z60" s="315">
        <f t="shared" si="6"/>
        <v>0</v>
      </c>
      <c r="AA60" s="315">
        <f t="shared" si="7"/>
        <v>0</v>
      </c>
      <c r="AB60" s="316"/>
      <c r="AD60" s="317">
        <f t="shared" si="8"/>
        <v>1402.5</v>
      </c>
    </row>
    <row r="61" spans="1:30" ht="13.2" hidden="1">
      <c r="A61" s="74">
        <v>61</v>
      </c>
      <c r="B61" s="277" t="s">
        <v>321</v>
      </c>
      <c r="C61" s="277" t="s">
        <v>364</v>
      </c>
      <c r="D61" s="277" t="s">
        <v>365</v>
      </c>
      <c r="E61" s="311" t="s">
        <v>322</v>
      </c>
      <c r="F61" s="312" t="s">
        <v>323</v>
      </c>
      <c r="G61" s="70"/>
      <c r="H61" s="70" t="s">
        <v>60</v>
      </c>
      <c r="I61" s="70" t="s">
        <v>324</v>
      </c>
      <c r="J61" s="313">
        <v>15.8</v>
      </c>
      <c r="K61" s="314">
        <f t="shared" si="0"/>
        <v>52</v>
      </c>
      <c r="L61" s="243">
        <v>52</v>
      </c>
      <c r="M61" s="243"/>
      <c r="N61" s="243"/>
      <c r="O61" s="243"/>
      <c r="P61" s="243"/>
      <c r="Q61" s="243"/>
      <c r="R61" s="242" t="e">
        <f>IF(L61="nio",0,IF(L61&gt;0,L61*J61/X61,0))*VLOOKUP(B61,'2-Kosten per locatie'!$A$14:$C$21,3,FALSE)</f>
        <v>#DIV/0!</v>
      </c>
      <c r="S61" s="242">
        <f>IF(M61&gt;0,M61*J61/Y61,0)*VLOOKUP(B61,'2-Kosten per locatie'!$A$14:$C$21,3,FALSE)</f>
        <v>0</v>
      </c>
      <c r="T61" s="242">
        <f>IF(N61&gt;0,N61*J61/Z61,0)*VLOOKUP(B61,'2-Kosten per locatie'!$A$14:$C$21,3,FALSE)</f>
        <v>0</v>
      </c>
      <c r="U61" s="242">
        <f>IF(O61&gt;0,O61*J61/AA61,0)*VLOOKUP(B61,'2-Kosten per locatie'!$A$14:$C$21,3,FALSE)</f>
        <v>0</v>
      </c>
      <c r="V61" s="242">
        <f>IF(P61&gt;0,P61*J61/Z61,0)*VLOOKUP(B61,'2-Kosten per locatie'!$A$14:$C$21,3,FALSE)</f>
        <v>0</v>
      </c>
      <c r="W61" s="242">
        <f>IF(Q61&gt;0,Q61*J61/AA61,0)*VLOOKUP(B61,'2-Kosten per locatie'!$A$14:$C$21,3,FALSE)</f>
        <v>0</v>
      </c>
      <c r="X61" s="315">
        <f>IF(L61="nio",0,IF(L61&gt;0,VLOOKUP(H61,'3-Productie normen'!A:K,VLOOKUP(L61,'3-Productie normen'!$B$36:$C$42,2,FALSE),FALSE)))</f>
        <v>0</v>
      </c>
      <c r="Y61" s="315">
        <f t="shared" si="5"/>
        <v>0</v>
      </c>
      <c r="Z61" s="315">
        <f t="shared" si="6"/>
        <v>0</v>
      </c>
      <c r="AA61" s="315">
        <f t="shared" si="7"/>
        <v>0</v>
      </c>
      <c r="AB61" s="316"/>
      <c r="AD61" s="317">
        <f t="shared" si="8"/>
        <v>821.6</v>
      </c>
    </row>
    <row r="62" spans="1:30" ht="13.2" hidden="1">
      <c r="A62" s="74">
        <v>62</v>
      </c>
      <c r="B62" s="277" t="s">
        <v>321</v>
      </c>
      <c r="C62" s="277" t="s">
        <v>364</v>
      </c>
      <c r="D62" s="277" t="s">
        <v>365</v>
      </c>
      <c r="E62" s="311" t="s">
        <v>322</v>
      </c>
      <c r="F62" s="312" t="s">
        <v>325</v>
      </c>
      <c r="G62" s="70"/>
      <c r="H62" s="70" t="s">
        <v>51</v>
      </c>
      <c r="I62" s="70" t="s">
        <v>241</v>
      </c>
      <c r="J62" s="313">
        <v>12.9</v>
      </c>
      <c r="K62" s="314">
        <f t="shared" si="0"/>
        <v>52</v>
      </c>
      <c r="L62" s="243">
        <v>52</v>
      </c>
      <c r="M62" s="243"/>
      <c r="N62" s="243"/>
      <c r="O62" s="243"/>
      <c r="P62" s="243"/>
      <c r="Q62" s="243"/>
      <c r="R62" s="242" t="e">
        <f>IF(L62="nio",0,IF(L62&gt;0,L62*J62/X62,0))*VLOOKUP(B62,'2-Kosten per locatie'!$A$14:$C$21,3,FALSE)</f>
        <v>#DIV/0!</v>
      </c>
      <c r="S62" s="242">
        <f>IF(M62&gt;0,M62*J62/Y62,0)*VLOOKUP(B62,'2-Kosten per locatie'!$A$14:$C$21,3,FALSE)</f>
        <v>0</v>
      </c>
      <c r="T62" s="242">
        <f>IF(N62&gt;0,N62*J62/Z62,0)*VLOOKUP(B62,'2-Kosten per locatie'!$A$14:$C$21,3,FALSE)</f>
        <v>0</v>
      </c>
      <c r="U62" s="242">
        <f>IF(O62&gt;0,O62*J62/AA62,0)*VLOOKUP(B62,'2-Kosten per locatie'!$A$14:$C$21,3,FALSE)</f>
        <v>0</v>
      </c>
      <c r="V62" s="242">
        <f>IF(P62&gt;0,P62*J62/Z62,0)*VLOOKUP(B62,'2-Kosten per locatie'!$A$14:$C$21,3,FALSE)</f>
        <v>0</v>
      </c>
      <c r="W62" s="242">
        <f>IF(Q62&gt;0,Q62*J62/AA62,0)*VLOOKUP(B62,'2-Kosten per locatie'!$A$14:$C$21,3,FALSE)</f>
        <v>0</v>
      </c>
      <c r="X62" s="315">
        <f>IF(L62="nio",0,IF(L62&gt;0,VLOOKUP(H62,'3-Productie normen'!A:K,VLOOKUP(L62,'3-Productie normen'!$B$36:$C$42,2,FALSE),FALSE)))</f>
        <v>0</v>
      </c>
      <c r="Y62" s="315">
        <f t="shared" si="5"/>
        <v>0</v>
      </c>
      <c r="Z62" s="315">
        <f t="shared" si="6"/>
        <v>0</v>
      </c>
      <c r="AA62" s="315">
        <f t="shared" si="7"/>
        <v>0</v>
      </c>
      <c r="AB62" s="316"/>
      <c r="AD62" s="317">
        <f t="shared" si="8"/>
        <v>670.80000000000007</v>
      </c>
    </row>
    <row r="63" spans="1:30" ht="13.2" hidden="1">
      <c r="A63" s="74">
        <v>63</v>
      </c>
      <c r="B63" s="277" t="s">
        <v>321</v>
      </c>
      <c r="C63" s="277" t="s">
        <v>364</v>
      </c>
      <c r="D63" s="277" t="s">
        <v>365</v>
      </c>
      <c r="E63" s="311" t="s">
        <v>322</v>
      </c>
      <c r="F63" s="312" t="s">
        <v>326</v>
      </c>
      <c r="G63" s="70"/>
      <c r="H63" s="70" t="s">
        <v>51</v>
      </c>
      <c r="I63" s="70" t="s">
        <v>241</v>
      </c>
      <c r="J63" s="313">
        <v>16.399999999999999</v>
      </c>
      <c r="K63" s="314">
        <f t="shared" si="0"/>
        <v>52</v>
      </c>
      <c r="L63" s="243">
        <v>52</v>
      </c>
      <c r="M63" s="243"/>
      <c r="N63" s="243"/>
      <c r="O63" s="243"/>
      <c r="P63" s="243"/>
      <c r="Q63" s="243"/>
      <c r="R63" s="242" t="e">
        <f>IF(L63="nio",0,IF(L63&gt;0,L63*J63/X63,0))*VLOOKUP(B63,'2-Kosten per locatie'!$A$14:$C$21,3,FALSE)</f>
        <v>#DIV/0!</v>
      </c>
      <c r="S63" s="242">
        <f>IF(M63&gt;0,M63*J63/Y63,0)*VLOOKUP(B63,'2-Kosten per locatie'!$A$14:$C$21,3,FALSE)</f>
        <v>0</v>
      </c>
      <c r="T63" s="242">
        <f>IF(N63&gt;0,N63*J63/Z63,0)*VLOOKUP(B63,'2-Kosten per locatie'!$A$14:$C$21,3,FALSE)</f>
        <v>0</v>
      </c>
      <c r="U63" s="242">
        <f>IF(O63&gt;0,O63*J63/AA63,0)*VLOOKUP(B63,'2-Kosten per locatie'!$A$14:$C$21,3,FALSE)</f>
        <v>0</v>
      </c>
      <c r="V63" s="242">
        <f>IF(P63&gt;0,P63*J63/Z63,0)*VLOOKUP(B63,'2-Kosten per locatie'!$A$14:$C$21,3,FALSE)</f>
        <v>0</v>
      </c>
      <c r="W63" s="242">
        <f>IF(Q63&gt;0,Q63*J63/AA63,0)*VLOOKUP(B63,'2-Kosten per locatie'!$A$14:$C$21,3,FALSE)</f>
        <v>0</v>
      </c>
      <c r="X63" s="315">
        <f>IF(L63="nio",0,IF(L63&gt;0,VLOOKUP(H63,'3-Productie normen'!A:K,VLOOKUP(L63,'3-Productie normen'!$B$36:$C$42,2,FALSE),FALSE)))</f>
        <v>0</v>
      </c>
      <c r="Y63" s="315">
        <f t="shared" si="5"/>
        <v>0</v>
      </c>
      <c r="Z63" s="315">
        <f t="shared" si="6"/>
        <v>0</v>
      </c>
      <c r="AA63" s="315">
        <f t="shared" si="7"/>
        <v>0</v>
      </c>
      <c r="AB63" s="316"/>
      <c r="AD63" s="317">
        <f t="shared" si="8"/>
        <v>852.8</v>
      </c>
    </row>
    <row r="64" spans="1:30" ht="13.2" hidden="1">
      <c r="A64" s="74">
        <v>64</v>
      </c>
      <c r="B64" s="277" t="s">
        <v>321</v>
      </c>
      <c r="C64" s="277" t="s">
        <v>364</v>
      </c>
      <c r="D64" s="277" t="s">
        <v>365</v>
      </c>
      <c r="E64" s="311" t="s">
        <v>322</v>
      </c>
      <c r="F64" s="312" t="s">
        <v>327</v>
      </c>
      <c r="G64" s="70" t="s">
        <v>328</v>
      </c>
      <c r="H64" s="70" t="s">
        <v>51</v>
      </c>
      <c r="I64" s="70" t="s">
        <v>241</v>
      </c>
      <c r="J64" s="313">
        <v>36.700000000000003</v>
      </c>
      <c r="K64" s="314">
        <f t="shared" si="0"/>
        <v>52</v>
      </c>
      <c r="L64" s="243">
        <v>52</v>
      </c>
      <c r="M64" s="243"/>
      <c r="N64" s="243"/>
      <c r="O64" s="243"/>
      <c r="P64" s="243"/>
      <c r="Q64" s="243"/>
      <c r="R64" s="242" t="e">
        <f>IF(L64="nio",0,IF(L64&gt;0,L64*J64/X64,0))*VLOOKUP(B64,'2-Kosten per locatie'!$A$14:$C$21,3,FALSE)</f>
        <v>#DIV/0!</v>
      </c>
      <c r="S64" s="242">
        <f>IF(M64&gt;0,M64*J64/Y64,0)*VLOOKUP(B64,'2-Kosten per locatie'!$A$14:$C$21,3,FALSE)</f>
        <v>0</v>
      </c>
      <c r="T64" s="242">
        <f>IF(N64&gt;0,N64*J64/Z64,0)*VLOOKUP(B64,'2-Kosten per locatie'!$A$14:$C$21,3,FALSE)</f>
        <v>0</v>
      </c>
      <c r="U64" s="242">
        <f>IF(O64&gt;0,O64*J64/AA64,0)*VLOOKUP(B64,'2-Kosten per locatie'!$A$14:$C$21,3,FALSE)</f>
        <v>0</v>
      </c>
      <c r="V64" s="242">
        <f>IF(P64&gt;0,P64*J64/Z64,0)*VLOOKUP(B64,'2-Kosten per locatie'!$A$14:$C$21,3,FALSE)</f>
        <v>0</v>
      </c>
      <c r="W64" s="242">
        <f>IF(Q64&gt;0,Q64*J64/AA64,0)*VLOOKUP(B64,'2-Kosten per locatie'!$A$14:$C$21,3,FALSE)</f>
        <v>0</v>
      </c>
      <c r="X64" s="315">
        <f>IF(L64="nio",0,IF(L64&gt;0,VLOOKUP(H64,'3-Productie normen'!A:K,VLOOKUP(L64,'3-Productie normen'!$B$36:$C$42,2,FALSE),FALSE)))</f>
        <v>0</v>
      </c>
      <c r="Y64" s="315">
        <f t="shared" si="5"/>
        <v>0</v>
      </c>
      <c r="Z64" s="315">
        <f t="shared" si="6"/>
        <v>0</v>
      </c>
      <c r="AA64" s="315">
        <f t="shared" si="7"/>
        <v>0</v>
      </c>
      <c r="AB64" s="316"/>
      <c r="AD64" s="317">
        <f t="shared" si="8"/>
        <v>1908.4</v>
      </c>
    </row>
    <row r="65" spans="1:30" ht="13.2" hidden="1">
      <c r="A65" s="74">
        <v>65</v>
      </c>
      <c r="B65" s="277" t="s">
        <v>321</v>
      </c>
      <c r="C65" s="277" t="s">
        <v>364</v>
      </c>
      <c r="D65" s="277" t="s">
        <v>365</v>
      </c>
      <c r="E65" s="311" t="s">
        <v>322</v>
      </c>
      <c r="F65" s="312" t="s">
        <v>329</v>
      </c>
      <c r="G65" s="320" t="s">
        <v>259</v>
      </c>
      <c r="H65" s="320" t="s">
        <v>52</v>
      </c>
      <c r="I65" s="70" t="s">
        <v>261</v>
      </c>
      <c r="J65" s="313">
        <v>10.3</v>
      </c>
      <c r="K65" s="314">
        <f t="shared" si="0"/>
        <v>52</v>
      </c>
      <c r="L65" s="243">
        <v>52</v>
      </c>
      <c r="M65" s="243"/>
      <c r="N65" s="243"/>
      <c r="O65" s="243"/>
      <c r="P65" s="243"/>
      <c r="Q65" s="243"/>
      <c r="R65" s="242" t="e">
        <f>IF(L65="nio",0,IF(L65&gt;0,L65*J65/X65,0))*VLOOKUP(B65,'2-Kosten per locatie'!$A$14:$C$21,3,FALSE)</f>
        <v>#DIV/0!</v>
      </c>
      <c r="S65" s="242">
        <f>IF(M65&gt;0,M65*J65/Y65,0)*VLOOKUP(B65,'2-Kosten per locatie'!$A$14:$C$21,3,FALSE)</f>
        <v>0</v>
      </c>
      <c r="T65" s="242">
        <f>IF(N65&gt;0,N65*J65/Z65,0)*VLOOKUP(B65,'2-Kosten per locatie'!$A$14:$C$21,3,FALSE)</f>
        <v>0</v>
      </c>
      <c r="U65" s="242">
        <f>IF(O65&gt;0,O65*J65/AA65,0)*VLOOKUP(B65,'2-Kosten per locatie'!$A$14:$C$21,3,FALSE)</f>
        <v>0</v>
      </c>
      <c r="V65" s="242">
        <f>IF(P65&gt;0,P65*J65/Z65,0)*VLOOKUP(B65,'2-Kosten per locatie'!$A$14:$C$21,3,FALSE)</f>
        <v>0</v>
      </c>
      <c r="W65" s="242">
        <f>IF(Q65&gt;0,Q65*J65/AA65,0)*VLOOKUP(B65,'2-Kosten per locatie'!$A$14:$C$21,3,FALSE)</f>
        <v>0</v>
      </c>
      <c r="X65" s="315">
        <f>IF(L65="nio",0,IF(L65&gt;0,VLOOKUP(H65,'3-Productie normen'!A:K,VLOOKUP(L65,'3-Productie normen'!$B$36:$C$42,2,FALSE),FALSE)))</f>
        <v>0</v>
      </c>
      <c r="Y65" s="315">
        <f t="shared" si="5"/>
        <v>0</v>
      </c>
      <c r="Z65" s="315">
        <f t="shared" si="6"/>
        <v>0</v>
      </c>
      <c r="AA65" s="315">
        <f t="shared" si="7"/>
        <v>0</v>
      </c>
      <c r="AB65" s="316"/>
      <c r="AD65" s="317">
        <f t="shared" si="8"/>
        <v>535.6</v>
      </c>
    </row>
    <row r="66" spans="1:30" ht="13.2" hidden="1">
      <c r="A66" s="74">
        <v>66</v>
      </c>
      <c r="B66" s="277" t="s">
        <v>321</v>
      </c>
      <c r="C66" s="277" t="s">
        <v>364</v>
      </c>
      <c r="D66" s="277" t="s">
        <v>365</v>
      </c>
      <c r="E66" s="311" t="s">
        <v>322</v>
      </c>
      <c r="F66" s="312" t="s">
        <v>330</v>
      </c>
      <c r="G66" s="277" t="s">
        <v>259</v>
      </c>
      <c r="H66" s="320" t="s">
        <v>52</v>
      </c>
      <c r="I66" s="318" t="s">
        <v>261</v>
      </c>
      <c r="J66" s="313">
        <v>9.6</v>
      </c>
      <c r="K66" s="314">
        <f t="shared" si="0"/>
        <v>52</v>
      </c>
      <c r="L66" s="243">
        <v>52</v>
      </c>
      <c r="M66" s="243"/>
      <c r="N66" s="243"/>
      <c r="O66" s="243"/>
      <c r="P66" s="243"/>
      <c r="Q66" s="243"/>
      <c r="R66" s="242" t="e">
        <f>IF(L66="nio",0,IF(L66&gt;0,L66*J66/X66,0))*VLOOKUP(B66,'2-Kosten per locatie'!$A$14:$C$21,3,FALSE)</f>
        <v>#DIV/0!</v>
      </c>
      <c r="S66" s="242">
        <f>IF(M66&gt;0,M66*J66/Y66,0)*VLOOKUP(B66,'2-Kosten per locatie'!$A$14:$C$21,3,FALSE)</f>
        <v>0</v>
      </c>
      <c r="T66" s="242">
        <f>IF(N66&gt;0,N66*J66/Z66,0)*VLOOKUP(B66,'2-Kosten per locatie'!$A$14:$C$21,3,FALSE)</f>
        <v>0</v>
      </c>
      <c r="U66" s="242">
        <f>IF(O66&gt;0,O66*J66/AA66,0)*VLOOKUP(B66,'2-Kosten per locatie'!$A$14:$C$21,3,FALSE)</f>
        <v>0</v>
      </c>
      <c r="V66" s="242">
        <f>IF(P66&gt;0,P66*J66/Z66,0)*VLOOKUP(B66,'2-Kosten per locatie'!$A$14:$C$21,3,FALSE)</f>
        <v>0</v>
      </c>
      <c r="W66" s="242">
        <f>IF(Q66&gt;0,Q66*J66/AA66,0)*VLOOKUP(B66,'2-Kosten per locatie'!$A$14:$C$21,3,FALSE)</f>
        <v>0</v>
      </c>
      <c r="X66" s="315">
        <f>IF(L66="nio",0,IF(L66&gt;0,VLOOKUP(H66,'3-Productie normen'!A:K,VLOOKUP(L66,'3-Productie normen'!$B$36:$C$42,2,FALSE),FALSE)))</f>
        <v>0</v>
      </c>
      <c r="Y66" s="315">
        <f t="shared" si="5"/>
        <v>0</v>
      </c>
      <c r="Z66" s="315">
        <f t="shared" si="6"/>
        <v>0</v>
      </c>
      <c r="AA66" s="315">
        <f t="shared" si="7"/>
        <v>0</v>
      </c>
      <c r="AB66" s="316"/>
      <c r="AD66" s="317">
        <f t="shared" si="8"/>
        <v>499.2</v>
      </c>
    </row>
    <row r="67" spans="1:30" ht="13.2" hidden="1">
      <c r="A67" s="74">
        <v>67</v>
      </c>
      <c r="B67" s="277" t="s">
        <v>321</v>
      </c>
      <c r="C67" s="277" t="s">
        <v>364</v>
      </c>
      <c r="D67" s="277" t="s">
        <v>365</v>
      </c>
      <c r="E67" s="85" t="s">
        <v>322</v>
      </c>
      <c r="F67" s="239" t="s">
        <v>331</v>
      </c>
      <c r="G67" s="277" t="s">
        <v>332</v>
      </c>
      <c r="H67" s="320" t="s">
        <v>52</v>
      </c>
      <c r="I67" s="70" t="s">
        <v>261</v>
      </c>
      <c r="J67" s="313">
        <v>3.7</v>
      </c>
      <c r="K67" s="314">
        <f t="shared" si="0"/>
        <v>52</v>
      </c>
      <c r="L67" s="243">
        <v>52</v>
      </c>
      <c r="M67" s="243"/>
      <c r="N67" s="243"/>
      <c r="O67" s="243"/>
      <c r="P67" s="243"/>
      <c r="Q67" s="243"/>
      <c r="R67" s="242" t="e">
        <f>IF(L67="nio",0,IF(L67&gt;0,L67*J67/X67,0))*VLOOKUP(B67,'2-Kosten per locatie'!$A$14:$C$21,3,FALSE)</f>
        <v>#DIV/0!</v>
      </c>
      <c r="S67" s="242">
        <f>IF(M67&gt;0,M67*J67/Y67,0)*VLOOKUP(B67,'2-Kosten per locatie'!$A$14:$C$21,3,FALSE)</f>
        <v>0</v>
      </c>
      <c r="T67" s="242">
        <f>IF(N67&gt;0,N67*J67/Z67,0)*VLOOKUP(B67,'2-Kosten per locatie'!$A$14:$C$21,3,FALSE)</f>
        <v>0</v>
      </c>
      <c r="U67" s="242">
        <f>IF(O67&gt;0,O67*J67/AA67,0)*VLOOKUP(B67,'2-Kosten per locatie'!$A$14:$C$21,3,FALSE)</f>
        <v>0</v>
      </c>
      <c r="V67" s="242">
        <f>IF(P67&gt;0,P67*J67/Z67,0)*VLOOKUP(B67,'2-Kosten per locatie'!$A$14:$C$21,3,FALSE)</f>
        <v>0</v>
      </c>
      <c r="W67" s="242">
        <f>IF(Q67&gt;0,Q67*J67/AA67,0)*VLOOKUP(B67,'2-Kosten per locatie'!$A$14:$C$21,3,FALSE)</f>
        <v>0</v>
      </c>
      <c r="X67" s="315">
        <f>IF(L67="nio",0,IF(L67&gt;0,VLOOKUP(H67,'3-Productie normen'!A:K,VLOOKUP(L67,'3-Productie normen'!$B$36:$C$42,2,FALSE),FALSE)))</f>
        <v>0</v>
      </c>
      <c r="Y67" s="315">
        <f t="shared" si="5"/>
        <v>0</v>
      </c>
      <c r="Z67" s="315">
        <f t="shared" si="6"/>
        <v>0</v>
      </c>
      <c r="AA67" s="315">
        <f t="shared" si="7"/>
        <v>0</v>
      </c>
      <c r="AB67" s="316"/>
      <c r="AD67" s="317">
        <f t="shared" si="8"/>
        <v>192.4</v>
      </c>
    </row>
    <row r="68" spans="1:30" ht="13.2" hidden="1">
      <c r="A68" s="74">
        <v>68</v>
      </c>
      <c r="B68" s="277" t="s">
        <v>321</v>
      </c>
      <c r="C68" s="277" t="s">
        <v>364</v>
      </c>
      <c r="D68" s="277" t="s">
        <v>365</v>
      </c>
      <c r="E68" s="311" t="s">
        <v>322</v>
      </c>
      <c r="F68" s="312" t="s">
        <v>333</v>
      </c>
      <c r="G68" s="70" t="s">
        <v>295</v>
      </c>
      <c r="H68" s="277" t="s">
        <v>53</v>
      </c>
      <c r="I68" s="70" t="s">
        <v>334</v>
      </c>
      <c r="J68" s="313">
        <v>268.7</v>
      </c>
      <c r="K68" s="314">
        <f t="shared" si="0"/>
        <v>52</v>
      </c>
      <c r="L68" s="243">
        <v>52</v>
      </c>
      <c r="M68" s="243"/>
      <c r="N68" s="243"/>
      <c r="O68" s="243"/>
      <c r="P68" s="243"/>
      <c r="Q68" s="243"/>
      <c r="R68" s="242" t="e">
        <f>IF(L68="nio",0,IF(L68&gt;0,L68*J68/X68,0))*VLOOKUP(B68,'2-Kosten per locatie'!$A$14:$C$21,3,FALSE)</f>
        <v>#DIV/0!</v>
      </c>
      <c r="S68" s="242">
        <f>IF(M68&gt;0,M68*J68/Y68,0)*VLOOKUP(B68,'2-Kosten per locatie'!$A$14:$C$21,3,FALSE)</f>
        <v>0</v>
      </c>
      <c r="T68" s="242">
        <f>IF(N68&gt;0,N68*J68/Z68,0)*VLOOKUP(B68,'2-Kosten per locatie'!$A$14:$C$21,3,FALSE)</f>
        <v>0</v>
      </c>
      <c r="U68" s="242">
        <f>IF(O68&gt;0,O68*J68/AA68,0)*VLOOKUP(B68,'2-Kosten per locatie'!$A$14:$C$21,3,FALSE)</f>
        <v>0</v>
      </c>
      <c r="V68" s="242">
        <f>IF(P68&gt;0,P68*J68/Z68,0)*VLOOKUP(B68,'2-Kosten per locatie'!$A$14:$C$21,3,FALSE)</f>
        <v>0</v>
      </c>
      <c r="W68" s="242">
        <f>IF(Q68&gt;0,Q68*J68/AA68,0)*VLOOKUP(B68,'2-Kosten per locatie'!$A$14:$C$21,3,FALSE)</f>
        <v>0</v>
      </c>
      <c r="X68" s="315">
        <f>IF(L68="nio",0,IF(L68&gt;0,VLOOKUP(H68,'3-Productie normen'!A:K,VLOOKUP(L68,'3-Productie normen'!$B$36:$C$42,2,FALSE),FALSE)))</f>
        <v>0</v>
      </c>
      <c r="Y68" s="315">
        <f t="shared" si="5"/>
        <v>0</v>
      </c>
      <c r="Z68" s="315">
        <f t="shared" si="6"/>
        <v>0</v>
      </c>
      <c r="AA68" s="315">
        <f t="shared" si="7"/>
        <v>0</v>
      </c>
      <c r="AB68" s="316"/>
      <c r="AD68" s="317">
        <f t="shared" si="8"/>
        <v>13972.4</v>
      </c>
    </row>
    <row r="69" spans="1:30" ht="13.2" hidden="1">
      <c r="A69" s="74">
        <v>69</v>
      </c>
      <c r="B69" s="277" t="s">
        <v>321</v>
      </c>
      <c r="C69" s="277" t="s">
        <v>364</v>
      </c>
      <c r="D69" s="277" t="s">
        <v>365</v>
      </c>
      <c r="E69" s="311" t="s">
        <v>322</v>
      </c>
      <c r="F69" s="312" t="s">
        <v>335</v>
      </c>
      <c r="G69" s="70" t="s">
        <v>336</v>
      </c>
      <c r="H69" s="70" t="s">
        <v>265</v>
      </c>
      <c r="I69" s="70" t="s">
        <v>261</v>
      </c>
      <c r="J69" s="313">
        <v>37.6</v>
      </c>
      <c r="K69" s="314">
        <f t="shared" si="0"/>
        <v>52</v>
      </c>
      <c r="L69" s="243">
        <v>52</v>
      </c>
      <c r="M69" s="243"/>
      <c r="N69" s="243"/>
      <c r="O69" s="243"/>
      <c r="P69" s="243"/>
      <c r="Q69" s="243"/>
      <c r="R69" s="242" t="e">
        <f>IF(L69="nio",0,IF(L69&gt;0,L69*J69/X69,0))*VLOOKUP(B69,'2-Kosten per locatie'!$A$14:$C$21,3,FALSE)</f>
        <v>#DIV/0!</v>
      </c>
      <c r="S69" s="242">
        <f>IF(M69&gt;0,M69*J69/Y69,0)*VLOOKUP(B69,'2-Kosten per locatie'!$A$14:$C$21,3,FALSE)</f>
        <v>0</v>
      </c>
      <c r="T69" s="242">
        <f>IF(N69&gt;0,N69*J69/Z69,0)*VLOOKUP(B69,'2-Kosten per locatie'!$A$14:$C$21,3,FALSE)</f>
        <v>0</v>
      </c>
      <c r="U69" s="242">
        <f>IF(O69&gt;0,O69*J69/AA69,0)*VLOOKUP(B69,'2-Kosten per locatie'!$A$14:$C$21,3,FALSE)</f>
        <v>0</v>
      </c>
      <c r="V69" s="242">
        <f>IF(P69&gt;0,P69*J69/Z69,0)*VLOOKUP(B69,'2-Kosten per locatie'!$A$14:$C$21,3,FALSE)</f>
        <v>0</v>
      </c>
      <c r="W69" s="242">
        <f>IF(Q69&gt;0,Q69*J69/AA69,0)*VLOOKUP(B69,'2-Kosten per locatie'!$A$14:$C$21,3,FALSE)</f>
        <v>0</v>
      </c>
      <c r="X69" s="315">
        <f>IF(L69="nio",0,IF(L69&gt;0,VLOOKUP(H69,'3-Productie normen'!A:K,VLOOKUP(L69,'3-Productie normen'!$B$36:$C$42,2,FALSE),FALSE)))</f>
        <v>0</v>
      </c>
      <c r="Y69" s="315">
        <f t="shared" si="5"/>
        <v>0</v>
      </c>
      <c r="Z69" s="315">
        <f t="shared" si="6"/>
        <v>0</v>
      </c>
      <c r="AA69" s="315">
        <f t="shared" si="7"/>
        <v>0</v>
      </c>
      <c r="AB69" s="316"/>
      <c r="AD69" s="317">
        <f t="shared" si="8"/>
        <v>1955.2</v>
      </c>
    </row>
    <row r="70" spans="1:30" ht="13.2" hidden="1">
      <c r="A70" s="74">
        <v>70</v>
      </c>
      <c r="B70" s="277" t="s">
        <v>321</v>
      </c>
      <c r="C70" s="277" t="s">
        <v>364</v>
      </c>
      <c r="D70" s="277" t="s">
        <v>365</v>
      </c>
      <c r="E70" s="311" t="s">
        <v>322</v>
      </c>
      <c r="F70" s="312" t="s">
        <v>337</v>
      </c>
      <c r="G70" s="70" t="s">
        <v>338</v>
      </c>
      <c r="H70" s="70" t="s">
        <v>265</v>
      </c>
      <c r="I70" s="70" t="s">
        <v>261</v>
      </c>
      <c r="J70" s="313">
        <v>25.3</v>
      </c>
      <c r="K70" s="314">
        <f t="shared" si="0"/>
        <v>52</v>
      </c>
      <c r="L70" s="243">
        <v>52</v>
      </c>
      <c r="M70" s="243"/>
      <c r="N70" s="243"/>
      <c r="O70" s="243"/>
      <c r="P70" s="243"/>
      <c r="Q70" s="243"/>
      <c r="R70" s="242" t="e">
        <f>IF(L70="nio",0,IF(L70&gt;0,L70*J70/X70,0))*VLOOKUP(B70,'2-Kosten per locatie'!$A$14:$C$21,3,FALSE)</f>
        <v>#DIV/0!</v>
      </c>
      <c r="S70" s="242">
        <f>IF(M70&gt;0,M70*J70/Y70,0)*VLOOKUP(B70,'2-Kosten per locatie'!$A$14:$C$21,3,FALSE)</f>
        <v>0</v>
      </c>
      <c r="T70" s="242">
        <f>IF(N70&gt;0,N70*J70/Z70,0)*VLOOKUP(B70,'2-Kosten per locatie'!$A$14:$C$21,3,FALSE)</f>
        <v>0</v>
      </c>
      <c r="U70" s="242">
        <f>IF(O70&gt;0,O70*J70/AA70,0)*VLOOKUP(B70,'2-Kosten per locatie'!$A$14:$C$21,3,FALSE)</f>
        <v>0</v>
      </c>
      <c r="V70" s="242">
        <f>IF(P70&gt;0,P70*J70/Z70,0)*VLOOKUP(B70,'2-Kosten per locatie'!$A$14:$C$21,3,FALSE)</f>
        <v>0</v>
      </c>
      <c r="W70" s="242">
        <f>IF(Q70&gt;0,Q70*J70/AA70,0)*VLOOKUP(B70,'2-Kosten per locatie'!$A$14:$C$21,3,FALSE)</f>
        <v>0</v>
      </c>
      <c r="X70" s="315">
        <f>IF(L70="nio",0,IF(L70&gt;0,VLOOKUP(H70,'3-Productie normen'!A:K,VLOOKUP(L70,'3-Productie normen'!$B$36:$C$42,2,FALSE),FALSE)))</f>
        <v>0</v>
      </c>
      <c r="Y70" s="315">
        <f t="shared" si="5"/>
        <v>0</v>
      </c>
      <c r="Z70" s="315">
        <f t="shared" si="6"/>
        <v>0</v>
      </c>
      <c r="AA70" s="315">
        <f t="shared" si="7"/>
        <v>0</v>
      </c>
      <c r="AB70" s="316"/>
      <c r="AD70" s="317">
        <f t="shared" si="8"/>
        <v>1315.6000000000001</v>
      </c>
    </row>
    <row r="71" spans="1:30" ht="13.2" hidden="1">
      <c r="A71" s="74">
        <v>71</v>
      </c>
      <c r="B71" s="277" t="s">
        <v>321</v>
      </c>
      <c r="C71" s="277" t="s">
        <v>364</v>
      </c>
      <c r="D71" s="277" t="s">
        <v>365</v>
      </c>
      <c r="E71" s="311" t="s">
        <v>322</v>
      </c>
      <c r="F71" s="312" t="s">
        <v>339</v>
      </c>
      <c r="G71" s="70" t="s">
        <v>340</v>
      </c>
      <c r="H71" s="70" t="s">
        <v>265</v>
      </c>
      <c r="I71" s="70" t="s">
        <v>261</v>
      </c>
      <c r="J71" s="313">
        <v>59</v>
      </c>
      <c r="K71" s="314">
        <f t="shared" si="0"/>
        <v>52</v>
      </c>
      <c r="L71" s="243">
        <v>52</v>
      </c>
      <c r="M71" s="243"/>
      <c r="N71" s="243"/>
      <c r="O71" s="243"/>
      <c r="P71" s="243"/>
      <c r="Q71" s="243"/>
      <c r="R71" s="242" t="e">
        <f>IF(L71="nio",0,IF(L71&gt;0,L71*J71/X71,0))*VLOOKUP(B71,'2-Kosten per locatie'!$A$14:$C$21,3,FALSE)</f>
        <v>#DIV/0!</v>
      </c>
      <c r="S71" s="242">
        <f>IF(M71&gt;0,M71*J71/Y71,0)*VLOOKUP(B71,'2-Kosten per locatie'!$A$14:$C$21,3,FALSE)</f>
        <v>0</v>
      </c>
      <c r="T71" s="242">
        <f>IF(N71&gt;0,N71*J71/Z71,0)*VLOOKUP(B71,'2-Kosten per locatie'!$A$14:$C$21,3,FALSE)</f>
        <v>0</v>
      </c>
      <c r="U71" s="242">
        <f>IF(O71&gt;0,O71*J71/AA71,0)*VLOOKUP(B71,'2-Kosten per locatie'!$A$14:$C$21,3,FALSE)</f>
        <v>0</v>
      </c>
      <c r="V71" s="242">
        <f>IF(P71&gt;0,P71*J71/Z71,0)*VLOOKUP(B71,'2-Kosten per locatie'!$A$14:$C$21,3,FALSE)</f>
        <v>0</v>
      </c>
      <c r="W71" s="242">
        <f>IF(Q71&gt;0,Q71*J71/AA71,0)*VLOOKUP(B71,'2-Kosten per locatie'!$A$14:$C$21,3,FALSE)</f>
        <v>0</v>
      </c>
      <c r="X71" s="315">
        <f>IF(L71="nio",0,IF(L71&gt;0,VLOOKUP(H71,'3-Productie normen'!A:K,VLOOKUP(L71,'3-Productie normen'!$B$36:$C$42,2,FALSE),FALSE)))</f>
        <v>0</v>
      </c>
      <c r="Y71" s="315">
        <f t="shared" si="5"/>
        <v>0</v>
      </c>
      <c r="Z71" s="315">
        <f t="shared" si="6"/>
        <v>0</v>
      </c>
      <c r="AA71" s="315">
        <f t="shared" si="7"/>
        <v>0</v>
      </c>
      <c r="AB71" s="316"/>
      <c r="AD71" s="317">
        <f t="shared" si="8"/>
        <v>3068</v>
      </c>
    </row>
    <row r="72" spans="1:30" ht="13.2" hidden="1">
      <c r="A72" s="74">
        <v>72</v>
      </c>
      <c r="B72" s="277" t="s">
        <v>321</v>
      </c>
      <c r="C72" s="277" t="s">
        <v>364</v>
      </c>
      <c r="D72" s="277" t="s">
        <v>365</v>
      </c>
      <c r="E72" s="311" t="s">
        <v>322</v>
      </c>
      <c r="F72" s="312" t="s">
        <v>341</v>
      </c>
      <c r="G72" s="70" t="s">
        <v>342</v>
      </c>
      <c r="H72" s="70" t="s">
        <v>265</v>
      </c>
      <c r="I72" s="70" t="s">
        <v>261</v>
      </c>
      <c r="J72" s="313">
        <v>59.01</v>
      </c>
      <c r="K72" s="314">
        <f t="shared" si="0"/>
        <v>52</v>
      </c>
      <c r="L72" s="243">
        <v>52</v>
      </c>
      <c r="M72" s="243"/>
      <c r="N72" s="243"/>
      <c r="O72" s="243"/>
      <c r="P72" s="243"/>
      <c r="Q72" s="243"/>
      <c r="R72" s="242" t="e">
        <f>IF(L72="nio",0,IF(L72&gt;0,L72*J72/X72,0))*VLOOKUP(B72,'2-Kosten per locatie'!$A$14:$C$21,3,FALSE)</f>
        <v>#DIV/0!</v>
      </c>
      <c r="S72" s="242">
        <f>IF(M72&gt;0,M72*J72/Y72,0)*VLOOKUP(B72,'2-Kosten per locatie'!$A$14:$C$21,3,FALSE)</f>
        <v>0</v>
      </c>
      <c r="T72" s="242">
        <f>IF(N72&gt;0,N72*J72/Z72,0)*VLOOKUP(B72,'2-Kosten per locatie'!$A$14:$C$21,3,FALSE)</f>
        <v>0</v>
      </c>
      <c r="U72" s="242">
        <f>IF(O72&gt;0,O72*J72/AA72,0)*VLOOKUP(B72,'2-Kosten per locatie'!$A$14:$C$21,3,FALSE)</f>
        <v>0</v>
      </c>
      <c r="V72" s="242">
        <f>IF(P72&gt;0,P72*J72/Z72,0)*VLOOKUP(B72,'2-Kosten per locatie'!$A$14:$C$21,3,FALSE)</f>
        <v>0</v>
      </c>
      <c r="W72" s="242">
        <f>IF(Q72&gt;0,Q72*J72/AA72,0)*VLOOKUP(B72,'2-Kosten per locatie'!$A$14:$C$21,3,FALSE)</f>
        <v>0</v>
      </c>
      <c r="X72" s="315">
        <f>IF(L72="nio",0,IF(L72&gt;0,VLOOKUP(H72,'3-Productie normen'!A:K,VLOOKUP(L72,'3-Productie normen'!$B$36:$C$42,2,FALSE),FALSE)))</f>
        <v>0</v>
      </c>
      <c r="Y72" s="315">
        <f t="shared" si="5"/>
        <v>0</v>
      </c>
      <c r="Z72" s="315">
        <f t="shared" si="6"/>
        <v>0</v>
      </c>
      <c r="AA72" s="315">
        <f t="shared" si="7"/>
        <v>0</v>
      </c>
      <c r="AB72" s="316"/>
      <c r="AD72" s="317">
        <f t="shared" si="8"/>
        <v>3068.52</v>
      </c>
    </row>
    <row r="73" spans="1:30" ht="13.2" hidden="1">
      <c r="A73" s="74">
        <v>73</v>
      </c>
      <c r="B73" s="277" t="s">
        <v>321</v>
      </c>
      <c r="C73" s="277" t="s">
        <v>364</v>
      </c>
      <c r="D73" s="277" t="s">
        <v>365</v>
      </c>
      <c r="E73" s="311" t="s">
        <v>322</v>
      </c>
      <c r="F73" s="312" t="s">
        <v>343</v>
      </c>
      <c r="G73" s="70" t="s">
        <v>344</v>
      </c>
      <c r="H73" s="277" t="s">
        <v>53</v>
      </c>
      <c r="I73" s="70" t="s">
        <v>345</v>
      </c>
      <c r="J73" s="313">
        <v>59.7</v>
      </c>
      <c r="K73" s="314">
        <f t="shared" si="0"/>
        <v>52</v>
      </c>
      <c r="L73" s="243">
        <v>52</v>
      </c>
      <c r="M73" s="243"/>
      <c r="N73" s="243"/>
      <c r="O73" s="243"/>
      <c r="P73" s="243"/>
      <c r="Q73" s="243"/>
      <c r="R73" s="242" t="e">
        <f>IF(L73="nio",0,IF(L73&gt;0,L73*J73/X73,0))*VLOOKUP(B73,'2-Kosten per locatie'!$A$14:$C$21,3,FALSE)</f>
        <v>#DIV/0!</v>
      </c>
      <c r="S73" s="242">
        <f>IF(M73&gt;0,M73*J73/Y73,0)*VLOOKUP(B73,'2-Kosten per locatie'!$A$14:$C$21,3,FALSE)</f>
        <v>0</v>
      </c>
      <c r="T73" s="242">
        <f>IF(N73&gt;0,N73*J73/Z73,0)*VLOOKUP(B73,'2-Kosten per locatie'!$A$14:$C$21,3,FALSE)</f>
        <v>0</v>
      </c>
      <c r="U73" s="242">
        <f>IF(O73&gt;0,O73*J73/AA73,0)*VLOOKUP(B73,'2-Kosten per locatie'!$A$14:$C$21,3,FALSE)</f>
        <v>0</v>
      </c>
      <c r="V73" s="242">
        <f>IF(P73&gt;0,P73*J73/Z73,0)*VLOOKUP(B73,'2-Kosten per locatie'!$A$14:$C$21,3,FALSE)</f>
        <v>0</v>
      </c>
      <c r="W73" s="242">
        <f>IF(Q73&gt;0,Q73*J73/AA73,0)*VLOOKUP(B73,'2-Kosten per locatie'!$A$14:$C$21,3,FALSE)</f>
        <v>0</v>
      </c>
      <c r="X73" s="315">
        <f>IF(L73="nio",0,IF(L73&gt;0,VLOOKUP(H73,'3-Productie normen'!A:K,VLOOKUP(L73,'3-Productie normen'!$B$36:$C$42,2,FALSE),FALSE)))</f>
        <v>0</v>
      </c>
      <c r="Y73" s="315">
        <f t="shared" si="5"/>
        <v>0</v>
      </c>
      <c r="Z73" s="315">
        <f t="shared" si="6"/>
        <v>0</v>
      </c>
      <c r="AA73" s="315">
        <f t="shared" si="7"/>
        <v>0</v>
      </c>
      <c r="AB73" s="316"/>
      <c r="AD73" s="317">
        <f t="shared" si="8"/>
        <v>3104.4</v>
      </c>
    </row>
    <row r="74" spans="1:30" ht="13.2" hidden="1">
      <c r="A74" s="74">
        <v>74</v>
      </c>
      <c r="B74" s="277" t="s">
        <v>321</v>
      </c>
      <c r="C74" s="277" t="s">
        <v>364</v>
      </c>
      <c r="D74" s="277" t="s">
        <v>365</v>
      </c>
      <c r="E74" s="311" t="s">
        <v>322</v>
      </c>
      <c r="F74" s="312" t="s">
        <v>346</v>
      </c>
      <c r="G74" s="70" t="s">
        <v>347</v>
      </c>
      <c r="H74" s="277" t="s">
        <v>265</v>
      </c>
      <c r="I74" s="70" t="s">
        <v>348</v>
      </c>
      <c r="J74" s="313">
        <v>191.9</v>
      </c>
      <c r="K74" s="314">
        <f t="shared" ref="K74:K137" si="9">SUM(L74:Q74)</f>
        <v>52</v>
      </c>
      <c r="L74" s="243">
        <v>52</v>
      </c>
      <c r="M74" s="243"/>
      <c r="N74" s="243"/>
      <c r="O74" s="243"/>
      <c r="P74" s="243"/>
      <c r="Q74" s="243"/>
      <c r="R74" s="242" t="e">
        <f>IF(L74="nio",0,IF(L74&gt;0,L74*J74/X74,0))*VLOOKUP(B74,'2-Kosten per locatie'!$A$14:$C$21,3,FALSE)</f>
        <v>#DIV/0!</v>
      </c>
      <c r="S74" s="242">
        <f>IF(M74&gt;0,M74*J74/Y74,0)*VLOOKUP(B74,'2-Kosten per locatie'!$A$14:$C$21,3,FALSE)</f>
        <v>0</v>
      </c>
      <c r="T74" s="242">
        <f>IF(N74&gt;0,N74*J74/Z74,0)*VLOOKUP(B74,'2-Kosten per locatie'!$A$14:$C$21,3,FALSE)</f>
        <v>0</v>
      </c>
      <c r="U74" s="242">
        <f>IF(O74&gt;0,O74*J74/AA74,0)*VLOOKUP(B74,'2-Kosten per locatie'!$A$14:$C$21,3,FALSE)</f>
        <v>0</v>
      </c>
      <c r="V74" s="242">
        <f>IF(P74&gt;0,P74*J74/Z74,0)*VLOOKUP(B74,'2-Kosten per locatie'!$A$14:$C$21,3,FALSE)</f>
        <v>0</v>
      </c>
      <c r="W74" s="242">
        <f>IF(Q74&gt;0,Q74*J74/AA74,0)*VLOOKUP(B74,'2-Kosten per locatie'!$A$14:$C$21,3,FALSE)</f>
        <v>0</v>
      </c>
      <c r="X74" s="315">
        <f>IF(L74="nio",0,IF(L74&gt;0,VLOOKUP(H74,'3-Productie normen'!A:K,VLOOKUP(L74,'3-Productie normen'!$B$36:$C$42,2,FALSE),FALSE)))</f>
        <v>0</v>
      </c>
      <c r="Y74" s="315">
        <f t="shared" ref="Y74:Y105" si="10">IF(M74&gt;0,X74*$Y$8,0)</f>
        <v>0</v>
      </c>
      <c r="Z74" s="315">
        <f t="shared" ref="Z74:Z105" si="11">IF((OR(N74&gt;0,P74&gt;0)),X74*$Z$8,0)</f>
        <v>0</v>
      </c>
      <c r="AA74" s="315">
        <f t="shared" ref="AA74:AA105" si="12">IF((OR(O74&gt;0,Q74&gt;0)),X74*$AA$8,0)</f>
        <v>0</v>
      </c>
      <c r="AB74" s="316"/>
      <c r="AD74" s="317">
        <f t="shared" ref="AD74:AD105" si="13">K74*J74</f>
        <v>9978.8000000000011</v>
      </c>
    </row>
    <row r="75" spans="1:30" ht="13.2" hidden="1">
      <c r="A75" s="74">
        <v>75</v>
      </c>
      <c r="B75" s="277" t="s">
        <v>321</v>
      </c>
      <c r="C75" s="277" t="s">
        <v>364</v>
      </c>
      <c r="D75" s="277" t="s">
        <v>365</v>
      </c>
      <c r="E75" s="311" t="s">
        <v>349</v>
      </c>
      <c r="F75" s="312"/>
      <c r="G75" s="70" t="s">
        <v>257</v>
      </c>
      <c r="H75" s="277" t="s">
        <v>320</v>
      </c>
      <c r="I75" s="70" t="s">
        <v>350</v>
      </c>
      <c r="J75" s="313">
        <v>8</v>
      </c>
      <c r="K75" s="314">
        <f t="shared" si="9"/>
        <v>52</v>
      </c>
      <c r="L75" s="243">
        <v>52</v>
      </c>
      <c r="M75" s="243"/>
      <c r="N75" s="243"/>
      <c r="O75" s="243"/>
      <c r="P75" s="243"/>
      <c r="Q75" s="243"/>
      <c r="R75" s="242" t="e">
        <f>IF(L75="nio",0,IF(L75&gt;0,L75*J75/X75,0))*VLOOKUP(B75,'2-Kosten per locatie'!$A$14:$C$21,3,FALSE)</f>
        <v>#DIV/0!</v>
      </c>
      <c r="S75" s="242">
        <f>IF(M75&gt;0,M75*J75/Y75,0)*VLOOKUP(B75,'2-Kosten per locatie'!$A$14:$C$21,3,FALSE)</f>
        <v>0</v>
      </c>
      <c r="T75" s="242">
        <f>IF(N75&gt;0,N75*J75/Z75,0)*VLOOKUP(B75,'2-Kosten per locatie'!$A$14:$C$21,3,FALSE)</f>
        <v>0</v>
      </c>
      <c r="U75" s="242">
        <f>IF(O75&gt;0,O75*J75/AA75,0)*VLOOKUP(B75,'2-Kosten per locatie'!$A$14:$C$21,3,FALSE)</f>
        <v>0</v>
      </c>
      <c r="V75" s="242">
        <f>IF(P75&gt;0,P75*J75/Z75,0)*VLOOKUP(B75,'2-Kosten per locatie'!$A$14:$C$21,3,FALSE)</f>
        <v>0</v>
      </c>
      <c r="W75" s="242">
        <f>IF(Q75&gt;0,Q75*J75/AA75,0)*VLOOKUP(B75,'2-Kosten per locatie'!$A$14:$C$21,3,FALSE)</f>
        <v>0</v>
      </c>
      <c r="X75" s="315">
        <f>IF(L75="nio",0,IF(L75&gt;0,VLOOKUP(H75,'3-Productie normen'!A:K,VLOOKUP(L75,'3-Productie normen'!$B$36:$C$42,2,FALSE),FALSE)))</f>
        <v>0</v>
      </c>
      <c r="Y75" s="315">
        <f t="shared" si="10"/>
        <v>0</v>
      </c>
      <c r="Z75" s="315">
        <f t="shared" si="11"/>
        <v>0</v>
      </c>
      <c r="AA75" s="315">
        <f t="shared" si="12"/>
        <v>0</v>
      </c>
      <c r="AB75" s="316"/>
      <c r="AD75" s="317">
        <f t="shared" si="13"/>
        <v>416</v>
      </c>
    </row>
    <row r="76" spans="1:30" ht="13.2" hidden="1">
      <c r="A76" s="74">
        <v>76</v>
      </c>
      <c r="B76" s="277" t="s">
        <v>321</v>
      </c>
      <c r="C76" s="277" t="s">
        <v>364</v>
      </c>
      <c r="D76" s="277" t="s">
        <v>365</v>
      </c>
      <c r="E76" s="311" t="s">
        <v>322</v>
      </c>
      <c r="F76" s="312"/>
      <c r="G76" s="70" t="s">
        <v>61</v>
      </c>
      <c r="H76" s="70" t="s">
        <v>239</v>
      </c>
      <c r="I76" s="70" t="s">
        <v>351</v>
      </c>
      <c r="J76" s="313">
        <v>2.5</v>
      </c>
      <c r="K76" s="314">
        <f t="shared" si="9"/>
        <v>52</v>
      </c>
      <c r="L76" s="243">
        <v>52</v>
      </c>
      <c r="M76" s="243"/>
      <c r="N76" s="243"/>
      <c r="O76" s="243"/>
      <c r="P76" s="243"/>
      <c r="Q76" s="243"/>
      <c r="R76" s="242" t="e">
        <f>IF(L76="nio",0,IF(L76&gt;0,L76*J76/X76,0))*VLOOKUP(B76,'2-Kosten per locatie'!$A$14:$C$21,3,FALSE)</f>
        <v>#DIV/0!</v>
      </c>
      <c r="S76" s="242">
        <f>IF(M76&gt;0,M76*J76/Y76,0)*VLOOKUP(B76,'2-Kosten per locatie'!$A$14:$C$21,3,FALSE)</f>
        <v>0</v>
      </c>
      <c r="T76" s="242">
        <f>IF(N76&gt;0,N76*J76/Z76,0)*VLOOKUP(B76,'2-Kosten per locatie'!$A$14:$C$21,3,FALSE)</f>
        <v>0</v>
      </c>
      <c r="U76" s="242">
        <f>IF(O76&gt;0,O76*J76/AA76,0)*VLOOKUP(B76,'2-Kosten per locatie'!$A$14:$C$21,3,FALSE)</f>
        <v>0</v>
      </c>
      <c r="V76" s="242">
        <f>IF(P76&gt;0,P76*J76/Z76,0)*VLOOKUP(B76,'2-Kosten per locatie'!$A$14:$C$21,3,FALSE)</f>
        <v>0</v>
      </c>
      <c r="W76" s="242">
        <f>IF(Q76&gt;0,Q76*J76/AA76,0)*VLOOKUP(B76,'2-Kosten per locatie'!$A$14:$C$21,3,FALSE)</f>
        <v>0</v>
      </c>
      <c r="X76" s="315">
        <f>IF(L76="nio",0,IF(L76&gt;0,VLOOKUP(H76,'3-Productie normen'!A:K,VLOOKUP(L76,'3-Productie normen'!$B$36:$C$42,2,FALSE),FALSE)))</f>
        <v>0</v>
      </c>
      <c r="Y76" s="315">
        <f t="shared" si="10"/>
        <v>0</v>
      </c>
      <c r="Z76" s="315">
        <f t="shared" si="11"/>
        <v>0</v>
      </c>
      <c r="AA76" s="315">
        <f t="shared" si="12"/>
        <v>0</v>
      </c>
      <c r="AB76" s="316"/>
      <c r="AD76" s="317">
        <f t="shared" si="13"/>
        <v>130</v>
      </c>
    </row>
    <row r="77" spans="1:30" ht="13.2" hidden="1">
      <c r="A77" s="74">
        <v>77</v>
      </c>
      <c r="B77" s="277" t="s">
        <v>321</v>
      </c>
      <c r="C77" s="277" t="s">
        <v>364</v>
      </c>
      <c r="D77" s="277" t="s">
        <v>365</v>
      </c>
      <c r="E77" s="311">
        <v>1</v>
      </c>
      <c r="F77" s="312" t="s">
        <v>352</v>
      </c>
      <c r="G77" s="70" t="s">
        <v>353</v>
      </c>
      <c r="H77" s="70" t="s">
        <v>53</v>
      </c>
      <c r="I77" s="70" t="s">
        <v>255</v>
      </c>
      <c r="J77" s="313">
        <v>32.299999999999997</v>
      </c>
      <c r="K77" s="314">
        <f t="shared" si="9"/>
        <v>52</v>
      </c>
      <c r="L77" s="243">
        <v>52</v>
      </c>
      <c r="M77" s="243"/>
      <c r="N77" s="243"/>
      <c r="O77" s="243"/>
      <c r="P77" s="243"/>
      <c r="Q77" s="243"/>
      <c r="R77" s="242" t="e">
        <f>IF(L77="nio",0,IF(L77&gt;0,L77*J77/X77,0))*VLOOKUP(B77,'2-Kosten per locatie'!$A$14:$C$21,3,FALSE)</f>
        <v>#DIV/0!</v>
      </c>
      <c r="S77" s="242">
        <f>IF(M77&gt;0,M77*J77/Y77,0)*VLOOKUP(B77,'2-Kosten per locatie'!$A$14:$C$21,3,FALSE)</f>
        <v>0</v>
      </c>
      <c r="T77" s="242">
        <f>IF(N77&gt;0,N77*J77/Z77,0)*VLOOKUP(B77,'2-Kosten per locatie'!$A$14:$C$21,3,FALSE)</f>
        <v>0</v>
      </c>
      <c r="U77" s="242">
        <f>IF(O77&gt;0,O77*J77/AA77,0)*VLOOKUP(B77,'2-Kosten per locatie'!$A$14:$C$21,3,FALSE)</f>
        <v>0</v>
      </c>
      <c r="V77" s="242">
        <f>IF(P77&gt;0,P77*J77/Z77,0)*VLOOKUP(B77,'2-Kosten per locatie'!$A$14:$C$21,3,FALSE)</f>
        <v>0</v>
      </c>
      <c r="W77" s="242">
        <f>IF(Q77&gt;0,Q77*J77/AA77,0)*VLOOKUP(B77,'2-Kosten per locatie'!$A$14:$C$21,3,FALSE)</f>
        <v>0</v>
      </c>
      <c r="X77" s="315">
        <f>IF(L77="nio",0,IF(L77&gt;0,VLOOKUP(H77,'3-Productie normen'!A:K,VLOOKUP(L77,'3-Productie normen'!$B$36:$C$42,2,FALSE),FALSE)))</f>
        <v>0</v>
      </c>
      <c r="Y77" s="315">
        <f t="shared" si="10"/>
        <v>0</v>
      </c>
      <c r="Z77" s="315">
        <f t="shared" si="11"/>
        <v>0</v>
      </c>
      <c r="AA77" s="315">
        <f t="shared" si="12"/>
        <v>0</v>
      </c>
      <c r="AB77" s="316"/>
      <c r="AD77" s="317">
        <f t="shared" si="13"/>
        <v>1679.6</v>
      </c>
    </row>
    <row r="78" spans="1:30" ht="13.2" hidden="1">
      <c r="A78" s="74">
        <v>78</v>
      </c>
      <c r="B78" s="277" t="s">
        <v>321</v>
      </c>
      <c r="C78" s="277" t="s">
        <v>364</v>
      </c>
      <c r="D78" s="277" t="s">
        <v>365</v>
      </c>
      <c r="E78" s="311">
        <v>1</v>
      </c>
      <c r="F78" s="312" t="s">
        <v>354</v>
      </c>
      <c r="G78" s="70" t="s">
        <v>355</v>
      </c>
      <c r="H78" s="70" t="s">
        <v>52</v>
      </c>
      <c r="I78" s="70" t="s">
        <v>261</v>
      </c>
      <c r="J78" s="313">
        <v>7.3</v>
      </c>
      <c r="K78" s="314">
        <f t="shared" si="9"/>
        <v>52</v>
      </c>
      <c r="L78" s="243">
        <v>52</v>
      </c>
      <c r="M78" s="243"/>
      <c r="N78" s="243"/>
      <c r="O78" s="243"/>
      <c r="P78" s="243"/>
      <c r="Q78" s="243"/>
      <c r="R78" s="242" t="e">
        <f>IF(L78="nio",0,IF(L78&gt;0,L78*J78/X78,0))*VLOOKUP(B78,'2-Kosten per locatie'!$A$14:$C$21,3,FALSE)</f>
        <v>#DIV/0!</v>
      </c>
      <c r="S78" s="242">
        <f>IF(M78&gt;0,M78*J78/Y78,0)*VLOOKUP(B78,'2-Kosten per locatie'!$A$14:$C$21,3,FALSE)</f>
        <v>0</v>
      </c>
      <c r="T78" s="242">
        <f>IF(N78&gt;0,N78*J78/Z78,0)*VLOOKUP(B78,'2-Kosten per locatie'!$A$14:$C$21,3,FALSE)</f>
        <v>0</v>
      </c>
      <c r="U78" s="242">
        <f>IF(O78&gt;0,O78*J78/AA78,0)*VLOOKUP(B78,'2-Kosten per locatie'!$A$14:$C$21,3,FALSE)</f>
        <v>0</v>
      </c>
      <c r="V78" s="242">
        <f>IF(P78&gt;0,P78*J78/Z78,0)*VLOOKUP(B78,'2-Kosten per locatie'!$A$14:$C$21,3,FALSE)</f>
        <v>0</v>
      </c>
      <c r="W78" s="242">
        <f>IF(Q78&gt;0,Q78*J78/AA78,0)*VLOOKUP(B78,'2-Kosten per locatie'!$A$14:$C$21,3,FALSE)</f>
        <v>0</v>
      </c>
      <c r="X78" s="315">
        <f>IF(L78="nio",0,IF(L78&gt;0,VLOOKUP(H78,'3-Productie normen'!A:K,VLOOKUP(L78,'3-Productie normen'!$B$36:$C$42,2,FALSE),FALSE)))</f>
        <v>0</v>
      </c>
      <c r="Y78" s="315">
        <f t="shared" si="10"/>
        <v>0</v>
      </c>
      <c r="Z78" s="315">
        <f t="shared" si="11"/>
        <v>0</v>
      </c>
      <c r="AA78" s="315">
        <f t="shared" si="12"/>
        <v>0</v>
      </c>
      <c r="AB78" s="316"/>
      <c r="AD78" s="317">
        <f t="shared" si="13"/>
        <v>379.59999999999997</v>
      </c>
    </row>
    <row r="79" spans="1:30" ht="13.2" hidden="1">
      <c r="A79" s="74">
        <v>79</v>
      </c>
      <c r="B79" s="277" t="s">
        <v>321</v>
      </c>
      <c r="C79" s="277" t="s">
        <v>364</v>
      </c>
      <c r="D79" s="277" t="s">
        <v>365</v>
      </c>
      <c r="E79" s="311">
        <v>1</v>
      </c>
      <c r="F79" s="312" t="s">
        <v>356</v>
      </c>
      <c r="G79" s="70" t="s">
        <v>357</v>
      </c>
      <c r="H79" s="70" t="s">
        <v>56</v>
      </c>
      <c r="I79" s="70" t="s">
        <v>261</v>
      </c>
      <c r="J79" s="313">
        <v>42.8</v>
      </c>
      <c r="K79" s="314">
        <f t="shared" si="9"/>
        <v>52</v>
      </c>
      <c r="L79" s="243">
        <v>52</v>
      </c>
      <c r="M79" s="243"/>
      <c r="N79" s="243"/>
      <c r="O79" s="243"/>
      <c r="P79" s="243"/>
      <c r="Q79" s="243"/>
      <c r="R79" s="242" t="e">
        <f>IF(L79="nio",0,IF(L79&gt;0,L79*J79/X79,0))*VLOOKUP(B79,'2-Kosten per locatie'!$A$14:$C$21,3,FALSE)</f>
        <v>#DIV/0!</v>
      </c>
      <c r="S79" s="242">
        <f>IF(M79&gt;0,M79*J79/Y79,0)*VLOOKUP(B79,'2-Kosten per locatie'!$A$14:$C$21,3,FALSE)</f>
        <v>0</v>
      </c>
      <c r="T79" s="242">
        <f>IF(N79&gt;0,N79*J79/Z79,0)*VLOOKUP(B79,'2-Kosten per locatie'!$A$14:$C$21,3,FALSE)</f>
        <v>0</v>
      </c>
      <c r="U79" s="242">
        <f>IF(O79&gt;0,O79*J79/AA79,0)*VLOOKUP(B79,'2-Kosten per locatie'!$A$14:$C$21,3,FALSE)</f>
        <v>0</v>
      </c>
      <c r="V79" s="242">
        <f>IF(P79&gt;0,P79*J79/Z79,0)*VLOOKUP(B79,'2-Kosten per locatie'!$A$14:$C$21,3,FALSE)</f>
        <v>0</v>
      </c>
      <c r="W79" s="242">
        <f>IF(Q79&gt;0,Q79*J79/AA79,0)*VLOOKUP(B79,'2-Kosten per locatie'!$A$14:$C$21,3,FALSE)</f>
        <v>0</v>
      </c>
      <c r="X79" s="315">
        <f>IF(L79="nio",0,IF(L79&gt;0,VLOOKUP(H79,'3-Productie normen'!A:K,VLOOKUP(L79,'3-Productie normen'!$B$36:$C$42,2,FALSE),FALSE)))</f>
        <v>0</v>
      </c>
      <c r="Y79" s="315">
        <f t="shared" si="10"/>
        <v>0</v>
      </c>
      <c r="Z79" s="315">
        <f t="shared" si="11"/>
        <v>0</v>
      </c>
      <c r="AA79" s="315">
        <f t="shared" si="12"/>
        <v>0</v>
      </c>
      <c r="AB79" s="316"/>
      <c r="AD79" s="317">
        <f t="shared" si="13"/>
        <v>2225.6</v>
      </c>
    </row>
    <row r="80" spans="1:30" ht="13.2" hidden="1">
      <c r="A80" s="74">
        <v>80</v>
      </c>
      <c r="B80" s="277" t="s">
        <v>321</v>
      </c>
      <c r="C80" s="277" t="s">
        <v>364</v>
      </c>
      <c r="D80" s="277" t="s">
        <v>365</v>
      </c>
      <c r="E80" s="311">
        <v>1</v>
      </c>
      <c r="F80" s="312" t="s">
        <v>358</v>
      </c>
      <c r="G80" s="70" t="s">
        <v>357</v>
      </c>
      <c r="H80" s="70" t="s">
        <v>56</v>
      </c>
      <c r="I80" s="70" t="s">
        <v>261</v>
      </c>
      <c r="J80" s="313">
        <v>45.4</v>
      </c>
      <c r="K80" s="314">
        <f t="shared" si="9"/>
        <v>52</v>
      </c>
      <c r="L80" s="243">
        <v>52</v>
      </c>
      <c r="M80" s="243"/>
      <c r="N80" s="243"/>
      <c r="O80" s="243"/>
      <c r="P80" s="243"/>
      <c r="Q80" s="243"/>
      <c r="R80" s="242" t="e">
        <f>IF(L80="nio",0,IF(L80&gt;0,L80*J80/X80,0))*VLOOKUP(B80,'2-Kosten per locatie'!$A$14:$C$21,3,FALSE)</f>
        <v>#DIV/0!</v>
      </c>
      <c r="S80" s="242">
        <f>IF(M80&gt;0,M80*J80/Y80,0)*VLOOKUP(B80,'2-Kosten per locatie'!$A$14:$C$21,3,FALSE)</f>
        <v>0</v>
      </c>
      <c r="T80" s="242">
        <f>IF(N80&gt;0,N80*J80/Z80,0)*VLOOKUP(B80,'2-Kosten per locatie'!$A$14:$C$21,3,FALSE)</f>
        <v>0</v>
      </c>
      <c r="U80" s="242">
        <f>IF(O80&gt;0,O80*J80/AA80,0)*VLOOKUP(B80,'2-Kosten per locatie'!$A$14:$C$21,3,FALSE)</f>
        <v>0</v>
      </c>
      <c r="V80" s="242">
        <f>IF(P80&gt;0,P80*J80/Z80,0)*VLOOKUP(B80,'2-Kosten per locatie'!$A$14:$C$21,3,FALSE)</f>
        <v>0</v>
      </c>
      <c r="W80" s="242">
        <f>IF(Q80&gt;0,Q80*J80/AA80,0)*VLOOKUP(B80,'2-Kosten per locatie'!$A$14:$C$21,3,FALSE)</f>
        <v>0</v>
      </c>
      <c r="X80" s="315">
        <f>IF(L80="nio",0,IF(L80&gt;0,VLOOKUP(H80,'3-Productie normen'!A:K,VLOOKUP(L80,'3-Productie normen'!$B$36:$C$42,2,FALSE),FALSE)))</f>
        <v>0</v>
      </c>
      <c r="Y80" s="315">
        <f t="shared" si="10"/>
        <v>0</v>
      </c>
      <c r="Z80" s="315">
        <f t="shared" si="11"/>
        <v>0</v>
      </c>
      <c r="AA80" s="315">
        <f t="shared" si="12"/>
        <v>0</v>
      </c>
      <c r="AB80" s="316"/>
      <c r="AD80" s="317">
        <f t="shared" si="13"/>
        <v>2360.7999999999997</v>
      </c>
    </row>
    <row r="81" spans="1:30" ht="13.2" hidden="1">
      <c r="A81" s="74">
        <v>81</v>
      </c>
      <c r="B81" s="277" t="s">
        <v>321</v>
      </c>
      <c r="C81" s="277" t="s">
        <v>364</v>
      </c>
      <c r="D81" s="277" t="s">
        <v>365</v>
      </c>
      <c r="E81" s="311">
        <v>1</v>
      </c>
      <c r="F81" s="312" t="s">
        <v>359</v>
      </c>
      <c r="G81" s="70" t="s">
        <v>243</v>
      </c>
      <c r="H81" s="70" t="s">
        <v>52</v>
      </c>
      <c r="I81" s="70" t="s">
        <v>261</v>
      </c>
      <c r="J81" s="313">
        <v>1.3</v>
      </c>
      <c r="K81" s="314">
        <f t="shared" si="9"/>
        <v>52</v>
      </c>
      <c r="L81" s="243">
        <v>52</v>
      </c>
      <c r="M81" s="243"/>
      <c r="N81" s="243"/>
      <c r="O81" s="243"/>
      <c r="P81" s="243"/>
      <c r="Q81" s="243"/>
      <c r="R81" s="242" t="e">
        <f>IF(L81="nio",0,IF(L81&gt;0,L81*J81/X81,0))*VLOOKUP(B81,'2-Kosten per locatie'!$A$14:$C$21,3,FALSE)</f>
        <v>#DIV/0!</v>
      </c>
      <c r="S81" s="242">
        <f>IF(M81&gt;0,M81*J81/Y81,0)*VLOOKUP(B81,'2-Kosten per locatie'!$A$14:$C$21,3,FALSE)</f>
        <v>0</v>
      </c>
      <c r="T81" s="242">
        <f>IF(N81&gt;0,N81*J81/Z81,0)*VLOOKUP(B81,'2-Kosten per locatie'!$A$14:$C$21,3,FALSE)</f>
        <v>0</v>
      </c>
      <c r="U81" s="242">
        <f>IF(O81&gt;0,O81*J81/AA81,0)*VLOOKUP(B81,'2-Kosten per locatie'!$A$14:$C$21,3,FALSE)</f>
        <v>0</v>
      </c>
      <c r="V81" s="242">
        <f>IF(P81&gt;0,P81*J81/Z81,0)*VLOOKUP(B81,'2-Kosten per locatie'!$A$14:$C$21,3,FALSE)</f>
        <v>0</v>
      </c>
      <c r="W81" s="242">
        <f>IF(Q81&gt;0,Q81*J81/AA81,0)*VLOOKUP(B81,'2-Kosten per locatie'!$A$14:$C$21,3,FALSE)</f>
        <v>0</v>
      </c>
      <c r="X81" s="315">
        <f>IF(L81="nio",0,IF(L81&gt;0,VLOOKUP(H81,'3-Productie normen'!A:K,VLOOKUP(L81,'3-Productie normen'!$B$36:$C$42,2,FALSE),FALSE)))</f>
        <v>0</v>
      </c>
      <c r="Y81" s="315">
        <f t="shared" si="10"/>
        <v>0</v>
      </c>
      <c r="Z81" s="315">
        <f t="shared" si="11"/>
        <v>0</v>
      </c>
      <c r="AA81" s="315">
        <f t="shared" si="12"/>
        <v>0</v>
      </c>
      <c r="AB81" s="316"/>
      <c r="AD81" s="317">
        <f t="shared" si="13"/>
        <v>67.600000000000009</v>
      </c>
    </row>
    <row r="82" spans="1:30" ht="13.2" hidden="1">
      <c r="A82" s="74">
        <v>82</v>
      </c>
      <c r="B82" s="277" t="s">
        <v>321</v>
      </c>
      <c r="C82" s="277" t="s">
        <v>364</v>
      </c>
      <c r="D82" s="277" t="s">
        <v>365</v>
      </c>
      <c r="E82" s="311">
        <v>1</v>
      </c>
      <c r="F82" s="312" t="s">
        <v>360</v>
      </c>
      <c r="G82" s="70" t="s">
        <v>243</v>
      </c>
      <c r="H82" s="70" t="s">
        <v>52</v>
      </c>
      <c r="I82" s="70" t="s">
        <v>261</v>
      </c>
      <c r="J82" s="313">
        <v>1.3</v>
      </c>
      <c r="K82" s="314">
        <f t="shared" si="9"/>
        <v>52</v>
      </c>
      <c r="L82" s="243">
        <v>52</v>
      </c>
      <c r="M82" s="243"/>
      <c r="N82" s="243"/>
      <c r="O82" s="243"/>
      <c r="P82" s="243"/>
      <c r="Q82" s="243"/>
      <c r="R82" s="242" t="e">
        <f>IF(L82="nio",0,IF(L82&gt;0,L82*J82/X82,0))*VLOOKUP(B82,'2-Kosten per locatie'!$A$14:$C$21,3,FALSE)</f>
        <v>#DIV/0!</v>
      </c>
      <c r="S82" s="242">
        <f>IF(M82&gt;0,M82*J82/Y82,0)*VLOOKUP(B82,'2-Kosten per locatie'!$A$14:$C$21,3,FALSE)</f>
        <v>0</v>
      </c>
      <c r="T82" s="242">
        <f>IF(N82&gt;0,N82*J82/Z82,0)*VLOOKUP(B82,'2-Kosten per locatie'!$A$14:$C$21,3,FALSE)</f>
        <v>0</v>
      </c>
      <c r="U82" s="242">
        <f>IF(O82&gt;0,O82*J82/AA82,0)*VLOOKUP(B82,'2-Kosten per locatie'!$A$14:$C$21,3,FALSE)</f>
        <v>0</v>
      </c>
      <c r="V82" s="242">
        <f>IF(P82&gt;0,P82*J82/Z82,0)*VLOOKUP(B82,'2-Kosten per locatie'!$A$14:$C$21,3,FALSE)</f>
        <v>0</v>
      </c>
      <c r="W82" s="242">
        <f>IF(Q82&gt;0,Q82*J82/AA82,0)*VLOOKUP(B82,'2-Kosten per locatie'!$A$14:$C$21,3,FALSE)</f>
        <v>0</v>
      </c>
      <c r="X82" s="315">
        <f>IF(L82="nio",0,IF(L82&gt;0,VLOOKUP(H82,'3-Productie normen'!A:K,VLOOKUP(L82,'3-Productie normen'!$B$36:$C$42,2,FALSE),FALSE)))</f>
        <v>0</v>
      </c>
      <c r="Y82" s="315">
        <f t="shared" si="10"/>
        <v>0</v>
      </c>
      <c r="Z82" s="315">
        <f t="shared" si="11"/>
        <v>0</v>
      </c>
      <c r="AA82" s="315">
        <f t="shared" si="12"/>
        <v>0</v>
      </c>
      <c r="AB82" s="316"/>
      <c r="AD82" s="317">
        <f t="shared" si="13"/>
        <v>67.600000000000009</v>
      </c>
    </row>
    <row r="83" spans="1:30" ht="13.2" hidden="1">
      <c r="A83" s="74">
        <v>83</v>
      </c>
      <c r="B83" s="277" t="s">
        <v>321</v>
      </c>
      <c r="C83" s="277" t="s">
        <v>364</v>
      </c>
      <c r="D83" s="277" t="s">
        <v>365</v>
      </c>
      <c r="E83" s="311">
        <v>1</v>
      </c>
      <c r="F83" s="312" t="s">
        <v>361</v>
      </c>
      <c r="G83" s="70" t="s">
        <v>250</v>
      </c>
      <c r="H83" s="70" t="s">
        <v>59</v>
      </c>
      <c r="I83" s="70" t="s">
        <v>292</v>
      </c>
      <c r="J83" s="313">
        <v>312</v>
      </c>
      <c r="K83" s="314">
        <f t="shared" si="9"/>
        <v>52</v>
      </c>
      <c r="L83" s="243">
        <v>52</v>
      </c>
      <c r="M83" s="243"/>
      <c r="N83" s="243"/>
      <c r="O83" s="243"/>
      <c r="P83" s="243"/>
      <c r="Q83" s="243"/>
      <c r="R83" s="242" t="e">
        <f>IF(L83="nio",0,IF(L83&gt;0,L83*J83/X83,0))*VLOOKUP(B83,'2-Kosten per locatie'!$A$14:$C$21,3,FALSE)</f>
        <v>#DIV/0!</v>
      </c>
      <c r="S83" s="242">
        <f>IF(M83&gt;0,M83*J83/Y83,0)*VLOOKUP(B83,'2-Kosten per locatie'!$A$14:$C$21,3,FALSE)</f>
        <v>0</v>
      </c>
      <c r="T83" s="242">
        <f>IF(N83&gt;0,N83*J83/Z83,0)*VLOOKUP(B83,'2-Kosten per locatie'!$A$14:$C$21,3,FALSE)</f>
        <v>0</v>
      </c>
      <c r="U83" s="242">
        <f>IF(O83&gt;0,O83*J83/AA83,0)*VLOOKUP(B83,'2-Kosten per locatie'!$A$14:$C$21,3,FALSE)</f>
        <v>0</v>
      </c>
      <c r="V83" s="242">
        <f>IF(P83&gt;0,P83*J83/Z83,0)*VLOOKUP(B83,'2-Kosten per locatie'!$A$14:$C$21,3,FALSE)</f>
        <v>0</v>
      </c>
      <c r="W83" s="242">
        <f>IF(Q83&gt;0,Q83*J83/AA83,0)*VLOOKUP(B83,'2-Kosten per locatie'!$A$14:$C$21,3,FALSE)</f>
        <v>0</v>
      </c>
      <c r="X83" s="315">
        <f>IF(L83="nio",0,IF(L83&gt;0,VLOOKUP(H83,'3-Productie normen'!A:K,VLOOKUP(L83,'3-Productie normen'!$B$36:$C$42,2,FALSE),FALSE)))</f>
        <v>0</v>
      </c>
      <c r="Y83" s="315">
        <f t="shared" si="10"/>
        <v>0</v>
      </c>
      <c r="Z83" s="315">
        <f t="shared" si="11"/>
        <v>0</v>
      </c>
      <c r="AA83" s="315">
        <f t="shared" si="12"/>
        <v>0</v>
      </c>
      <c r="AB83" s="316"/>
      <c r="AD83" s="317">
        <f t="shared" si="13"/>
        <v>16224</v>
      </c>
    </row>
    <row r="84" spans="1:30" ht="13.2" hidden="1">
      <c r="A84" s="74">
        <v>84</v>
      </c>
      <c r="B84" s="277" t="s">
        <v>321</v>
      </c>
      <c r="C84" s="277" t="s">
        <v>364</v>
      </c>
      <c r="D84" s="277" t="s">
        <v>365</v>
      </c>
      <c r="E84" s="311">
        <v>1</v>
      </c>
      <c r="F84" s="312" t="s">
        <v>362</v>
      </c>
      <c r="G84" s="70" t="s">
        <v>363</v>
      </c>
      <c r="H84" s="70" t="s">
        <v>320</v>
      </c>
      <c r="I84" s="70" t="s">
        <v>262</v>
      </c>
      <c r="J84" s="313">
        <v>9.1</v>
      </c>
      <c r="K84" s="314">
        <f t="shared" si="9"/>
        <v>52</v>
      </c>
      <c r="L84" s="243">
        <v>52</v>
      </c>
      <c r="M84" s="243"/>
      <c r="N84" s="243"/>
      <c r="O84" s="243"/>
      <c r="P84" s="243"/>
      <c r="Q84" s="243"/>
      <c r="R84" s="242" t="e">
        <f>IF(L84="nio",0,IF(L84&gt;0,L84*J84/X84,0))*VLOOKUP(B84,'2-Kosten per locatie'!$A$14:$C$21,3,FALSE)</f>
        <v>#DIV/0!</v>
      </c>
      <c r="S84" s="242">
        <f>IF(M84&gt;0,M84*J84/Y84,0)*VLOOKUP(B84,'2-Kosten per locatie'!$A$14:$C$21,3,FALSE)</f>
        <v>0</v>
      </c>
      <c r="T84" s="242">
        <f>IF(N84&gt;0,N84*J84/Z84,0)*VLOOKUP(B84,'2-Kosten per locatie'!$A$14:$C$21,3,FALSE)</f>
        <v>0</v>
      </c>
      <c r="U84" s="242">
        <f>IF(O84&gt;0,O84*J84/AA84,0)*VLOOKUP(B84,'2-Kosten per locatie'!$A$14:$C$21,3,FALSE)</f>
        <v>0</v>
      </c>
      <c r="V84" s="242">
        <f>IF(P84&gt;0,P84*J84/Z84,0)*VLOOKUP(B84,'2-Kosten per locatie'!$A$14:$C$21,3,FALSE)</f>
        <v>0</v>
      </c>
      <c r="W84" s="242">
        <f>IF(Q84&gt;0,Q84*J84/AA84,0)*VLOOKUP(B84,'2-Kosten per locatie'!$A$14:$C$21,3,FALSE)</f>
        <v>0</v>
      </c>
      <c r="X84" s="315">
        <f>IF(L84="nio",0,IF(L84&gt;0,VLOOKUP(H84,'3-Productie normen'!A:K,VLOOKUP(L84,'3-Productie normen'!$B$36:$C$42,2,FALSE),FALSE)))</f>
        <v>0</v>
      </c>
      <c r="Y84" s="315">
        <f t="shared" si="10"/>
        <v>0</v>
      </c>
      <c r="Z84" s="315">
        <f t="shared" si="11"/>
        <v>0</v>
      </c>
      <c r="AA84" s="315">
        <f t="shared" si="12"/>
        <v>0</v>
      </c>
      <c r="AB84" s="316"/>
      <c r="AD84" s="317">
        <f t="shared" si="13"/>
        <v>473.2</v>
      </c>
    </row>
    <row r="85" spans="1:30" ht="13.2" hidden="1">
      <c r="A85" s="74">
        <v>85</v>
      </c>
      <c r="B85" s="277" t="s">
        <v>274</v>
      </c>
      <c r="C85" s="277" t="s">
        <v>366</v>
      </c>
      <c r="D85" s="277" t="s">
        <v>367</v>
      </c>
      <c r="E85" s="311" t="s">
        <v>368</v>
      </c>
      <c r="F85" s="312" t="s">
        <v>369</v>
      </c>
      <c r="G85" s="70" t="s">
        <v>370</v>
      </c>
      <c r="H85" s="70" t="s">
        <v>60</v>
      </c>
      <c r="I85" s="70" t="s">
        <v>238</v>
      </c>
      <c r="J85" s="313">
        <v>16.060000000000002</v>
      </c>
      <c r="K85" s="314">
        <f t="shared" si="9"/>
        <v>205</v>
      </c>
      <c r="L85" s="243">
        <v>205</v>
      </c>
      <c r="M85" s="243"/>
      <c r="N85" s="243"/>
      <c r="O85" s="243"/>
      <c r="P85" s="243"/>
      <c r="Q85" s="243"/>
      <c r="R85" s="242" t="e">
        <f>IF(L85="nio",0,IF(L85&gt;0,L85*J85/X85,0))*VLOOKUP(B85,'2-Kosten per locatie'!$A$14:$C$21,3,FALSE)</f>
        <v>#DIV/0!</v>
      </c>
      <c r="S85" s="242">
        <f>IF(M85&gt;0,M85*J85/Y85,0)*VLOOKUP(B85,'2-Kosten per locatie'!$A$14:$C$21,3,FALSE)</f>
        <v>0</v>
      </c>
      <c r="T85" s="242">
        <f>IF(N85&gt;0,N85*J85/Z85,0)*VLOOKUP(B85,'2-Kosten per locatie'!$A$14:$C$21,3,FALSE)</f>
        <v>0</v>
      </c>
      <c r="U85" s="242">
        <f>IF(O85&gt;0,O85*J85/AA85,0)*VLOOKUP(B85,'2-Kosten per locatie'!$A$14:$C$21,3,FALSE)</f>
        <v>0</v>
      </c>
      <c r="V85" s="242">
        <f>IF(P85&gt;0,P85*J85/Z85,0)*VLOOKUP(B85,'2-Kosten per locatie'!$A$14:$C$21,3,FALSE)</f>
        <v>0</v>
      </c>
      <c r="W85" s="242">
        <f>IF(Q85&gt;0,Q85*J85/AA85,0)*VLOOKUP(B85,'2-Kosten per locatie'!$A$14:$C$21,3,FALSE)</f>
        <v>0</v>
      </c>
      <c r="X85" s="315">
        <f>IF(L85="nio",0,IF(L85&gt;0,VLOOKUP(H85,'3-Productie normen'!A:K,VLOOKUP(L85,'3-Productie normen'!$B$36:$C$42,2,FALSE),FALSE)))</f>
        <v>0</v>
      </c>
      <c r="Y85" s="315">
        <f t="shared" si="10"/>
        <v>0</v>
      </c>
      <c r="Z85" s="315">
        <f t="shared" si="11"/>
        <v>0</v>
      </c>
      <c r="AA85" s="315">
        <f t="shared" si="12"/>
        <v>0</v>
      </c>
      <c r="AB85" s="316"/>
      <c r="AD85" s="317">
        <f t="shared" si="13"/>
        <v>3292.3000000000006</v>
      </c>
    </row>
    <row r="86" spans="1:30" ht="14.1" hidden="1" customHeight="1">
      <c r="A86" s="74">
        <v>86</v>
      </c>
      <c r="B86" s="277" t="s">
        <v>274</v>
      </c>
      <c r="C86" s="277" t="s">
        <v>366</v>
      </c>
      <c r="D86" s="277" t="s">
        <v>367</v>
      </c>
      <c r="E86" s="311" t="s">
        <v>368</v>
      </c>
      <c r="F86" s="312" t="s">
        <v>371</v>
      </c>
      <c r="G86" s="70" t="s">
        <v>278</v>
      </c>
      <c r="H86" s="70" t="s">
        <v>56</v>
      </c>
      <c r="I86" s="70" t="s">
        <v>238</v>
      </c>
      <c r="J86" s="313">
        <v>35.5</v>
      </c>
      <c r="K86" s="314">
        <f t="shared" si="9"/>
        <v>205</v>
      </c>
      <c r="L86" s="243">
        <v>205</v>
      </c>
      <c r="M86" s="243"/>
      <c r="N86" s="243"/>
      <c r="O86" s="243"/>
      <c r="P86" s="243"/>
      <c r="Q86" s="243"/>
      <c r="R86" s="242" t="e">
        <f>IF(L86="nio",0,IF(L86&gt;0,L86*J86/X86,0))*VLOOKUP(B86,'2-Kosten per locatie'!$A$14:$C$21,3,FALSE)</f>
        <v>#DIV/0!</v>
      </c>
      <c r="S86" s="242">
        <f>IF(M86&gt;0,M86*J86/Y86,0)*VLOOKUP(B86,'2-Kosten per locatie'!$A$14:$C$21,3,FALSE)</f>
        <v>0</v>
      </c>
      <c r="T86" s="242">
        <f>IF(N86&gt;0,N86*J86/Z86,0)*VLOOKUP(B86,'2-Kosten per locatie'!$A$14:$C$21,3,FALSE)</f>
        <v>0</v>
      </c>
      <c r="U86" s="242">
        <f>IF(O86&gt;0,O86*J86/AA86,0)*VLOOKUP(B86,'2-Kosten per locatie'!$A$14:$C$21,3,FALSE)</f>
        <v>0</v>
      </c>
      <c r="V86" s="242">
        <f>IF(P86&gt;0,P86*J86/Z86,0)*VLOOKUP(B86,'2-Kosten per locatie'!$A$14:$C$21,3,FALSE)</f>
        <v>0</v>
      </c>
      <c r="W86" s="242">
        <f>IF(Q86&gt;0,Q86*J86/AA86,0)*VLOOKUP(B86,'2-Kosten per locatie'!$A$14:$C$21,3,FALSE)</f>
        <v>0</v>
      </c>
      <c r="X86" s="315">
        <f>IF(L86="nio",0,IF(L86&gt;0,VLOOKUP(H86,'3-Productie normen'!A:K,VLOOKUP(L86,'3-Productie normen'!$B$36:$C$42,2,FALSE),FALSE)))</f>
        <v>0</v>
      </c>
      <c r="Y86" s="315">
        <f t="shared" si="10"/>
        <v>0</v>
      </c>
      <c r="Z86" s="315">
        <f t="shared" si="11"/>
        <v>0</v>
      </c>
      <c r="AA86" s="315">
        <f t="shared" si="12"/>
        <v>0</v>
      </c>
      <c r="AB86" s="316"/>
      <c r="AD86" s="317">
        <f t="shared" si="13"/>
        <v>7277.5</v>
      </c>
    </row>
    <row r="87" spans="1:30" ht="14.1" hidden="1" customHeight="1">
      <c r="A87" s="74">
        <v>87</v>
      </c>
      <c r="B87" s="277" t="s">
        <v>274</v>
      </c>
      <c r="C87" s="277" t="s">
        <v>366</v>
      </c>
      <c r="D87" s="277" t="s">
        <v>367</v>
      </c>
      <c r="E87" s="311" t="s">
        <v>368</v>
      </c>
      <c r="F87" s="312" t="s">
        <v>372</v>
      </c>
      <c r="G87" s="70" t="s">
        <v>373</v>
      </c>
      <c r="H87" s="70" t="s">
        <v>52</v>
      </c>
      <c r="I87" s="70" t="s">
        <v>238</v>
      </c>
      <c r="J87" s="313">
        <v>1.3</v>
      </c>
      <c r="K87" s="314">
        <f t="shared" si="9"/>
        <v>205</v>
      </c>
      <c r="L87" s="243">
        <v>205</v>
      </c>
      <c r="M87" s="243"/>
      <c r="N87" s="243"/>
      <c r="O87" s="243"/>
      <c r="P87" s="243"/>
      <c r="Q87" s="243"/>
      <c r="R87" s="242" t="e">
        <f>IF(L87="nio",0,IF(L87&gt;0,L87*J87/X87,0))*VLOOKUP(B87,'2-Kosten per locatie'!$A$14:$C$21,3,FALSE)</f>
        <v>#DIV/0!</v>
      </c>
      <c r="S87" s="242">
        <f>IF(M87&gt;0,M87*J87/Y87,0)*VLOOKUP(B87,'2-Kosten per locatie'!$A$14:$C$21,3,FALSE)</f>
        <v>0</v>
      </c>
      <c r="T87" s="242">
        <f>IF(N87&gt;0,N87*J87/Z87,0)*VLOOKUP(B87,'2-Kosten per locatie'!$A$14:$C$21,3,FALSE)</f>
        <v>0</v>
      </c>
      <c r="U87" s="242">
        <f>IF(O87&gt;0,O87*J87/AA87,0)*VLOOKUP(B87,'2-Kosten per locatie'!$A$14:$C$21,3,FALSE)</f>
        <v>0</v>
      </c>
      <c r="V87" s="242">
        <f>IF(P87&gt;0,P87*J87/Z87,0)*VLOOKUP(B87,'2-Kosten per locatie'!$A$14:$C$21,3,FALSE)</f>
        <v>0</v>
      </c>
      <c r="W87" s="242">
        <f>IF(Q87&gt;0,Q87*J87/AA87,0)*VLOOKUP(B87,'2-Kosten per locatie'!$A$14:$C$21,3,FALSE)</f>
        <v>0</v>
      </c>
      <c r="X87" s="315">
        <f>IF(L87="nio",0,IF(L87&gt;0,VLOOKUP(H87,'3-Productie normen'!A:K,VLOOKUP(L87,'3-Productie normen'!$B$36:$C$42,2,FALSE),FALSE)))</f>
        <v>0</v>
      </c>
      <c r="Y87" s="315">
        <f t="shared" si="10"/>
        <v>0</v>
      </c>
      <c r="Z87" s="315">
        <f t="shared" si="11"/>
        <v>0</v>
      </c>
      <c r="AA87" s="315">
        <f t="shared" si="12"/>
        <v>0</v>
      </c>
      <c r="AB87" s="316"/>
      <c r="AD87" s="317">
        <f t="shared" si="13"/>
        <v>266.5</v>
      </c>
    </row>
    <row r="88" spans="1:30" ht="14.1" hidden="1" customHeight="1">
      <c r="A88" s="74">
        <v>88</v>
      </c>
      <c r="B88" s="277" t="s">
        <v>274</v>
      </c>
      <c r="C88" s="277" t="s">
        <v>366</v>
      </c>
      <c r="D88" s="277" t="s">
        <v>367</v>
      </c>
      <c r="E88" s="311" t="s">
        <v>368</v>
      </c>
      <c r="F88" s="312" t="s">
        <v>374</v>
      </c>
      <c r="G88" s="70" t="s">
        <v>375</v>
      </c>
      <c r="H88" s="70" t="s">
        <v>392</v>
      </c>
      <c r="I88" s="70" t="s">
        <v>238</v>
      </c>
      <c r="J88" s="313">
        <v>17.3</v>
      </c>
      <c r="K88" s="314">
        <f t="shared" si="9"/>
        <v>205</v>
      </c>
      <c r="L88" s="243">
        <v>205</v>
      </c>
      <c r="M88" s="243"/>
      <c r="N88" s="243"/>
      <c r="O88" s="243"/>
      <c r="P88" s="243"/>
      <c r="Q88" s="243"/>
      <c r="R88" s="242" t="e">
        <f>IF(L88="nio",0,IF(L88&gt;0,L88*J88/X88,0))*VLOOKUP(B88,'2-Kosten per locatie'!$A$14:$C$21,3,FALSE)</f>
        <v>#DIV/0!</v>
      </c>
      <c r="S88" s="242">
        <f>IF(M88&gt;0,M88*J88/Y88,0)*VLOOKUP(B88,'2-Kosten per locatie'!$A$14:$C$21,3,FALSE)</f>
        <v>0</v>
      </c>
      <c r="T88" s="242">
        <f>IF(N88&gt;0,N88*J88/Z88,0)*VLOOKUP(B88,'2-Kosten per locatie'!$A$14:$C$21,3,FALSE)</f>
        <v>0</v>
      </c>
      <c r="U88" s="242">
        <f>IF(O88&gt;0,O88*J88/AA88,0)*VLOOKUP(B88,'2-Kosten per locatie'!$A$14:$C$21,3,FALSE)</f>
        <v>0</v>
      </c>
      <c r="V88" s="242">
        <f>IF(P88&gt;0,P88*J88/Z88,0)*VLOOKUP(B88,'2-Kosten per locatie'!$A$14:$C$21,3,FALSE)</f>
        <v>0</v>
      </c>
      <c r="W88" s="242">
        <f>IF(Q88&gt;0,Q88*J88/AA88,0)*VLOOKUP(B88,'2-Kosten per locatie'!$A$14:$C$21,3,FALSE)</f>
        <v>0</v>
      </c>
      <c r="X88" s="315">
        <f>IF(L88="nio",0,IF(L88&gt;0,VLOOKUP(H88,'3-Productie normen'!A:K,VLOOKUP(L88,'3-Productie normen'!$B$36:$C$42,2,FALSE),FALSE)))</f>
        <v>0</v>
      </c>
      <c r="Y88" s="315">
        <f t="shared" si="10"/>
        <v>0</v>
      </c>
      <c r="Z88" s="315">
        <f t="shared" si="11"/>
        <v>0</v>
      </c>
      <c r="AA88" s="315">
        <f t="shared" si="12"/>
        <v>0</v>
      </c>
      <c r="AB88" s="316"/>
      <c r="AD88" s="317">
        <f t="shared" si="13"/>
        <v>3546.5</v>
      </c>
    </row>
    <row r="89" spans="1:30" ht="14.1" hidden="1" customHeight="1">
      <c r="A89" s="74">
        <v>89</v>
      </c>
      <c r="B89" s="277" t="s">
        <v>274</v>
      </c>
      <c r="C89" s="277" t="s">
        <v>366</v>
      </c>
      <c r="D89" s="277" t="s">
        <v>367</v>
      </c>
      <c r="E89" s="311" t="s">
        <v>368</v>
      </c>
      <c r="F89" s="312" t="s">
        <v>376</v>
      </c>
      <c r="G89" s="70" t="s">
        <v>279</v>
      </c>
      <c r="H89" s="70" t="s">
        <v>56</v>
      </c>
      <c r="I89" s="70" t="s">
        <v>238</v>
      </c>
      <c r="J89" s="313">
        <v>35.5</v>
      </c>
      <c r="K89" s="314">
        <f t="shared" si="9"/>
        <v>205</v>
      </c>
      <c r="L89" s="243">
        <v>205</v>
      </c>
      <c r="M89" s="243"/>
      <c r="N89" s="243"/>
      <c r="O89" s="243"/>
      <c r="P89" s="243"/>
      <c r="Q89" s="243"/>
      <c r="R89" s="242" t="e">
        <f>IF(L89="nio",0,IF(L89&gt;0,L89*J89/X89,0))*VLOOKUP(B89,'2-Kosten per locatie'!$A$14:$C$21,3,FALSE)</f>
        <v>#DIV/0!</v>
      </c>
      <c r="S89" s="242">
        <f>IF(M89&gt;0,M89*J89/Y89,0)*VLOOKUP(B89,'2-Kosten per locatie'!$A$14:$C$21,3,FALSE)</f>
        <v>0</v>
      </c>
      <c r="T89" s="242">
        <f>IF(N89&gt;0,N89*J89/Z89,0)*VLOOKUP(B89,'2-Kosten per locatie'!$A$14:$C$21,3,FALSE)</f>
        <v>0</v>
      </c>
      <c r="U89" s="242">
        <f>IF(O89&gt;0,O89*J89/AA89,0)*VLOOKUP(B89,'2-Kosten per locatie'!$A$14:$C$21,3,FALSE)</f>
        <v>0</v>
      </c>
      <c r="V89" s="242">
        <f>IF(P89&gt;0,P89*J89/Z89,0)*VLOOKUP(B89,'2-Kosten per locatie'!$A$14:$C$21,3,FALSE)</f>
        <v>0</v>
      </c>
      <c r="W89" s="242">
        <f>IF(Q89&gt;0,Q89*J89/AA89,0)*VLOOKUP(B89,'2-Kosten per locatie'!$A$14:$C$21,3,FALSE)</f>
        <v>0</v>
      </c>
      <c r="X89" s="315">
        <f>IF(L89="nio",0,IF(L89&gt;0,VLOOKUP(H89,'3-Productie normen'!A:K,VLOOKUP(L89,'3-Productie normen'!$B$36:$C$42,2,FALSE),FALSE)))</f>
        <v>0</v>
      </c>
      <c r="Y89" s="315">
        <f t="shared" si="10"/>
        <v>0</v>
      </c>
      <c r="Z89" s="315">
        <f t="shared" si="11"/>
        <v>0</v>
      </c>
      <c r="AA89" s="315">
        <f t="shared" si="12"/>
        <v>0</v>
      </c>
      <c r="AB89" s="316"/>
      <c r="AD89" s="317">
        <f t="shared" si="13"/>
        <v>7277.5</v>
      </c>
    </row>
    <row r="90" spans="1:30" ht="14.1" hidden="1" customHeight="1">
      <c r="A90" s="74">
        <v>90</v>
      </c>
      <c r="B90" s="277" t="s">
        <v>274</v>
      </c>
      <c r="C90" s="277" t="s">
        <v>366</v>
      </c>
      <c r="D90" s="277" t="s">
        <v>367</v>
      </c>
      <c r="E90" s="311" t="s">
        <v>368</v>
      </c>
      <c r="F90" s="312" t="s">
        <v>377</v>
      </c>
      <c r="G90" s="70" t="s">
        <v>378</v>
      </c>
      <c r="H90" s="70" t="s">
        <v>52</v>
      </c>
      <c r="I90" s="70" t="s">
        <v>238</v>
      </c>
      <c r="J90" s="313">
        <v>1.3</v>
      </c>
      <c r="K90" s="314">
        <f t="shared" si="9"/>
        <v>205</v>
      </c>
      <c r="L90" s="243">
        <v>205</v>
      </c>
      <c r="M90" s="243"/>
      <c r="N90" s="243"/>
      <c r="O90" s="243"/>
      <c r="P90" s="243"/>
      <c r="Q90" s="243"/>
      <c r="R90" s="242" t="e">
        <f>IF(L90="nio",0,IF(L90&gt;0,L90*J90/X90,0))*VLOOKUP(B90,'2-Kosten per locatie'!$A$14:$C$21,3,FALSE)</f>
        <v>#DIV/0!</v>
      </c>
      <c r="S90" s="242">
        <f>IF(M90&gt;0,M90*J90/Y90,0)*VLOOKUP(B90,'2-Kosten per locatie'!$A$14:$C$21,3,FALSE)</f>
        <v>0</v>
      </c>
      <c r="T90" s="242">
        <f>IF(N90&gt;0,N90*J90/Z90,0)*VLOOKUP(B90,'2-Kosten per locatie'!$A$14:$C$21,3,FALSE)</f>
        <v>0</v>
      </c>
      <c r="U90" s="242">
        <f>IF(O90&gt;0,O90*J90/AA90,0)*VLOOKUP(B90,'2-Kosten per locatie'!$A$14:$C$21,3,FALSE)</f>
        <v>0</v>
      </c>
      <c r="V90" s="242">
        <f>IF(P90&gt;0,P90*J90/Z90,0)*VLOOKUP(B90,'2-Kosten per locatie'!$A$14:$C$21,3,FALSE)</f>
        <v>0</v>
      </c>
      <c r="W90" s="242">
        <f>IF(Q90&gt;0,Q90*J90/AA90,0)*VLOOKUP(B90,'2-Kosten per locatie'!$A$14:$C$21,3,FALSE)</f>
        <v>0</v>
      </c>
      <c r="X90" s="315">
        <f>IF(L90="nio",0,IF(L90&gt;0,VLOOKUP(H90,'3-Productie normen'!A:K,VLOOKUP(L90,'3-Productie normen'!$B$36:$C$42,2,FALSE),FALSE)))</f>
        <v>0</v>
      </c>
      <c r="Y90" s="315">
        <f t="shared" si="10"/>
        <v>0</v>
      </c>
      <c r="Z90" s="315">
        <f t="shared" si="11"/>
        <v>0</v>
      </c>
      <c r="AA90" s="315">
        <f t="shared" si="12"/>
        <v>0</v>
      </c>
      <c r="AB90" s="316"/>
      <c r="AD90" s="317">
        <f t="shared" si="13"/>
        <v>266.5</v>
      </c>
    </row>
    <row r="91" spans="1:30" ht="14.1" hidden="1" customHeight="1">
      <c r="A91" s="74">
        <v>91</v>
      </c>
      <c r="B91" s="277" t="s">
        <v>274</v>
      </c>
      <c r="C91" s="277" t="s">
        <v>366</v>
      </c>
      <c r="D91" s="277" t="s">
        <v>367</v>
      </c>
      <c r="E91" s="311" t="s">
        <v>368</v>
      </c>
      <c r="F91" s="312" t="s">
        <v>379</v>
      </c>
      <c r="G91" s="70" t="s">
        <v>380</v>
      </c>
      <c r="H91" s="70" t="s">
        <v>392</v>
      </c>
      <c r="I91" s="70" t="s">
        <v>238</v>
      </c>
      <c r="J91" s="313">
        <v>17.3</v>
      </c>
      <c r="K91" s="314">
        <f t="shared" si="9"/>
        <v>205</v>
      </c>
      <c r="L91" s="243">
        <v>205</v>
      </c>
      <c r="M91" s="243"/>
      <c r="N91" s="243"/>
      <c r="O91" s="243"/>
      <c r="P91" s="243"/>
      <c r="Q91" s="243"/>
      <c r="R91" s="242" t="e">
        <f>IF(L91="nio",0,IF(L91&gt;0,L91*J91/X91,0))*VLOOKUP(B91,'2-Kosten per locatie'!$A$14:$C$21,3,FALSE)</f>
        <v>#DIV/0!</v>
      </c>
      <c r="S91" s="242">
        <f>IF(M91&gt;0,M91*J91/Y91,0)*VLOOKUP(B91,'2-Kosten per locatie'!$A$14:$C$21,3,FALSE)</f>
        <v>0</v>
      </c>
      <c r="T91" s="242">
        <f>IF(N91&gt;0,N91*J91/Z91,0)*VLOOKUP(B91,'2-Kosten per locatie'!$A$14:$C$21,3,FALSE)</f>
        <v>0</v>
      </c>
      <c r="U91" s="242">
        <f>IF(O91&gt;0,O91*J91/AA91,0)*VLOOKUP(B91,'2-Kosten per locatie'!$A$14:$C$21,3,FALSE)</f>
        <v>0</v>
      </c>
      <c r="V91" s="242">
        <f>IF(P91&gt;0,P91*J91/Z91,0)*VLOOKUP(B91,'2-Kosten per locatie'!$A$14:$C$21,3,FALSE)</f>
        <v>0</v>
      </c>
      <c r="W91" s="242">
        <f>IF(Q91&gt;0,Q91*J91/AA91,0)*VLOOKUP(B91,'2-Kosten per locatie'!$A$14:$C$21,3,FALSE)</f>
        <v>0</v>
      </c>
      <c r="X91" s="315">
        <f>IF(L91="nio",0,IF(L91&gt;0,VLOOKUP(H91,'3-Productie normen'!A:K,VLOOKUP(L91,'3-Productie normen'!$B$36:$C$42,2,FALSE),FALSE)))</f>
        <v>0</v>
      </c>
      <c r="Y91" s="315">
        <f t="shared" si="10"/>
        <v>0</v>
      </c>
      <c r="Z91" s="315">
        <f t="shared" si="11"/>
        <v>0</v>
      </c>
      <c r="AA91" s="315">
        <f t="shared" si="12"/>
        <v>0</v>
      </c>
      <c r="AB91" s="316"/>
      <c r="AD91" s="317">
        <f t="shared" si="13"/>
        <v>3546.5</v>
      </c>
    </row>
    <row r="92" spans="1:30" ht="14.1" hidden="1" customHeight="1">
      <c r="A92" s="74">
        <v>92</v>
      </c>
      <c r="B92" s="277" t="s">
        <v>274</v>
      </c>
      <c r="C92" s="277" t="s">
        <v>366</v>
      </c>
      <c r="D92" s="277" t="s">
        <v>367</v>
      </c>
      <c r="E92" s="311" t="s">
        <v>368</v>
      </c>
      <c r="F92" s="312" t="s">
        <v>381</v>
      </c>
      <c r="G92" s="70" t="s">
        <v>250</v>
      </c>
      <c r="H92" s="70" t="s">
        <v>250</v>
      </c>
      <c r="I92" s="70" t="s">
        <v>292</v>
      </c>
      <c r="J92" s="313">
        <v>242.39999999999998</v>
      </c>
      <c r="K92" s="314">
        <f t="shared" si="9"/>
        <v>205</v>
      </c>
      <c r="L92" s="243">
        <v>205</v>
      </c>
      <c r="M92" s="243"/>
      <c r="N92" s="243"/>
      <c r="O92" s="243"/>
      <c r="P92" s="243"/>
      <c r="Q92" s="243"/>
      <c r="R92" s="242" t="e">
        <f>IF(L92="nio",0,IF(L92&gt;0,L92*J92/X92,0))*VLOOKUP(B92,'2-Kosten per locatie'!$A$14:$C$21,3,FALSE)</f>
        <v>#DIV/0!</v>
      </c>
      <c r="S92" s="242">
        <f>IF(M92&gt;0,M92*J92/Y92,0)*VLOOKUP(B92,'2-Kosten per locatie'!$A$14:$C$21,3,FALSE)</f>
        <v>0</v>
      </c>
      <c r="T92" s="242">
        <f>IF(N92&gt;0,N92*J92/Z92,0)*VLOOKUP(B92,'2-Kosten per locatie'!$A$14:$C$21,3,FALSE)</f>
        <v>0</v>
      </c>
      <c r="U92" s="242">
        <f>IF(O92&gt;0,O92*J92/AA92,0)*VLOOKUP(B92,'2-Kosten per locatie'!$A$14:$C$21,3,FALSE)</f>
        <v>0</v>
      </c>
      <c r="V92" s="242">
        <f>IF(P92&gt;0,P92*J92/Z92,0)*VLOOKUP(B92,'2-Kosten per locatie'!$A$14:$C$21,3,FALSE)</f>
        <v>0</v>
      </c>
      <c r="W92" s="242">
        <f>IF(Q92&gt;0,Q92*J92/AA92,0)*VLOOKUP(B92,'2-Kosten per locatie'!$A$14:$C$21,3,FALSE)</f>
        <v>0</v>
      </c>
      <c r="X92" s="315">
        <f>IF(L92="nio",0,IF(L92&gt;0,VLOOKUP(H92,'3-Productie normen'!A:K,VLOOKUP(L92,'3-Productie normen'!$B$36:$C$42,2,FALSE),FALSE)))</f>
        <v>0</v>
      </c>
      <c r="Y92" s="315">
        <f t="shared" si="10"/>
        <v>0</v>
      </c>
      <c r="Z92" s="315">
        <f t="shared" si="11"/>
        <v>0</v>
      </c>
      <c r="AA92" s="315">
        <f t="shared" si="12"/>
        <v>0</v>
      </c>
      <c r="AB92" s="316"/>
      <c r="AD92" s="317">
        <f t="shared" si="13"/>
        <v>49691.999999999993</v>
      </c>
    </row>
    <row r="93" spans="1:30" ht="14.1" hidden="1" customHeight="1">
      <c r="A93" s="74">
        <v>93</v>
      </c>
      <c r="B93" s="277" t="s">
        <v>274</v>
      </c>
      <c r="C93" s="277" t="s">
        <v>366</v>
      </c>
      <c r="D93" s="277" t="s">
        <v>367</v>
      </c>
      <c r="E93" s="311" t="s">
        <v>368</v>
      </c>
      <c r="F93" s="312" t="s">
        <v>382</v>
      </c>
      <c r="G93" s="70" t="s">
        <v>383</v>
      </c>
      <c r="H93" s="70" t="s">
        <v>58</v>
      </c>
      <c r="I93" s="70" t="s">
        <v>292</v>
      </c>
      <c r="J93" s="313">
        <v>35.340000000000003</v>
      </c>
      <c r="K93" s="314">
        <f t="shared" si="9"/>
        <v>205</v>
      </c>
      <c r="L93" s="243">
        <v>205</v>
      </c>
      <c r="M93" s="243"/>
      <c r="N93" s="243"/>
      <c r="O93" s="243"/>
      <c r="P93" s="243"/>
      <c r="Q93" s="243"/>
      <c r="R93" s="242" t="e">
        <f>IF(L93="nio",0,IF(L93&gt;0,L93*J93/X93,0))*VLOOKUP(B93,'2-Kosten per locatie'!$A$14:$C$21,3,FALSE)</f>
        <v>#DIV/0!</v>
      </c>
      <c r="S93" s="242">
        <f>IF(M93&gt;0,M93*J93/Y93,0)*VLOOKUP(B93,'2-Kosten per locatie'!$A$14:$C$21,3,FALSE)</f>
        <v>0</v>
      </c>
      <c r="T93" s="242">
        <f>IF(N93&gt;0,N93*J93/Z93,0)*VLOOKUP(B93,'2-Kosten per locatie'!$A$14:$C$21,3,FALSE)</f>
        <v>0</v>
      </c>
      <c r="U93" s="242">
        <f>IF(O93&gt;0,O93*J93/AA93,0)*VLOOKUP(B93,'2-Kosten per locatie'!$A$14:$C$21,3,FALSE)</f>
        <v>0</v>
      </c>
      <c r="V93" s="242">
        <f>IF(P93&gt;0,P93*J93/Z93,0)*VLOOKUP(B93,'2-Kosten per locatie'!$A$14:$C$21,3,FALSE)</f>
        <v>0</v>
      </c>
      <c r="W93" s="242">
        <f>IF(Q93&gt;0,Q93*J93/AA93,0)*VLOOKUP(B93,'2-Kosten per locatie'!$A$14:$C$21,3,FALSE)</f>
        <v>0</v>
      </c>
      <c r="X93" s="315">
        <f>IF(L93="nio",0,IF(L93&gt;0,VLOOKUP(H93,'3-Productie normen'!A:K,VLOOKUP(L93,'3-Productie normen'!$B$36:$C$42,2,FALSE),FALSE)))</f>
        <v>0</v>
      </c>
      <c r="Y93" s="315">
        <f t="shared" si="10"/>
        <v>0</v>
      </c>
      <c r="Z93" s="315">
        <f t="shared" si="11"/>
        <v>0</v>
      </c>
      <c r="AA93" s="315">
        <f t="shared" si="12"/>
        <v>0</v>
      </c>
      <c r="AB93" s="316"/>
      <c r="AD93" s="317">
        <f t="shared" si="13"/>
        <v>7244.7000000000007</v>
      </c>
    </row>
    <row r="94" spans="1:30" ht="14.1" hidden="1" customHeight="1">
      <c r="A94" s="74">
        <v>94</v>
      </c>
      <c r="B94" s="277" t="s">
        <v>274</v>
      </c>
      <c r="C94" s="277" t="s">
        <v>366</v>
      </c>
      <c r="D94" s="277" t="s">
        <v>367</v>
      </c>
      <c r="E94" s="311" t="s">
        <v>368</v>
      </c>
      <c r="F94" s="312" t="s">
        <v>384</v>
      </c>
      <c r="G94" s="70" t="s">
        <v>385</v>
      </c>
      <c r="H94" s="70" t="s">
        <v>56</v>
      </c>
      <c r="I94" s="70" t="s">
        <v>238</v>
      </c>
      <c r="J94" s="313">
        <v>7.5</v>
      </c>
      <c r="K94" s="314">
        <f t="shared" si="9"/>
        <v>205</v>
      </c>
      <c r="L94" s="243">
        <v>205</v>
      </c>
      <c r="M94" s="243"/>
      <c r="N94" s="243"/>
      <c r="O94" s="243"/>
      <c r="P94" s="243"/>
      <c r="Q94" s="243"/>
      <c r="R94" s="242" t="e">
        <f>IF(L94="nio",0,IF(L94&gt;0,L94*J94/X94,0))*VLOOKUP(B94,'2-Kosten per locatie'!$A$14:$C$21,3,FALSE)</f>
        <v>#DIV/0!</v>
      </c>
      <c r="S94" s="242">
        <f>IF(M94&gt;0,M94*J94/Y94,0)*VLOOKUP(B94,'2-Kosten per locatie'!$A$14:$C$21,3,FALSE)</f>
        <v>0</v>
      </c>
      <c r="T94" s="242">
        <f>IF(N94&gt;0,N94*J94/Z94,0)*VLOOKUP(B94,'2-Kosten per locatie'!$A$14:$C$21,3,FALSE)</f>
        <v>0</v>
      </c>
      <c r="U94" s="242">
        <f>IF(O94&gt;0,O94*J94/AA94,0)*VLOOKUP(B94,'2-Kosten per locatie'!$A$14:$C$21,3,FALSE)</f>
        <v>0</v>
      </c>
      <c r="V94" s="242">
        <f>IF(P94&gt;0,P94*J94/Z94,0)*VLOOKUP(B94,'2-Kosten per locatie'!$A$14:$C$21,3,FALSE)</f>
        <v>0</v>
      </c>
      <c r="W94" s="242">
        <f>IF(Q94&gt;0,Q94*J94/AA94,0)*VLOOKUP(B94,'2-Kosten per locatie'!$A$14:$C$21,3,FALSE)</f>
        <v>0</v>
      </c>
      <c r="X94" s="315">
        <f>IF(L94="nio",0,IF(L94&gt;0,VLOOKUP(H94,'3-Productie normen'!A:K,VLOOKUP(L94,'3-Productie normen'!$B$36:$C$42,2,FALSE),FALSE)))</f>
        <v>0</v>
      </c>
      <c r="Y94" s="315">
        <f t="shared" si="10"/>
        <v>0</v>
      </c>
      <c r="Z94" s="315">
        <f t="shared" si="11"/>
        <v>0</v>
      </c>
      <c r="AA94" s="315">
        <f t="shared" si="12"/>
        <v>0</v>
      </c>
      <c r="AB94" s="316"/>
      <c r="AD94" s="317">
        <f t="shared" si="13"/>
        <v>1537.5</v>
      </c>
    </row>
    <row r="95" spans="1:30" ht="14.1" hidden="1" customHeight="1">
      <c r="A95" s="74">
        <v>95</v>
      </c>
      <c r="B95" s="277" t="s">
        <v>274</v>
      </c>
      <c r="C95" s="277" t="s">
        <v>366</v>
      </c>
      <c r="D95" s="277" t="s">
        <v>367</v>
      </c>
      <c r="E95" s="311" t="s">
        <v>368</v>
      </c>
      <c r="F95" s="312" t="s">
        <v>386</v>
      </c>
      <c r="G95" s="70" t="s">
        <v>387</v>
      </c>
      <c r="H95" s="70" t="s">
        <v>392</v>
      </c>
      <c r="I95" s="70" t="s">
        <v>238</v>
      </c>
      <c r="J95" s="313">
        <v>2.3400000000000003</v>
      </c>
      <c r="K95" s="314">
        <f t="shared" si="9"/>
        <v>205</v>
      </c>
      <c r="L95" s="243">
        <v>205</v>
      </c>
      <c r="M95" s="243"/>
      <c r="N95" s="243"/>
      <c r="O95" s="243"/>
      <c r="P95" s="243"/>
      <c r="Q95" s="243"/>
      <c r="R95" s="242" t="e">
        <f>IF(L95="nio",0,IF(L95&gt;0,L95*J95/X95,0))*VLOOKUP(B95,'2-Kosten per locatie'!$A$14:$C$21,3,FALSE)</f>
        <v>#DIV/0!</v>
      </c>
      <c r="S95" s="242">
        <f>IF(M95&gt;0,M95*J95/Y95,0)*VLOOKUP(B95,'2-Kosten per locatie'!$A$14:$C$21,3,FALSE)</f>
        <v>0</v>
      </c>
      <c r="T95" s="242">
        <f>IF(N95&gt;0,N95*J95/Z95,0)*VLOOKUP(B95,'2-Kosten per locatie'!$A$14:$C$21,3,FALSE)</f>
        <v>0</v>
      </c>
      <c r="U95" s="242">
        <f>IF(O95&gt;0,O95*J95/AA95,0)*VLOOKUP(B95,'2-Kosten per locatie'!$A$14:$C$21,3,FALSE)</f>
        <v>0</v>
      </c>
      <c r="V95" s="242">
        <f>IF(P95&gt;0,P95*J95/Z95,0)*VLOOKUP(B95,'2-Kosten per locatie'!$A$14:$C$21,3,FALSE)</f>
        <v>0</v>
      </c>
      <c r="W95" s="242">
        <f>IF(Q95&gt;0,Q95*J95/AA95,0)*VLOOKUP(B95,'2-Kosten per locatie'!$A$14:$C$21,3,FALSE)</f>
        <v>0</v>
      </c>
      <c r="X95" s="315">
        <f>IF(L95="nio",0,IF(L95&gt;0,VLOOKUP(H95,'3-Productie normen'!A:K,VLOOKUP(L95,'3-Productie normen'!$B$36:$C$42,2,FALSE),FALSE)))</f>
        <v>0</v>
      </c>
      <c r="Y95" s="315">
        <f t="shared" si="10"/>
        <v>0</v>
      </c>
      <c r="Z95" s="315">
        <f t="shared" si="11"/>
        <v>0</v>
      </c>
      <c r="AA95" s="315">
        <f t="shared" si="12"/>
        <v>0</v>
      </c>
      <c r="AB95" s="316"/>
      <c r="AD95" s="317">
        <f t="shared" si="13"/>
        <v>479.70000000000005</v>
      </c>
    </row>
    <row r="96" spans="1:30" ht="14.1" hidden="1" customHeight="1">
      <c r="A96" s="74">
        <v>96</v>
      </c>
      <c r="B96" s="277" t="s">
        <v>274</v>
      </c>
      <c r="C96" s="277" t="s">
        <v>366</v>
      </c>
      <c r="D96" s="277" t="s">
        <v>367</v>
      </c>
      <c r="E96" s="311" t="s">
        <v>368</v>
      </c>
      <c r="F96" s="312" t="s">
        <v>388</v>
      </c>
      <c r="G96" s="70" t="s">
        <v>389</v>
      </c>
      <c r="H96" s="70" t="s">
        <v>58</v>
      </c>
      <c r="I96" s="70" t="s">
        <v>238</v>
      </c>
      <c r="J96" s="313">
        <v>13.640000000000002</v>
      </c>
      <c r="K96" s="314">
        <f t="shared" si="9"/>
        <v>205</v>
      </c>
      <c r="L96" s="243">
        <v>205</v>
      </c>
      <c r="M96" s="243"/>
      <c r="N96" s="243"/>
      <c r="O96" s="243"/>
      <c r="P96" s="243"/>
      <c r="Q96" s="243"/>
      <c r="R96" s="242" t="e">
        <f>IF(L96="nio",0,IF(L96&gt;0,L96*J96/X96,0))*VLOOKUP(B96,'2-Kosten per locatie'!$A$14:$C$21,3,FALSE)</f>
        <v>#DIV/0!</v>
      </c>
      <c r="S96" s="242">
        <f>IF(M96&gt;0,M96*J96/Y96,0)*VLOOKUP(B96,'2-Kosten per locatie'!$A$14:$C$21,3,FALSE)</f>
        <v>0</v>
      </c>
      <c r="T96" s="242">
        <f>IF(N96&gt;0,N96*J96/Z96,0)*VLOOKUP(B96,'2-Kosten per locatie'!$A$14:$C$21,3,FALSE)</f>
        <v>0</v>
      </c>
      <c r="U96" s="242">
        <f>IF(O96&gt;0,O96*J96/AA96,0)*VLOOKUP(B96,'2-Kosten per locatie'!$A$14:$C$21,3,FALSE)</f>
        <v>0</v>
      </c>
      <c r="V96" s="242">
        <f>IF(P96&gt;0,P96*J96/Z96,0)*VLOOKUP(B96,'2-Kosten per locatie'!$A$14:$C$21,3,FALSE)</f>
        <v>0</v>
      </c>
      <c r="W96" s="242">
        <f>IF(Q96&gt;0,Q96*J96/AA96,0)*VLOOKUP(B96,'2-Kosten per locatie'!$A$14:$C$21,3,FALSE)</f>
        <v>0</v>
      </c>
      <c r="X96" s="315">
        <f>IF(L96="nio",0,IF(L96&gt;0,VLOOKUP(H96,'3-Productie normen'!A:K,VLOOKUP(L96,'3-Productie normen'!$B$36:$C$42,2,FALSE),FALSE)))</f>
        <v>0</v>
      </c>
      <c r="Y96" s="315">
        <f t="shared" si="10"/>
        <v>0</v>
      </c>
      <c r="Z96" s="315">
        <f t="shared" si="11"/>
        <v>0</v>
      </c>
      <c r="AA96" s="315">
        <f t="shared" si="12"/>
        <v>0</v>
      </c>
      <c r="AB96" s="316"/>
      <c r="AD96" s="317">
        <f t="shared" si="13"/>
        <v>2796.2000000000003</v>
      </c>
    </row>
    <row r="97" spans="1:30" ht="14.1" hidden="1" customHeight="1">
      <c r="A97" s="74">
        <v>97</v>
      </c>
      <c r="B97" s="277" t="s">
        <v>274</v>
      </c>
      <c r="C97" s="277" t="s">
        <v>366</v>
      </c>
      <c r="D97" s="277" t="s">
        <v>367</v>
      </c>
      <c r="E97" s="311" t="s">
        <v>368</v>
      </c>
      <c r="F97" s="312" t="s">
        <v>390</v>
      </c>
      <c r="G97" s="70" t="s">
        <v>391</v>
      </c>
      <c r="H97" s="70" t="s">
        <v>58</v>
      </c>
      <c r="I97" s="70" t="s">
        <v>238</v>
      </c>
      <c r="J97" s="313">
        <v>2.8800000000000003</v>
      </c>
      <c r="K97" s="314">
        <f t="shared" si="9"/>
        <v>205</v>
      </c>
      <c r="L97" s="243">
        <v>205</v>
      </c>
      <c r="M97" s="243"/>
      <c r="N97" s="243"/>
      <c r="O97" s="243"/>
      <c r="P97" s="243"/>
      <c r="Q97" s="243"/>
      <c r="R97" s="242" t="e">
        <f>IF(L97="nio",0,IF(L97&gt;0,L97*J97/X97,0))*VLOOKUP(B97,'2-Kosten per locatie'!$A$14:$C$21,3,FALSE)</f>
        <v>#DIV/0!</v>
      </c>
      <c r="S97" s="242">
        <f>IF(M97&gt;0,M97*J97/Y97,0)*VLOOKUP(B97,'2-Kosten per locatie'!$A$14:$C$21,3,FALSE)</f>
        <v>0</v>
      </c>
      <c r="T97" s="242">
        <f>IF(N97&gt;0,N97*J97/Z97,0)*VLOOKUP(B97,'2-Kosten per locatie'!$A$14:$C$21,3,FALSE)</f>
        <v>0</v>
      </c>
      <c r="U97" s="242">
        <f>IF(O97&gt;0,O97*J97/AA97,0)*VLOOKUP(B97,'2-Kosten per locatie'!$A$14:$C$21,3,FALSE)</f>
        <v>0</v>
      </c>
      <c r="V97" s="242">
        <f>IF(P97&gt;0,P97*J97/Z97,0)*VLOOKUP(B97,'2-Kosten per locatie'!$A$14:$C$21,3,FALSE)</f>
        <v>0</v>
      </c>
      <c r="W97" s="242">
        <f>IF(Q97&gt;0,Q97*J97/AA97,0)*VLOOKUP(B97,'2-Kosten per locatie'!$A$14:$C$21,3,FALSE)</f>
        <v>0</v>
      </c>
      <c r="X97" s="315">
        <f>IF(L97="nio",0,IF(L97&gt;0,VLOOKUP(H97,'3-Productie normen'!A:K,VLOOKUP(L97,'3-Productie normen'!$B$36:$C$42,2,FALSE),FALSE)))</f>
        <v>0</v>
      </c>
      <c r="Y97" s="315">
        <f t="shared" si="10"/>
        <v>0</v>
      </c>
      <c r="Z97" s="315">
        <f t="shared" si="11"/>
        <v>0</v>
      </c>
      <c r="AA97" s="315">
        <f t="shared" si="12"/>
        <v>0</v>
      </c>
      <c r="AB97" s="316"/>
      <c r="AD97" s="317">
        <f t="shared" si="13"/>
        <v>590.40000000000009</v>
      </c>
    </row>
    <row r="98" spans="1:30" ht="14.1" hidden="1" customHeight="1">
      <c r="A98" s="74">
        <v>98</v>
      </c>
      <c r="B98" s="277" t="s">
        <v>273</v>
      </c>
      <c r="C98" s="277" t="s">
        <v>393</v>
      </c>
      <c r="D98" s="277" t="s">
        <v>367</v>
      </c>
      <c r="E98" s="311" t="s">
        <v>254</v>
      </c>
      <c r="F98" s="312" t="s">
        <v>369</v>
      </c>
      <c r="G98" s="70" t="s">
        <v>370</v>
      </c>
      <c r="H98" s="70" t="s">
        <v>370</v>
      </c>
      <c r="I98" s="70" t="s">
        <v>238</v>
      </c>
      <c r="J98" s="313">
        <v>10.8</v>
      </c>
      <c r="K98" s="314">
        <f t="shared" si="9"/>
        <v>205</v>
      </c>
      <c r="L98" s="243">
        <v>205</v>
      </c>
      <c r="M98" s="243"/>
      <c r="N98" s="243"/>
      <c r="O98" s="243"/>
      <c r="P98" s="243"/>
      <c r="Q98" s="243"/>
      <c r="R98" s="242" t="e">
        <f>IF(L98="nio",0,IF(L98&gt;0,L98*J98/X98,0))*VLOOKUP(B98,'2-Kosten per locatie'!$A$14:$C$21,3,FALSE)</f>
        <v>#DIV/0!</v>
      </c>
      <c r="S98" s="242">
        <f>IF(M98&gt;0,M98*J98/Y98,0)*VLOOKUP(B98,'2-Kosten per locatie'!$A$14:$C$21,3,FALSE)</f>
        <v>0</v>
      </c>
      <c r="T98" s="242">
        <f>IF(N98&gt;0,N98*J98/Z98,0)*VLOOKUP(B98,'2-Kosten per locatie'!$A$14:$C$21,3,FALSE)</f>
        <v>0</v>
      </c>
      <c r="U98" s="242">
        <f>IF(O98&gt;0,O98*J98/AA98,0)*VLOOKUP(B98,'2-Kosten per locatie'!$A$14:$C$21,3,FALSE)</f>
        <v>0</v>
      </c>
      <c r="V98" s="242">
        <f>IF(P98&gt;0,P98*J98/Z98,0)*VLOOKUP(B98,'2-Kosten per locatie'!$A$14:$C$21,3,FALSE)</f>
        <v>0</v>
      </c>
      <c r="W98" s="242">
        <f>IF(Q98&gt;0,Q98*J98/AA98,0)*VLOOKUP(B98,'2-Kosten per locatie'!$A$14:$C$21,3,FALSE)</f>
        <v>0</v>
      </c>
      <c r="X98" s="315">
        <f>IF(L98="nio",0,IF(L98&gt;0,VLOOKUP(H98,'3-Productie normen'!A:K,VLOOKUP(L98,'3-Productie normen'!$B$36:$C$42,2,FALSE),FALSE)))</f>
        <v>0</v>
      </c>
      <c r="Y98" s="315">
        <f t="shared" si="10"/>
        <v>0</v>
      </c>
      <c r="Z98" s="315">
        <f t="shared" si="11"/>
        <v>0</v>
      </c>
      <c r="AA98" s="315">
        <f t="shared" si="12"/>
        <v>0</v>
      </c>
      <c r="AB98" s="316"/>
      <c r="AD98" s="317">
        <f t="shared" si="13"/>
        <v>2214</v>
      </c>
    </row>
    <row r="99" spans="1:30" ht="14.1" hidden="1" customHeight="1">
      <c r="A99" s="74">
        <v>99</v>
      </c>
      <c r="B99" s="277" t="s">
        <v>273</v>
      </c>
      <c r="C99" s="277" t="s">
        <v>393</v>
      </c>
      <c r="D99" s="277" t="s">
        <v>367</v>
      </c>
      <c r="E99" s="311" t="s">
        <v>254</v>
      </c>
      <c r="F99" s="312" t="s">
        <v>371</v>
      </c>
      <c r="G99" s="70" t="s">
        <v>394</v>
      </c>
      <c r="H99" s="70" t="s">
        <v>56</v>
      </c>
      <c r="I99" s="70" t="s">
        <v>238</v>
      </c>
      <c r="J99" s="313">
        <v>28</v>
      </c>
      <c r="K99" s="314">
        <f t="shared" si="9"/>
        <v>205</v>
      </c>
      <c r="L99" s="243">
        <v>205</v>
      </c>
      <c r="M99" s="243"/>
      <c r="N99" s="243"/>
      <c r="O99" s="243"/>
      <c r="P99" s="243"/>
      <c r="Q99" s="243"/>
      <c r="R99" s="242" t="e">
        <f>IF(L99="nio",0,IF(L99&gt;0,L99*J99/X99,0))*VLOOKUP(B99,'2-Kosten per locatie'!$A$14:$C$21,3,FALSE)</f>
        <v>#DIV/0!</v>
      </c>
      <c r="S99" s="242">
        <f>IF(M99&gt;0,M99*J99/Y99,0)*VLOOKUP(B99,'2-Kosten per locatie'!$A$14:$C$21,3,FALSE)</f>
        <v>0</v>
      </c>
      <c r="T99" s="242">
        <f>IF(N99&gt;0,N99*J99/Z99,0)*VLOOKUP(B99,'2-Kosten per locatie'!$A$14:$C$21,3,FALSE)</f>
        <v>0</v>
      </c>
      <c r="U99" s="242">
        <f>IF(O99&gt;0,O99*J99/AA99,0)*VLOOKUP(B99,'2-Kosten per locatie'!$A$14:$C$21,3,FALSE)</f>
        <v>0</v>
      </c>
      <c r="V99" s="242">
        <f>IF(P99&gt;0,P99*J99/Z99,0)*VLOOKUP(B99,'2-Kosten per locatie'!$A$14:$C$21,3,FALSE)</f>
        <v>0</v>
      </c>
      <c r="W99" s="242">
        <f>IF(Q99&gt;0,Q99*J99/AA99,0)*VLOOKUP(B99,'2-Kosten per locatie'!$A$14:$C$21,3,FALSE)</f>
        <v>0</v>
      </c>
      <c r="X99" s="315">
        <f>IF(L99="nio",0,IF(L99&gt;0,VLOOKUP(H99,'3-Productie normen'!A:K,VLOOKUP(L99,'3-Productie normen'!$B$36:$C$42,2,FALSE),FALSE)))</f>
        <v>0</v>
      </c>
      <c r="Y99" s="315">
        <f t="shared" si="10"/>
        <v>0</v>
      </c>
      <c r="Z99" s="315">
        <f t="shared" si="11"/>
        <v>0</v>
      </c>
      <c r="AA99" s="315">
        <f t="shared" si="12"/>
        <v>0</v>
      </c>
      <c r="AB99" s="316"/>
      <c r="AD99" s="317">
        <f t="shared" si="13"/>
        <v>5740</v>
      </c>
    </row>
    <row r="100" spans="1:30" ht="14.1" hidden="1" customHeight="1">
      <c r="A100" s="74">
        <v>100</v>
      </c>
      <c r="B100" s="277" t="s">
        <v>273</v>
      </c>
      <c r="C100" s="277" t="s">
        <v>393</v>
      </c>
      <c r="D100" s="277" t="s">
        <v>367</v>
      </c>
      <c r="E100" s="311" t="s">
        <v>254</v>
      </c>
      <c r="F100" s="312" t="s">
        <v>372</v>
      </c>
      <c r="G100" s="70" t="s">
        <v>395</v>
      </c>
      <c r="H100" s="70" t="s">
        <v>52</v>
      </c>
      <c r="I100" s="70" t="s">
        <v>238</v>
      </c>
      <c r="J100" s="313">
        <v>1.2800000000000002</v>
      </c>
      <c r="K100" s="314">
        <f t="shared" si="9"/>
        <v>205</v>
      </c>
      <c r="L100" s="243">
        <v>205</v>
      </c>
      <c r="M100" s="243"/>
      <c r="N100" s="243"/>
      <c r="O100" s="243"/>
      <c r="P100" s="243"/>
      <c r="Q100" s="243"/>
      <c r="R100" s="242" t="e">
        <f>IF(L100="nio",0,IF(L100&gt;0,L100*J100/X100,0))*VLOOKUP(B100,'2-Kosten per locatie'!$A$14:$C$21,3,FALSE)</f>
        <v>#DIV/0!</v>
      </c>
      <c r="S100" s="242">
        <f>IF(M100&gt;0,M100*J100/Y100,0)*VLOOKUP(B100,'2-Kosten per locatie'!$A$14:$C$21,3,FALSE)</f>
        <v>0</v>
      </c>
      <c r="T100" s="242">
        <f>IF(N100&gt;0,N100*J100/Z100,0)*VLOOKUP(B100,'2-Kosten per locatie'!$A$14:$C$21,3,FALSE)</f>
        <v>0</v>
      </c>
      <c r="U100" s="242">
        <f>IF(O100&gt;0,O100*J100/AA100,0)*VLOOKUP(B100,'2-Kosten per locatie'!$A$14:$C$21,3,FALSE)</f>
        <v>0</v>
      </c>
      <c r="V100" s="242">
        <f>IF(P100&gt;0,P100*J100/Z100,0)*VLOOKUP(B100,'2-Kosten per locatie'!$A$14:$C$21,3,FALSE)</f>
        <v>0</v>
      </c>
      <c r="W100" s="242">
        <f>IF(Q100&gt;0,Q100*J100/AA100,0)*VLOOKUP(B100,'2-Kosten per locatie'!$A$14:$C$21,3,FALSE)</f>
        <v>0</v>
      </c>
      <c r="X100" s="315">
        <f>IF(L100="nio",0,IF(L100&gt;0,VLOOKUP(H100,'3-Productie normen'!A:K,VLOOKUP(L100,'3-Productie normen'!$B$36:$C$42,2,FALSE),FALSE)))</f>
        <v>0</v>
      </c>
      <c r="Y100" s="315">
        <f t="shared" si="10"/>
        <v>0</v>
      </c>
      <c r="Z100" s="315">
        <f t="shared" si="11"/>
        <v>0</v>
      </c>
      <c r="AA100" s="315">
        <f t="shared" si="12"/>
        <v>0</v>
      </c>
      <c r="AB100" s="316"/>
      <c r="AD100" s="317">
        <f t="shared" si="13"/>
        <v>262.40000000000003</v>
      </c>
    </row>
    <row r="101" spans="1:30" ht="14.1" hidden="1" customHeight="1">
      <c r="A101" s="74">
        <v>101</v>
      </c>
      <c r="B101" s="277" t="s">
        <v>273</v>
      </c>
      <c r="C101" s="277" t="s">
        <v>393</v>
      </c>
      <c r="D101" s="277" t="s">
        <v>367</v>
      </c>
      <c r="E101" s="311" t="s">
        <v>254</v>
      </c>
      <c r="F101" s="312" t="s">
        <v>374</v>
      </c>
      <c r="G101" s="70" t="s">
        <v>396</v>
      </c>
      <c r="H101" s="70" t="s">
        <v>392</v>
      </c>
      <c r="I101" s="70" t="s">
        <v>238</v>
      </c>
      <c r="J101" s="313">
        <v>15.16</v>
      </c>
      <c r="K101" s="314">
        <f t="shared" si="9"/>
        <v>205</v>
      </c>
      <c r="L101" s="243">
        <v>205</v>
      </c>
      <c r="M101" s="243"/>
      <c r="N101" s="243"/>
      <c r="O101" s="243"/>
      <c r="P101" s="243"/>
      <c r="Q101" s="243"/>
      <c r="R101" s="242" t="e">
        <f>IF(L101="nio",0,IF(L101&gt;0,L101*J101/X101,0))*VLOOKUP(B101,'2-Kosten per locatie'!$A$14:$C$21,3,FALSE)</f>
        <v>#DIV/0!</v>
      </c>
      <c r="S101" s="242">
        <f>IF(M101&gt;0,M101*J101/Y101,0)*VLOOKUP(B101,'2-Kosten per locatie'!$A$14:$C$21,3,FALSE)</f>
        <v>0</v>
      </c>
      <c r="T101" s="242">
        <f>IF(N101&gt;0,N101*J101/Z101,0)*VLOOKUP(B101,'2-Kosten per locatie'!$A$14:$C$21,3,FALSE)</f>
        <v>0</v>
      </c>
      <c r="U101" s="242">
        <f>IF(O101&gt;0,O101*J101/AA101,0)*VLOOKUP(B101,'2-Kosten per locatie'!$A$14:$C$21,3,FALSE)</f>
        <v>0</v>
      </c>
      <c r="V101" s="242">
        <f>IF(P101&gt;0,P101*J101/Z101,0)*VLOOKUP(B101,'2-Kosten per locatie'!$A$14:$C$21,3,FALSE)</f>
        <v>0</v>
      </c>
      <c r="W101" s="242">
        <f>IF(Q101&gt;0,Q101*J101/AA101,0)*VLOOKUP(B101,'2-Kosten per locatie'!$A$14:$C$21,3,FALSE)</f>
        <v>0</v>
      </c>
      <c r="X101" s="315">
        <f>IF(L101="nio",0,IF(L101&gt;0,VLOOKUP(H101,'3-Productie normen'!A:K,VLOOKUP(L101,'3-Productie normen'!$B$36:$C$42,2,FALSE),FALSE)))</f>
        <v>0</v>
      </c>
      <c r="Y101" s="315">
        <f t="shared" si="10"/>
        <v>0</v>
      </c>
      <c r="Z101" s="315">
        <f t="shared" si="11"/>
        <v>0</v>
      </c>
      <c r="AA101" s="315">
        <f t="shared" si="12"/>
        <v>0</v>
      </c>
      <c r="AB101" s="316"/>
      <c r="AD101" s="317">
        <f t="shared" si="13"/>
        <v>3107.8</v>
      </c>
    </row>
    <row r="102" spans="1:30" ht="14.1" hidden="1" customHeight="1">
      <c r="A102" s="74">
        <v>102</v>
      </c>
      <c r="B102" s="277" t="s">
        <v>273</v>
      </c>
      <c r="C102" s="277" t="s">
        <v>393</v>
      </c>
      <c r="D102" s="277" t="s">
        <v>367</v>
      </c>
      <c r="E102" s="311" t="s">
        <v>254</v>
      </c>
      <c r="F102" s="312" t="s">
        <v>376</v>
      </c>
      <c r="G102" s="70" t="s">
        <v>279</v>
      </c>
      <c r="H102" s="70" t="s">
        <v>56</v>
      </c>
      <c r="I102" s="70" t="s">
        <v>238</v>
      </c>
      <c r="J102" s="313">
        <v>27.3</v>
      </c>
      <c r="K102" s="314">
        <f t="shared" si="9"/>
        <v>205</v>
      </c>
      <c r="L102" s="243">
        <v>205</v>
      </c>
      <c r="M102" s="243"/>
      <c r="N102" s="243"/>
      <c r="O102" s="243"/>
      <c r="P102" s="243"/>
      <c r="Q102" s="243"/>
      <c r="R102" s="242" t="e">
        <f>IF(L102="nio",0,IF(L102&gt;0,L102*J102/X102,0))*VLOOKUP(B102,'2-Kosten per locatie'!$A$14:$C$21,3,FALSE)</f>
        <v>#DIV/0!</v>
      </c>
      <c r="S102" s="242">
        <f>IF(M102&gt;0,M102*J102/Y102,0)*VLOOKUP(B102,'2-Kosten per locatie'!$A$14:$C$21,3,FALSE)</f>
        <v>0</v>
      </c>
      <c r="T102" s="242">
        <f>IF(N102&gt;0,N102*J102/Z102,0)*VLOOKUP(B102,'2-Kosten per locatie'!$A$14:$C$21,3,FALSE)</f>
        <v>0</v>
      </c>
      <c r="U102" s="242">
        <f>IF(O102&gt;0,O102*J102/AA102,0)*VLOOKUP(B102,'2-Kosten per locatie'!$A$14:$C$21,3,FALSE)</f>
        <v>0</v>
      </c>
      <c r="V102" s="242">
        <f>IF(P102&gt;0,P102*J102/Z102,0)*VLOOKUP(B102,'2-Kosten per locatie'!$A$14:$C$21,3,FALSE)</f>
        <v>0</v>
      </c>
      <c r="W102" s="242">
        <f>IF(Q102&gt;0,Q102*J102/AA102,0)*VLOOKUP(B102,'2-Kosten per locatie'!$A$14:$C$21,3,FALSE)</f>
        <v>0</v>
      </c>
      <c r="X102" s="315">
        <f>IF(L102="nio",0,IF(L102&gt;0,VLOOKUP(H102,'3-Productie normen'!A:K,VLOOKUP(L102,'3-Productie normen'!$B$36:$C$42,2,FALSE),FALSE)))</f>
        <v>0</v>
      </c>
      <c r="Y102" s="315">
        <f t="shared" si="10"/>
        <v>0</v>
      </c>
      <c r="Z102" s="315">
        <f t="shared" si="11"/>
        <v>0</v>
      </c>
      <c r="AA102" s="315">
        <f t="shared" si="12"/>
        <v>0</v>
      </c>
      <c r="AB102" s="316"/>
      <c r="AD102" s="317">
        <f t="shared" si="13"/>
        <v>5596.5</v>
      </c>
    </row>
    <row r="103" spans="1:30" ht="14.1" hidden="1" customHeight="1">
      <c r="A103" s="74">
        <v>103</v>
      </c>
      <c r="B103" s="277" t="s">
        <v>273</v>
      </c>
      <c r="C103" s="277" t="s">
        <v>393</v>
      </c>
      <c r="D103" s="277" t="s">
        <v>367</v>
      </c>
      <c r="E103" s="311" t="s">
        <v>254</v>
      </c>
      <c r="F103" s="312" t="s">
        <v>377</v>
      </c>
      <c r="G103" s="70" t="s">
        <v>397</v>
      </c>
      <c r="H103" s="70" t="s">
        <v>52</v>
      </c>
      <c r="I103" s="70" t="s">
        <v>238</v>
      </c>
      <c r="J103" s="313">
        <v>1.2800000000000002</v>
      </c>
      <c r="K103" s="314">
        <f t="shared" si="9"/>
        <v>205</v>
      </c>
      <c r="L103" s="243">
        <v>205</v>
      </c>
      <c r="M103" s="243"/>
      <c r="N103" s="243"/>
      <c r="O103" s="243"/>
      <c r="P103" s="243"/>
      <c r="Q103" s="243"/>
      <c r="R103" s="242" t="e">
        <f>IF(L103="nio",0,IF(L103&gt;0,L103*J103/X103,0))*VLOOKUP(B103,'2-Kosten per locatie'!$A$14:$C$21,3,FALSE)</f>
        <v>#DIV/0!</v>
      </c>
      <c r="S103" s="242">
        <f>IF(M103&gt;0,M103*J103/Y103,0)*VLOOKUP(B103,'2-Kosten per locatie'!$A$14:$C$21,3,FALSE)</f>
        <v>0</v>
      </c>
      <c r="T103" s="242">
        <f>IF(N103&gt;0,N103*J103/Z103,0)*VLOOKUP(B103,'2-Kosten per locatie'!$A$14:$C$21,3,FALSE)</f>
        <v>0</v>
      </c>
      <c r="U103" s="242">
        <f>IF(O103&gt;0,O103*J103/AA103,0)*VLOOKUP(B103,'2-Kosten per locatie'!$A$14:$C$21,3,FALSE)</f>
        <v>0</v>
      </c>
      <c r="V103" s="242">
        <f>IF(P103&gt;0,P103*J103/Z103,0)*VLOOKUP(B103,'2-Kosten per locatie'!$A$14:$C$21,3,FALSE)</f>
        <v>0</v>
      </c>
      <c r="W103" s="242">
        <f>IF(Q103&gt;0,Q103*J103/AA103,0)*VLOOKUP(B103,'2-Kosten per locatie'!$A$14:$C$21,3,FALSE)</f>
        <v>0</v>
      </c>
      <c r="X103" s="315">
        <f>IF(L103="nio",0,IF(L103&gt;0,VLOOKUP(H103,'3-Productie normen'!A:K,VLOOKUP(L103,'3-Productie normen'!$B$36:$C$42,2,FALSE),FALSE)))</f>
        <v>0</v>
      </c>
      <c r="Y103" s="315">
        <f t="shared" si="10"/>
        <v>0</v>
      </c>
      <c r="Z103" s="315">
        <f t="shared" si="11"/>
        <v>0</v>
      </c>
      <c r="AA103" s="315">
        <f t="shared" si="12"/>
        <v>0</v>
      </c>
      <c r="AB103" s="316"/>
      <c r="AD103" s="317">
        <f t="shared" si="13"/>
        <v>262.40000000000003</v>
      </c>
    </row>
    <row r="104" spans="1:30" ht="14.1" hidden="1" customHeight="1">
      <c r="A104" s="74">
        <v>104</v>
      </c>
      <c r="B104" s="277" t="s">
        <v>273</v>
      </c>
      <c r="C104" s="277" t="s">
        <v>393</v>
      </c>
      <c r="D104" s="277" t="s">
        <v>367</v>
      </c>
      <c r="E104" s="311" t="s">
        <v>254</v>
      </c>
      <c r="F104" s="312" t="s">
        <v>379</v>
      </c>
      <c r="G104" s="70" t="s">
        <v>396</v>
      </c>
      <c r="H104" s="70" t="s">
        <v>392</v>
      </c>
      <c r="I104" s="70" t="s">
        <v>238</v>
      </c>
      <c r="J104" s="313">
        <v>15.16</v>
      </c>
      <c r="K104" s="314">
        <f t="shared" si="9"/>
        <v>205</v>
      </c>
      <c r="L104" s="243">
        <v>205</v>
      </c>
      <c r="M104" s="243"/>
      <c r="N104" s="243"/>
      <c r="O104" s="243"/>
      <c r="P104" s="243"/>
      <c r="Q104" s="243"/>
      <c r="R104" s="242" t="e">
        <f>IF(L104="nio",0,IF(L104&gt;0,L104*J104/X104,0))*VLOOKUP(B104,'2-Kosten per locatie'!$A$14:$C$21,3,FALSE)</f>
        <v>#DIV/0!</v>
      </c>
      <c r="S104" s="242">
        <f>IF(M104&gt;0,M104*J104/Y104,0)*VLOOKUP(B104,'2-Kosten per locatie'!$A$14:$C$21,3,FALSE)</f>
        <v>0</v>
      </c>
      <c r="T104" s="242">
        <f>IF(N104&gt;0,N104*J104/Z104,0)*VLOOKUP(B104,'2-Kosten per locatie'!$A$14:$C$21,3,FALSE)</f>
        <v>0</v>
      </c>
      <c r="U104" s="242">
        <f>IF(O104&gt;0,O104*J104/AA104,0)*VLOOKUP(B104,'2-Kosten per locatie'!$A$14:$C$21,3,FALSE)</f>
        <v>0</v>
      </c>
      <c r="V104" s="242">
        <f>IF(P104&gt;0,P104*J104/Z104,0)*VLOOKUP(B104,'2-Kosten per locatie'!$A$14:$C$21,3,FALSE)</f>
        <v>0</v>
      </c>
      <c r="W104" s="242">
        <f>IF(Q104&gt;0,Q104*J104/AA104,0)*VLOOKUP(B104,'2-Kosten per locatie'!$A$14:$C$21,3,FALSE)</f>
        <v>0</v>
      </c>
      <c r="X104" s="315">
        <f>IF(L104="nio",0,IF(L104&gt;0,VLOOKUP(H104,'3-Productie normen'!A:K,VLOOKUP(L104,'3-Productie normen'!$B$36:$C$42,2,FALSE),FALSE)))</f>
        <v>0</v>
      </c>
      <c r="Y104" s="315">
        <f t="shared" si="10"/>
        <v>0</v>
      </c>
      <c r="Z104" s="315">
        <f t="shared" si="11"/>
        <v>0</v>
      </c>
      <c r="AA104" s="315">
        <f t="shared" si="12"/>
        <v>0</v>
      </c>
      <c r="AB104" s="316"/>
      <c r="AD104" s="317">
        <f t="shared" si="13"/>
        <v>3107.8</v>
      </c>
    </row>
    <row r="105" spans="1:30" ht="14.1" hidden="1" customHeight="1">
      <c r="A105" s="74">
        <v>105</v>
      </c>
      <c r="B105" s="277" t="s">
        <v>273</v>
      </c>
      <c r="C105" s="277" t="s">
        <v>393</v>
      </c>
      <c r="D105" s="277" t="s">
        <v>367</v>
      </c>
      <c r="E105" s="311" t="s">
        <v>254</v>
      </c>
      <c r="F105" s="312" t="s">
        <v>381</v>
      </c>
      <c r="G105" s="70" t="s">
        <v>250</v>
      </c>
      <c r="H105" s="70" t="s">
        <v>250</v>
      </c>
      <c r="I105" s="70" t="s">
        <v>292</v>
      </c>
      <c r="J105" s="313">
        <v>180</v>
      </c>
      <c r="K105" s="314">
        <f t="shared" si="9"/>
        <v>205</v>
      </c>
      <c r="L105" s="243">
        <v>205</v>
      </c>
      <c r="M105" s="243"/>
      <c r="N105" s="243"/>
      <c r="O105" s="243"/>
      <c r="P105" s="243"/>
      <c r="Q105" s="243"/>
      <c r="R105" s="242" t="e">
        <f>IF(L105="nio",0,IF(L105&gt;0,L105*J105/X105,0))*VLOOKUP(B105,'2-Kosten per locatie'!$A$14:$C$21,3,FALSE)</f>
        <v>#DIV/0!</v>
      </c>
      <c r="S105" s="242">
        <f>IF(M105&gt;0,M105*J105/Y105,0)*VLOOKUP(B105,'2-Kosten per locatie'!$A$14:$C$21,3,FALSE)</f>
        <v>0</v>
      </c>
      <c r="T105" s="242">
        <f>IF(N105&gt;0,N105*J105/Z105,0)*VLOOKUP(B105,'2-Kosten per locatie'!$A$14:$C$21,3,FALSE)</f>
        <v>0</v>
      </c>
      <c r="U105" s="242">
        <f>IF(O105&gt;0,O105*J105/AA105,0)*VLOOKUP(B105,'2-Kosten per locatie'!$A$14:$C$21,3,FALSE)</f>
        <v>0</v>
      </c>
      <c r="V105" s="242">
        <f>IF(P105&gt;0,P105*J105/Z105,0)*VLOOKUP(B105,'2-Kosten per locatie'!$A$14:$C$21,3,FALSE)</f>
        <v>0</v>
      </c>
      <c r="W105" s="242">
        <f>IF(Q105&gt;0,Q105*J105/AA105,0)*VLOOKUP(B105,'2-Kosten per locatie'!$A$14:$C$21,3,FALSE)</f>
        <v>0</v>
      </c>
      <c r="X105" s="315">
        <f>IF(L105="nio",0,IF(L105&gt;0,VLOOKUP(H105,'3-Productie normen'!A:K,VLOOKUP(L105,'3-Productie normen'!$B$36:$C$42,2,FALSE),FALSE)))</f>
        <v>0</v>
      </c>
      <c r="Y105" s="315">
        <f t="shared" si="10"/>
        <v>0</v>
      </c>
      <c r="Z105" s="315">
        <f t="shared" si="11"/>
        <v>0</v>
      </c>
      <c r="AA105" s="315">
        <f t="shared" si="12"/>
        <v>0</v>
      </c>
      <c r="AB105" s="316"/>
      <c r="AD105" s="317">
        <f t="shared" si="13"/>
        <v>36900</v>
      </c>
    </row>
    <row r="106" spans="1:30" ht="14.1" hidden="1" customHeight="1">
      <c r="A106" s="74">
        <v>106</v>
      </c>
      <c r="B106" s="277" t="s">
        <v>273</v>
      </c>
      <c r="C106" s="277" t="s">
        <v>393</v>
      </c>
      <c r="D106" s="277" t="s">
        <v>367</v>
      </c>
      <c r="E106" s="311" t="s">
        <v>254</v>
      </c>
      <c r="F106" s="312" t="s">
        <v>382</v>
      </c>
      <c r="G106" s="70" t="s">
        <v>398</v>
      </c>
      <c r="H106" s="70" t="s">
        <v>58</v>
      </c>
      <c r="I106" s="70" t="s">
        <v>292</v>
      </c>
      <c r="J106" s="313">
        <v>30.6</v>
      </c>
      <c r="K106" s="314">
        <f t="shared" si="9"/>
        <v>205</v>
      </c>
      <c r="L106" s="243">
        <v>205</v>
      </c>
      <c r="M106" s="243"/>
      <c r="N106" s="243"/>
      <c r="O106" s="243"/>
      <c r="P106" s="243"/>
      <c r="Q106" s="243"/>
      <c r="R106" s="242" t="e">
        <f>IF(L106="nio",0,IF(L106&gt;0,L106*J106/X106,0))*VLOOKUP(B106,'2-Kosten per locatie'!$A$14:$C$21,3,FALSE)</f>
        <v>#DIV/0!</v>
      </c>
      <c r="S106" s="242">
        <f>IF(M106&gt;0,M106*J106/Y106,0)*VLOOKUP(B106,'2-Kosten per locatie'!$A$14:$C$21,3,FALSE)</f>
        <v>0</v>
      </c>
      <c r="T106" s="242">
        <f>IF(N106&gt;0,N106*J106/Z106,0)*VLOOKUP(B106,'2-Kosten per locatie'!$A$14:$C$21,3,FALSE)</f>
        <v>0</v>
      </c>
      <c r="U106" s="242">
        <f>IF(O106&gt;0,O106*J106/AA106,0)*VLOOKUP(B106,'2-Kosten per locatie'!$A$14:$C$21,3,FALSE)</f>
        <v>0</v>
      </c>
      <c r="V106" s="242">
        <f>IF(P106&gt;0,P106*J106/Z106,0)*VLOOKUP(B106,'2-Kosten per locatie'!$A$14:$C$21,3,FALSE)</f>
        <v>0</v>
      </c>
      <c r="W106" s="242">
        <f>IF(Q106&gt;0,Q106*J106/AA106,0)*VLOOKUP(B106,'2-Kosten per locatie'!$A$14:$C$21,3,FALSE)</f>
        <v>0</v>
      </c>
      <c r="X106" s="315">
        <f>IF(L106="nio",0,IF(L106&gt;0,VLOOKUP(H106,'3-Productie normen'!A:K,VLOOKUP(L106,'3-Productie normen'!$B$36:$C$42,2,FALSE),FALSE)))</f>
        <v>0</v>
      </c>
      <c r="Y106" s="315">
        <f t="shared" ref="Y106:Y137" si="14">IF(M106&gt;0,X106*$Y$8,0)</f>
        <v>0</v>
      </c>
      <c r="Z106" s="315">
        <f t="shared" ref="Z106:Z122" si="15">IF((OR(N106&gt;0,P106&gt;0)),X106*$Z$8,0)</f>
        <v>0</v>
      </c>
      <c r="AA106" s="315">
        <f t="shared" ref="AA106:AA122" si="16">IF((OR(O106&gt;0,Q106&gt;0)),X106*$AA$8,0)</f>
        <v>0</v>
      </c>
      <c r="AB106" s="316"/>
      <c r="AD106" s="317">
        <f t="shared" ref="AD106:AD122" si="17">K106*J106</f>
        <v>6273</v>
      </c>
    </row>
    <row r="107" spans="1:30" ht="14.1" hidden="1" customHeight="1">
      <c r="A107" s="74">
        <v>107</v>
      </c>
      <c r="B107" s="277" t="s">
        <v>273</v>
      </c>
      <c r="C107" s="277" t="s">
        <v>393</v>
      </c>
      <c r="D107" s="277" t="s">
        <v>367</v>
      </c>
      <c r="E107" s="311" t="s">
        <v>254</v>
      </c>
      <c r="F107" s="312" t="s">
        <v>384</v>
      </c>
      <c r="G107" s="70" t="s">
        <v>399</v>
      </c>
      <c r="H107" s="70" t="s">
        <v>56</v>
      </c>
      <c r="I107" s="70" t="s">
        <v>400</v>
      </c>
      <c r="J107" s="313">
        <v>5.04</v>
      </c>
      <c r="K107" s="314">
        <f t="shared" si="9"/>
        <v>205</v>
      </c>
      <c r="L107" s="243">
        <v>205</v>
      </c>
      <c r="M107" s="243"/>
      <c r="N107" s="243"/>
      <c r="O107" s="243"/>
      <c r="P107" s="243"/>
      <c r="Q107" s="243"/>
      <c r="R107" s="242" t="e">
        <f>IF(L107="nio",0,IF(L107&gt;0,L107*J107/X107,0))*VLOOKUP(B107,'2-Kosten per locatie'!$A$14:$C$21,3,FALSE)</f>
        <v>#DIV/0!</v>
      </c>
      <c r="S107" s="242">
        <f>IF(M107&gt;0,M107*J107/Y107,0)*VLOOKUP(B107,'2-Kosten per locatie'!$A$14:$C$21,3,FALSE)</f>
        <v>0</v>
      </c>
      <c r="T107" s="242">
        <f>IF(N107&gt;0,N107*J107/Z107,0)*VLOOKUP(B107,'2-Kosten per locatie'!$A$14:$C$21,3,FALSE)</f>
        <v>0</v>
      </c>
      <c r="U107" s="242">
        <f>IF(O107&gt;0,O107*J107/AA107,0)*VLOOKUP(B107,'2-Kosten per locatie'!$A$14:$C$21,3,FALSE)</f>
        <v>0</v>
      </c>
      <c r="V107" s="242">
        <f>IF(P107&gt;0,P107*J107/Z107,0)*VLOOKUP(B107,'2-Kosten per locatie'!$A$14:$C$21,3,FALSE)</f>
        <v>0</v>
      </c>
      <c r="W107" s="242">
        <f>IF(Q107&gt;0,Q107*J107/AA107,0)*VLOOKUP(B107,'2-Kosten per locatie'!$A$14:$C$21,3,FALSE)</f>
        <v>0</v>
      </c>
      <c r="X107" s="315">
        <f>IF(L107="nio",0,IF(L107&gt;0,VLOOKUP(H107,'3-Productie normen'!A:K,VLOOKUP(L107,'3-Productie normen'!$B$36:$C$42,2,FALSE),FALSE)))</f>
        <v>0</v>
      </c>
      <c r="Y107" s="315">
        <f t="shared" si="14"/>
        <v>0</v>
      </c>
      <c r="Z107" s="315">
        <f t="shared" si="15"/>
        <v>0</v>
      </c>
      <c r="AA107" s="315">
        <f t="shared" si="16"/>
        <v>0</v>
      </c>
      <c r="AB107" s="316"/>
      <c r="AD107" s="317">
        <f t="shared" si="17"/>
        <v>1033.2</v>
      </c>
    </row>
    <row r="108" spans="1:30" ht="14.1" hidden="1" customHeight="1">
      <c r="A108" s="74">
        <v>108</v>
      </c>
      <c r="B108" s="277" t="s">
        <v>273</v>
      </c>
      <c r="C108" s="277" t="s">
        <v>393</v>
      </c>
      <c r="D108" s="277" t="s">
        <v>367</v>
      </c>
      <c r="E108" s="311" t="s">
        <v>254</v>
      </c>
      <c r="F108" s="312" t="s">
        <v>386</v>
      </c>
      <c r="G108" s="70" t="s">
        <v>401</v>
      </c>
      <c r="H108" s="70" t="s">
        <v>52</v>
      </c>
      <c r="I108" s="70" t="s">
        <v>238</v>
      </c>
      <c r="J108" s="313">
        <v>1.6</v>
      </c>
      <c r="K108" s="314">
        <f t="shared" si="9"/>
        <v>205</v>
      </c>
      <c r="L108" s="243">
        <v>205</v>
      </c>
      <c r="M108" s="243"/>
      <c r="N108" s="243"/>
      <c r="O108" s="243"/>
      <c r="P108" s="243"/>
      <c r="Q108" s="243"/>
      <c r="R108" s="242" t="e">
        <f>IF(L108="nio",0,IF(L108&gt;0,L108*J108/X108,0))*VLOOKUP(B108,'2-Kosten per locatie'!$A$14:$C$21,3,FALSE)</f>
        <v>#DIV/0!</v>
      </c>
      <c r="S108" s="242">
        <f>IF(M108&gt;0,M108*J108/Y108,0)*VLOOKUP(B108,'2-Kosten per locatie'!$A$14:$C$21,3,FALSE)</f>
        <v>0</v>
      </c>
      <c r="T108" s="242">
        <f>IF(N108&gt;0,N108*J108/Z108,0)*VLOOKUP(B108,'2-Kosten per locatie'!$A$14:$C$21,3,FALSE)</f>
        <v>0</v>
      </c>
      <c r="U108" s="242">
        <f>IF(O108&gt;0,O108*J108/AA108,0)*VLOOKUP(B108,'2-Kosten per locatie'!$A$14:$C$21,3,FALSE)</f>
        <v>0</v>
      </c>
      <c r="V108" s="242">
        <f>IF(P108&gt;0,P108*J108/Z108,0)*VLOOKUP(B108,'2-Kosten per locatie'!$A$14:$C$21,3,FALSE)</f>
        <v>0</v>
      </c>
      <c r="W108" s="242">
        <f>IF(Q108&gt;0,Q108*J108/AA108,0)*VLOOKUP(B108,'2-Kosten per locatie'!$A$14:$C$21,3,FALSE)</f>
        <v>0</v>
      </c>
      <c r="X108" s="315">
        <f>IF(L108="nio",0,IF(L108&gt;0,VLOOKUP(H108,'3-Productie normen'!A:K,VLOOKUP(L108,'3-Productie normen'!$B$36:$C$42,2,FALSE),FALSE)))</f>
        <v>0</v>
      </c>
      <c r="Y108" s="315">
        <f t="shared" si="14"/>
        <v>0</v>
      </c>
      <c r="Z108" s="315">
        <f t="shared" si="15"/>
        <v>0</v>
      </c>
      <c r="AA108" s="315">
        <f t="shared" si="16"/>
        <v>0</v>
      </c>
      <c r="AB108" s="316"/>
      <c r="AD108" s="317">
        <f t="shared" si="17"/>
        <v>328</v>
      </c>
    </row>
    <row r="109" spans="1:30" ht="14.1" hidden="1" customHeight="1">
      <c r="A109" s="74">
        <v>109</v>
      </c>
      <c r="B109" s="278" t="s">
        <v>272</v>
      </c>
      <c r="C109" s="277" t="s">
        <v>456</v>
      </c>
      <c r="D109" s="277" t="s">
        <v>256</v>
      </c>
      <c r="E109" s="311" t="s">
        <v>402</v>
      </c>
      <c r="F109" s="299" t="s">
        <v>403</v>
      </c>
      <c r="G109" s="70" t="s">
        <v>61</v>
      </c>
      <c r="H109" s="70" t="s">
        <v>411</v>
      </c>
      <c r="I109" s="70" t="s">
        <v>238</v>
      </c>
      <c r="J109" s="313">
        <v>3.5</v>
      </c>
      <c r="K109" s="314">
        <f t="shared" si="9"/>
        <v>0</v>
      </c>
      <c r="L109" s="243" t="s">
        <v>412</v>
      </c>
      <c r="M109" s="243"/>
      <c r="N109" s="243"/>
      <c r="O109" s="243"/>
      <c r="P109" s="243"/>
      <c r="Q109" s="243"/>
      <c r="R109" s="242">
        <f>IF(L109="nio",0,IF(L109&gt;0,L109*J109/X109,0))*VLOOKUP(B109,'2-Kosten per locatie'!$A$14:$C$21,3,FALSE)</f>
        <v>0</v>
      </c>
      <c r="S109" s="242">
        <f>IF(M109&gt;0,M109*J109/Y109,0)*VLOOKUP(B109,'2-Kosten per locatie'!$A$14:$C$21,3,FALSE)</f>
        <v>0</v>
      </c>
      <c r="T109" s="242">
        <f>IF(N109&gt;0,N109*J109/Z109,0)*VLOOKUP(B109,'2-Kosten per locatie'!$A$14:$C$21,3,FALSE)</f>
        <v>0</v>
      </c>
      <c r="U109" s="242">
        <f>IF(O109&gt;0,O109*J109/AA109,0)*VLOOKUP(B109,'2-Kosten per locatie'!$A$14:$C$21,3,FALSE)</f>
        <v>0</v>
      </c>
      <c r="V109" s="242">
        <f>IF(P109&gt;0,P109*J109/Z109,0)*VLOOKUP(B109,'2-Kosten per locatie'!$A$14:$C$21,3,FALSE)</f>
        <v>0</v>
      </c>
      <c r="W109" s="242">
        <f>IF(Q109&gt;0,Q109*J109/AA109,0)*VLOOKUP(B109,'2-Kosten per locatie'!$A$14:$C$21,3,FALSE)</f>
        <v>0</v>
      </c>
      <c r="X109" s="315">
        <f>IF(L109="nio",0,IF(L109&gt;0,VLOOKUP(H109,'3-Productie normen'!A:K,VLOOKUP(L109,'3-Productie normen'!$B$36:$C$42,2,FALSE),FALSE)))</f>
        <v>0</v>
      </c>
      <c r="Y109" s="315">
        <f t="shared" si="14"/>
        <v>0</v>
      </c>
      <c r="Z109" s="315">
        <f t="shared" si="15"/>
        <v>0</v>
      </c>
      <c r="AA109" s="315">
        <f t="shared" si="16"/>
        <v>0</v>
      </c>
      <c r="AB109" s="316"/>
      <c r="AD109" s="317">
        <f t="shared" si="17"/>
        <v>0</v>
      </c>
    </row>
    <row r="110" spans="1:30" ht="14.1" hidden="1" customHeight="1">
      <c r="A110" s="74">
        <v>110</v>
      </c>
      <c r="B110" s="278" t="s">
        <v>272</v>
      </c>
      <c r="C110" s="277" t="s">
        <v>456</v>
      </c>
      <c r="D110" s="277" t="s">
        <v>256</v>
      </c>
      <c r="E110" s="311" t="s">
        <v>402</v>
      </c>
      <c r="F110" s="299" t="s">
        <v>404</v>
      </c>
      <c r="G110" s="70" t="s">
        <v>413</v>
      </c>
      <c r="H110" s="70" t="s">
        <v>51</v>
      </c>
      <c r="I110" s="70" t="s">
        <v>238</v>
      </c>
      <c r="J110" s="313">
        <v>60</v>
      </c>
      <c r="K110" s="314">
        <f t="shared" si="9"/>
        <v>52</v>
      </c>
      <c r="L110" s="243">
        <v>52</v>
      </c>
      <c r="M110" s="243"/>
      <c r="N110" s="243"/>
      <c r="O110" s="243"/>
      <c r="P110" s="243"/>
      <c r="Q110" s="243"/>
      <c r="R110" s="242" t="e">
        <f>IF(L110="nio",0,IF(L110&gt;0,L110*J110/X110,0))*VLOOKUP(B110,'2-Kosten per locatie'!$A$14:$C$21,3,FALSE)</f>
        <v>#DIV/0!</v>
      </c>
      <c r="S110" s="242">
        <f>IF(M110&gt;0,M110*J110/Y110,0)*VLOOKUP(B110,'2-Kosten per locatie'!$A$14:$C$21,3,FALSE)</f>
        <v>0</v>
      </c>
      <c r="T110" s="242">
        <f>IF(N110&gt;0,N110*J110/Z110,0)*VLOOKUP(B110,'2-Kosten per locatie'!$A$14:$C$21,3,FALSE)</f>
        <v>0</v>
      </c>
      <c r="U110" s="242">
        <f>IF(O110&gt;0,O110*J110/AA110,0)*VLOOKUP(B110,'2-Kosten per locatie'!$A$14:$C$21,3,FALSE)</f>
        <v>0</v>
      </c>
      <c r="V110" s="242">
        <f>IF(P110&gt;0,P110*J110/Z110,0)*VLOOKUP(B110,'2-Kosten per locatie'!$A$14:$C$21,3,FALSE)</f>
        <v>0</v>
      </c>
      <c r="W110" s="242">
        <f>IF(Q110&gt;0,Q110*J110/AA110,0)*VLOOKUP(B110,'2-Kosten per locatie'!$A$14:$C$21,3,FALSE)</f>
        <v>0</v>
      </c>
      <c r="X110" s="315">
        <f>IF(L110="nio",0,IF(L110&gt;0,VLOOKUP(H110,'3-Productie normen'!A:K,VLOOKUP(L110,'3-Productie normen'!$B$36:$C$42,2,FALSE),FALSE)))</f>
        <v>0</v>
      </c>
      <c r="Y110" s="315">
        <f t="shared" si="14"/>
        <v>0</v>
      </c>
      <c r="Z110" s="315">
        <f t="shared" si="15"/>
        <v>0</v>
      </c>
      <c r="AA110" s="315">
        <f t="shared" si="16"/>
        <v>0</v>
      </c>
      <c r="AB110" s="316"/>
      <c r="AD110" s="317">
        <f t="shared" si="17"/>
        <v>3120</v>
      </c>
    </row>
    <row r="111" spans="1:30" ht="14.1" hidden="1" customHeight="1">
      <c r="A111" s="74">
        <v>111</v>
      </c>
      <c r="B111" s="278" t="s">
        <v>272</v>
      </c>
      <c r="C111" s="277" t="s">
        <v>456</v>
      </c>
      <c r="D111" s="277" t="s">
        <v>256</v>
      </c>
      <c r="E111" s="311" t="s">
        <v>402</v>
      </c>
      <c r="F111" s="299" t="s">
        <v>405</v>
      </c>
      <c r="G111" s="70" t="s">
        <v>414</v>
      </c>
      <c r="H111" s="70" t="s">
        <v>411</v>
      </c>
      <c r="I111" s="70" t="s">
        <v>238</v>
      </c>
      <c r="J111" s="313">
        <v>4.5</v>
      </c>
      <c r="K111" s="314">
        <f t="shared" si="9"/>
        <v>0</v>
      </c>
      <c r="L111" s="243" t="s">
        <v>412</v>
      </c>
      <c r="M111" s="243"/>
      <c r="N111" s="243"/>
      <c r="O111" s="243"/>
      <c r="P111" s="243"/>
      <c r="Q111" s="243"/>
      <c r="R111" s="242">
        <f>IF(L111="nio",0,IF(L111&gt;0,L111*J111/X111,0))*VLOOKUP(B111,'2-Kosten per locatie'!$A$14:$C$21,3,FALSE)</f>
        <v>0</v>
      </c>
      <c r="S111" s="242">
        <f>IF(M111&gt;0,M111*J111/Y111,0)*VLOOKUP(B111,'2-Kosten per locatie'!$A$14:$C$21,3,FALSE)</f>
        <v>0</v>
      </c>
      <c r="T111" s="242">
        <f>IF(N111&gt;0,N111*J111/Z111,0)*VLOOKUP(B111,'2-Kosten per locatie'!$A$14:$C$21,3,FALSE)</f>
        <v>0</v>
      </c>
      <c r="U111" s="242">
        <f>IF(O111&gt;0,O111*J111/AA111,0)*VLOOKUP(B111,'2-Kosten per locatie'!$A$14:$C$21,3,FALSE)</f>
        <v>0</v>
      </c>
      <c r="V111" s="242">
        <f>IF(P111&gt;0,P111*J111/Z111,0)*VLOOKUP(B111,'2-Kosten per locatie'!$A$14:$C$21,3,FALSE)</f>
        <v>0</v>
      </c>
      <c r="W111" s="242">
        <f>IF(Q111&gt;0,Q111*J111/AA111,0)*VLOOKUP(B111,'2-Kosten per locatie'!$A$14:$C$21,3,FALSE)</f>
        <v>0</v>
      </c>
      <c r="X111" s="315">
        <f>IF(L111="nio",0,IF(L111&gt;0,VLOOKUP(H111,'3-Productie normen'!A:K,VLOOKUP(L111,'3-Productie normen'!$B$36:$C$42,2,FALSE),FALSE)))</f>
        <v>0</v>
      </c>
      <c r="Y111" s="315">
        <f t="shared" si="14"/>
        <v>0</v>
      </c>
      <c r="Z111" s="315">
        <f t="shared" si="15"/>
        <v>0</v>
      </c>
      <c r="AA111" s="315">
        <f t="shared" si="16"/>
        <v>0</v>
      </c>
      <c r="AB111" s="316"/>
      <c r="AD111" s="317">
        <f t="shared" si="17"/>
        <v>0</v>
      </c>
    </row>
    <row r="112" spans="1:30" ht="14.1" hidden="1" customHeight="1">
      <c r="A112" s="74">
        <v>112</v>
      </c>
      <c r="B112" s="278" t="s">
        <v>272</v>
      </c>
      <c r="C112" s="277" t="s">
        <v>456</v>
      </c>
      <c r="D112" s="277" t="s">
        <v>256</v>
      </c>
      <c r="E112" s="311" t="s">
        <v>402</v>
      </c>
      <c r="F112" s="299" t="s">
        <v>406</v>
      </c>
      <c r="G112" s="70" t="s">
        <v>242</v>
      </c>
      <c r="H112" s="70" t="s">
        <v>51</v>
      </c>
      <c r="I112" s="70" t="s">
        <v>238</v>
      </c>
      <c r="J112" s="313">
        <v>9</v>
      </c>
      <c r="K112" s="314">
        <f t="shared" si="9"/>
        <v>52</v>
      </c>
      <c r="L112" s="243">
        <v>52</v>
      </c>
      <c r="M112" s="243"/>
      <c r="N112" s="243"/>
      <c r="O112" s="243"/>
      <c r="P112" s="243"/>
      <c r="Q112" s="243"/>
      <c r="R112" s="242" t="e">
        <f>IF(L112="nio",0,IF(L112&gt;0,L112*J112/X112,0))*VLOOKUP(B112,'2-Kosten per locatie'!$A$14:$C$21,3,FALSE)</f>
        <v>#DIV/0!</v>
      </c>
      <c r="S112" s="242">
        <f>IF(M112&gt;0,M112*J112/Y112,0)*VLOOKUP(B112,'2-Kosten per locatie'!$A$14:$C$21,3,FALSE)</f>
        <v>0</v>
      </c>
      <c r="T112" s="242">
        <f>IF(N112&gt;0,N112*J112/Z112,0)*VLOOKUP(B112,'2-Kosten per locatie'!$A$14:$C$21,3,FALSE)</f>
        <v>0</v>
      </c>
      <c r="U112" s="242">
        <f>IF(O112&gt;0,O112*J112/AA112,0)*VLOOKUP(B112,'2-Kosten per locatie'!$A$14:$C$21,3,FALSE)</f>
        <v>0</v>
      </c>
      <c r="V112" s="242">
        <f>IF(P112&gt;0,P112*J112/Z112,0)*VLOOKUP(B112,'2-Kosten per locatie'!$A$14:$C$21,3,FALSE)</f>
        <v>0</v>
      </c>
      <c r="W112" s="242">
        <f>IF(Q112&gt;0,Q112*J112/AA112,0)*VLOOKUP(B112,'2-Kosten per locatie'!$A$14:$C$21,3,FALSE)</f>
        <v>0</v>
      </c>
      <c r="X112" s="315">
        <f>IF(L112="nio",0,IF(L112&gt;0,VLOOKUP(H112,'3-Productie normen'!A:K,VLOOKUP(L112,'3-Productie normen'!$B$36:$C$42,2,FALSE),FALSE)))</f>
        <v>0</v>
      </c>
      <c r="Y112" s="315">
        <f t="shared" si="14"/>
        <v>0</v>
      </c>
      <c r="Z112" s="315">
        <f t="shared" si="15"/>
        <v>0</v>
      </c>
      <c r="AA112" s="315">
        <f t="shared" si="16"/>
        <v>0</v>
      </c>
      <c r="AB112" s="316"/>
      <c r="AD112" s="317">
        <f t="shared" si="17"/>
        <v>468</v>
      </c>
    </row>
    <row r="113" spans="1:30" ht="14.1" hidden="1" customHeight="1">
      <c r="A113" s="74">
        <v>113</v>
      </c>
      <c r="B113" s="278" t="s">
        <v>272</v>
      </c>
      <c r="C113" s="277" t="s">
        <v>456</v>
      </c>
      <c r="D113" s="277" t="s">
        <v>256</v>
      </c>
      <c r="E113" s="311" t="s">
        <v>402</v>
      </c>
      <c r="F113" s="299" t="s">
        <v>407</v>
      </c>
      <c r="G113" s="70" t="s">
        <v>353</v>
      </c>
      <c r="H113" s="70" t="s">
        <v>53</v>
      </c>
      <c r="I113" s="70" t="s">
        <v>238</v>
      </c>
      <c r="J113" s="313">
        <v>9</v>
      </c>
      <c r="K113" s="314">
        <f t="shared" si="9"/>
        <v>52</v>
      </c>
      <c r="L113" s="243">
        <v>52</v>
      </c>
      <c r="M113" s="243"/>
      <c r="N113" s="243"/>
      <c r="O113" s="243"/>
      <c r="P113" s="243"/>
      <c r="Q113" s="243"/>
      <c r="R113" s="242" t="e">
        <f>IF(L113="nio",0,IF(L113&gt;0,L113*J113/X113,0))*VLOOKUP(B113,'2-Kosten per locatie'!$A$14:$C$21,3,FALSE)</f>
        <v>#DIV/0!</v>
      </c>
      <c r="S113" s="242">
        <f>IF(M113&gt;0,M113*J113/Y113,0)*VLOOKUP(B113,'2-Kosten per locatie'!$A$14:$C$21,3,FALSE)</f>
        <v>0</v>
      </c>
      <c r="T113" s="242">
        <f>IF(N113&gt;0,N113*J113/Z113,0)*VLOOKUP(B113,'2-Kosten per locatie'!$A$14:$C$21,3,FALSE)</f>
        <v>0</v>
      </c>
      <c r="U113" s="242">
        <f>IF(O113&gt;0,O113*J113/AA113,0)*VLOOKUP(B113,'2-Kosten per locatie'!$A$14:$C$21,3,FALSE)</f>
        <v>0</v>
      </c>
      <c r="V113" s="242">
        <f>IF(P113&gt;0,P113*J113/Z113,0)*VLOOKUP(B113,'2-Kosten per locatie'!$A$14:$C$21,3,FALSE)</f>
        <v>0</v>
      </c>
      <c r="W113" s="242">
        <f>IF(Q113&gt;0,Q113*J113/AA113,0)*VLOOKUP(B113,'2-Kosten per locatie'!$A$14:$C$21,3,FALSE)</f>
        <v>0</v>
      </c>
      <c r="X113" s="315">
        <f>IF(L113="nio",0,IF(L113&gt;0,VLOOKUP(H113,'3-Productie normen'!A:K,VLOOKUP(L113,'3-Productie normen'!$B$36:$C$42,2,FALSE),FALSE)))</f>
        <v>0</v>
      </c>
      <c r="Y113" s="315">
        <f t="shared" si="14"/>
        <v>0</v>
      </c>
      <c r="Z113" s="315">
        <f t="shared" si="15"/>
        <v>0</v>
      </c>
      <c r="AA113" s="315">
        <f t="shared" si="16"/>
        <v>0</v>
      </c>
      <c r="AB113" s="316"/>
      <c r="AD113" s="317">
        <f t="shared" si="17"/>
        <v>468</v>
      </c>
    </row>
    <row r="114" spans="1:30" ht="14.1" hidden="1" customHeight="1">
      <c r="A114" s="74">
        <v>114</v>
      </c>
      <c r="B114" s="278" t="s">
        <v>272</v>
      </c>
      <c r="C114" s="277" t="s">
        <v>456</v>
      </c>
      <c r="D114" s="277" t="s">
        <v>256</v>
      </c>
      <c r="E114" s="311" t="s">
        <v>402</v>
      </c>
      <c r="F114" s="299" t="s">
        <v>408</v>
      </c>
      <c r="G114" s="70" t="s">
        <v>415</v>
      </c>
      <c r="H114" s="70" t="s">
        <v>52</v>
      </c>
      <c r="I114" s="70" t="s">
        <v>238</v>
      </c>
      <c r="J114" s="313">
        <v>5</v>
      </c>
      <c r="K114" s="314">
        <f t="shared" si="9"/>
        <v>52</v>
      </c>
      <c r="L114" s="243">
        <v>52</v>
      </c>
      <c r="M114" s="243"/>
      <c r="N114" s="243"/>
      <c r="O114" s="243"/>
      <c r="P114" s="243"/>
      <c r="Q114" s="243"/>
      <c r="R114" s="242" t="e">
        <f>IF(L114="nio",0,IF(L114&gt;0,L114*J114/X114,0))*VLOOKUP(B114,'2-Kosten per locatie'!$A$14:$C$21,3,FALSE)</f>
        <v>#DIV/0!</v>
      </c>
      <c r="S114" s="242">
        <f>IF(M114&gt;0,M114*J114/Y114,0)*VLOOKUP(B114,'2-Kosten per locatie'!$A$14:$C$21,3,FALSE)</f>
        <v>0</v>
      </c>
      <c r="T114" s="242">
        <f>IF(N114&gt;0,N114*J114/Z114,0)*VLOOKUP(B114,'2-Kosten per locatie'!$A$14:$C$21,3,FALSE)</f>
        <v>0</v>
      </c>
      <c r="U114" s="242">
        <f>IF(O114&gt;0,O114*J114/AA114,0)*VLOOKUP(B114,'2-Kosten per locatie'!$A$14:$C$21,3,FALSE)</f>
        <v>0</v>
      </c>
      <c r="V114" s="242">
        <f>IF(P114&gt;0,P114*J114/Z114,0)*VLOOKUP(B114,'2-Kosten per locatie'!$A$14:$C$21,3,FALSE)</f>
        <v>0</v>
      </c>
      <c r="W114" s="242">
        <f>IF(Q114&gt;0,Q114*J114/AA114,0)*VLOOKUP(B114,'2-Kosten per locatie'!$A$14:$C$21,3,FALSE)</f>
        <v>0</v>
      </c>
      <c r="X114" s="315">
        <f>IF(L114="nio",0,IF(L114&gt;0,VLOOKUP(H114,'3-Productie normen'!A:K,VLOOKUP(L114,'3-Productie normen'!$B$36:$C$42,2,FALSE),FALSE)))</f>
        <v>0</v>
      </c>
      <c r="Y114" s="315">
        <f t="shared" si="14"/>
        <v>0</v>
      </c>
      <c r="Z114" s="315">
        <f t="shared" si="15"/>
        <v>0</v>
      </c>
      <c r="AA114" s="315">
        <f t="shared" si="16"/>
        <v>0</v>
      </c>
      <c r="AB114" s="316"/>
      <c r="AD114" s="317">
        <f t="shared" si="17"/>
        <v>260</v>
      </c>
    </row>
    <row r="115" spans="1:30" ht="14.1" hidden="1" customHeight="1">
      <c r="A115" s="74">
        <v>115</v>
      </c>
      <c r="B115" s="278" t="s">
        <v>272</v>
      </c>
      <c r="C115" s="277" t="s">
        <v>456</v>
      </c>
      <c r="D115" s="277" t="s">
        <v>256</v>
      </c>
      <c r="E115" s="311" t="s">
        <v>402</v>
      </c>
      <c r="F115" s="299" t="s">
        <v>409</v>
      </c>
      <c r="G115" s="70" t="s">
        <v>416</v>
      </c>
      <c r="H115" s="70" t="s">
        <v>52</v>
      </c>
      <c r="I115" s="70" t="s">
        <v>238</v>
      </c>
      <c r="J115" s="313">
        <v>20</v>
      </c>
      <c r="K115" s="314">
        <f t="shared" si="9"/>
        <v>52</v>
      </c>
      <c r="L115" s="243">
        <v>52</v>
      </c>
      <c r="M115" s="243"/>
      <c r="N115" s="243"/>
      <c r="O115" s="243"/>
      <c r="P115" s="243"/>
      <c r="Q115" s="243"/>
      <c r="R115" s="242" t="e">
        <f>IF(L115="nio",0,IF(L115&gt;0,L115*J115/X115,0))*VLOOKUP(B115,'2-Kosten per locatie'!$A$14:$C$21,3,FALSE)</f>
        <v>#DIV/0!</v>
      </c>
      <c r="S115" s="242">
        <f>IF(M115&gt;0,M115*J115/Y115,0)*VLOOKUP(B115,'2-Kosten per locatie'!$A$14:$C$21,3,FALSE)</f>
        <v>0</v>
      </c>
      <c r="T115" s="242">
        <f>IF(N115&gt;0,N115*J115/Z115,0)*VLOOKUP(B115,'2-Kosten per locatie'!$A$14:$C$21,3,FALSE)</f>
        <v>0</v>
      </c>
      <c r="U115" s="242">
        <f>IF(O115&gt;0,O115*J115/AA115,0)*VLOOKUP(B115,'2-Kosten per locatie'!$A$14:$C$21,3,FALSE)</f>
        <v>0</v>
      </c>
      <c r="V115" s="242">
        <f>IF(P115&gt;0,P115*J115/Z115,0)*VLOOKUP(B115,'2-Kosten per locatie'!$A$14:$C$21,3,FALSE)</f>
        <v>0</v>
      </c>
      <c r="W115" s="242">
        <f>IF(Q115&gt;0,Q115*J115/AA115,0)*VLOOKUP(B115,'2-Kosten per locatie'!$A$14:$C$21,3,FALSE)</f>
        <v>0</v>
      </c>
      <c r="X115" s="315">
        <f>IF(L115="nio",0,IF(L115&gt;0,VLOOKUP(H115,'3-Productie normen'!A:K,VLOOKUP(L115,'3-Productie normen'!$B$36:$C$42,2,FALSE),FALSE)))</f>
        <v>0</v>
      </c>
      <c r="Y115" s="315">
        <f t="shared" si="14"/>
        <v>0</v>
      </c>
      <c r="Z115" s="315">
        <f t="shared" si="15"/>
        <v>0</v>
      </c>
      <c r="AA115" s="315">
        <f t="shared" si="16"/>
        <v>0</v>
      </c>
      <c r="AB115" s="316"/>
      <c r="AD115" s="317">
        <f t="shared" si="17"/>
        <v>1040</v>
      </c>
    </row>
    <row r="116" spans="1:30" ht="14.1" hidden="1" customHeight="1">
      <c r="A116" s="74">
        <v>116</v>
      </c>
      <c r="B116" s="278" t="s">
        <v>272</v>
      </c>
      <c r="C116" s="277" t="s">
        <v>456</v>
      </c>
      <c r="D116" s="277" t="s">
        <v>256</v>
      </c>
      <c r="E116" s="311" t="s">
        <v>402</v>
      </c>
      <c r="F116" s="299" t="s">
        <v>410</v>
      </c>
      <c r="G116" s="70" t="s">
        <v>417</v>
      </c>
      <c r="H116" s="70" t="s">
        <v>52</v>
      </c>
      <c r="I116" s="70" t="s">
        <v>238</v>
      </c>
      <c r="J116" s="313">
        <v>25</v>
      </c>
      <c r="K116" s="314">
        <f t="shared" si="9"/>
        <v>52</v>
      </c>
      <c r="L116" s="243">
        <v>52</v>
      </c>
      <c r="M116" s="243"/>
      <c r="N116" s="243"/>
      <c r="O116" s="243"/>
      <c r="P116" s="243"/>
      <c r="Q116" s="243"/>
      <c r="R116" s="242" t="e">
        <f>IF(L116="nio",0,IF(L116&gt;0,L116*J116/X116,0))*VLOOKUP(B116,'2-Kosten per locatie'!$A$14:$C$21,3,FALSE)</f>
        <v>#DIV/0!</v>
      </c>
      <c r="S116" s="242">
        <f>IF(M116&gt;0,M116*J116/Y116,0)*VLOOKUP(B116,'2-Kosten per locatie'!$A$14:$C$21,3,FALSE)</f>
        <v>0</v>
      </c>
      <c r="T116" s="242">
        <f>IF(N116&gt;0,N116*J116/Z116,0)*VLOOKUP(B116,'2-Kosten per locatie'!$A$14:$C$21,3,FALSE)</f>
        <v>0</v>
      </c>
      <c r="U116" s="242">
        <f>IF(O116&gt;0,O116*J116/AA116,0)*VLOOKUP(B116,'2-Kosten per locatie'!$A$14:$C$21,3,FALSE)</f>
        <v>0</v>
      </c>
      <c r="V116" s="242">
        <f>IF(P116&gt;0,P116*J116/Z116,0)*VLOOKUP(B116,'2-Kosten per locatie'!$A$14:$C$21,3,FALSE)</f>
        <v>0</v>
      </c>
      <c r="W116" s="242">
        <f>IF(Q116&gt;0,Q116*J116/AA116,0)*VLOOKUP(B116,'2-Kosten per locatie'!$A$14:$C$21,3,FALSE)</f>
        <v>0</v>
      </c>
      <c r="X116" s="315">
        <f>IF(L116="nio",0,IF(L116&gt;0,VLOOKUP(H116,'3-Productie normen'!A:K,VLOOKUP(L116,'3-Productie normen'!$B$36:$C$42,2,FALSE),FALSE)))</f>
        <v>0</v>
      </c>
      <c r="Y116" s="315">
        <f t="shared" si="14"/>
        <v>0</v>
      </c>
      <c r="Z116" s="315">
        <f t="shared" si="15"/>
        <v>0</v>
      </c>
      <c r="AA116" s="315">
        <f t="shared" si="16"/>
        <v>0</v>
      </c>
      <c r="AB116" s="316"/>
      <c r="AD116" s="317">
        <f t="shared" si="17"/>
        <v>1300</v>
      </c>
    </row>
    <row r="117" spans="1:30" ht="14.1" hidden="1" customHeight="1">
      <c r="A117" s="74">
        <v>117</v>
      </c>
      <c r="B117" s="278" t="s">
        <v>272</v>
      </c>
      <c r="C117" s="277" t="s">
        <v>456</v>
      </c>
      <c r="D117" s="277" t="s">
        <v>256</v>
      </c>
      <c r="E117" s="311" t="s">
        <v>418</v>
      </c>
      <c r="F117" s="312"/>
      <c r="G117" s="70" t="s">
        <v>420</v>
      </c>
      <c r="H117" s="70" t="s">
        <v>320</v>
      </c>
      <c r="I117" s="70" t="s">
        <v>445</v>
      </c>
      <c r="J117" s="313">
        <v>6</v>
      </c>
      <c r="K117" s="314">
        <f t="shared" si="9"/>
        <v>52</v>
      </c>
      <c r="L117" s="243">
        <v>52</v>
      </c>
      <c r="M117" s="243"/>
      <c r="N117" s="243"/>
      <c r="O117" s="243"/>
      <c r="P117" s="243"/>
      <c r="Q117" s="243"/>
      <c r="R117" s="242" t="e">
        <f>IF(L117="nio",0,IF(L117&gt;0,L117*J117/X117,0))*VLOOKUP(B117,'2-Kosten per locatie'!$A$14:$C$21,3,FALSE)</f>
        <v>#DIV/0!</v>
      </c>
      <c r="S117" s="242">
        <f>IF(M117&gt;0,M117*J117/Y117,0)*VLOOKUP(B117,'2-Kosten per locatie'!$A$14:$C$21,3,FALSE)</f>
        <v>0</v>
      </c>
      <c r="T117" s="242">
        <f>IF(N117&gt;0,N117*J117/Z117,0)*VLOOKUP(B117,'2-Kosten per locatie'!$A$14:$C$21,3,FALSE)</f>
        <v>0</v>
      </c>
      <c r="U117" s="242">
        <f>IF(O117&gt;0,O117*J117/AA117,0)*VLOOKUP(B117,'2-Kosten per locatie'!$A$14:$C$21,3,FALSE)</f>
        <v>0</v>
      </c>
      <c r="V117" s="242">
        <f>IF(P117&gt;0,P117*J117/Z117,0)*VLOOKUP(B117,'2-Kosten per locatie'!$A$14:$C$21,3,FALSE)</f>
        <v>0</v>
      </c>
      <c r="W117" s="242">
        <f>IF(Q117&gt;0,Q117*J117/AA117,0)*VLOOKUP(B117,'2-Kosten per locatie'!$A$14:$C$21,3,FALSE)</f>
        <v>0</v>
      </c>
      <c r="X117" s="315">
        <f>IF(L117="nio",0,IF(L117&gt;0,VLOOKUP(H117,'3-Productie normen'!A:K,VLOOKUP(L117,'3-Productie normen'!$B$36:$C$42,2,FALSE),FALSE)))</f>
        <v>0</v>
      </c>
      <c r="Y117" s="315">
        <f t="shared" si="14"/>
        <v>0</v>
      </c>
      <c r="Z117" s="315">
        <f t="shared" si="15"/>
        <v>0</v>
      </c>
      <c r="AA117" s="315">
        <f t="shared" si="16"/>
        <v>0</v>
      </c>
      <c r="AB117" s="316"/>
      <c r="AD117" s="317">
        <f t="shared" si="17"/>
        <v>312</v>
      </c>
    </row>
    <row r="118" spans="1:30" ht="14.1" hidden="1" customHeight="1">
      <c r="A118" s="74">
        <v>118</v>
      </c>
      <c r="B118" s="278" t="s">
        <v>272</v>
      </c>
      <c r="C118" s="277" t="s">
        <v>456</v>
      </c>
      <c r="D118" s="277" t="s">
        <v>256</v>
      </c>
      <c r="E118" s="311" t="s">
        <v>419</v>
      </c>
      <c r="F118" s="312"/>
      <c r="G118" s="70" t="s">
        <v>61</v>
      </c>
      <c r="H118" s="70" t="s">
        <v>239</v>
      </c>
      <c r="I118" s="70" t="s">
        <v>241</v>
      </c>
      <c r="J118" s="313">
        <v>3.5</v>
      </c>
      <c r="K118" s="314">
        <f t="shared" si="9"/>
        <v>52</v>
      </c>
      <c r="L118" s="243">
        <v>52</v>
      </c>
      <c r="M118" s="243"/>
      <c r="N118" s="243"/>
      <c r="O118" s="243"/>
      <c r="P118" s="243"/>
      <c r="Q118" s="243"/>
      <c r="R118" s="242" t="e">
        <f>IF(L118="nio",0,IF(L118&gt;0,L118*J118/X118,0))*VLOOKUP(B118,'2-Kosten per locatie'!$A$14:$C$21,3,FALSE)</f>
        <v>#DIV/0!</v>
      </c>
      <c r="S118" s="242">
        <f>IF(M118&gt;0,M118*J118/Y118,0)*VLOOKUP(B118,'2-Kosten per locatie'!$A$14:$C$21,3,FALSE)</f>
        <v>0</v>
      </c>
      <c r="T118" s="242">
        <f>IF(N118&gt;0,N118*J118/Z118,0)*VLOOKUP(B118,'2-Kosten per locatie'!$A$14:$C$21,3,FALSE)</f>
        <v>0</v>
      </c>
      <c r="U118" s="242">
        <f>IF(O118&gt;0,O118*J118/AA118,0)*VLOOKUP(B118,'2-Kosten per locatie'!$A$14:$C$21,3,FALSE)</f>
        <v>0</v>
      </c>
      <c r="V118" s="242">
        <f>IF(P118&gt;0,P118*J118/Z118,0)*VLOOKUP(B118,'2-Kosten per locatie'!$A$14:$C$21,3,FALSE)</f>
        <v>0</v>
      </c>
      <c r="W118" s="242">
        <f>IF(Q118&gt;0,Q118*J118/AA118,0)*VLOOKUP(B118,'2-Kosten per locatie'!$A$14:$C$21,3,FALSE)</f>
        <v>0</v>
      </c>
      <c r="X118" s="315">
        <f>IF(L118="nio",0,IF(L118&gt;0,VLOOKUP(H118,'3-Productie normen'!A:K,VLOOKUP(L118,'3-Productie normen'!$B$36:$C$42,2,FALSE),FALSE)))</f>
        <v>0</v>
      </c>
      <c r="Y118" s="315">
        <f t="shared" si="14"/>
        <v>0</v>
      </c>
      <c r="Z118" s="315">
        <f t="shared" si="15"/>
        <v>0</v>
      </c>
      <c r="AA118" s="315">
        <f t="shared" si="16"/>
        <v>0</v>
      </c>
      <c r="AB118" s="316"/>
      <c r="AD118" s="317">
        <f t="shared" si="17"/>
        <v>182</v>
      </c>
    </row>
    <row r="119" spans="1:30" ht="14.1" hidden="1" customHeight="1">
      <c r="A119" s="74">
        <v>119</v>
      </c>
      <c r="B119" s="278" t="s">
        <v>272</v>
      </c>
      <c r="C119" s="277" t="s">
        <v>456</v>
      </c>
      <c r="D119" s="277" t="s">
        <v>256</v>
      </c>
      <c r="E119" s="311" t="s">
        <v>419</v>
      </c>
      <c r="F119" s="312" t="s">
        <v>369</v>
      </c>
      <c r="G119" s="70" t="s">
        <v>60</v>
      </c>
      <c r="H119" s="70" t="s">
        <v>60</v>
      </c>
      <c r="I119" s="70" t="s">
        <v>442</v>
      </c>
      <c r="J119" s="313">
        <v>5</v>
      </c>
      <c r="K119" s="314">
        <f t="shared" si="9"/>
        <v>52</v>
      </c>
      <c r="L119" s="243">
        <v>52</v>
      </c>
      <c r="M119" s="243"/>
      <c r="N119" s="243"/>
      <c r="O119" s="243"/>
      <c r="P119" s="243"/>
      <c r="Q119" s="243"/>
      <c r="R119" s="242" t="e">
        <f>IF(L119="nio",0,IF(L119&gt;0,L119*J119/X119,0))*VLOOKUP(B119,'2-Kosten per locatie'!$A$14:$C$21,3,FALSE)</f>
        <v>#DIV/0!</v>
      </c>
      <c r="S119" s="242">
        <f>IF(M119&gt;0,M119*J119/Y119,0)*VLOOKUP(B119,'2-Kosten per locatie'!$A$14:$C$21,3,FALSE)</f>
        <v>0</v>
      </c>
      <c r="T119" s="242">
        <f>IF(N119&gt;0,N119*J119/Z119,0)*VLOOKUP(B119,'2-Kosten per locatie'!$A$14:$C$21,3,FALSE)</f>
        <v>0</v>
      </c>
      <c r="U119" s="242">
        <f>IF(O119&gt;0,O119*J119/AA119,0)*VLOOKUP(B119,'2-Kosten per locatie'!$A$14:$C$21,3,FALSE)</f>
        <v>0</v>
      </c>
      <c r="V119" s="242">
        <f>IF(P119&gt;0,P119*J119/Z119,0)*VLOOKUP(B119,'2-Kosten per locatie'!$A$14:$C$21,3,FALSE)</f>
        <v>0</v>
      </c>
      <c r="W119" s="242">
        <f>IF(Q119&gt;0,Q119*J119/AA119,0)*VLOOKUP(B119,'2-Kosten per locatie'!$A$14:$C$21,3,FALSE)</f>
        <v>0</v>
      </c>
      <c r="X119" s="315">
        <f>IF(L119="nio",0,IF(L119&gt;0,VLOOKUP(H119,'3-Productie normen'!A:K,VLOOKUP(L119,'3-Productie normen'!$B$36:$C$42,2,FALSE),FALSE)))</f>
        <v>0</v>
      </c>
      <c r="Y119" s="315">
        <f t="shared" si="14"/>
        <v>0</v>
      </c>
      <c r="Z119" s="315">
        <f t="shared" si="15"/>
        <v>0</v>
      </c>
      <c r="AA119" s="315">
        <f t="shared" si="16"/>
        <v>0</v>
      </c>
      <c r="AB119" s="316"/>
      <c r="AD119" s="317">
        <f t="shared" si="17"/>
        <v>260</v>
      </c>
    </row>
    <row r="120" spans="1:30" ht="14.1" hidden="1" customHeight="1">
      <c r="A120" s="74">
        <v>120</v>
      </c>
      <c r="B120" s="278" t="s">
        <v>272</v>
      </c>
      <c r="C120" s="277" t="s">
        <v>456</v>
      </c>
      <c r="D120" s="277" t="s">
        <v>256</v>
      </c>
      <c r="E120" s="311" t="s">
        <v>419</v>
      </c>
      <c r="F120" s="312" t="s">
        <v>371</v>
      </c>
      <c r="G120" s="70" t="s">
        <v>429</v>
      </c>
      <c r="H120" s="70" t="s">
        <v>411</v>
      </c>
      <c r="I120" s="70"/>
      <c r="J120" s="313"/>
      <c r="K120" s="314">
        <f t="shared" si="9"/>
        <v>0</v>
      </c>
      <c r="L120" s="243" t="s">
        <v>412</v>
      </c>
      <c r="M120" s="243"/>
      <c r="N120" s="243"/>
      <c r="O120" s="243"/>
      <c r="P120" s="243"/>
      <c r="Q120" s="243"/>
      <c r="R120" s="242">
        <f>IF(L120="nio",0,IF(L120&gt;0,L120*J120/X120,0))*VLOOKUP(B120,'2-Kosten per locatie'!$A$14:$C$21,3,FALSE)</f>
        <v>0</v>
      </c>
      <c r="S120" s="242">
        <f>IF(M120&gt;0,M120*J120/Y120,0)*VLOOKUP(B120,'2-Kosten per locatie'!$A$14:$C$21,3,FALSE)</f>
        <v>0</v>
      </c>
      <c r="T120" s="242">
        <f>IF(N120&gt;0,N120*J120/Z120,0)*VLOOKUP(B120,'2-Kosten per locatie'!$A$14:$C$21,3,FALSE)</f>
        <v>0</v>
      </c>
      <c r="U120" s="242">
        <f>IF(O120&gt;0,O120*J120/AA120,0)*VLOOKUP(B120,'2-Kosten per locatie'!$A$14:$C$21,3,FALSE)</f>
        <v>0</v>
      </c>
      <c r="V120" s="242">
        <f>IF(P120&gt;0,P120*J120/Z120,0)*VLOOKUP(B120,'2-Kosten per locatie'!$A$14:$C$21,3,FALSE)</f>
        <v>0</v>
      </c>
      <c r="W120" s="242">
        <f>IF(Q120&gt;0,Q120*J120/AA120,0)*VLOOKUP(B120,'2-Kosten per locatie'!$A$14:$C$21,3,FALSE)</f>
        <v>0</v>
      </c>
      <c r="X120" s="315">
        <f>IF(L120="nio",0,IF(L120&gt;0,VLOOKUP(H120,'3-Productie normen'!A:K,VLOOKUP(L120,'3-Productie normen'!$B$36:$C$42,2,FALSE),FALSE)))</f>
        <v>0</v>
      </c>
      <c r="Y120" s="315">
        <f t="shared" si="14"/>
        <v>0</v>
      </c>
      <c r="Z120" s="315">
        <f t="shared" si="15"/>
        <v>0</v>
      </c>
      <c r="AA120" s="315">
        <f t="shared" si="16"/>
        <v>0</v>
      </c>
      <c r="AB120" s="316"/>
      <c r="AD120" s="317">
        <f t="shared" si="17"/>
        <v>0</v>
      </c>
    </row>
    <row r="121" spans="1:30" ht="14.1" hidden="1" customHeight="1">
      <c r="A121" s="74">
        <v>121</v>
      </c>
      <c r="B121" s="278" t="s">
        <v>272</v>
      </c>
      <c r="C121" s="277" t="s">
        <v>456</v>
      </c>
      <c r="D121" s="277" t="s">
        <v>256</v>
      </c>
      <c r="E121" s="311" t="s">
        <v>419</v>
      </c>
      <c r="F121" s="312" t="s">
        <v>372</v>
      </c>
      <c r="G121" s="70" t="s">
        <v>430</v>
      </c>
      <c r="H121" s="70" t="s">
        <v>55</v>
      </c>
      <c r="I121" s="70" t="s">
        <v>240</v>
      </c>
      <c r="J121" s="313">
        <v>115</v>
      </c>
      <c r="K121" s="314">
        <f t="shared" si="9"/>
        <v>52</v>
      </c>
      <c r="L121" s="243">
        <v>52</v>
      </c>
      <c r="M121" s="243"/>
      <c r="N121" s="243"/>
      <c r="O121" s="243"/>
      <c r="P121" s="243"/>
      <c r="Q121" s="243"/>
      <c r="R121" s="242" t="e">
        <f>IF(L121="nio",0,IF(L121&gt;0,L121*J121/X121,0))*VLOOKUP(B121,'2-Kosten per locatie'!$A$14:$C$21,3,FALSE)</f>
        <v>#DIV/0!</v>
      </c>
      <c r="S121" s="242">
        <f>IF(M121&gt;0,M121*J121/Y121,0)*VLOOKUP(B121,'2-Kosten per locatie'!$A$14:$C$21,3,FALSE)</f>
        <v>0</v>
      </c>
      <c r="T121" s="242">
        <f>IF(N121&gt;0,N121*J121/Z121,0)*VLOOKUP(B121,'2-Kosten per locatie'!$A$14:$C$21,3,FALSE)</f>
        <v>0</v>
      </c>
      <c r="U121" s="242">
        <f>IF(O121&gt;0,O121*J121/AA121,0)*VLOOKUP(B121,'2-Kosten per locatie'!$A$14:$C$21,3,FALSE)</f>
        <v>0</v>
      </c>
      <c r="V121" s="242">
        <f>IF(P121&gt;0,P121*J121/Z121,0)*VLOOKUP(B121,'2-Kosten per locatie'!$A$14:$C$21,3,FALSE)</f>
        <v>0</v>
      </c>
      <c r="W121" s="242">
        <f>IF(Q121&gt;0,Q121*J121/AA121,0)*VLOOKUP(B121,'2-Kosten per locatie'!$A$14:$C$21,3,FALSE)</f>
        <v>0</v>
      </c>
      <c r="X121" s="315">
        <f>IF(L121="nio",0,IF(L121&gt;0,VLOOKUP(H121,'3-Productie normen'!A:K,VLOOKUP(L121,'3-Productie normen'!$B$36:$C$42,2,FALSE),FALSE)))</f>
        <v>0</v>
      </c>
      <c r="Y121" s="315">
        <f t="shared" si="14"/>
        <v>0</v>
      </c>
      <c r="Z121" s="315">
        <f t="shared" si="15"/>
        <v>0</v>
      </c>
      <c r="AA121" s="315">
        <f t="shared" si="16"/>
        <v>0</v>
      </c>
      <c r="AB121" s="316"/>
      <c r="AD121" s="317">
        <f t="shared" si="17"/>
        <v>5980</v>
      </c>
    </row>
    <row r="122" spans="1:30" ht="14.1" hidden="1" customHeight="1">
      <c r="A122" s="74">
        <v>122</v>
      </c>
      <c r="B122" s="278" t="s">
        <v>272</v>
      </c>
      <c r="C122" s="277" t="s">
        <v>456</v>
      </c>
      <c r="D122" s="277" t="s">
        <v>256</v>
      </c>
      <c r="E122" s="311" t="s">
        <v>419</v>
      </c>
      <c r="F122" s="312" t="s">
        <v>374</v>
      </c>
      <c r="G122" s="70" t="s">
        <v>415</v>
      </c>
      <c r="H122" s="70" t="s">
        <v>52</v>
      </c>
      <c r="I122" s="70" t="s">
        <v>261</v>
      </c>
      <c r="J122" s="313">
        <v>5.5</v>
      </c>
      <c r="K122" s="314">
        <f t="shared" si="9"/>
        <v>52</v>
      </c>
      <c r="L122" s="243">
        <v>52</v>
      </c>
      <c r="M122" s="243"/>
      <c r="N122" s="243"/>
      <c r="O122" s="243"/>
      <c r="P122" s="243"/>
      <c r="Q122" s="243"/>
      <c r="R122" s="242" t="e">
        <f>IF(L122="nio",0,IF(L122&gt;0,L122*J122/X122,0))*VLOOKUP(B122,'2-Kosten per locatie'!$A$14:$C$21,3,FALSE)</f>
        <v>#DIV/0!</v>
      </c>
      <c r="S122" s="242">
        <f>IF(M122&gt;0,M122*J122/Y122,0)*VLOOKUP(B122,'2-Kosten per locatie'!$A$14:$C$21,3,FALSE)</f>
        <v>0</v>
      </c>
      <c r="T122" s="242">
        <f>IF(N122&gt;0,N122*J122/Z122,0)*VLOOKUP(B122,'2-Kosten per locatie'!$A$14:$C$21,3,FALSE)</f>
        <v>0</v>
      </c>
      <c r="U122" s="242">
        <f>IF(O122&gt;0,O122*J122/AA122,0)*VLOOKUP(B122,'2-Kosten per locatie'!$A$14:$C$21,3,FALSE)</f>
        <v>0</v>
      </c>
      <c r="V122" s="242">
        <f>IF(P122&gt;0,P122*J122/Z122,0)*VLOOKUP(B122,'2-Kosten per locatie'!$A$14:$C$21,3,FALSE)</f>
        <v>0</v>
      </c>
      <c r="W122" s="242">
        <f>IF(Q122&gt;0,Q122*J122/AA122,0)*VLOOKUP(B122,'2-Kosten per locatie'!$A$14:$C$21,3,FALSE)</f>
        <v>0</v>
      </c>
      <c r="X122" s="315">
        <f>IF(L122="nio",0,IF(L122&gt;0,VLOOKUP(H122,'3-Productie normen'!A:K,VLOOKUP(L122,'3-Productie normen'!$B$36:$C$42,2,FALSE),FALSE)))</f>
        <v>0</v>
      </c>
      <c r="Y122" s="315">
        <f t="shared" si="14"/>
        <v>0</v>
      </c>
      <c r="Z122" s="315">
        <f t="shared" si="15"/>
        <v>0</v>
      </c>
      <c r="AA122" s="315">
        <f t="shared" si="16"/>
        <v>0</v>
      </c>
      <c r="AB122" s="316"/>
      <c r="AD122" s="317">
        <f t="shared" si="17"/>
        <v>286</v>
      </c>
    </row>
    <row r="123" spans="1:30" ht="14.1" hidden="1" customHeight="1">
      <c r="A123" s="74">
        <v>123</v>
      </c>
      <c r="B123" s="278" t="s">
        <v>272</v>
      </c>
      <c r="C123" s="277" t="s">
        <v>456</v>
      </c>
      <c r="D123" s="277" t="s">
        <v>256</v>
      </c>
      <c r="E123" s="311" t="s">
        <v>419</v>
      </c>
      <c r="F123" s="312" t="s">
        <v>431</v>
      </c>
      <c r="G123" s="70" t="s">
        <v>432</v>
      </c>
      <c r="H123" s="70" t="s">
        <v>411</v>
      </c>
      <c r="I123" s="70"/>
      <c r="J123" s="313"/>
      <c r="K123" s="314">
        <f t="shared" si="9"/>
        <v>0</v>
      </c>
      <c r="L123" s="243" t="s">
        <v>412</v>
      </c>
      <c r="M123" s="243"/>
      <c r="N123" s="243"/>
      <c r="O123" s="243"/>
      <c r="P123" s="243"/>
      <c r="Q123" s="243"/>
      <c r="R123" s="242">
        <f>IF(L123="nio",0,IF(L123&gt;0,L123*J123/X123,0))*VLOOKUP(B123,'2-Kosten per locatie'!$A$14:$C$21,3,FALSE)</f>
        <v>0</v>
      </c>
      <c r="S123" s="242">
        <f>IF(M123&gt;0,M123*J123/Y123,0)*VLOOKUP(B123,'2-Kosten per locatie'!$A$14:$C$21,3,FALSE)</f>
        <v>0</v>
      </c>
      <c r="T123" s="242">
        <f>IF(N123&gt;0,N123*J123/Z123,0)*VLOOKUP(B123,'2-Kosten per locatie'!$A$14:$C$21,3,FALSE)</f>
        <v>0</v>
      </c>
      <c r="U123" s="242">
        <f>IF(O123&gt;0,O123*J123/AA123,0)*VLOOKUP(B123,'2-Kosten per locatie'!$A$14:$C$21,3,FALSE)</f>
        <v>0</v>
      </c>
      <c r="V123" s="242">
        <f>IF(P123&gt;0,P123*J123/Z123,0)*VLOOKUP(B123,'2-Kosten per locatie'!$A$14:$C$21,3,FALSE)</f>
        <v>0</v>
      </c>
      <c r="W123" s="242">
        <f>IF(Q123&gt;0,Q123*J123/AA123,0)*VLOOKUP(B123,'2-Kosten per locatie'!$A$14:$C$21,3,FALSE)</f>
        <v>0</v>
      </c>
      <c r="X123" s="315">
        <f>IF(L123="nio",0,IF(L123&gt;0,VLOOKUP(H123,'3-Productie normen'!A:K,VLOOKUP(L123,'3-Productie normen'!$B$36:$C$42,2,FALSE),FALSE)))</f>
        <v>0</v>
      </c>
      <c r="Y123" s="315"/>
      <c r="Z123" s="315"/>
      <c r="AA123" s="315"/>
      <c r="AB123" s="316"/>
      <c r="AD123" s="317"/>
    </row>
    <row r="124" spans="1:30" ht="14.1" hidden="1" customHeight="1">
      <c r="A124" s="74">
        <v>124</v>
      </c>
      <c r="B124" s="278" t="s">
        <v>272</v>
      </c>
      <c r="C124" s="277" t="s">
        <v>456</v>
      </c>
      <c r="D124" s="277" t="s">
        <v>256</v>
      </c>
      <c r="E124" s="311" t="s">
        <v>419</v>
      </c>
      <c r="F124" s="312" t="s">
        <v>376</v>
      </c>
      <c r="G124" s="70" t="s">
        <v>433</v>
      </c>
      <c r="H124" s="70" t="s">
        <v>411</v>
      </c>
      <c r="I124" s="70"/>
      <c r="J124" s="313"/>
      <c r="K124" s="314">
        <f t="shared" si="9"/>
        <v>0</v>
      </c>
      <c r="L124" s="243" t="s">
        <v>412</v>
      </c>
      <c r="M124" s="243"/>
      <c r="N124" s="243"/>
      <c r="O124" s="243"/>
      <c r="P124" s="243"/>
      <c r="Q124" s="243"/>
      <c r="R124" s="242">
        <f>IF(L124="nio",0,IF(L124&gt;0,L124*J124/X124,0))*VLOOKUP(B124,'2-Kosten per locatie'!$A$14:$C$21,3,FALSE)</f>
        <v>0</v>
      </c>
      <c r="S124" s="242">
        <f>IF(M124&gt;0,M124*J124/Y124,0)*VLOOKUP(B124,'2-Kosten per locatie'!$A$14:$C$21,3,FALSE)</f>
        <v>0</v>
      </c>
      <c r="T124" s="242">
        <f>IF(N124&gt;0,N124*J124/Z124,0)*VLOOKUP(B124,'2-Kosten per locatie'!$A$14:$C$21,3,FALSE)</f>
        <v>0</v>
      </c>
      <c r="U124" s="242">
        <f>IF(O124&gt;0,O124*J124/AA124,0)*VLOOKUP(B124,'2-Kosten per locatie'!$A$14:$C$21,3,FALSE)</f>
        <v>0</v>
      </c>
      <c r="V124" s="242">
        <f>IF(P124&gt;0,P124*J124/Z124,0)*VLOOKUP(B124,'2-Kosten per locatie'!$A$14:$C$21,3,FALSE)</f>
        <v>0</v>
      </c>
      <c r="W124" s="242">
        <f>IF(Q124&gt;0,Q124*J124/AA124,0)*VLOOKUP(B124,'2-Kosten per locatie'!$A$14:$C$21,3,FALSE)</f>
        <v>0</v>
      </c>
      <c r="X124" s="315">
        <f>IF(L124="nio",0,IF(L124&gt;0,VLOOKUP(H124,'3-Productie normen'!A:K,VLOOKUP(L124,'3-Productie normen'!$B$36:$C$42,2,FALSE),FALSE)))</f>
        <v>0</v>
      </c>
      <c r="Y124" s="315">
        <f t="shared" ref="Y124:Y132" si="18">IF(M124&gt;0,X124*$Y$8,0)</f>
        <v>0</v>
      </c>
      <c r="Z124" s="315">
        <f t="shared" ref="Z124:Z132" si="19">IF((OR(N124&gt;0,P124&gt;0)),X124*$Z$8,0)</f>
        <v>0</v>
      </c>
      <c r="AA124" s="315">
        <f t="shared" ref="AA124:AA132" si="20">IF((OR(O124&gt;0,Q124&gt;0)),X124*$AA$8,0)</f>
        <v>0</v>
      </c>
      <c r="AB124" s="316"/>
      <c r="AD124" s="317">
        <f t="shared" ref="AD124:AD141" si="21">K124*J124</f>
        <v>0</v>
      </c>
    </row>
    <row r="125" spans="1:30" ht="14.1" hidden="1" customHeight="1">
      <c r="A125" s="74">
        <v>125</v>
      </c>
      <c r="B125" s="278" t="s">
        <v>272</v>
      </c>
      <c r="C125" s="277" t="s">
        <v>456</v>
      </c>
      <c r="D125" s="277" t="s">
        <v>256</v>
      </c>
      <c r="E125" s="311" t="s">
        <v>419</v>
      </c>
      <c r="F125" s="312" t="s">
        <v>377</v>
      </c>
      <c r="G125" s="70" t="s">
        <v>434</v>
      </c>
      <c r="H125" s="70" t="s">
        <v>411</v>
      </c>
      <c r="I125" s="70"/>
      <c r="J125" s="313"/>
      <c r="K125" s="314">
        <f t="shared" si="9"/>
        <v>0</v>
      </c>
      <c r="L125" s="243" t="s">
        <v>412</v>
      </c>
      <c r="M125" s="243"/>
      <c r="N125" s="243"/>
      <c r="O125" s="243"/>
      <c r="P125" s="243"/>
      <c r="Q125" s="243"/>
      <c r="R125" s="242">
        <f>IF(L125="nio",0,IF(L125&gt;0,L125*J125/X125,0))*VLOOKUP(B125,'2-Kosten per locatie'!$A$14:$C$21,3,FALSE)</f>
        <v>0</v>
      </c>
      <c r="S125" s="242">
        <f>IF(M125&gt;0,M125*J125/Y125,0)*VLOOKUP(B125,'2-Kosten per locatie'!$A$14:$C$21,3,FALSE)</f>
        <v>0</v>
      </c>
      <c r="T125" s="242">
        <f>IF(N125&gt;0,N125*J125/Z125,0)*VLOOKUP(B125,'2-Kosten per locatie'!$A$14:$C$21,3,FALSE)</f>
        <v>0</v>
      </c>
      <c r="U125" s="242">
        <f>IF(O125&gt;0,O125*J125/AA125,0)*VLOOKUP(B125,'2-Kosten per locatie'!$A$14:$C$21,3,FALSE)</f>
        <v>0</v>
      </c>
      <c r="V125" s="242">
        <f>IF(P125&gt;0,P125*J125/Z125,0)*VLOOKUP(B125,'2-Kosten per locatie'!$A$14:$C$21,3,FALSE)</f>
        <v>0</v>
      </c>
      <c r="W125" s="242">
        <f>IF(Q125&gt;0,Q125*J125/AA125,0)*VLOOKUP(B125,'2-Kosten per locatie'!$A$14:$C$21,3,FALSE)</f>
        <v>0</v>
      </c>
      <c r="X125" s="315">
        <f>IF(L125="nio",0,IF(L125&gt;0,VLOOKUP(H125,'3-Productie normen'!A:K,VLOOKUP(L125,'3-Productie normen'!$B$36:$C$42,2,FALSE),FALSE)))</f>
        <v>0</v>
      </c>
      <c r="Y125" s="315">
        <f t="shared" si="18"/>
        <v>0</v>
      </c>
      <c r="Z125" s="315">
        <f t="shared" si="19"/>
        <v>0</v>
      </c>
      <c r="AA125" s="315">
        <f t="shared" si="20"/>
        <v>0</v>
      </c>
      <c r="AB125" s="316"/>
      <c r="AD125" s="317">
        <f t="shared" si="21"/>
        <v>0</v>
      </c>
    </row>
    <row r="126" spans="1:30" ht="14.1" hidden="1" customHeight="1">
      <c r="A126" s="74">
        <v>126</v>
      </c>
      <c r="B126" s="278" t="s">
        <v>272</v>
      </c>
      <c r="C126" s="277" t="s">
        <v>456</v>
      </c>
      <c r="D126" s="277" t="s">
        <v>256</v>
      </c>
      <c r="E126" s="311" t="s">
        <v>419</v>
      </c>
      <c r="F126" s="312" t="s">
        <v>379</v>
      </c>
      <c r="G126" s="70" t="s">
        <v>414</v>
      </c>
      <c r="H126" s="70" t="s">
        <v>411</v>
      </c>
      <c r="I126" s="70"/>
      <c r="J126" s="313"/>
      <c r="K126" s="314">
        <f t="shared" si="9"/>
        <v>0</v>
      </c>
      <c r="L126" s="243" t="s">
        <v>412</v>
      </c>
      <c r="M126" s="243"/>
      <c r="N126" s="243"/>
      <c r="O126" s="243"/>
      <c r="P126" s="243"/>
      <c r="Q126" s="243"/>
      <c r="R126" s="242">
        <f>IF(L126="nio",0,IF(L126&gt;0,L126*J126/X126,0))*VLOOKUP(B126,'2-Kosten per locatie'!$A$14:$C$21,3,FALSE)</f>
        <v>0</v>
      </c>
      <c r="S126" s="242">
        <f>IF(M126&gt;0,M126*J126/Y126,0)*VLOOKUP(B126,'2-Kosten per locatie'!$A$14:$C$21,3,FALSE)</f>
        <v>0</v>
      </c>
      <c r="T126" s="242">
        <f>IF(N126&gt;0,N126*J126/Z126,0)*VLOOKUP(B126,'2-Kosten per locatie'!$A$14:$C$21,3,FALSE)</f>
        <v>0</v>
      </c>
      <c r="U126" s="242">
        <f>IF(O126&gt;0,O126*J126/AA126,0)*VLOOKUP(B126,'2-Kosten per locatie'!$A$14:$C$21,3,FALSE)</f>
        <v>0</v>
      </c>
      <c r="V126" s="242">
        <f>IF(P126&gt;0,P126*J126/Z126,0)*VLOOKUP(B126,'2-Kosten per locatie'!$A$14:$C$21,3,FALSE)</f>
        <v>0</v>
      </c>
      <c r="W126" s="242">
        <f>IF(Q126&gt;0,Q126*J126/AA126,0)*VLOOKUP(B126,'2-Kosten per locatie'!$A$14:$C$21,3,FALSE)</f>
        <v>0</v>
      </c>
      <c r="X126" s="315">
        <f>IF(L126="nio",0,IF(L126&gt;0,VLOOKUP(H126,'3-Productie normen'!A:K,VLOOKUP(L126,'3-Productie normen'!$B$36:$C$42,2,FALSE),FALSE)))</f>
        <v>0</v>
      </c>
      <c r="Y126" s="315">
        <f t="shared" si="18"/>
        <v>0</v>
      </c>
      <c r="Z126" s="315">
        <f t="shared" si="19"/>
        <v>0</v>
      </c>
      <c r="AA126" s="315">
        <f t="shared" si="20"/>
        <v>0</v>
      </c>
      <c r="AB126" s="316"/>
      <c r="AD126" s="317">
        <f t="shared" si="21"/>
        <v>0</v>
      </c>
    </row>
    <row r="127" spans="1:30" ht="14.1" hidden="1" customHeight="1">
      <c r="A127" s="74">
        <v>127</v>
      </c>
      <c r="B127" s="278" t="s">
        <v>272</v>
      </c>
      <c r="C127" s="277" t="s">
        <v>456</v>
      </c>
      <c r="D127" s="277" t="s">
        <v>256</v>
      </c>
      <c r="E127" s="311" t="s">
        <v>419</v>
      </c>
      <c r="F127" s="312" t="s">
        <v>390</v>
      </c>
      <c r="G127" s="70" t="s">
        <v>295</v>
      </c>
      <c r="H127" s="70" t="s">
        <v>53</v>
      </c>
      <c r="I127" s="70" t="s">
        <v>240</v>
      </c>
      <c r="J127" s="321">
        <v>100</v>
      </c>
      <c r="K127" s="314">
        <f t="shared" si="9"/>
        <v>52</v>
      </c>
      <c r="L127" s="243">
        <v>52</v>
      </c>
      <c r="M127" s="243"/>
      <c r="N127" s="243"/>
      <c r="O127" s="243"/>
      <c r="P127" s="243"/>
      <c r="Q127" s="243"/>
      <c r="R127" s="242" t="e">
        <f>IF(L127="nio",0,IF(L127&gt;0,L127*J127/X127,0))*VLOOKUP(B127,'2-Kosten per locatie'!$A$14:$C$21,3,FALSE)</f>
        <v>#DIV/0!</v>
      </c>
      <c r="S127" s="242">
        <f>IF(M127&gt;0,M127*J127/Y127,0)*VLOOKUP(B127,'2-Kosten per locatie'!$A$14:$C$21,3,FALSE)</f>
        <v>0</v>
      </c>
      <c r="T127" s="242">
        <f>IF(N127&gt;0,N127*J127/Z127,0)*VLOOKUP(B127,'2-Kosten per locatie'!$A$14:$C$21,3,FALSE)</f>
        <v>0</v>
      </c>
      <c r="U127" s="242">
        <f>IF(O127&gt;0,O127*J127/AA127,0)*VLOOKUP(B127,'2-Kosten per locatie'!$A$14:$C$21,3,FALSE)</f>
        <v>0</v>
      </c>
      <c r="V127" s="242">
        <f>IF(P127&gt;0,P127*J127/Z127,0)*VLOOKUP(B127,'2-Kosten per locatie'!$A$14:$C$21,3,FALSE)</f>
        <v>0</v>
      </c>
      <c r="W127" s="242">
        <f>IF(Q127&gt;0,Q127*J127/AA127,0)*VLOOKUP(B127,'2-Kosten per locatie'!$A$14:$C$21,3,FALSE)</f>
        <v>0</v>
      </c>
      <c r="X127" s="315">
        <f>IF(L127="nio",0,IF(L127&gt;0,VLOOKUP(H127,'3-Productie normen'!A:K,VLOOKUP(L127,'3-Productie normen'!$B$36:$C$42,2,FALSE),FALSE)))</f>
        <v>0</v>
      </c>
      <c r="Y127" s="315">
        <f t="shared" si="18"/>
        <v>0</v>
      </c>
      <c r="Z127" s="315">
        <f t="shared" si="19"/>
        <v>0</v>
      </c>
      <c r="AA127" s="315">
        <f t="shared" si="20"/>
        <v>0</v>
      </c>
      <c r="AB127" s="316"/>
      <c r="AD127" s="317">
        <f t="shared" si="21"/>
        <v>5200</v>
      </c>
    </row>
    <row r="128" spans="1:30" ht="14.1" hidden="1" customHeight="1">
      <c r="A128" s="74">
        <v>128</v>
      </c>
      <c r="B128" s="278" t="s">
        <v>272</v>
      </c>
      <c r="C128" s="277" t="s">
        <v>456</v>
      </c>
      <c r="D128" s="277" t="s">
        <v>256</v>
      </c>
      <c r="E128" s="311" t="s">
        <v>419</v>
      </c>
      <c r="F128" s="312" t="s">
        <v>421</v>
      </c>
      <c r="G128" s="84" t="s">
        <v>437</v>
      </c>
      <c r="H128" s="84" t="s">
        <v>441</v>
      </c>
      <c r="I128" s="84" t="s">
        <v>444</v>
      </c>
      <c r="J128" s="313">
        <v>180</v>
      </c>
      <c r="K128" s="314">
        <f t="shared" si="9"/>
        <v>52</v>
      </c>
      <c r="L128" s="243">
        <v>52</v>
      </c>
      <c r="M128" s="243"/>
      <c r="N128" s="243"/>
      <c r="O128" s="243"/>
      <c r="P128" s="243"/>
      <c r="Q128" s="243"/>
      <c r="R128" s="242" t="e">
        <f>IF(L128="nio",0,IF(L128&gt;0,L128*J128/X128,0))*VLOOKUP(B128,'2-Kosten per locatie'!$A$14:$C$21,3,FALSE)</f>
        <v>#DIV/0!</v>
      </c>
      <c r="S128" s="242">
        <f>IF(M128&gt;0,M128*J128/Y128,0)*VLOOKUP(B128,'2-Kosten per locatie'!$A$14:$C$21,3,FALSE)</f>
        <v>0</v>
      </c>
      <c r="T128" s="242">
        <f>IF(N128&gt;0,N128*J128/Z128,0)*VLOOKUP(B128,'2-Kosten per locatie'!$A$14:$C$21,3,FALSE)</f>
        <v>0</v>
      </c>
      <c r="U128" s="242">
        <f>IF(O128&gt;0,O128*J128/AA128,0)*VLOOKUP(B128,'2-Kosten per locatie'!$A$14:$C$21,3,FALSE)</f>
        <v>0</v>
      </c>
      <c r="V128" s="242">
        <f>IF(P128&gt;0,P128*J128/Z128,0)*VLOOKUP(B128,'2-Kosten per locatie'!$A$14:$C$21,3,FALSE)</f>
        <v>0</v>
      </c>
      <c r="W128" s="242">
        <f>IF(Q128&gt;0,Q128*J128/AA128,0)*VLOOKUP(B128,'2-Kosten per locatie'!$A$14:$C$21,3,FALSE)</f>
        <v>0</v>
      </c>
      <c r="X128" s="315">
        <f>IF(L128="nio",0,IF(L128&gt;0,VLOOKUP(H128,'3-Productie normen'!A:K,VLOOKUP(L128,'3-Productie normen'!$B$36:$C$42,2,FALSE),FALSE)))</f>
        <v>0</v>
      </c>
      <c r="Y128" s="315">
        <f t="shared" si="18"/>
        <v>0</v>
      </c>
      <c r="Z128" s="315">
        <f t="shared" si="19"/>
        <v>0</v>
      </c>
      <c r="AA128" s="315">
        <f t="shared" si="20"/>
        <v>0</v>
      </c>
      <c r="AB128" s="316"/>
      <c r="AD128" s="317">
        <f t="shared" si="21"/>
        <v>9360</v>
      </c>
    </row>
    <row r="129" spans="1:30" ht="14.1" hidden="1" customHeight="1">
      <c r="A129" s="74">
        <v>129</v>
      </c>
      <c r="B129" s="278" t="s">
        <v>272</v>
      </c>
      <c r="C129" s="277" t="s">
        <v>456</v>
      </c>
      <c r="D129" s="277" t="s">
        <v>256</v>
      </c>
      <c r="E129" s="311" t="s">
        <v>419</v>
      </c>
      <c r="F129" s="312" t="s">
        <v>422</v>
      </c>
      <c r="G129" s="70" t="s">
        <v>436</v>
      </c>
      <c r="H129" s="70" t="s">
        <v>53</v>
      </c>
      <c r="I129" s="70" t="s">
        <v>443</v>
      </c>
      <c r="J129" s="313">
        <v>80</v>
      </c>
      <c r="K129" s="314">
        <f t="shared" si="9"/>
        <v>52</v>
      </c>
      <c r="L129" s="243">
        <v>52</v>
      </c>
      <c r="M129" s="243"/>
      <c r="N129" s="243"/>
      <c r="O129" s="243"/>
      <c r="P129" s="243"/>
      <c r="Q129" s="243"/>
      <c r="R129" s="242" t="e">
        <f>IF(L129="nio",0,IF(L129&gt;0,L129*J129/X129,0))*VLOOKUP(B129,'2-Kosten per locatie'!$A$14:$C$21,3,FALSE)</f>
        <v>#DIV/0!</v>
      </c>
      <c r="S129" s="242">
        <f>IF(M129&gt;0,M129*J129/Y129,0)*VLOOKUP(B129,'2-Kosten per locatie'!$A$14:$C$21,3,FALSE)</f>
        <v>0</v>
      </c>
      <c r="T129" s="242">
        <f>IF(N129&gt;0,N129*J129/Z129,0)*VLOOKUP(B129,'2-Kosten per locatie'!$A$14:$C$21,3,FALSE)</f>
        <v>0</v>
      </c>
      <c r="U129" s="242">
        <f>IF(O129&gt;0,O129*J129/AA129,0)*VLOOKUP(B129,'2-Kosten per locatie'!$A$14:$C$21,3,FALSE)</f>
        <v>0</v>
      </c>
      <c r="V129" s="242">
        <f>IF(P129&gt;0,P129*J129/Z129,0)*VLOOKUP(B129,'2-Kosten per locatie'!$A$14:$C$21,3,FALSE)</f>
        <v>0</v>
      </c>
      <c r="W129" s="242">
        <f>IF(Q129&gt;0,Q129*J129/AA129,0)*VLOOKUP(B129,'2-Kosten per locatie'!$A$14:$C$21,3,FALSE)</f>
        <v>0</v>
      </c>
      <c r="X129" s="315">
        <f>IF(L129="nio",0,IF(L129&gt;0,VLOOKUP(H129,'3-Productie normen'!A:K,VLOOKUP(L129,'3-Productie normen'!$B$36:$C$42,2,FALSE),FALSE)))</f>
        <v>0</v>
      </c>
      <c r="Y129" s="315">
        <f t="shared" si="18"/>
        <v>0</v>
      </c>
      <c r="Z129" s="315">
        <f t="shared" si="19"/>
        <v>0</v>
      </c>
      <c r="AA129" s="315">
        <f t="shared" si="20"/>
        <v>0</v>
      </c>
      <c r="AB129" s="316"/>
      <c r="AD129" s="317">
        <f t="shared" si="21"/>
        <v>4160</v>
      </c>
    </row>
    <row r="130" spans="1:30" ht="14.1" hidden="1" customHeight="1">
      <c r="A130" s="74">
        <v>130</v>
      </c>
      <c r="B130" s="278" t="s">
        <v>272</v>
      </c>
      <c r="C130" s="277" t="s">
        <v>456</v>
      </c>
      <c r="D130" s="277" t="s">
        <v>256</v>
      </c>
      <c r="E130" s="311" t="s">
        <v>419</v>
      </c>
      <c r="F130" s="312" t="s">
        <v>423</v>
      </c>
      <c r="G130" s="70" t="s">
        <v>440</v>
      </c>
      <c r="H130" s="70" t="s">
        <v>53</v>
      </c>
      <c r="I130" s="70" t="s">
        <v>445</v>
      </c>
      <c r="J130" s="313">
        <v>6</v>
      </c>
      <c r="K130" s="314">
        <f t="shared" si="9"/>
        <v>52</v>
      </c>
      <c r="L130" s="243">
        <v>52</v>
      </c>
      <c r="M130" s="243"/>
      <c r="N130" s="243"/>
      <c r="O130" s="243"/>
      <c r="P130" s="243"/>
      <c r="Q130" s="243"/>
      <c r="R130" s="242" t="e">
        <f>IF(L130="nio",0,IF(L130&gt;0,L130*J130/X130,0))*VLOOKUP(B130,'2-Kosten per locatie'!$A$14:$C$21,3,FALSE)</f>
        <v>#DIV/0!</v>
      </c>
      <c r="S130" s="242">
        <f>IF(M130&gt;0,M130*J130/Y130,0)*VLOOKUP(B130,'2-Kosten per locatie'!$A$14:$C$21,3,FALSE)</f>
        <v>0</v>
      </c>
      <c r="T130" s="242">
        <f>IF(N130&gt;0,N130*J130/Z130,0)*VLOOKUP(B130,'2-Kosten per locatie'!$A$14:$C$21,3,FALSE)</f>
        <v>0</v>
      </c>
      <c r="U130" s="242">
        <f>IF(O130&gt;0,O130*J130/AA130,0)*VLOOKUP(B130,'2-Kosten per locatie'!$A$14:$C$21,3,FALSE)</f>
        <v>0</v>
      </c>
      <c r="V130" s="242">
        <f>IF(P130&gt;0,P130*J130/Z130,0)*VLOOKUP(B130,'2-Kosten per locatie'!$A$14:$C$21,3,FALSE)</f>
        <v>0</v>
      </c>
      <c r="W130" s="242">
        <f>IF(Q130&gt;0,Q130*J130/AA130,0)*VLOOKUP(B130,'2-Kosten per locatie'!$A$14:$C$21,3,FALSE)</f>
        <v>0</v>
      </c>
      <c r="X130" s="315">
        <f>IF(L130="nio",0,IF(L130&gt;0,VLOOKUP(H130,'3-Productie normen'!A:K,VLOOKUP(L130,'3-Productie normen'!$B$36:$C$42,2,FALSE),FALSE)))</f>
        <v>0</v>
      </c>
      <c r="Y130" s="315">
        <f t="shared" si="18"/>
        <v>0</v>
      </c>
      <c r="Z130" s="315">
        <f t="shared" si="19"/>
        <v>0</v>
      </c>
      <c r="AA130" s="315">
        <f t="shared" si="20"/>
        <v>0</v>
      </c>
      <c r="AB130" s="316"/>
      <c r="AD130" s="317">
        <f t="shared" si="21"/>
        <v>312</v>
      </c>
    </row>
    <row r="131" spans="1:30" ht="14.1" hidden="1" customHeight="1">
      <c r="A131" s="74">
        <v>131</v>
      </c>
      <c r="B131" s="278" t="s">
        <v>272</v>
      </c>
      <c r="C131" s="277" t="s">
        <v>456</v>
      </c>
      <c r="D131" s="277" t="s">
        <v>256</v>
      </c>
      <c r="E131" s="311" t="s">
        <v>419</v>
      </c>
      <c r="F131" s="312" t="s">
        <v>424</v>
      </c>
      <c r="G131" s="70" t="s">
        <v>414</v>
      </c>
      <c r="H131" s="70" t="s">
        <v>411</v>
      </c>
      <c r="I131" s="70"/>
      <c r="J131" s="313">
        <v>27</v>
      </c>
      <c r="K131" s="314">
        <f t="shared" si="9"/>
        <v>0</v>
      </c>
      <c r="L131" s="243" t="s">
        <v>412</v>
      </c>
      <c r="M131" s="243"/>
      <c r="N131" s="243"/>
      <c r="O131" s="243"/>
      <c r="P131" s="243"/>
      <c r="Q131" s="243"/>
      <c r="R131" s="242">
        <f>IF(L131="nio",0,IF(L131&gt;0,L131*J131/X131,0))*VLOOKUP(B131,'2-Kosten per locatie'!$A$14:$C$21,3,FALSE)</f>
        <v>0</v>
      </c>
      <c r="S131" s="242">
        <f>IF(M131&gt;0,M131*J131/Y131,0)*VLOOKUP(B131,'2-Kosten per locatie'!$A$14:$C$21,3,FALSE)</f>
        <v>0</v>
      </c>
      <c r="T131" s="242">
        <f>IF(N131&gt;0,N131*J131/Z131,0)*VLOOKUP(B131,'2-Kosten per locatie'!$A$14:$C$21,3,FALSE)</f>
        <v>0</v>
      </c>
      <c r="U131" s="242">
        <f>IF(O131&gt;0,O131*J131/AA131,0)*VLOOKUP(B131,'2-Kosten per locatie'!$A$14:$C$21,3,FALSE)</f>
        <v>0</v>
      </c>
      <c r="V131" s="242">
        <f>IF(P131&gt;0,P131*J131/Z131,0)*VLOOKUP(B131,'2-Kosten per locatie'!$A$14:$C$21,3,FALSE)</f>
        <v>0</v>
      </c>
      <c r="W131" s="242">
        <f>IF(Q131&gt;0,Q131*J131/AA131,0)*VLOOKUP(B131,'2-Kosten per locatie'!$A$14:$C$21,3,FALSE)</f>
        <v>0</v>
      </c>
      <c r="X131" s="315">
        <f>IF(L131="nio",0,IF(L131&gt;0,VLOOKUP(H131,'3-Productie normen'!A:K,VLOOKUP(L131,'3-Productie normen'!$B$36:$C$42,2,FALSE),FALSE)))</f>
        <v>0</v>
      </c>
      <c r="Y131" s="315">
        <f t="shared" si="18"/>
        <v>0</v>
      </c>
      <c r="Z131" s="315">
        <f t="shared" si="19"/>
        <v>0</v>
      </c>
      <c r="AA131" s="315">
        <f t="shared" si="20"/>
        <v>0</v>
      </c>
      <c r="AB131" s="316"/>
      <c r="AD131" s="317">
        <f t="shared" si="21"/>
        <v>0</v>
      </c>
    </row>
    <row r="132" spans="1:30" ht="14.1" hidden="1" customHeight="1">
      <c r="A132" s="74">
        <v>132</v>
      </c>
      <c r="B132" s="278" t="s">
        <v>272</v>
      </c>
      <c r="C132" s="277" t="s">
        <v>456</v>
      </c>
      <c r="D132" s="277" t="s">
        <v>256</v>
      </c>
      <c r="E132" s="311" t="s">
        <v>419</v>
      </c>
      <c r="F132" s="312" t="s">
        <v>425</v>
      </c>
      <c r="G132" s="70" t="s">
        <v>438</v>
      </c>
      <c r="H132" s="70" t="s">
        <v>56</v>
      </c>
      <c r="I132" s="70" t="s">
        <v>264</v>
      </c>
      <c r="J132" s="313">
        <v>10</v>
      </c>
      <c r="K132" s="314">
        <f t="shared" si="9"/>
        <v>52</v>
      </c>
      <c r="L132" s="243">
        <v>52</v>
      </c>
      <c r="M132" s="243"/>
      <c r="N132" s="243"/>
      <c r="O132" s="243"/>
      <c r="P132" s="243"/>
      <c r="Q132" s="243"/>
      <c r="R132" s="242" t="e">
        <f>IF(L132="nio",0,IF(L132&gt;0,L132*J132/X132,0))*VLOOKUP(B132,'2-Kosten per locatie'!$A$14:$C$21,3,FALSE)</f>
        <v>#DIV/0!</v>
      </c>
      <c r="S132" s="242">
        <f>IF(M132&gt;0,M132*J132/Y132,0)*VLOOKUP(B132,'2-Kosten per locatie'!$A$14:$C$21,3,FALSE)</f>
        <v>0</v>
      </c>
      <c r="T132" s="242">
        <f>IF(N132&gt;0,N132*J132/Z132,0)*VLOOKUP(B132,'2-Kosten per locatie'!$A$14:$C$21,3,FALSE)</f>
        <v>0</v>
      </c>
      <c r="U132" s="242">
        <f>IF(O132&gt;0,O132*J132/AA132,0)*VLOOKUP(B132,'2-Kosten per locatie'!$A$14:$C$21,3,FALSE)</f>
        <v>0</v>
      </c>
      <c r="V132" s="242">
        <f>IF(P132&gt;0,P132*J132/Z132,0)*VLOOKUP(B132,'2-Kosten per locatie'!$A$14:$C$21,3,FALSE)</f>
        <v>0</v>
      </c>
      <c r="W132" s="242">
        <f>IF(Q132&gt;0,Q132*J132/AA132,0)*VLOOKUP(B132,'2-Kosten per locatie'!$A$14:$C$21,3,FALSE)</f>
        <v>0</v>
      </c>
      <c r="X132" s="315">
        <f>IF(L132="nio",0,IF(L132&gt;0,VLOOKUP(H132,'3-Productie normen'!A:K,VLOOKUP(L132,'3-Productie normen'!$B$36:$C$42,2,FALSE),FALSE)))</f>
        <v>0</v>
      </c>
      <c r="Y132" s="315">
        <f t="shared" si="18"/>
        <v>0</v>
      </c>
      <c r="Z132" s="315">
        <f t="shared" si="19"/>
        <v>0</v>
      </c>
      <c r="AA132" s="315">
        <f t="shared" si="20"/>
        <v>0</v>
      </c>
      <c r="AB132" s="316"/>
      <c r="AD132" s="317">
        <f t="shared" si="21"/>
        <v>520</v>
      </c>
    </row>
    <row r="133" spans="1:30" ht="14.1" hidden="1" customHeight="1">
      <c r="A133" s="74">
        <v>133</v>
      </c>
      <c r="B133" s="278" t="s">
        <v>272</v>
      </c>
      <c r="C133" s="277" t="s">
        <v>456</v>
      </c>
      <c r="D133" s="277" t="s">
        <v>256</v>
      </c>
      <c r="E133" s="311" t="s">
        <v>419</v>
      </c>
      <c r="F133" s="312" t="s">
        <v>439</v>
      </c>
      <c r="G133" s="70" t="s">
        <v>243</v>
      </c>
      <c r="H133" s="70" t="s">
        <v>52</v>
      </c>
      <c r="I133" s="70" t="s">
        <v>261</v>
      </c>
      <c r="J133" s="313">
        <v>1</v>
      </c>
      <c r="K133" s="314">
        <f t="shared" si="9"/>
        <v>52</v>
      </c>
      <c r="L133" s="243">
        <v>52</v>
      </c>
      <c r="M133" s="243"/>
      <c r="N133" s="243"/>
      <c r="O133" s="243"/>
      <c r="P133" s="243"/>
      <c r="Q133" s="243"/>
      <c r="R133" s="242" t="e">
        <f>IF(L133="nio",0,IF(L133&gt;0,L133*J133/X133,0))*VLOOKUP(B133,'2-Kosten per locatie'!$A$14:$C$21,3,FALSE)</f>
        <v>#DIV/0!</v>
      </c>
      <c r="S133" s="242">
        <f>IF(M133&gt;0,M133*J133/Y133,0)*VLOOKUP(B133,'2-Kosten per locatie'!$A$14:$C$21,3,FALSE)</f>
        <v>0</v>
      </c>
      <c r="T133" s="242">
        <f>IF(N133&gt;0,N133*J133/Z133,0)*VLOOKUP(B133,'2-Kosten per locatie'!$A$14:$C$21,3,FALSE)</f>
        <v>0</v>
      </c>
      <c r="U133" s="242">
        <f>IF(O133&gt;0,O133*J133/AA133,0)*VLOOKUP(B133,'2-Kosten per locatie'!$A$14:$C$21,3,FALSE)</f>
        <v>0</v>
      </c>
      <c r="V133" s="242">
        <f>IF(P133&gt;0,P133*J133/Z133,0)*VLOOKUP(B133,'2-Kosten per locatie'!$A$14:$C$21,3,FALSE)</f>
        <v>0</v>
      </c>
      <c r="W133" s="242">
        <f>IF(Q133&gt;0,Q133*J133/AA133,0)*VLOOKUP(B133,'2-Kosten per locatie'!$A$14:$C$21,3,FALSE)</f>
        <v>0</v>
      </c>
      <c r="X133" s="315">
        <f>IF(L133="nio",0,IF(L133&gt;0,VLOOKUP(H133,'3-Productie normen'!A:K,VLOOKUP(L133,'3-Productie normen'!$B$36:$C$42,2,FALSE),FALSE)))</f>
        <v>0</v>
      </c>
      <c r="Y133" s="315"/>
      <c r="Z133" s="315"/>
      <c r="AA133" s="315"/>
      <c r="AB133" s="316"/>
      <c r="AD133" s="317">
        <f t="shared" si="21"/>
        <v>52</v>
      </c>
    </row>
    <row r="134" spans="1:30" ht="14.1" hidden="1" customHeight="1">
      <c r="A134" s="74">
        <v>134</v>
      </c>
      <c r="B134" s="278" t="s">
        <v>272</v>
      </c>
      <c r="C134" s="277" t="s">
        <v>456</v>
      </c>
      <c r="D134" s="277" t="s">
        <v>256</v>
      </c>
      <c r="E134" s="311" t="s">
        <v>419</v>
      </c>
      <c r="F134" s="312" t="s">
        <v>427</v>
      </c>
      <c r="G134" s="70" t="s">
        <v>438</v>
      </c>
      <c r="H134" s="70" t="s">
        <v>56</v>
      </c>
      <c r="I134" s="70" t="s">
        <v>264</v>
      </c>
      <c r="J134" s="313">
        <v>1.5</v>
      </c>
      <c r="K134" s="314">
        <f t="shared" si="9"/>
        <v>52</v>
      </c>
      <c r="L134" s="243">
        <v>52</v>
      </c>
      <c r="M134" s="243"/>
      <c r="N134" s="243"/>
      <c r="O134" s="243"/>
      <c r="P134" s="243"/>
      <c r="Q134" s="243"/>
      <c r="R134" s="242" t="e">
        <f>IF(L134="nio",0,IF(L134&gt;0,L134*J134/X134,0))*VLOOKUP(B134,'2-Kosten per locatie'!$A$14:$C$21,3,FALSE)</f>
        <v>#DIV/0!</v>
      </c>
      <c r="S134" s="242">
        <f>IF(M134&gt;0,M134*J134/Y134,0)*VLOOKUP(B134,'2-Kosten per locatie'!$A$14:$C$21,3,FALSE)</f>
        <v>0</v>
      </c>
      <c r="T134" s="242">
        <f>IF(N134&gt;0,N134*J134/Z134,0)*VLOOKUP(B134,'2-Kosten per locatie'!$A$14:$C$21,3,FALSE)</f>
        <v>0</v>
      </c>
      <c r="U134" s="242">
        <f>IF(O134&gt;0,O134*J134/AA134,0)*VLOOKUP(B134,'2-Kosten per locatie'!$A$14:$C$21,3,FALSE)</f>
        <v>0</v>
      </c>
      <c r="V134" s="242">
        <f>IF(P134&gt;0,P134*J134/Z134,0)*VLOOKUP(B134,'2-Kosten per locatie'!$A$14:$C$21,3,FALSE)</f>
        <v>0</v>
      </c>
      <c r="W134" s="242">
        <f>IF(Q134&gt;0,Q134*J134/AA134,0)*VLOOKUP(B134,'2-Kosten per locatie'!$A$14:$C$21,3,FALSE)</f>
        <v>0</v>
      </c>
      <c r="X134" s="315">
        <f>IF(L134="nio",0,IF(L134&gt;0,VLOOKUP(H134,'3-Productie normen'!A:K,VLOOKUP(L134,'3-Productie normen'!$B$36:$C$42,2,FALSE),FALSE)))</f>
        <v>0</v>
      </c>
      <c r="Y134" s="315">
        <f t="shared" ref="Y134:Y141" si="22">IF(M134&gt;0,X134*$Y$8,0)</f>
        <v>0</v>
      </c>
      <c r="Z134" s="315">
        <f t="shared" ref="Z134:Z141" si="23">IF((OR(N134&gt;0,P134&gt;0)),X134*$Z$8,0)</f>
        <v>0</v>
      </c>
      <c r="AA134" s="315">
        <f t="shared" ref="AA134:AA141" si="24">IF((OR(O134&gt;0,Q134&gt;0)),X134*$AA$8,0)</f>
        <v>0</v>
      </c>
      <c r="AB134" s="316"/>
      <c r="AD134" s="317">
        <f t="shared" si="21"/>
        <v>78</v>
      </c>
    </row>
    <row r="135" spans="1:30" ht="14.1" hidden="1" customHeight="1">
      <c r="A135" s="74">
        <v>135</v>
      </c>
      <c r="B135" s="278" t="s">
        <v>272</v>
      </c>
      <c r="C135" s="277" t="s">
        <v>456</v>
      </c>
      <c r="D135" s="277" t="s">
        <v>256</v>
      </c>
      <c r="E135" s="311" t="s">
        <v>419</v>
      </c>
      <c r="F135" s="312" t="s">
        <v>428</v>
      </c>
      <c r="G135" s="70" t="s">
        <v>260</v>
      </c>
      <c r="H135" s="70" t="s">
        <v>392</v>
      </c>
      <c r="I135" s="70" t="s">
        <v>261</v>
      </c>
      <c r="J135" s="313">
        <v>2</v>
      </c>
      <c r="K135" s="314">
        <f t="shared" si="9"/>
        <v>52</v>
      </c>
      <c r="L135" s="243">
        <v>52</v>
      </c>
      <c r="M135" s="243"/>
      <c r="N135" s="243"/>
      <c r="O135" s="243"/>
      <c r="P135" s="243"/>
      <c r="Q135" s="243"/>
      <c r="R135" s="242" t="e">
        <f>IF(L135="nio",0,IF(L135&gt;0,L135*J135/X135,0))*VLOOKUP(B135,'2-Kosten per locatie'!$A$14:$C$21,3,FALSE)</f>
        <v>#DIV/0!</v>
      </c>
      <c r="S135" s="242">
        <f>IF(M135&gt;0,M135*J135/Y135,0)*VLOOKUP(B135,'2-Kosten per locatie'!$A$14:$C$21,3,FALSE)</f>
        <v>0</v>
      </c>
      <c r="T135" s="242">
        <f>IF(N135&gt;0,N135*J135/Z135,0)*VLOOKUP(B135,'2-Kosten per locatie'!$A$14:$C$21,3,FALSE)</f>
        <v>0</v>
      </c>
      <c r="U135" s="242">
        <f>IF(O135&gt;0,O135*J135/AA135,0)*VLOOKUP(B135,'2-Kosten per locatie'!$A$14:$C$21,3,FALSE)</f>
        <v>0</v>
      </c>
      <c r="V135" s="242">
        <f>IF(P135&gt;0,P135*J135/Z135,0)*VLOOKUP(B135,'2-Kosten per locatie'!$A$14:$C$21,3,FALSE)</f>
        <v>0</v>
      </c>
      <c r="W135" s="242">
        <f>IF(Q135&gt;0,Q135*J135/AA135,0)*VLOOKUP(B135,'2-Kosten per locatie'!$A$14:$C$21,3,FALSE)</f>
        <v>0</v>
      </c>
      <c r="X135" s="315">
        <f>IF(L135="nio",0,IF(L135&gt;0,VLOOKUP(H135,'3-Productie normen'!A:K,VLOOKUP(L135,'3-Productie normen'!$B$36:$C$42,2,FALSE),FALSE)))</f>
        <v>0</v>
      </c>
      <c r="Y135" s="315">
        <f t="shared" si="22"/>
        <v>0</v>
      </c>
      <c r="Z135" s="315">
        <f t="shared" si="23"/>
        <v>0</v>
      </c>
      <c r="AA135" s="315">
        <f t="shared" si="24"/>
        <v>0</v>
      </c>
      <c r="AB135" s="316"/>
      <c r="AD135" s="317">
        <f t="shared" si="21"/>
        <v>104</v>
      </c>
    </row>
    <row r="136" spans="1:30" ht="14.1" hidden="1" customHeight="1">
      <c r="A136" s="74">
        <v>136</v>
      </c>
      <c r="B136" s="278" t="s">
        <v>272</v>
      </c>
      <c r="C136" s="277" t="s">
        <v>456</v>
      </c>
      <c r="D136" s="277" t="s">
        <v>256</v>
      </c>
      <c r="E136" s="311" t="s">
        <v>419</v>
      </c>
      <c r="F136" s="312" t="s">
        <v>426</v>
      </c>
      <c r="G136" s="70" t="s">
        <v>435</v>
      </c>
      <c r="H136" s="70" t="s">
        <v>53</v>
      </c>
      <c r="I136" s="70" t="s">
        <v>236</v>
      </c>
      <c r="J136" s="313">
        <v>14</v>
      </c>
      <c r="K136" s="314">
        <f t="shared" si="9"/>
        <v>52</v>
      </c>
      <c r="L136" s="243">
        <v>52</v>
      </c>
      <c r="M136" s="243"/>
      <c r="N136" s="243"/>
      <c r="O136" s="243"/>
      <c r="P136" s="243"/>
      <c r="Q136" s="243"/>
      <c r="R136" s="242" t="e">
        <f>IF(L136="nio",0,IF(L136&gt;0,L136*J136/X136,0))*VLOOKUP(B136,'2-Kosten per locatie'!$A$14:$C$21,3,FALSE)</f>
        <v>#DIV/0!</v>
      </c>
      <c r="S136" s="242">
        <f>IF(M136&gt;0,M136*J136/Y136,0)*VLOOKUP(B136,'2-Kosten per locatie'!$A$14:$C$21,3,FALSE)</f>
        <v>0</v>
      </c>
      <c r="T136" s="242">
        <f>IF(N136&gt;0,N136*J136/Z136,0)*VLOOKUP(B136,'2-Kosten per locatie'!$A$14:$C$21,3,FALSE)</f>
        <v>0</v>
      </c>
      <c r="U136" s="242">
        <f>IF(O136&gt;0,O136*J136/AA136,0)*VLOOKUP(B136,'2-Kosten per locatie'!$A$14:$C$21,3,FALSE)</f>
        <v>0</v>
      </c>
      <c r="V136" s="242">
        <f>IF(P136&gt;0,P136*J136/Z136,0)*VLOOKUP(B136,'2-Kosten per locatie'!$A$14:$C$21,3,FALSE)</f>
        <v>0</v>
      </c>
      <c r="W136" s="242">
        <f>IF(Q136&gt;0,Q136*J136/AA136,0)*VLOOKUP(B136,'2-Kosten per locatie'!$A$14:$C$21,3,FALSE)</f>
        <v>0</v>
      </c>
      <c r="X136" s="315">
        <f>IF(L136="nio",0,IF(L136&gt;0,VLOOKUP(H136,'3-Productie normen'!A:K,VLOOKUP(L136,'3-Productie normen'!$B$36:$C$42,2,FALSE),FALSE)))</f>
        <v>0</v>
      </c>
      <c r="Y136" s="315">
        <f t="shared" si="22"/>
        <v>0</v>
      </c>
      <c r="Z136" s="315">
        <f t="shared" si="23"/>
        <v>0</v>
      </c>
      <c r="AA136" s="315">
        <f t="shared" si="24"/>
        <v>0</v>
      </c>
      <c r="AB136" s="316"/>
      <c r="AD136" s="317">
        <f t="shared" si="21"/>
        <v>728</v>
      </c>
    </row>
    <row r="137" spans="1:30" ht="14.1" hidden="1" customHeight="1">
      <c r="A137" s="74">
        <v>137</v>
      </c>
      <c r="B137" s="278" t="s">
        <v>272</v>
      </c>
      <c r="C137" s="277" t="s">
        <v>456</v>
      </c>
      <c r="D137" s="277" t="s">
        <v>256</v>
      </c>
      <c r="E137" s="311" t="s">
        <v>451</v>
      </c>
      <c r="F137" s="312" t="s">
        <v>446</v>
      </c>
      <c r="G137" s="70" t="s">
        <v>452</v>
      </c>
      <c r="H137" s="70" t="s">
        <v>320</v>
      </c>
      <c r="I137" s="70" t="s">
        <v>445</v>
      </c>
      <c r="J137" s="313">
        <v>30</v>
      </c>
      <c r="K137" s="314">
        <f t="shared" si="9"/>
        <v>52</v>
      </c>
      <c r="L137" s="243">
        <v>52</v>
      </c>
      <c r="M137" s="243"/>
      <c r="N137" s="243"/>
      <c r="O137" s="243"/>
      <c r="P137" s="243"/>
      <c r="Q137" s="243"/>
      <c r="R137" s="242" t="e">
        <f>IF(L137="nio",0,IF(L137&gt;0,L137*J137/X137,0))*VLOOKUP(B137,'2-Kosten per locatie'!$A$14:$C$21,3,FALSE)</f>
        <v>#DIV/0!</v>
      </c>
      <c r="S137" s="242">
        <f>IF(M137&gt;0,M137*J137/Y137,0)*VLOOKUP(B137,'2-Kosten per locatie'!$A$14:$C$21,3,FALSE)</f>
        <v>0</v>
      </c>
      <c r="T137" s="242">
        <f>IF(N137&gt;0,N137*J137/Z137,0)*VLOOKUP(B137,'2-Kosten per locatie'!$A$14:$C$21,3,FALSE)</f>
        <v>0</v>
      </c>
      <c r="U137" s="242">
        <f>IF(O137&gt;0,O137*J137/AA137,0)*VLOOKUP(B137,'2-Kosten per locatie'!$A$14:$C$21,3,FALSE)</f>
        <v>0</v>
      </c>
      <c r="V137" s="242">
        <f>IF(P137&gt;0,P137*J137/Z137,0)*VLOOKUP(B137,'2-Kosten per locatie'!$A$14:$C$21,3,FALSE)</f>
        <v>0</v>
      </c>
      <c r="W137" s="242">
        <f>IF(Q137&gt;0,Q137*J137/AA137,0)*VLOOKUP(B137,'2-Kosten per locatie'!$A$14:$C$21,3,FALSE)</f>
        <v>0</v>
      </c>
      <c r="X137" s="315">
        <f>IF(L137="nio",0,IF(L137&gt;0,VLOOKUP(H137,'3-Productie normen'!A:K,VLOOKUP(L137,'3-Productie normen'!$B$36:$C$42,2,FALSE),FALSE)))</f>
        <v>0</v>
      </c>
      <c r="Y137" s="315">
        <f t="shared" si="22"/>
        <v>0</v>
      </c>
      <c r="Z137" s="315">
        <f t="shared" si="23"/>
        <v>0</v>
      </c>
      <c r="AA137" s="315">
        <f t="shared" si="24"/>
        <v>0</v>
      </c>
      <c r="AB137" s="316"/>
      <c r="AD137" s="317">
        <f t="shared" si="21"/>
        <v>1560</v>
      </c>
    </row>
    <row r="138" spans="1:30" ht="14.1" hidden="1" customHeight="1">
      <c r="A138" s="74">
        <v>138</v>
      </c>
      <c r="B138" s="278" t="s">
        <v>272</v>
      </c>
      <c r="C138" s="277" t="s">
        <v>456</v>
      </c>
      <c r="D138" s="277" t="s">
        <v>256</v>
      </c>
      <c r="E138" s="311" t="s">
        <v>451</v>
      </c>
      <c r="F138" s="312" t="s">
        <v>447</v>
      </c>
      <c r="G138" s="70" t="s">
        <v>453</v>
      </c>
      <c r="H138" s="70" t="s">
        <v>251</v>
      </c>
      <c r="I138" s="70" t="s">
        <v>445</v>
      </c>
      <c r="J138" s="313">
        <v>78</v>
      </c>
      <c r="K138" s="314">
        <f t="shared" ref="K138:K201" si="25">SUM(L138:Q138)</f>
        <v>52</v>
      </c>
      <c r="L138" s="243">
        <v>52</v>
      </c>
      <c r="M138" s="243"/>
      <c r="N138" s="243"/>
      <c r="O138" s="243"/>
      <c r="P138" s="243"/>
      <c r="Q138" s="243"/>
      <c r="R138" s="242" t="e">
        <f>IF(L138="nio",0,IF(L138&gt;0,L138*J138/X138,0))*VLOOKUP(B138,'2-Kosten per locatie'!$A$14:$C$21,3,FALSE)</f>
        <v>#DIV/0!</v>
      </c>
      <c r="S138" s="242">
        <f>IF(M138&gt;0,M138*J138/Y138,0)*VLOOKUP(B138,'2-Kosten per locatie'!$A$14:$C$21,3,FALSE)</f>
        <v>0</v>
      </c>
      <c r="T138" s="242">
        <f>IF(N138&gt;0,N138*J138/Z138,0)*VLOOKUP(B138,'2-Kosten per locatie'!$A$14:$C$21,3,FALSE)</f>
        <v>0</v>
      </c>
      <c r="U138" s="242">
        <f>IF(O138&gt;0,O138*J138/AA138,0)*VLOOKUP(B138,'2-Kosten per locatie'!$A$14:$C$21,3,FALSE)</f>
        <v>0</v>
      </c>
      <c r="V138" s="242">
        <f>IF(P138&gt;0,P138*J138/Z138,0)*VLOOKUP(B138,'2-Kosten per locatie'!$A$14:$C$21,3,FALSE)</f>
        <v>0</v>
      </c>
      <c r="W138" s="242">
        <f>IF(Q138&gt;0,Q138*J138/AA138,0)*VLOOKUP(B138,'2-Kosten per locatie'!$A$14:$C$21,3,FALSE)</f>
        <v>0</v>
      </c>
      <c r="X138" s="315">
        <f>IF(L138="nio",0,IF(L138&gt;0,VLOOKUP(H138,'3-Productie normen'!A:K,VLOOKUP(L138,'3-Productie normen'!$B$36:$C$42,2,FALSE),FALSE)))</f>
        <v>0</v>
      </c>
      <c r="Y138" s="315">
        <f t="shared" si="22"/>
        <v>0</v>
      </c>
      <c r="Z138" s="315">
        <f t="shared" si="23"/>
        <v>0</v>
      </c>
      <c r="AA138" s="315">
        <f t="shared" si="24"/>
        <v>0</v>
      </c>
      <c r="AB138" s="316"/>
      <c r="AD138" s="317">
        <f t="shared" si="21"/>
        <v>4056</v>
      </c>
    </row>
    <row r="139" spans="1:30" ht="14.1" hidden="1" customHeight="1">
      <c r="A139" s="74">
        <v>139</v>
      </c>
      <c r="B139" s="278" t="s">
        <v>272</v>
      </c>
      <c r="C139" s="277" t="s">
        <v>456</v>
      </c>
      <c r="D139" s="277" t="s">
        <v>256</v>
      </c>
      <c r="E139" s="311" t="s">
        <v>451</v>
      </c>
      <c r="F139" s="312" t="s">
        <v>448</v>
      </c>
      <c r="G139" s="70" t="s">
        <v>454</v>
      </c>
      <c r="H139" s="70" t="s">
        <v>251</v>
      </c>
      <c r="I139" s="70" t="s">
        <v>445</v>
      </c>
      <c r="J139" s="313">
        <v>40</v>
      </c>
      <c r="K139" s="314">
        <f t="shared" si="25"/>
        <v>52</v>
      </c>
      <c r="L139" s="243">
        <v>52</v>
      </c>
      <c r="M139" s="243"/>
      <c r="N139" s="243"/>
      <c r="O139" s="243"/>
      <c r="P139" s="243"/>
      <c r="Q139" s="243"/>
      <c r="R139" s="242" t="e">
        <f>IF(L139="nio",0,IF(L139&gt;0,L139*J139/X139,0))*VLOOKUP(B139,'2-Kosten per locatie'!$A$14:$C$21,3,FALSE)</f>
        <v>#DIV/0!</v>
      </c>
      <c r="S139" s="242">
        <f>IF(M139&gt;0,M139*J139/Y139,0)*VLOOKUP(B139,'2-Kosten per locatie'!$A$14:$C$21,3,FALSE)</f>
        <v>0</v>
      </c>
      <c r="T139" s="242">
        <f>IF(N139&gt;0,N139*J139/Z139,0)*VLOOKUP(B139,'2-Kosten per locatie'!$A$14:$C$21,3,FALSE)</f>
        <v>0</v>
      </c>
      <c r="U139" s="242">
        <f>IF(O139&gt;0,O139*J139/AA139,0)*VLOOKUP(B139,'2-Kosten per locatie'!$A$14:$C$21,3,FALSE)</f>
        <v>0</v>
      </c>
      <c r="V139" s="242">
        <f>IF(P139&gt;0,P139*J139/Z139,0)*VLOOKUP(B139,'2-Kosten per locatie'!$A$14:$C$21,3,FALSE)</f>
        <v>0</v>
      </c>
      <c r="W139" s="242">
        <f>IF(Q139&gt;0,Q139*J139/AA139,0)*VLOOKUP(B139,'2-Kosten per locatie'!$A$14:$C$21,3,FALSE)</f>
        <v>0</v>
      </c>
      <c r="X139" s="315">
        <f>IF(L139="nio",0,IF(L139&gt;0,VLOOKUP(H139,'3-Productie normen'!A:K,VLOOKUP(L139,'3-Productie normen'!$B$36:$C$42,2,FALSE),FALSE)))</f>
        <v>0</v>
      </c>
      <c r="Y139" s="315">
        <f t="shared" si="22"/>
        <v>0</v>
      </c>
      <c r="Z139" s="315">
        <f t="shared" si="23"/>
        <v>0</v>
      </c>
      <c r="AA139" s="315">
        <f t="shared" si="24"/>
        <v>0</v>
      </c>
      <c r="AB139" s="316"/>
      <c r="AD139" s="317">
        <f t="shared" si="21"/>
        <v>2080</v>
      </c>
    </row>
    <row r="140" spans="1:30" ht="14.1" hidden="1" customHeight="1">
      <c r="A140" s="74">
        <v>140</v>
      </c>
      <c r="B140" s="278" t="s">
        <v>272</v>
      </c>
      <c r="C140" s="277" t="s">
        <v>456</v>
      </c>
      <c r="D140" s="277" t="s">
        <v>256</v>
      </c>
      <c r="E140" s="311" t="s">
        <v>451</v>
      </c>
      <c r="F140" s="312" t="s">
        <v>449</v>
      </c>
      <c r="G140" s="70" t="s">
        <v>455</v>
      </c>
      <c r="H140" s="70" t="s">
        <v>251</v>
      </c>
      <c r="I140" s="70" t="s">
        <v>445</v>
      </c>
      <c r="J140" s="313">
        <v>37</v>
      </c>
      <c r="K140" s="314">
        <f t="shared" si="25"/>
        <v>52</v>
      </c>
      <c r="L140" s="243">
        <v>52</v>
      </c>
      <c r="M140" s="243"/>
      <c r="N140" s="243"/>
      <c r="O140" s="243"/>
      <c r="P140" s="243"/>
      <c r="Q140" s="243"/>
      <c r="R140" s="242" t="e">
        <f>IF(L140="nio",0,IF(L140&gt;0,L140*J140/X140,0))*VLOOKUP(B140,'2-Kosten per locatie'!$A$14:$C$21,3,FALSE)</f>
        <v>#DIV/0!</v>
      </c>
      <c r="S140" s="242">
        <f>IF(M140&gt;0,M140*J140/Y140,0)*VLOOKUP(B140,'2-Kosten per locatie'!$A$14:$C$21,3,FALSE)</f>
        <v>0</v>
      </c>
      <c r="T140" s="242">
        <f>IF(N140&gt;0,N140*J140/Z140,0)*VLOOKUP(B140,'2-Kosten per locatie'!$A$14:$C$21,3,FALSE)</f>
        <v>0</v>
      </c>
      <c r="U140" s="242">
        <f>IF(O140&gt;0,O140*J140/AA140,0)*VLOOKUP(B140,'2-Kosten per locatie'!$A$14:$C$21,3,FALSE)</f>
        <v>0</v>
      </c>
      <c r="V140" s="242">
        <f>IF(P140&gt;0,P140*J140/Z140,0)*VLOOKUP(B140,'2-Kosten per locatie'!$A$14:$C$21,3,FALSE)</f>
        <v>0</v>
      </c>
      <c r="W140" s="242">
        <f>IF(Q140&gt;0,Q140*J140/AA140,0)*VLOOKUP(B140,'2-Kosten per locatie'!$A$14:$C$21,3,FALSE)</f>
        <v>0</v>
      </c>
      <c r="X140" s="315">
        <f>IF(L140="nio",0,IF(L140&gt;0,VLOOKUP(H140,'3-Productie normen'!A:K,VLOOKUP(L140,'3-Productie normen'!$B$36:$C$42,2,FALSE),FALSE)))</f>
        <v>0</v>
      </c>
      <c r="Y140" s="315">
        <f t="shared" si="22"/>
        <v>0</v>
      </c>
      <c r="Z140" s="315">
        <f t="shared" si="23"/>
        <v>0</v>
      </c>
      <c r="AA140" s="315">
        <f t="shared" si="24"/>
        <v>0</v>
      </c>
      <c r="AB140" s="316"/>
      <c r="AD140" s="317">
        <f t="shared" si="21"/>
        <v>1924</v>
      </c>
    </row>
    <row r="141" spans="1:30" ht="14.1" hidden="1" customHeight="1">
      <c r="A141" s="74">
        <v>141</v>
      </c>
      <c r="B141" s="278" t="s">
        <v>272</v>
      </c>
      <c r="C141" s="277" t="s">
        <v>456</v>
      </c>
      <c r="D141" s="277" t="s">
        <v>256</v>
      </c>
      <c r="E141" s="311" t="s">
        <v>451</v>
      </c>
      <c r="F141" s="312" t="s">
        <v>450</v>
      </c>
      <c r="G141" s="70" t="s">
        <v>414</v>
      </c>
      <c r="H141" s="70" t="s">
        <v>411</v>
      </c>
      <c r="I141" s="70" t="s">
        <v>445</v>
      </c>
      <c r="J141" s="313">
        <v>17</v>
      </c>
      <c r="K141" s="314">
        <f t="shared" si="25"/>
        <v>0</v>
      </c>
      <c r="L141" s="243" t="s">
        <v>412</v>
      </c>
      <c r="M141" s="243"/>
      <c r="N141" s="243"/>
      <c r="O141" s="243"/>
      <c r="P141" s="243"/>
      <c r="Q141" s="243"/>
      <c r="R141" s="242">
        <f>IF(L141="nio",0,IF(L141&gt;0,L141*J141/X141,0))*VLOOKUP(B141,'2-Kosten per locatie'!$A$14:$C$21,3,FALSE)</f>
        <v>0</v>
      </c>
      <c r="S141" s="242">
        <f>IF(M141&gt;0,M141*J141/Y141,0)*VLOOKUP(B141,'2-Kosten per locatie'!$A$14:$C$21,3,FALSE)</f>
        <v>0</v>
      </c>
      <c r="T141" s="242">
        <f>IF(N141&gt;0,N141*J141/Z141,0)*VLOOKUP(B141,'2-Kosten per locatie'!$A$14:$C$21,3,FALSE)</f>
        <v>0</v>
      </c>
      <c r="U141" s="242">
        <f>IF(O141&gt;0,O141*J141/AA141,0)*VLOOKUP(B141,'2-Kosten per locatie'!$A$14:$C$21,3,FALSE)</f>
        <v>0</v>
      </c>
      <c r="V141" s="242">
        <f>IF(P141&gt;0,P141*J141/Z141,0)*VLOOKUP(B141,'2-Kosten per locatie'!$A$14:$C$21,3,FALSE)</f>
        <v>0</v>
      </c>
      <c r="W141" s="242">
        <f>IF(Q141&gt;0,Q141*J141/AA141,0)*VLOOKUP(B141,'2-Kosten per locatie'!$A$14:$C$21,3,FALSE)</f>
        <v>0</v>
      </c>
      <c r="X141" s="315">
        <f>IF(L141="nio",0,IF(L141&gt;0,VLOOKUP(H141,'3-Productie normen'!A:K,VLOOKUP(L141,'3-Productie normen'!$B$36:$C$42,2,FALSE),FALSE)))</f>
        <v>0</v>
      </c>
      <c r="Y141" s="315">
        <f t="shared" si="22"/>
        <v>0</v>
      </c>
      <c r="Z141" s="315">
        <f t="shared" si="23"/>
        <v>0</v>
      </c>
      <c r="AA141" s="315">
        <f t="shared" si="24"/>
        <v>0</v>
      </c>
      <c r="AB141" s="316"/>
      <c r="AD141" s="317">
        <f t="shared" si="21"/>
        <v>0</v>
      </c>
    </row>
    <row r="142" spans="1:30" ht="14.1" hidden="1" customHeight="1">
      <c r="A142" s="74">
        <v>142</v>
      </c>
      <c r="B142" s="277" t="s">
        <v>275</v>
      </c>
      <c r="C142" s="277" t="s">
        <v>458</v>
      </c>
      <c r="D142" s="277" t="s">
        <v>367</v>
      </c>
      <c r="E142" s="311" t="s">
        <v>419</v>
      </c>
      <c r="F142" s="312"/>
      <c r="G142" s="70" t="s">
        <v>370</v>
      </c>
      <c r="H142" s="70" t="s">
        <v>370</v>
      </c>
      <c r="I142" s="70" t="s">
        <v>442</v>
      </c>
      <c r="J142" s="313">
        <v>10.35</v>
      </c>
      <c r="K142" s="314">
        <f t="shared" si="25"/>
        <v>255</v>
      </c>
      <c r="L142" s="243">
        <v>255</v>
      </c>
      <c r="M142" s="243"/>
      <c r="N142" s="243"/>
      <c r="O142" s="243"/>
      <c r="P142" s="243"/>
      <c r="Q142" s="243"/>
      <c r="R142" s="242" t="e">
        <f>IF(L142="nio",0,IF(L142&gt;0,L142*J142/X142,0))*VLOOKUP(B142,'2-Kosten per locatie'!$A$14:$C$21,3,FALSE)</f>
        <v>#DIV/0!</v>
      </c>
      <c r="S142" s="242">
        <f>IF(M142&gt;0,M142*J142/Y142,0)*VLOOKUP(B142,'2-Kosten per locatie'!$A$14:$C$21,3,FALSE)</f>
        <v>0</v>
      </c>
      <c r="T142" s="242">
        <f>IF(N142&gt;0,N142*J142/Z142,0)*VLOOKUP(B142,'2-Kosten per locatie'!$A$14:$C$21,3,FALSE)</f>
        <v>0</v>
      </c>
      <c r="U142" s="242">
        <f>IF(O142&gt;0,O142*J142/AA142,0)*VLOOKUP(B142,'2-Kosten per locatie'!$A$14:$C$21,3,FALSE)</f>
        <v>0</v>
      </c>
      <c r="V142" s="242">
        <f>IF(P142&gt;0,P142*J142/Z142,0)*VLOOKUP(B142,'2-Kosten per locatie'!$A$14:$C$21,3,FALSE)</f>
        <v>0</v>
      </c>
      <c r="W142" s="242">
        <f>IF(Q142&gt;0,Q142*J142/AA142,0)*VLOOKUP(B142,'2-Kosten per locatie'!$A$14:$C$21,3,FALSE)</f>
        <v>0</v>
      </c>
      <c r="X142" s="315">
        <f>IF(L142="nio",0,IF(L142&gt;0,VLOOKUP(H142,'3-Productie normen'!A:K,VLOOKUP(L142,'3-Productie normen'!$B$36:$C$42,2,FALSE),FALSE)))</f>
        <v>0</v>
      </c>
      <c r="Y142" s="315"/>
      <c r="Z142" s="315"/>
      <c r="AA142" s="315"/>
      <c r="AB142" s="316"/>
      <c r="AD142" s="317"/>
    </row>
    <row r="143" spans="1:30" ht="14.1" hidden="1" customHeight="1">
      <c r="A143" s="74">
        <v>143</v>
      </c>
      <c r="B143" s="277" t="s">
        <v>275</v>
      </c>
      <c r="C143" s="277" t="s">
        <v>458</v>
      </c>
      <c r="D143" s="277" t="s">
        <v>367</v>
      </c>
      <c r="E143" s="311" t="s">
        <v>419</v>
      </c>
      <c r="F143" s="312"/>
      <c r="G143" s="70" t="s">
        <v>353</v>
      </c>
      <c r="H143" s="70" t="s">
        <v>53</v>
      </c>
      <c r="I143" s="70" t="s">
        <v>400</v>
      </c>
      <c r="J143" s="313">
        <v>110.8</v>
      </c>
      <c r="K143" s="314">
        <f t="shared" si="25"/>
        <v>255</v>
      </c>
      <c r="L143" s="243">
        <v>255</v>
      </c>
      <c r="M143" s="243"/>
      <c r="N143" s="243"/>
      <c r="O143" s="243"/>
      <c r="P143" s="243"/>
      <c r="Q143" s="243"/>
      <c r="R143" s="242" t="e">
        <f>IF(L143="nio",0,IF(L143&gt;0,L143*J143/X143,0))*VLOOKUP(B143,'2-Kosten per locatie'!$A$14:$C$21,3,FALSE)</f>
        <v>#DIV/0!</v>
      </c>
      <c r="S143" s="242">
        <f>IF(M143&gt;0,M143*J143/Y143,0)*VLOOKUP(B143,'2-Kosten per locatie'!$A$14:$C$21,3,FALSE)</f>
        <v>0</v>
      </c>
      <c r="T143" s="242">
        <f>IF(N143&gt;0,N143*J143/Z143,0)*VLOOKUP(B143,'2-Kosten per locatie'!$A$14:$C$21,3,FALSE)</f>
        <v>0</v>
      </c>
      <c r="U143" s="242">
        <f>IF(O143&gt;0,O143*J143/AA143,0)*VLOOKUP(B143,'2-Kosten per locatie'!$A$14:$C$21,3,FALSE)</f>
        <v>0</v>
      </c>
      <c r="V143" s="242">
        <f>IF(P143&gt;0,P143*J143/Z143,0)*VLOOKUP(B143,'2-Kosten per locatie'!$A$14:$C$21,3,FALSE)</f>
        <v>0</v>
      </c>
      <c r="W143" s="242">
        <f>IF(Q143&gt;0,Q143*J143/AA143,0)*VLOOKUP(B143,'2-Kosten per locatie'!$A$14:$C$21,3,FALSE)</f>
        <v>0</v>
      </c>
      <c r="X143" s="315">
        <f>IF(L143="nio",0,IF(L143&gt;0,VLOOKUP(H143,'3-Productie normen'!A:K,VLOOKUP(L143,'3-Productie normen'!$B$36:$C$42,2,FALSE),FALSE)))</f>
        <v>0</v>
      </c>
      <c r="Y143" s="315">
        <f>IF(M143&gt;0,X143*$Y$8,0)</f>
        <v>0</v>
      </c>
      <c r="Z143" s="315">
        <f>IF((OR(N143&gt;0,P143&gt;0)),X143*$Z$8,0)</f>
        <v>0</v>
      </c>
      <c r="AA143" s="315">
        <f>IF((OR(O143&gt;0,Q143&gt;0)),X143*$AA$8,0)</f>
        <v>0</v>
      </c>
      <c r="AB143" s="316"/>
      <c r="AD143" s="317">
        <f>K143*J143</f>
        <v>28254</v>
      </c>
    </row>
    <row r="144" spans="1:30" ht="14.1" hidden="1" customHeight="1">
      <c r="A144" s="74">
        <v>144</v>
      </c>
      <c r="B144" s="277" t="s">
        <v>275</v>
      </c>
      <c r="C144" s="277" t="s">
        <v>458</v>
      </c>
      <c r="D144" s="277" t="s">
        <v>367</v>
      </c>
      <c r="E144" s="311" t="s">
        <v>419</v>
      </c>
      <c r="F144" s="312"/>
      <c r="G144" s="70" t="s">
        <v>459</v>
      </c>
      <c r="H144" s="70" t="s">
        <v>53</v>
      </c>
      <c r="I144" s="70" t="s">
        <v>400</v>
      </c>
      <c r="J144" s="313">
        <v>108</v>
      </c>
      <c r="K144" s="314">
        <f t="shared" si="25"/>
        <v>255</v>
      </c>
      <c r="L144" s="243">
        <v>255</v>
      </c>
      <c r="M144" s="243"/>
      <c r="N144" s="243"/>
      <c r="O144" s="243"/>
      <c r="P144" s="243"/>
      <c r="Q144" s="243"/>
      <c r="R144" s="242" t="e">
        <f>IF(L144="nio",0,IF(L144&gt;0,L144*J144/X144,0))*VLOOKUP(B144,'2-Kosten per locatie'!$A$14:$C$21,3,FALSE)</f>
        <v>#DIV/0!</v>
      </c>
      <c r="S144" s="242">
        <f>IF(M144&gt;0,M144*J144/Y144,0)*VLOOKUP(B144,'2-Kosten per locatie'!$A$14:$C$21,3,FALSE)</f>
        <v>0</v>
      </c>
      <c r="T144" s="242">
        <f>IF(N144&gt;0,N144*J144/Z144,0)*VLOOKUP(B144,'2-Kosten per locatie'!$A$14:$C$21,3,FALSE)</f>
        <v>0</v>
      </c>
      <c r="U144" s="242">
        <f>IF(O144&gt;0,O144*J144/AA144,0)*VLOOKUP(B144,'2-Kosten per locatie'!$A$14:$C$21,3,FALSE)</f>
        <v>0</v>
      </c>
      <c r="V144" s="242">
        <f>IF(P144&gt;0,P144*J144/Z144,0)*VLOOKUP(B144,'2-Kosten per locatie'!$A$14:$C$21,3,FALSE)</f>
        <v>0</v>
      </c>
      <c r="W144" s="242">
        <f>IF(Q144&gt;0,Q144*J144/AA144,0)*VLOOKUP(B144,'2-Kosten per locatie'!$A$14:$C$21,3,FALSE)</f>
        <v>0</v>
      </c>
      <c r="X144" s="315">
        <f>IF(L144="nio",0,IF(L144&gt;0,VLOOKUP(H144,'3-Productie normen'!A:K,VLOOKUP(L144,'3-Productie normen'!$B$36:$C$42,2,FALSE),FALSE)))</f>
        <v>0</v>
      </c>
      <c r="Y144" s="315">
        <f>IF(M144&gt;0,X144*$Y$8,0)</f>
        <v>0</v>
      </c>
      <c r="Z144" s="315">
        <f>IF((OR(N144&gt;0,P144&gt;0)),X144*$Z$8,0)</f>
        <v>0</v>
      </c>
      <c r="AA144" s="315">
        <f>IF((OR(O144&gt;0,Q144&gt;0)),X144*$AA$8,0)</f>
        <v>0</v>
      </c>
      <c r="AB144" s="316"/>
      <c r="AD144" s="317">
        <f>K144*J144</f>
        <v>27540</v>
      </c>
    </row>
    <row r="145" spans="1:30" ht="14.1" hidden="1" customHeight="1">
      <c r="A145" s="74">
        <v>145</v>
      </c>
      <c r="B145" s="277" t="s">
        <v>275</v>
      </c>
      <c r="C145" s="277" t="s">
        <v>458</v>
      </c>
      <c r="D145" s="277" t="s">
        <v>367</v>
      </c>
      <c r="E145" s="311" t="s">
        <v>419</v>
      </c>
      <c r="F145" s="312"/>
      <c r="G145" s="70" t="s">
        <v>498</v>
      </c>
      <c r="H145" s="70" t="s">
        <v>52</v>
      </c>
      <c r="I145" s="70" t="s">
        <v>334</v>
      </c>
      <c r="J145" s="313">
        <v>4</v>
      </c>
      <c r="K145" s="314">
        <f t="shared" si="25"/>
        <v>255</v>
      </c>
      <c r="L145" s="243">
        <v>255</v>
      </c>
      <c r="M145" s="243"/>
      <c r="N145" s="243"/>
      <c r="O145" s="243"/>
      <c r="P145" s="243"/>
      <c r="Q145" s="243"/>
      <c r="R145" s="242" t="e">
        <f>IF(L145="nio",0,IF(L145&gt;0,L145*J145/X145,0))*VLOOKUP(B145,'2-Kosten per locatie'!$A$14:$C$21,3,FALSE)</f>
        <v>#DIV/0!</v>
      </c>
      <c r="S145" s="242">
        <f>IF(M145&gt;0,M145*J145/Y145,0)*VLOOKUP(B145,'2-Kosten per locatie'!$A$14:$C$21,3,FALSE)</f>
        <v>0</v>
      </c>
      <c r="T145" s="242">
        <f>IF(N145&gt;0,N145*J145/Z145,0)*VLOOKUP(B145,'2-Kosten per locatie'!$A$14:$C$21,3,FALSE)</f>
        <v>0</v>
      </c>
      <c r="U145" s="242">
        <f>IF(O145&gt;0,O145*J145/AA145,0)*VLOOKUP(B145,'2-Kosten per locatie'!$A$14:$C$21,3,FALSE)</f>
        <v>0</v>
      </c>
      <c r="V145" s="242">
        <f>IF(P145&gt;0,P145*J145/Z145,0)*VLOOKUP(B145,'2-Kosten per locatie'!$A$14:$C$21,3,FALSE)</f>
        <v>0</v>
      </c>
      <c r="W145" s="242">
        <f>IF(Q145&gt;0,Q145*J145/AA145,0)*VLOOKUP(B145,'2-Kosten per locatie'!$A$14:$C$21,3,FALSE)</f>
        <v>0</v>
      </c>
      <c r="X145" s="315">
        <f>IF(L145="nio",0,IF(L145&gt;0,VLOOKUP(H145,'3-Productie normen'!A:K,VLOOKUP(L145,'3-Productie normen'!$B$36:$C$42,2,FALSE),FALSE)))</f>
        <v>0</v>
      </c>
      <c r="Y145" s="315"/>
      <c r="Z145" s="315"/>
      <c r="AA145" s="315"/>
      <c r="AB145" s="316"/>
      <c r="AD145" s="317"/>
    </row>
    <row r="146" spans="1:30" ht="14.1" hidden="1" customHeight="1">
      <c r="A146" s="74">
        <v>146</v>
      </c>
      <c r="B146" s="277" t="s">
        <v>275</v>
      </c>
      <c r="C146" s="277" t="s">
        <v>458</v>
      </c>
      <c r="D146" s="277" t="s">
        <v>367</v>
      </c>
      <c r="E146" s="311" t="s">
        <v>419</v>
      </c>
      <c r="F146" s="312"/>
      <c r="G146" s="70" t="s">
        <v>499</v>
      </c>
      <c r="H146" s="70" t="s">
        <v>52</v>
      </c>
      <c r="I146" s="70" t="s">
        <v>334</v>
      </c>
      <c r="J146" s="313">
        <v>4</v>
      </c>
      <c r="K146" s="314">
        <f t="shared" si="25"/>
        <v>255</v>
      </c>
      <c r="L146" s="243">
        <v>255</v>
      </c>
      <c r="M146" s="243"/>
      <c r="N146" s="243"/>
      <c r="O146" s="243"/>
      <c r="P146" s="243"/>
      <c r="Q146" s="243"/>
      <c r="R146" s="242" t="e">
        <f>IF(L146="nio",0,IF(L146&gt;0,L146*J146/X146,0))*VLOOKUP(B146,'2-Kosten per locatie'!$A$14:$C$21,3,FALSE)</f>
        <v>#DIV/0!</v>
      </c>
      <c r="S146" s="242">
        <f>IF(M146&gt;0,M146*J146/Y146,0)*VLOOKUP(B146,'2-Kosten per locatie'!$A$14:$C$21,3,FALSE)</f>
        <v>0</v>
      </c>
      <c r="T146" s="242">
        <f>IF(N146&gt;0,N146*J146/Z146,0)*VLOOKUP(B146,'2-Kosten per locatie'!$A$14:$C$21,3,FALSE)</f>
        <v>0</v>
      </c>
      <c r="U146" s="242">
        <f>IF(O146&gt;0,O146*J146/AA146,0)*VLOOKUP(B146,'2-Kosten per locatie'!$A$14:$C$21,3,FALSE)</f>
        <v>0</v>
      </c>
      <c r="V146" s="242">
        <f>IF(P146&gt;0,P146*J146/Z146,0)*VLOOKUP(B146,'2-Kosten per locatie'!$A$14:$C$21,3,FALSE)</f>
        <v>0</v>
      </c>
      <c r="W146" s="242">
        <f>IF(Q146&gt;0,Q146*J146/AA146,0)*VLOOKUP(B146,'2-Kosten per locatie'!$A$14:$C$21,3,FALSE)</f>
        <v>0</v>
      </c>
      <c r="X146" s="315">
        <f>IF(L146="nio",0,IF(L146&gt;0,VLOOKUP(H146,'3-Productie normen'!A:K,VLOOKUP(L146,'3-Productie normen'!$B$36:$C$42,2,FALSE),FALSE)))</f>
        <v>0</v>
      </c>
      <c r="Y146" s="315"/>
      <c r="Z146" s="315"/>
      <c r="AA146" s="315"/>
      <c r="AB146" s="316"/>
      <c r="AD146" s="317"/>
    </row>
    <row r="147" spans="1:30" ht="14.1" hidden="1" customHeight="1">
      <c r="A147" s="74">
        <v>147</v>
      </c>
      <c r="B147" s="277" t="s">
        <v>275</v>
      </c>
      <c r="C147" s="277" t="s">
        <v>458</v>
      </c>
      <c r="D147" s="277" t="s">
        <v>367</v>
      </c>
      <c r="E147" s="311" t="s">
        <v>419</v>
      </c>
      <c r="F147" s="312"/>
      <c r="G147" s="70" t="s">
        <v>295</v>
      </c>
      <c r="H147" s="70" t="s">
        <v>53</v>
      </c>
      <c r="I147" s="70" t="s">
        <v>400</v>
      </c>
      <c r="J147" s="313">
        <v>120.6</v>
      </c>
      <c r="K147" s="314">
        <f t="shared" si="25"/>
        <v>255</v>
      </c>
      <c r="L147" s="243">
        <v>255</v>
      </c>
      <c r="M147" s="243"/>
      <c r="N147" s="243"/>
      <c r="O147" s="243"/>
      <c r="P147" s="243"/>
      <c r="Q147" s="243"/>
      <c r="R147" s="242" t="e">
        <f>IF(L147="nio",0,IF(L147&gt;0,L147*J147/X147,0))*VLOOKUP(B147,'2-Kosten per locatie'!$A$14:$C$21,3,FALSE)</f>
        <v>#DIV/0!</v>
      </c>
      <c r="S147" s="242">
        <f>IF(M147&gt;0,M147*J147/Y147,0)*VLOOKUP(B147,'2-Kosten per locatie'!$A$14:$C$21,3,FALSE)</f>
        <v>0</v>
      </c>
      <c r="T147" s="242">
        <f>IF(N147&gt;0,N147*J147/Z147,0)*VLOOKUP(B147,'2-Kosten per locatie'!$A$14:$C$21,3,FALSE)</f>
        <v>0</v>
      </c>
      <c r="U147" s="242">
        <f>IF(O147&gt;0,O147*J147/AA147,0)*VLOOKUP(B147,'2-Kosten per locatie'!$A$14:$C$21,3,FALSE)</f>
        <v>0</v>
      </c>
      <c r="V147" s="242">
        <f>IF(P147&gt;0,P147*J147/Z147,0)*VLOOKUP(B147,'2-Kosten per locatie'!$A$14:$C$21,3,FALSE)</f>
        <v>0</v>
      </c>
      <c r="W147" s="242">
        <f>IF(Q147&gt;0,Q147*J147/AA147,0)*VLOOKUP(B147,'2-Kosten per locatie'!$A$14:$C$21,3,FALSE)</f>
        <v>0</v>
      </c>
      <c r="X147" s="315">
        <f>IF(L147="nio",0,IF(L147&gt;0,VLOOKUP(H147,'3-Productie normen'!A:K,VLOOKUP(L147,'3-Productie normen'!$B$36:$C$42,2,FALSE),FALSE)))</f>
        <v>0</v>
      </c>
      <c r="Y147" s="315">
        <f>IF(M147&gt;0,X147*$Y$8,0)</f>
        <v>0</v>
      </c>
      <c r="Z147" s="315">
        <f>IF((OR(N147&gt;0,P147&gt;0)),X147*$Z$8,0)</f>
        <v>0</v>
      </c>
      <c r="AA147" s="315">
        <f>IF((OR(O147&gt;0,Q147&gt;0)),X147*$AA$8,0)</f>
        <v>0</v>
      </c>
      <c r="AB147" s="316"/>
      <c r="AD147" s="317">
        <f>K147*J147</f>
        <v>30753</v>
      </c>
    </row>
    <row r="148" spans="1:30" ht="14.1" hidden="1" customHeight="1">
      <c r="A148" s="74">
        <v>148</v>
      </c>
      <c r="B148" s="277" t="s">
        <v>275</v>
      </c>
      <c r="C148" s="277" t="s">
        <v>458</v>
      </c>
      <c r="D148" s="277" t="s">
        <v>367</v>
      </c>
      <c r="E148" s="311" t="s">
        <v>419</v>
      </c>
      <c r="F148" s="312"/>
      <c r="G148" s="70" t="s">
        <v>417</v>
      </c>
      <c r="H148" s="70" t="s">
        <v>52</v>
      </c>
      <c r="I148" s="70" t="s">
        <v>334</v>
      </c>
      <c r="J148" s="313">
        <v>10</v>
      </c>
      <c r="K148" s="314">
        <f t="shared" si="25"/>
        <v>255</v>
      </c>
      <c r="L148" s="243">
        <v>255</v>
      </c>
      <c r="M148" s="243"/>
      <c r="N148" s="243"/>
      <c r="O148" s="243"/>
      <c r="P148" s="243"/>
      <c r="Q148" s="243"/>
      <c r="R148" s="242" t="e">
        <f>IF(L148="nio",0,IF(L148&gt;0,L148*J148/X148,0))*VLOOKUP(B148,'2-Kosten per locatie'!$A$14:$C$21,3,FALSE)</f>
        <v>#DIV/0!</v>
      </c>
      <c r="S148" s="242">
        <f>IF(M148&gt;0,M148*J148/Y148,0)*VLOOKUP(B148,'2-Kosten per locatie'!$A$14:$C$21,3,FALSE)</f>
        <v>0</v>
      </c>
      <c r="T148" s="242">
        <f>IF(N148&gt;0,N148*J148/Z148,0)*VLOOKUP(B148,'2-Kosten per locatie'!$A$14:$C$21,3,FALSE)</f>
        <v>0</v>
      </c>
      <c r="U148" s="242">
        <f>IF(O148&gt;0,O148*J148/AA148,0)*VLOOKUP(B148,'2-Kosten per locatie'!$A$14:$C$21,3,FALSE)</f>
        <v>0</v>
      </c>
      <c r="V148" s="242">
        <f>IF(P148&gt;0,P148*J148/Z148,0)*VLOOKUP(B148,'2-Kosten per locatie'!$A$14:$C$21,3,FALSE)</f>
        <v>0</v>
      </c>
      <c r="W148" s="242">
        <f>IF(Q148&gt;0,Q148*J148/AA148,0)*VLOOKUP(B148,'2-Kosten per locatie'!$A$14:$C$21,3,FALSE)</f>
        <v>0</v>
      </c>
      <c r="X148" s="315">
        <f>IF(L148="nio",0,IF(L148&gt;0,VLOOKUP(H148,'3-Productie normen'!A:K,VLOOKUP(L148,'3-Productie normen'!$B$36:$C$42,2,FALSE),FALSE)))</f>
        <v>0</v>
      </c>
      <c r="Y148" s="315">
        <f>IF(M148&gt;0,X148*$Y$8,0)</f>
        <v>0</v>
      </c>
      <c r="Z148" s="315">
        <f>IF((OR(N148&gt;0,P148&gt;0)),X148*$Z$8,0)</f>
        <v>0</v>
      </c>
      <c r="AA148" s="315">
        <f>IF((OR(O148&gt;0,Q148&gt;0)),X148*$AA$8,0)</f>
        <v>0</v>
      </c>
      <c r="AB148" s="316"/>
      <c r="AD148" s="317">
        <f>K148*J148</f>
        <v>2550</v>
      </c>
    </row>
    <row r="149" spans="1:30" ht="14.1" hidden="1" customHeight="1">
      <c r="A149" s="74">
        <v>149</v>
      </c>
      <c r="B149" s="277" t="s">
        <v>275</v>
      </c>
      <c r="C149" s="277" t="s">
        <v>458</v>
      </c>
      <c r="D149" s="277" t="s">
        <v>367</v>
      </c>
      <c r="E149" s="311" t="s">
        <v>419</v>
      </c>
      <c r="F149" s="312"/>
      <c r="G149" s="70" t="s">
        <v>416</v>
      </c>
      <c r="H149" s="70" t="s">
        <v>52</v>
      </c>
      <c r="I149" s="70" t="s">
        <v>334</v>
      </c>
      <c r="J149" s="313">
        <v>10</v>
      </c>
      <c r="K149" s="314">
        <f t="shared" si="25"/>
        <v>255</v>
      </c>
      <c r="L149" s="243">
        <v>255</v>
      </c>
      <c r="M149" s="243"/>
      <c r="N149" s="243"/>
      <c r="O149" s="243"/>
      <c r="P149" s="243"/>
      <c r="Q149" s="243"/>
      <c r="R149" s="242" t="e">
        <f>IF(L149="nio",0,IF(L149&gt;0,L149*J149/X149,0))*VLOOKUP(B149,'2-Kosten per locatie'!$A$14:$C$21,3,FALSE)</f>
        <v>#DIV/0!</v>
      </c>
      <c r="S149" s="242">
        <f>IF(M149&gt;0,M149*J149/Y149,0)*VLOOKUP(B149,'2-Kosten per locatie'!$A$14:$C$21,3,FALSE)</f>
        <v>0</v>
      </c>
      <c r="T149" s="242">
        <f>IF(N149&gt;0,N149*J149/Z149,0)*VLOOKUP(B149,'2-Kosten per locatie'!$A$14:$C$21,3,FALSE)</f>
        <v>0</v>
      </c>
      <c r="U149" s="242">
        <f>IF(O149&gt;0,O149*J149/AA149,0)*VLOOKUP(B149,'2-Kosten per locatie'!$A$14:$C$21,3,FALSE)</f>
        <v>0</v>
      </c>
      <c r="V149" s="242">
        <f>IF(P149&gt;0,P149*J149/Z149,0)*VLOOKUP(B149,'2-Kosten per locatie'!$A$14:$C$21,3,FALSE)</f>
        <v>0</v>
      </c>
      <c r="W149" s="242">
        <f>IF(Q149&gt;0,Q149*J149/AA149,0)*VLOOKUP(B149,'2-Kosten per locatie'!$A$14:$C$21,3,FALSE)</f>
        <v>0</v>
      </c>
      <c r="X149" s="315">
        <f>IF(L149="nio",0,IF(L149&gt;0,VLOOKUP(H149,'3-Productie normen'!A:K,VLOOKUP(L149,'3-Productie normen'!$B$36:$C$42,2,FALSE),FALSE)))</f>
        <v>0</v>
      </c>
      <c r="Y149" s="315">
        <f>IF(M149&gt;0,X149*$Y$8,0)</f>
        <v>0</v>
      </c>
      <c r="Z149" s="315">
        <f>IF((OR(N149&gt;0,P149&gt;0)),X149*$Z$8,0)</f>
        <v>0</v>
      </c>
      <c r="AA149" s="315">
        <f>IF((OR(O149&gt;0,Q149&gt;0)),X149*$AA$8,0)</f>
        <v>0</v>
      </c>
      <c r="AB149" s="316"/>
      <c r="AD149" s="317">
        <f>K149*J149</f>
        <v>2550</v>
      </c>
    </row>
    <row r="150" spans="1:30" ht="14.1" hidden="1" customHeight="1">
      <c r="A150" s="74">
        <v>150</v>
      </c>
      <c r="B150" s="277" t="s">
        <v>275</v>
      </c>
      <c r="C150" s="277" t="s">
        <v>458</v>
      </c>
      <c r="D150" s="277" t="s">
        <v>367</v>
      </c>
      <c r="E150" s="311" t="s">
        <v>419</v>
      </c>
      <c r="F150" s="312"/>
      <c r="G150" s="70" t="s">
        <v>460</v>
      </c>
      <c r="H150" s="70" t="s">
        <v>411</v>
      </c>
      <c r="I150" s="70"/>
      <c r="J150" s="313"/>
      <c r="K150" s="314">
        <f t="shared" si="25"/>
        <v>0</v>
      </c>
      <c r="L150" s="243" t="s">
        <v>412</v>
      </c>
      <c r="M150" s="243"/>
      <c r="N150" s="243"/>
      <c r="O150" s="243"/>
      <c r="P150" s="243"/>
      <c r="Q150" s="243"/>
      <c r="R150" s="242">
        <f>IF(L150="nio",0,IF(L150&gt;0,L150*J150/X150,0))*VLOOKUP(B150,'2-Kosten per locatie'!$A$14:$C$21,3,FALSE)</f>
        <v>0</v>
      </c>
      <c r="S150" s="242">
        <f>IF(M150&gt;0,M150*J150/Y150,0)*VLOOKUP(B150,'2-Kosten per locatie'!$A$14:$C$21,3,FALSE)</f>
        <v>0</v>
      </c>
      <c r="T150" s="242">
        <f>IF(N150&gt;0,N150*J150/Z150,0)*VLOOKUP(B150,'2-Kosten per locatie'!$A$14:$C$21,3,FALSE)</f>
        <v>0</v>
      </c>
      <c r="U150" s="242">
        <f>IF(O150&gt;0,O150*J150/AA150,0)*VLOOKUP(B150,'2-Kosten per locatie'!$A$14:$C$21,3,FALSE)</f>
        <v>0</v>
      </c>
      <c r="V150" s="242">
        <f>IF(P150&gt;0,P150*J150/Z150,0)*VLOOKUP(B150,'2-Kosten per locatie'!$A$14:$C$21,3,FALSE)</f>
        <v>0</v>
      </c>
      <c r="W150" s="242">
        <f>IF(Q150&gt;0,Q150*J150/AA150,0)*VLOOKUP(B150,'2-Kosten per locatie'!$A$14:$C$21,3,FALSE)</f>
        <v>0</v>
      </c>
      <c r="X150" s="315">
        <f>IF(L150="nio",0,IF(L150&gt;0,VLOOKUP(H150,'3-Productie normen'!A:K,VLOOKUP(L150,'3-Productie normen'!$B$36:$C$42,2,FALSE),FALSE)))</f>
        <v>0</v>
      </c>
      <c r="Y150" s="315">
        <f>IF(M150&gt;0,X150*$Y$8,0)</f>
        <v>0</v>
      </c>
      <c r="Z150" s="315">
        <f>IF((OR(N150&gt;0,P150&gt;0)),X150*$Z$8,0)</f>
        <v>0</v>
      </c>
      <c r="AA150" s="315">
        <f>IF((OR(O150&gt;0,Q150&gt;0)),X150*$AA$8,0)</f>
        <v>0</v>
      </c>
      <c r="AB150" s="316"/>
      <c r="AD150" s="317">
        <f>K150*J150</f>
        <v>0</v>
      </c>
    </row>
    <row r="151" spans="1:30" ht="14.1" hidden="1" customHeight="1">
      <c r="A151" s="74">
        <v>151</v>
      </c>
      <c r="B151" s="277" t="s">
        <v>275</v>
      </c>
      <c r="C151" s="277" t="s">
        <v>458</v>
      </c>
      <c r="D151" s="277" t="s">
        <v>367</v>
      </c>
      <c r="E151" s="311" t="s">
        <v>419</v>
      </c>
      <c r="F151" s="312"/>
      <c r="G151" s="70" t="s">
        <v>461</v>
      </c>
      <c r="H151" s="70" t="s">
        <v>411</v>
      </c>
      <c r="I151" s="70"/>
      <c r="J151" s="313"/>
      <c r="K151" s="314">
        <f t="shared" si="25"/>
        <v>0</v>
      </c>
      <c r="L151" s="243" t="s">
        <v>412</v>
      </c>
      <c r="M151" s="243"/>
      <c r="N151" s="243"/>
      <c r="O151" s="243"/>
      <c r="P151" s="243"/>
      <c r="Q151" s="243"/>
      <c r="R151" s="242">
        <f>IF(L151="nio",0,IF(L151&gt;0,L151*J151/X151,0))*VLOOKUP(B151,'2-Kosten per locatie'!$A$14:$C$21,3,FALSE)</f>
        <v>0</v>
      </c>
      <c r="S151" s="242">
        <f>IF(M151&gt;0,M151*J151/Y151,0)*VLOOKUP(B151,'2-Kosten per locatie'!$A$14:$C$21,3,FALSE)</f>
        <v>0</v>
      </c>
      <c r="T151" s="242">
        <f>IF(N151&gt;0,N151*J151/Z151,0)*VLOOKUP(B151,'2-Kosten per locatie'!$A$14:$C$21,3,FALSE)</f>
        <v>0</v>
      </c>
      <c r="U151" s="242">
        <f>IF(O151&gt;0,O151*J151/AA151,0)*VLOOKUP(B151,'2-Kosten per locatie'!$A$14:$C$21,3,FALSE)</f>
        <v>0</v>
      </c>
      <c r="V151" s="242">
        <f>IF(P151&gt;0,P151*J151/Z151,0)*VLOOKUP(B151,'2-Kosten per locatie'!$A$14:$C$21,3,FALSE)</f>
        <v>0</v>
      </c>
      <c r="W151" s="242">
        <f>IF(Q151&gt;0,Q151*J151/AA151,0)*VLOOKUP(B151,'2-Kosten per locatie'!$A$14:$C$21,3,FALSE)</f>
        <v>0</v>
      </c>
      <c r="X151" s="315">
        <f>IF(L151="nio",0,IF(L151&gt;0,VLOOKUP(H151,'3-Productie normen'!A:K,VLOOKUP(L151,'3-Productie normen'!$B$36:$C$42,2,FALSE),FALSE)))</f>
        <v>0</v>
      </c>
      <c r="Y151" s="315">
        <f>IF(M151&gt;0,X151*$Y$8,0)</f>
        <v>0</v>
      </c>
      <c r="Z151" s="315">
        <f>IF((OR(N151&gt;0,P151&gt;0)),X151*$Z$8,0)</f>
        <v>0</v>
      </c>
      <c r="AA151" s="315">
        <f>IF((OR(O151&gt;0,Q151&gt;0)),X151*$AA$8,0)</f>
        <v>0</v>
      </c>
      <c r="AB151" s="316"/>
      <c r="AD151" s="317">
        <f>K151*J151</f>
        <v>0</v>
      </c>
    </row>
    <row r="152" spans="1:30" ht="14.1" hidden="1" customHeight="1">
      <c r="A152" s="74">
        <v>152</v>
      </c>
      <c r="B152" s="277" t="s">
        <v>275</v>
      </c>
      <c r="C152" s="277" t="s">
        <v>458</v>
      </c>
      <c r="D152" s="277" t="s">
        <v>367</v>
      </c>
      <c r="E152" s="311" t="s">
        <v>419</v>
      </c>
      <c r="F152" s="312"/>
      <c r="G152" s="70" t="s">
        <v>463</v>
      </c>
      <c r="H152" s="70" t="s">
        <v>411</v>
      </c>
      <c r="I152" s="70"/>
      <c r="J152" s="313"/>
      <c r="K152" s="314">
        <f t="shared" si="25"/>
        <v>0</v>
      </c>
      <c r="L152" s="243" t="s">
        <v>412</v>
      </c>
      <c r="M152" s="243"/>
      <c r="N152" s="243"/>
      <c r="O152" s="243"/>
      <c r="P152" s="243"/>
      <c r="Q152" s="243"/>
      <c r="R152" s="242">
        <f>IF(L152="nio",0,IF(L152&gt;0,L152*J152/X152,0))*VLOOKUP(B152,'2-Kosten per locatie'!$A$14:$C$21,3,FALSE)</f>
        <v>0</v>
      </c>
      <c r="S152" s="242">
        <f>IF(M152&gt;0,M152*J152/Y152,0)*VLOOKUP(B152,'2-Kosten per locatie'!$A$14:$C$21,3,FALSE)</f>
        <v>0</v>
      </c>
      <c r="T152" s="242">
        <f>IF(N152&gt;0,N152*J152/Z152,0)*VLOOKUP(B152,'2-Kosten per locatie'!$A$14:$C$21,3,FALSE)</f>
        <v>0</v>
      </c>
      <c r="U152" s="242">
        <f>IF(O152&gt;0,O152*J152/AA152,0)*VLOOKUP(B152,'2-Kosten per locatie'!$A$14:$C$21,3,FALSE)</f>
        <v>0</v>
      </c>
      <c r="V152" s="242">
        <f>IF(P152&gt;0,P152*J152/Z152,0)*VLOOKUP(B152,'2-Kosten per locatie'!$A$14:$C$21,3,FALSE)</f>
        <v>0</v>
      </c>
      <c r="W152" s="242">
        <f>IF(Q152&gt;0,Q152*J152/AA152,0)*VLOOKUP(B152,'2-Kosten per locatie'!$A$14:$C$21,3,FALSE)</f>
        <v>0</v>
      </c>
      <c r="X152" s="315">
        <f>IF(L152="nio",0,IF(L152&gt;0,VLOOKUP(H152,'3-Productie normen'!A:K,VLOOKUP(L152,'3-Productie normen'!$B$36:$C$42,2,FALSE),FALSE)))</f>
        <v>0</v>
      </c>
      <c r="Y152" s="315"/>
      <c r="Z152" s="315"/>
      <c r="AA152" s="315"/>
      <c r="AB152" s="316"/>
      <c r="AD152" s="317"/>
    </row>
    <row r="153" spans="1:30" ht="14.1" hidden="1" customHeight="1">
      <c r="A153" s="74">
        <v>153</v>
      </c>
      <c r="B153" s="277" t="s">
        <v>275</v>
      </c>
      <c r="C153" s="277" t="s">
        <v>458</v>
      </c>
      <c r="D153" s="277" t="s">
        <v>367</v>
      </c>
      <c r="E153" s="311" t="s">
        <v>419</v>
      </c>
      <c r="F153" s="312"/>
      <c r="G153" s="70" t="s">
        <v>462</v>
      </c>
      <c r="H153" s="70" t="s">
        <v>53</v>
      </c>
      <c r="I153" s="70" t="s">
        <v>334</v>
      </c>
      <c r="J153" s="313">
        <v>21.5</v>
      </c>
      <c r="K153" s="314">
        <f t="shared" si="25"/>
        <v>255</v>
      </c>
      <c r="L153" s="243">
        <v>255</v>
      </c>
      <c r="M153" s="243"/>
      <c r="N153" s="243"/>
      <c r="O153" s="243"/>
      <c r="P153" s="243"/>
      <c r="Q153" s="243"/>
      <c r="R153" s="242" t="e">
        <f>IF(L153="nio",0,IF(L153&gt;0,L153*J153/X153,0))*VLOOKUP(B153,'2-Kosten per locatie'!$A$14:$C$21,3,FALSE)</f>
        <v>#DIV/0!</v>
      </c>
      <c r="S153" s="242">
        <f>IF(M153&gt;0,M153*J153/Y153,0)*VLOOKUP(B153,'2-Kosten per locatie'!$A$14:$C$21,3,FALSE)</f>
        <v>0</v>
      </c>
      <c r="T153" s="242">
        <f>IF(N153&gt;0,N153*J153/Z153,0)*VLOOKUP(B153,'2-Kosten per locatie'!$A$14:$C$21,3,FALSE)</f>
        <v>0</v>
      </c>
      <c r="U153" s="242">
        <f>IF(O153&gt;0,O153*J153/AA153,0)*VLOOKUP(B153,'2-Kosten per locatie'!$A$14:$C$21,3,FALSE)</f>
        <v>0</v>
      </c>
      <c r="V153" s="242">
        <f>IF(P153&gt;0,P153*J153/Z153,0)*VLOOKUP(B153,'2-Kosten per locatie'!$A$14:$C$21,3,FALSE)</f>
        <v>0</v>
      </c>
      <c r="W153" s="242">
        <f>IF(Q153&gt;0,Q153*J153/AA153,0)*VLOOKUP(B153,'2-Kosten per locatie'!$A$14:$C$21,3,FALSE)</f>
        <v>0</v>
      </c>
      <c r="X153" s="315">
        <f>IF(L153="nio",0,IF(L153&gt;0,VLOOKUP(H153,'3-Productie normen'!A:K,VLOOKUP(L153,'3-Productie normen'!$B$36:$C$42,2,FALSE),FALSE)))</f>
        <v>0</v>
      </c>
      <c r="Y153" s="315">
        <f t="shared" ref="Y153:Y184" si="26">IF(M153&gt;0,X153*$Y$8,0)</f>
        <v>0</v>
      </c>
      <c r="Z153" s="315">
        <f t="shared" ref="Z153:Z184" si="27">IF((OR(N153&gt;0,P153&gt;0)),X153*$Z$8,0)</f>
        <v>0</v>
      </c>
      <c r="AA153" s="315">
        <f t="shared" ref="AA153:AA184" si="28">IF((OR(O153&gt;0,Q153&gt;0)),X153*$AA$8,0)</f>
        <v>0</v>
      </c>
      <c r="AB153" s="316"/>
      <c r="AD153" s="317">
        <f t="shared" ref="AD153:AD184" si="29">K153*J153</f>
        <v>5482.5</v>
      </c>
    </row>
    <row r="154" spans="1:30" ht="14.1" hidden="1" customHeight="1">
      <c r="A154" s="74">
        <v>154</v>
      </c>
      <c r="B154" s="277" t="s">
        <v>275</v>
      </c>
      <c r="C154" s="277" t="s">
        <v>458</v>
      </c>
      <c r="D154" s="277" t="s">
        <v>367</v>
      </c>
      <c r="E154" s="311" t="s">
        <v>419</v>
      </c>
      <c r="F154" s="312"/>
      <c r="G154" s="70" t="s">
        <v>464</v>
      </c>
      <c r="H154" s="70" t="s">
        <v>411</v>
      </c>
      <c r="I154" s="70"/>
      <c r="J154" s="313"/>
      <c r="K154" s="314">
        <f t="shared" si="25"/>
        <v>0</v>
      </c>
      <c r="L154" s="243" t="s">
        <v>412</v>
      </c>
      <c r="M154" s="243"/>
      <c r="N154" s="243"/>
      <c r="O154" s="243"/>
      <c r="P154" s="243"/>
      <c r="Q154" s="243"/>
      <c r="R154" s="242">
        <f>IF(L154="nio",0,IF(L154&gt;0,L154*J154/X154,0))*VLOOKUP(B154,'2-Kosten per locatie'!$A$14:$C$21,3,FALSE)</f>
        <v>0</v>
      </c>
      <c r="S154" s="242">
        <f>IF(M154&gt;0,M154*J154/Y154,0)*VLOOKUP(B154,'2-Kosten per locatie'!$A$14:$C$21,3,FALSE)</f>
        <v>0</v>
      </c>
      <c r="T154" s="242">
        <f>IF(N154&gt;0,N154*J154/Z154,0)*VLOOKUP(B154,'2-Kosten per locatie'!$A$14:$C$21,3,FALSE)</f>
        <v>0</v>
      </c>
      <c r="U154" s="242">
        <f>IF(O154&gt;0,O154*J154/AA154,0)*VLOOKUP(B154,'2-Kosten per locatie'!$A$14:$C$21,3,FALSE)</f>
        <v>0</v>
      </c>
      <c r="V154" s="242">
        <f>IF(P154&gt;0,P154*J154/Z154,0)*VLOOKUP(B154,'2-Kosten per locatie'!$A$14:$C$21,3,FALSE)</f>
        <v>0</v>
      </c>
      <c r="W154" s="242">
        <f>IF(Q154&gt;0,Q154*J154/AA154,0)*VLOOKUP(B154,'2-Kosten per locatie'!$A$14:$C$21,3,FALSE)</f>
        <v>0</v>
      </c>
      <c r="X154" s="315">
        <f>IF(L154="nio",0,IF(L154&gt;0,VLOOKUP(H154,'3-Productie normen'!A:K,VLOOKUP(L154,'3-Productie normen'!$B$36:$C$42,2,FALSE),FALSE)))</f>
        <v>0</v>
      </c>
      <c r="Y154" s="315">
        <f t="shared" si="26"/>
        <v>0</v>
      </c>
      <c r="Z154" s="315">
        <f t="shared" si="27"/>
        <v>0</v>
      </c>
      <c r="AA154" s="315">
        <f t="shared" si="28"/>
        <v>0</v>
      </c>
      <c r="AB154" s="316"/>
      <c r="AD154" s="317">
        <f t="shared" si="29"/>
        <v>0</v>
      </c>
    </row>
    <row r="155" spans="1:30" ht="14.1" hidden="1" customHeight="1">
      <c r="A155" s="74">
        <v>155</v>
      </c>
      <c r="B155" s="277" t="s">
        <v>275</v>
      </c>
      <c r="C155" s="277" t="s">
        <v>458</v>
      </c>
      <c r="D155" s="277" t="s">
        <v>367</v>
      </c>
      <c r="E155" s="311" t="s">
        <v>419</v>
      </c>
      <c r="F155" s="312"/>
      <c r="G155" s="70" t="s">
        <v>465</v>
      </c>
      <c r="H155" s="70" t="s">
        <v>53</v>
      </c>
      <c r="I155" s="70" t="s">
        <v>334</v>
      </c>
      <c r="J155" s="313">
        <v>46.5</v>
      </c>
      <c r="K155" s="314">
        <f t="shared" si="25"/>
        <v>255</v>
      </c>
      <c r="L155" s="243">
        <v>255</v>
      </c>
      <c r="M155" s="243"/>
      <c r="N155" s="243"/>
      <c r="O155" s="243"/>
      <c r="P155" s="243"/>
      <c r="Q155" s="243"/>
      <c r="R155" s="242" t="e">
        <f>IF(L155="nio",0,IF(L155&gt;0,L155*J155/X155,0))*VLOOKUP(B155,'2-Kosten per locatie'!$A$14:$C$21,3,FALSE)</f>
        <v>#DIV/0!</v>
      </c>
      <c r="S155" s="242">
        <f>IF(M155&gt;0,M155*J155/Y155,0)*VLOOKUP(B155,'2-Kosten per locatie'!$A$14:$C$21,3,FALSE)</f>
        <v>0</v>
      </c>
      <c r="T155" s="242">
        <f>IF(N155&gt;0,N155*J155/Z155,0)*VLOOKUP(B155,'2-Kosten per locatie'!$A$14:$C$21,3,FALSE)</f>
        <v>0</v>
      </c>
      <c r="U155" s="242">
        <f>IF(O155&gt;0,O155*J155/AA155,0)*VLOOKUP(B155,'2-Kosten per locatie'!$A$14:$C$21,3,FALSE)</f>
        <v>0</v>
      </c>
      <c r="V155" s="242">
        <f>IF(P155&gt;0,P155*J155/Z155,0)*VLOOKUP(B155,'2-Kosten per locatie'!$A$14:$C$21,3,FALSE)</f>
        <v>0</v>
      </c>
      <c r="W155" s="242">
        <f>IF(Q155&gt;0,Q155*J155/AA155,0)*VLOOKUP(B155,'2-Kosten per locatie'!$A$14:$C$21,3,FALSE)</f>
        <v>0</v>
      </c>
      <c r="X155" s="315">
        <f>IF(L155="nio",0,IF(L155&gt;0,VLOOKUP(H155,'3-Productie normen'!A:K,VLOOKUP(L155,'3-Productie normen'!$B$36:$C$42,2,FALSE),FALSE)))</f>
        <v>0</v>
      </c>
      <c r="Y155" s="315">
        <f t="shared" si="26"/>
        <v>0</v>
      </c>
      <c r="Z155" s="315">
        <f t="shared" si="27"/>
        <v>0</v>
      </c>
      <c r="AA155" s="315">
        <f t="shared" si="28"/>
        <v>0</v>
      </c>
      <c r="AB155" s="316"/>
      <c r="AD155" s="317">
        <f t="shared" si="29"/>
        <v>11857.5</v>
      </c>
    </row>
    <row r="156" spans="1:30" ht="14.1" hidden="1" customHeight="1">
      <c r="A156" s="74">
        <v>156</v>
      </c>
      <c r="B156" s="277" t="s">
        <v>275</v>
      </c>
      <c r="C156" s="277" t="s">
        <v>458</v>
      </c>
      <c r="D156" s="277" t="s">
        <v>367</v>
      </c>
      <c r="E156" s="311" t="s">
        <v>419</v>
      </c>
      <c r="F156" s="312"/>
      <c r="G156" s="70" t="s">
        <v>466</v>
      </c>
      <c r="H156" s="70" t="s">
        <v>60</v>
      </c>
      <c r="I156" s="70" t="s">
        <v>442</v>
      </c>
      <c r="J156" s="313">
        <v>3.5</v>
      </c>
      <c r="K156" s="314">
        <f t="shared" si="25"/>
        <v>255</v>
      </c>
      <c r="L156" s="243">
        <v>255</v>
      </c>
      <c r="M156" s="243"/>
      <c r="N156" s="243"/>
      <c r="O156" s="243"/>
      <c r="P156" s="243"/>
      <c r="Q156" s="243"/>
      <c r="R156" s="242" t="e">
        <f>IF(L156="nio",0,IF(L156&gt;0,L156*J156/X156,0))*VLOOKUP(B156,'2-Kosten per locatie'!$A$14:$C$21,3,FALSE)</f>
        <v>#DIV/0!</v>
      </c>
      <c r="S156" s="242">
        <f>IF(M156&gt;0,M156*J156/Y156,0)*VLOOKUP(B156,'2-Kosten per locatie'!$A$14:$C$21,3,FALSE)</f>
        <v>0</v>
      </c>
      <c r="T156" s="242">
        <f>IF(N156&gt;0,N156*J156/Z156,0)*VLOOKUP(B156,'2-Kosten per locatie'!$A$14:$C$21,3,FALSE)</f>
        <v>0</v>
      </c>
      <c r="U156" s="242">
        <f>IF(O156&gt;0,O156*J156/AA156,0)*VLOOKUP(B156,'2-Kosten per locatie'!$A$14:$C$21,3,FALSE)</f>
        <v>0</v>
      </c>
      <c r="V156" s="242">
        <f>IF(P156&gt;0,P156*J156/Z156,0)*VLOOKUP(B156,'2-Kosten per locatie'!$A$14:$C$21,3,FALSE)</f>
        <v>0</v>
      </c>
      <c r="W156" s="242">
        <f>IF(Q156&gt;0,Q156*J156/AA156,0)*VLOOKUP(B156,'2-Kosten per locatie'!$A$14:$C$21,3,FALSE)</f>
        <v>0</v>
      </c>
      <c r="X156" s="315">
        <f>IF(L156="nio",0,IF(L156&gt;0,VLOOKUP(H156,'3-Productie normen'!A:K,VLOOKUP(L156,'3-Productie normen'!$B$36:$C$42,2,FALSE),FALSE)))</f>
        <v>0</v>
      </c>
      <c r="Y156" s="315">
        <f t="shared" si="26"/>
        <v>0</v>
      </c>
      <c r="Z156" s="315">
        <f t="shared" si="27"/>
        <v>0</v>
      </c>
      <c r="AA156" s="315">
        <f t="shared" si="28"/>
        <v>0</v>
      </c>
      <c r="AB156" s="316"/>
      <c r="AD156" s="317">
        <f t="shared" si="29"/>
        <v>892.5</v>
      </c>
    </row>
    <row r="157" spans="1:30" ht="14.1" hidden="1" customHeight="1">
      <c r="A157" s="74">
        <v>157</v>
      </c>
      <c r="B157" s="277" t="s">
        <v>275</v>
      </c>
      <c r="C157" s="277" t="s">
        <v>458</v>
      </c>
      <c r="D157" s="277" t="s">
        <v>367</v>
      </c>
      <c r="E157" s="311" t="s">
        <v>419</v>
      </c>
      <c r="F157" s="312"/>
      <c r="G157" s="277" t="s">
        <v>467</v>
      </c>
      <c r="H157" s="277" t="s">
        <v>56</v>
      </c>
      <c r="I157" s="70" t="s">
        <v>334</v>
      </c>
      <c r="J157" s="313">
        <v>24</v>
      </c>
      <c r="K157" s="314">
        <f t="shared" si="25"/>
        <v>255</v>
      </c>
      <c r="L157" s="243">
        <v>255</v>
      </c>
      <c r="M157" s="243"/>
      <c r="N157" s="243"/>
      <c r="O157" s="243"/>
      <c r="P157" s="243"/>
      <c r="Q157" s="243"/>
      <c r="R157" s="242" t="e">
        <f>IF(L157="nio",0,IF(L157&gt;0,L157*J157/X157,0))*VLOOKUP(B157,'2-Kosten per locatie'!$A$14:$C$21,3,FALSE)</f>
        <v>#DIV/0!</v>
      </c>
      <c r="S157" s="242">
        <f>IF(M157&gt;0,M157*J157/Y157,0)*VLOOKUP(B157,'2-Kosten per locatie'!$A$14:$C$21,3,FALSE)</f>
        <v>0</v>
      </c>
      <c r="T157" s="242">
        <f>IF(N157&gt;0,N157*J157/Z157,0)*VLOOKUP(B157,'2-Kosten per locatie'!$A$14:$C$21,3,FALSE)</f>
        <v>0</v>
      </c>
      <c r="U157" s="242">
        <f>IF(O157&gt;0,O157*J157/AA157,0)*VLOOKUP(B157,'2-Kosten per locatie'!$A$14:$C$21,3,FALSE)</f>
        <v>0</v>
      </c>
      <c r="V157" s="242">
        <f>IF(P157&gt;0,P157*J157/Z157,0)*VLOOKUP(B157,'2-Kosten per locatie'!$A$14:$C$21,3,FALSE)</f>
        <v>0</v>
      </c>
      <c r="W157" s="242">
        <f>IF(Q157&gt;0,Q157*J157/AA157,0)*VLOOKUP(B157,'2-Kosten per locatie'!$A$14:$C$21,3,FALSE)</f>
        <v>0</v>
      </c>
      <c r="X157" s="315">
        <f>IF(L157="nio",0,IF(L157&gt;0,VLOOKUP(H157,'3-Productie normen'!A:K,VLOOKUP(L157,'3-Productie normen'!$B$36:$C$42,2,FALSE),FALSE)))</f>
        <v>0</v>
      </c>
      <c r="Y157" s="315">
        <f t="shared" si="26"/>
        <v>0</v>
      </c>
      <c r="Z157" s="315">
        <f t="shared" si="27"/>
        <v>0</v>
      </c>
      <c r="AA157" s="315">
        <f t="shared" si="28"/>
        <v>0</v>
      </c>
      <c r="AB157" s="316"/>
      <c r="AD157" s="317">
        <f t="shared" si="29"/>
        <v>6120</v>
      </c>
    </row>
    <row r="158" spans="1:30" ht="14.1" hidden="1" customHeight="1">
      <c r="A158" s="74">
        <v>158</v>
      </c>
      <c r="B158" s="277" t="s">
        <v>275</v>
      </c>
      <c r="C158" s="277" t="s">
        <v>458</v>
      </c>
      <c r="D158" s="277" t="s">
        <v>367</v>
      </c>
      <c r="E158" s="311" t="s">
        <v>419</v>
      </c>
      <c r="F158" s="312"/>
      <c r="G158" s="277" t="s">
        <v>468</v>
      </c>
      <c r="H158" s="70" t="s">
        <v>392</v>
      </c>
      <c r="I158" s="70" t="s">
        <v>334</v>
      </c>
      <c r="J158" s="313">
        <v>26.25</v>
      </c>
      <c r="K158" s="314">
        <f t="shared" si="25"/>
        <v>255</v>
      </c>
      <c r="L158" s="243">
        <v>255</v>
      </c>
      <c r="M158" s="243"/>
      <c r="N158" s="243"/>
      <c r="O158" s="243"/>
      <c r="P158" s="243"/>
      <c r="Q158" s="243"/>
      <c r="R158" s="242" t="e">
        <f>IF(L158="nio",0,IF(L158&gt;0,L158*J158/X158,0))*VLOOKUP(B158,'2-Kosten per locatie'!$A$14:$C$21,3,FALSE)</f>
        <v>#DIV/0!</v>
      </c>
      <c r="S158" s="242">
        <f>IF(M158&gt;0,M158*J158/Y158,0)*VLOOKUP(B158,'2-Kosten per locatie'!$A$14:$C$21,3,FALSE)</f>
        <v>0</v>
      </c>
      <c r="T158" s="242">
        <f>IF(N158&gt;0,N158*J158/Z158,0)*VLOOKUP(B158,'2-Kosten per locatie'!$A$14:$C$21,3,FALSE)</f>
        <v>0</v>
      </c>
      <c r="U158" s="242">
        <f>IF(O158&gt;0,O158*J158/AA158,0)*VLOOKUP(B158,'2-Kosten per locatie'!$A$14:$C$21,3,FALSE)</f>
        <v>0</v>
      </c>
      <c r="V158" s="242">
        <f>IF(P158&gt;0,P158*J158/Z158,0)*VLOOKUP(B158,'2-Kosten per locatie'!$A$14:$C$21,3,FALSE)</f>
        <v>0</v>
      </c>
      <c r="W158" s="242">
        <f>IF(Q158&gt;0,Q158*J158/AA158,0)*VLOOKUP(B158,'2-Kosten per locatie'!$A$14:$C$21,3,FALSE)</f>
        <v>0</v>
      </c>
      <c r="X158" s="315">
        <f>IF(L158="nio",0,IF(L158&gt;0,VLOOKUP(H158,'3-Productie normen'!A:K,VLOOKUP(L158,'3-Productie normen'!$B$36:$C$42,2,FALSE),FALSE)))</f>
        <v>0</v>
      </c>
      <c r="Y158" s="315">
        <f t="shared" si="26"/>
        <v>0</v>
      </c>
      <c r="Z158" s="315">
        <f t="shared" si="27"/>
        <v>0</v>
      </c>
      <c r="AA158" s="315">
        <f t="shared" si="28"/>
        <v>0</v>
      </c>
      <c r="AB158" s="316"/>
      <c r="AD158" s="317">
        <f t="shared" si="29"/>
        <v>6693.75</v>
      </c>
    </row>
    <row r="159" spans="1:30" ht="14.1" hidden="1" customHeight="1">
      <c r="A159" s="74">
        <v>159</v>
      </c>
      <c r="B159" s="277" t="s">
        <v>275</v>
      </c>
      <c r="C159" s="277" t="s">
        <v>458</v>
      </c>
      <c r="D159" s="277" t="s">
        <v>367</v>
      </c>
      <c r="E159" s="311" t="s">
        <v>419</v>
      </c>
      <c r="F159" s="312"/>
      <c r="G159" s="277" t="s">
        <v>469</v>
      </c>
      <c r="H159" s="70" t="s">
        <v>56</v>
      </c>
      <c r="I159" s="70" t="s">
        <v>334</v>
      </c>
      <c r="J159" s="313">
        <v>24</v>
      </c>
      <c r="K159" s="314">
        <f t="shared" si="25"/>
        <v>255</v>
      </c>
      <c r="L159" s="243">
        <v>255</v>
      </c>
      <c r="M159" s="243"/>
      <c r="N159" s="243"/>
      <c r="O159" s="243"/>
      <c r="P159" s="243"/>
      <c r="Q159" s="243"/>
      <c r="R159" s="242" t="e">
        <f>IF(L159="nio",0,IF(L159&gt;0,L159*J159/X159,0))*VLOOKUP(B159,'2-Kosten per locatie'!$A$14:$C$21,3,FALSE)</f>
        <v>#DIV/0!</v>
      </c>
      <c r="S159" s="242">
        <f>IF(M159&gt;0,M159*J159/Y159,0)*VLOOKUP(B159,'2-Kosten per locatie'!$A$14:$C$21,3,FALSE)</f>
        <v>0</v>
      </c>
      <c r="T159" s="242">
        <f>IF(N159&gt;0,N159*J159/Z159,0)*VLOOKUP(B159,'2-Kosten per locatie'!$A$14:$C$21,3,FALSE)</f>
        <v>0</v>
      </c>
      <c r="U159" s="242">
        <f>IF(O159&gt;0,O159*J159/AA159,0)*VLOOKUP(B159,'2-Kosten per locatie'!$A$14:$C$21,3,FALSE)</f>
        <v>0</v>
      </c>
      <c r="V159" s="242">
        <f>IF(P159&gt;0,P159*J159/Z159,0)*VLOOKUP(B159,'2-Kosten per locatie'!$A$14:$C$21,3,FALSE)</f>
        <v>0</v>
      </c>
      <c r="W159" s="242">
        <f>IF(Q159&gt;0,Q159*J159/AA159,0)*VLOOKUP(B159,'2-Kosten per locatie'!$A$14:$C$21,3,FALSE)</f>
        <v>0</v>
      </c>
      <c r="X159" s="315">
        <f>IF(L159="nio",0,IF(L159&gt;0,VLOOKUP(H159,'3-Productie normen'!A:K,VLOOKUP(L159,'3-Productie normen'!$B$36:$C$42,2,FALSE),FALSE)))</f>
        <v>0</v>
      </c>
      <c r="Y159" s="315">
        <f t="shared" si="26"/>
        <v>0</v>
      </c>
      <c r="Z159" s="315">
        <f t="shared" si="27"/>
        <v>0</v>
      </c>
      <c r="AA159" s="315">
        <f t="shared" si="28"/>
        <v>0</v>
      </c>
      <c r="AB159" s="316"/>
      <c r="AD159" s="317">
        <f t="shared" si="29"/>
        <v>6120</v>
      </c>
    </row>
    <row r="160" spans="1:30" ht="14.1" hidden="1" customHeight="1">
      <c r="A160" s="74">
        <v>160</v>
      </c>
      <c r="B160" s="277" t="s">
        <v>275</v>
      </c>
      <c r="C160" s="277" t="s">
        <v>458</v>
      </c>
      <c r="D160" s="277" t="s">
        <v>367</v>
      </c>
      <c r="E160" s="311" t="s">
        <v>419</v>
      </c>
      <c r="F160" s="312"/>
      <c r="G160" s="70" t="s">
        <v>470</v>
      </c>
      <c r="H160" s="70" t="s">
        <v>51</v>
      </c>
      <c r="I160" s="70" t="s">
        <v>334</v>
      </c>
      <c r="J160" s="313">
        <v>12</v>
      </c>
      <c r="K160" s="314">
        <f t="shared" si="25"/>
        <v>255</v>
      </c>
      <c r="L160" s="243">
        <v>255</v>
      </c>
      <c r="M160" s="243"/>
      <c r="N160" s="243"/>
      <c r="O160" s="243"/>
      <c r="P160" s="243"/>
      <c r="Q160" s="243"/>
      <c r="R160" s="242" t="e">
        <f>IF(L160="nio",0,IF(L160&gt;0,L160*J160/X160,0))*VLOOKUP(B160,'2-Kosten per locatie'!$A$14:$C$21,3,FALSE)</f>
        <v>#DIV/0!</v>
      </c>
      <c r="S160" s="242">
        <f>IF(M160&gt;0,M160*J160/Y160,0)*VLOOKUP(B160,'2-Kosten per locatie'!$A$14:$C$21,3,FALSE)</f>
        <v>0</v>
      </c>
      <c r="T160" s="242">
        <f>IF(N160&gt;0,N160*J160/Z160,0)*VLOOKUP(B160,'2-Kosten per locatie'!$A$14:$C$21,3,FALSE)</f>
        <v>0</v>
      </c>
      <c r="U160" s="242">
        <f>IF(O160&gt;0,O160*J160/AA160,0)*VLOOKUP(B160,'2-Kosten per locatie'!$A$14:$C$21,3,FALSE)</f>
        <v>0</v>
      </c>
      <c r="V160" s="242">
        <f>IF(P160&gt;0,P160*J160/Z160,0)*VLOOKUP(B160,'2-Kosten per locatie'!$A$14:$C$21,3,FALSE)</f>
        <v>0</v>
      </c>
      <c r="W160" s="242">
        <f>IF(Q160&gt;0,Q160*J160/AA160,0)*VLOOKUP(B160,'2-Kosten per locatie'!$A$14:$C$21,3,FALSE)</f>
        <v>0</v>
      </c>
      <c r="X160" s="315">
        <f>IF(L160="nio",0,IF(L160&gt;0,VLOOKUP(H160,'3-Productie normen'!A:K,VLOOKUP(L160,'3-Productie normen'!$B$36:$C$42,2,FALSE),FALSE)))</f>
        <v>0</v>
      </c>
      <c r="Y160" s="315">
        <f t="shared" si="26"/>
        <v>0</v>
      </c>
      <c r="Z160" s="315">
        <f t="shared" si="27"/>
        <v>0</v>
      </c>
      <c r="AA160" s="315">
        <f t="shared" si="28"/>
        <v>0</v>
      </c>
      <c r="AB160" s="316"/>
      <c r="AD160" s="317">
        <f t="shared" si="29"/>
        <v>3060</v>
      </c>
    </row>
    <row r="161" spans="1:30" ht="14.1" hidden="1" customHeight="1">
      <c r="A161" s="74">
        <v>161</v>
      </c>
      <c r="B161" s="277" t="s">
        <v>275</v>
      </c>
      <c r="C161" s="277" t="s">
        <v>458</v>
      </c>
      <c r="D161" s="277" t="s">
        <v>367</v>
      </c>
      <c r="E161" s="311" t="s">
        <v>419</v>
      </c>
      <c r="F161" s="312"/>
      <c r="G161" s="70" t="s">
        <v>471</v>
      </c>
      <c r="H161" s="70" t="s">
        <v>56</v>
      </c>
      <c r="I161" s="70" t="s">
        <v>334</v>
      </c>
      <c r="J161" s="313">
        <v>8</v>
      </c>
      <c r="K161" s="314">
        <f t="shared" si="25"/>
        <v>255</v>
      </c>
      <c r="L161" s="243">
        <v>255</v>
      </c>
      <c r="M161" s="243"/>
      <c r="N161" s="243"/>
      <c r="O161" s="243"/>
      <c r="P161" s="243"/>
      <c r="Q161" s="243"/>
      <c r="R161" s="242" t="e">
        <f>IF(L161="nio",0,IF(L161&gt;0,L161*J161/X161,0))*VLOOKUP(B161,'2-Kosten per locatie'!$A$14:$C$21,3,FALSE)</f>
        <v>#DIV/0!</v>
      </c>
      <c r="S161" s="242">
        <f>IF(M161&gt;0,M161*J161/Y161,0)*VLOOKUP(B161,'2-Kosten per locatie'!$A$14:$C$21,3,FALSE)</f>
        <v>0</v>
      </c>
      <c r="T161" s="242">
        <f>IF(N161&gt;0,N161*J161/Z161,0)*VLOOKUP(B161,'2-Kosten per locatie'!$A$14:$C$21,3,FALSE)</f>
        <v>0</v>
      </c>
      <c r="U161" s="242">
        <f>IF(O161&gt;0,O161*J161/AA161,0)*VLOOKUP(B161,'2-Kosten per locatie'!$A$14:$C$21,3,FALSE)</f>
        <v>0</v>
      </c>
      <c r="V161" s="242">
        <f>IF(P161&gt;0,P161*J161/Z161,0)*VLOOKUP(B161,'2-Kosten per locatie'!$A$14:$C$21,3,FALSE)</f>
        <v>0</v>
      </c>
      <c r="W161" s="242">
        <f>IF(Q161&gt;0,Q161*J161/AA161,0)*VLOOKUP(B161,'2-Kosten per locatie'!$A$14:$C$21,3,FALSE)</f>
        <v>0</v>
      </c>
      <c r="X161" s="315">
        <f>IF(L161="nio",0,IF(L161&gt;0,VLOOKUP(H161,'3-Productie normen'!A:K,VLOOKUP(L161,'3-Productie normen'!$B$36:$C$42,2,FALSE),FALSE)))</f>
        <v>0</v>
      </c>
      <c r="Y161" s="315">
        <f t="shared" si="26"/>
        <v>0</v>
      </c>
      <c r="Z161" s="315">
        <f t="shared" si="27"/>
        <v>0</v>
      </c>
      <c r="AA161" s="315">
        <f t="shared" si="28"/>
        <v>0</v>
      </c>
      <c r="AB161" s="316"/>
      <c r="AD161" s="317">
        <f t="shared" si="29"/>
        <v>2040</v>
      </c>
    </row>
    <row r="162" spans="1:30" ht="14.1" hidden="1" customHeight="1">
      <c r="A162" s="74">
        <v>162</v>
      </c>
      <c r="B162" s="277" t="s">
        <v>275</v>
      </c>
      <c r="C162" s="277" t="s">
        <v>458</v>
      </c>
      <c r="D162" s="277" t="s">
        <v>367</v>
      </c>
      <c r="E162" s="311" t="s">
        <v>419</v>
      </c>
      <c r="F162" s="312"/>
      <c r="G162" s="70" t="s">
        <v>472</v>
      </c>
      <c r="H162" s="70" t="s">
        <v>56</v>
      </c>
      <c r="I162" s="70" t="s">
        <v>334</v>
      </c>
      <c r="J162" s="313">
        <v>8</v>
      </c>
      <c r="K162" s="314">
        <f t="shared" si="25"/>
        <v>255</v>
      </c>
      <c r="L162" s="243">
        <v>255</v>
      </c>
      <c r="M162" s="243"/>
      <c r="N162" s="243"/>
      <c r="O162" s="243"/>
      <c r="P162" s="243"/>
      <c r="Q162" s="243"/>
      <c r="R162" s="242" t="e">
        <f>IF(L162="nio",0,IF(L162&gt;0,L162*J162/X162,0))*VLOOKUP(B162,'2-Kosten per locatie'!$A$14:$C$21,3,FALSE)</f>
        <v>#DIV/0!</v>
      </c>
      <c r="S162" s="242">
        <f>IF(M162&gt;0,M162*J162/Y162,0)*VLOOKUP(B162,'2-Kosten per locatie'!$A$14:$C$21,3,FALSE)</f>
        <v>0</v>
      </c>
      <c r="T162" s="242">
        <f>IF(N162&gt;0,N162*J162/Z162,0)*VLOOKUP(B162,'2-Kosten per locatie'!$A$14:$C$21,3,FALSE)</f>
        <v>0</v>
      </c>
      <c r="U162" s="242">
        <f>IF(O162&gt;0,O162*J162/AA162,0)*VLOOKUP(B162,'2-Kosten per locatie'!$A$14:$C$21,3,FALSE)</f>
        <v>0</v>
      </c>
      <c r="V162" s="242">
        <f>IF(P162&gt;0,P162*J162/Z162,0)*VLOOKUP(B162,'2-Kosten per locatie'!$A$14:$C$21,3,FALSE)</f>
        <v>0</v>
      </c>
      <c r="W162" s="242">
        <f>IF(Q162&gt;0,Q162*J162/AA162,0)*VLOOKUP(B162,'2-Kosten per locatie'!$A$14:$C$21,3,FALSE)</f>
        <v>0</v>
      </c>
      <c r="X162" s="315">
        <f>IF(L162="nio",0,IF(L162&gt;0,VLOOKUP(H162,'3-Productie normen'!A:K,VLOOKUP(L162,'3-Productie normen'!$B$36:$C$42,2,FALSE),FALSE)))</f>
        <v>0</v>
      </c>
      <c r="Y162" s="315">
        <f t="shared" si="26"/>
        <v>0</v>
      </c>
      <c r="Z162" s="315">
        <f t="shared" si="27"/>
        <v>0</v>
      </c>
      <c r="AA162" s="315">
        <f t="shared" si="28"/>
        <v>0</v>
      </c>
      <c r="AB162" s="316"/>
      <c r="AD162" s="317">
        <f t="shared" si="29"/>
        <v>2040</v>
      </c>
    </row>
    <row r="163" spans="1:30" ht="14.1" hidden="1" customHeight="1">
      <c r="A163" s="74">
        <v>163</v>
      </c>
      <c r="B163" s="277" t="s">
        <v>275</v>
      </c>
      <c r="C163" s="277" t="s">
        <v>458</v>
      </c>
      <c r="D163" s="277" t="s">
        <v>367</v>
      </c>
      <c r="E163" s="311" t="s">
        <v>419</v>
      </c>
      <c r="F163" s="312"/>
      <c r="G163" s="70" t="s">
        <v>473</v>
      </c>
      <c r="H163" s="70" t="s">
        <v>411</v>
      </c>
      <c r="I163" s="70" t="s">
        <v>334</v>
      </c>
      <c r="J163" s="313">
        <v>12</v>
      </c>
      <c r="K163" s="314">
        <f t="shared" si="25"/>
        <v>0</v>
      </c>
      <c r="L163" s="243" t="s">
        <v>412</v>
      </c>
      <c r="M163" s="243"/>
      <c r="N163" s="243"/>
      <c r="O163" s="243"/>
      <c r="P163" s="243"/>
      <c r="Q163" s="243"/>
      <c r="R163" s="242">
        <f>IF(L163="nio",0,IF(L163&gt;0,L163*J163/X163,0))*VLOOKUP(B163,'2-Kosten per locatie'!$A$14:$C$21,3,FALSE)</f>
        <v>0</v>
      </c>
      <c r="S163" s="242">
        <f>IF(M163&gt;0,M163*J163/Y163,0)*VLOOKUP(B163,'2-Kosten per locatie'!$A$14:$C$21,3,FALSE)</f>
        <v>0</v>
      </c>
      <c r="T163" s="242">
        <f>IF(N163&gt;0,N163*J163/Z163,0)*VLOOKUP(B163,'2-Kosten per locatie'!$A$14:$C$21,3,FALSE)</f>
        <v>0</v>
      </c>
      <c r="U163" s="242">
        <f>IF(O163&gt;0,O163*J163/AA163,0)*VLOOKUP(B163,'2-Kosten per locatie'!$A$14:$C$21,3,FALSE)</f>
        <v>0</v>
      </c>
      <c r="V163" s="242">
        <f>IF(P163&gt;0,P163*J163/Z163,0)*VLOOKUP(B163,'2-Kosten per locatie'!$A$14:$C$21,3,FALSE)</f>
        <v>0</v>
      </c>
      <c r="W163" s="242">
        <f>IF(Q163&gt;0,Q163*J163/AA163,0)*VLOOKUP(B163,'2-Kosten per locatie'!$A$14:$C$21,3,FALSE)</f>
        <v>0</v>
      </c>
      <c r="X163" s="315">
        <f>IF(L163="nio",0,IF(L163&gt;0,VLOOKUP(H163,'3-Productie normen'!A:K,VLOOKUP(L163,'3-Productie normen'!$B$36:$C$42,2,FALSE),FALSE)))</f>
        <v>0</v>
      </c>
      <c r="Y163" s="315">
        <f t="shared" si="26"/>
        <v>0</v>
      </c>
      <c r="Z163" s="315">
        <f t="shared" si="27"/>
        <v>0</v>
      </c>
      <c r="AA163" s="315">
        <f t="shared" si="28"/>
        <v>0</v>
      </c>
      <c r="AB163" s="316"/>
      <c r="AD163" s="317">
        <f t="shared" si="29"/>
        <v>0</v>
      </c>
    </row>
    <row r="164" spans="1:30" ht="14.1" hidden="1" customHeight="1">
      <c r="A164" s="74">
        <v>164</v>
      </c>
      <c r="B164" s="277" t="s">
        <v>275</v>
      </c>
      <c r="C164" s="277" t="s">
        <v>458</v>
      </c>
      <c r="D164" s="277" t="s">
        <v>367</v>
      </c>
      <c r="E164" s="311" t="s">
        <v>419</v>
      </c>
      <c r="F164" s="312"/>
      <c r="G164" s="320" t="s">
        <v>476</v>
      </c>
      <c r="H164" s="70" t="s">
        <v>56</v>
      </c>
      <c r="I164" s="70" t="s">
        <v>334</v>
      </c>
      <c r="J164" s="313">
        <v>24</v>
      </c>
      <c r="K164" s="314">
        <f t="shared" si="25"/>
        <v>255</v>
      </c>
      <c r="L164" s="243">
        <v>255</v>
      </c>
      <c r="M164" s="243"/>
      <c r="N164" s="243"/>
      <c r="O164" s="243"/>
      <c r="P164" s="243"/>
      <c r="Q164" s="243"/>
      <c r="R164" s="242" t="e">
        <f>IF(L164="nio",0,IF(L164&gt;0,L164*J164/X164,0))*VLOOKUP(B164,'2-Kosten per locatie'!$A$14:$C$21,3,FALSE)</f>
        <v>#DIV/0!</v>
      </c>
      <c r="S164" s="242">
        <f>IF(M164&gt;0,M164*J164/Y164,0)*VLOOKUP(B164,'2-Kosten per locatie'!$A$14:$C$21,3,FALSE)</f>
        <v>0</v>
      </c>
      <c r="T164" s="242">
        <f>IF(N164&gt;0,N164*J164/Z164,0)*VLOOKUP(B164,'2-Kosten per locatie'!$A$14:$C$21,3,FALSE)</f>
        <v>0</v>
      </c>
      <c r="U164" s="242">
        <f>IF(O164&gt;0,O164*J164/AA164,0)*VLOOKUP(B164,'2-Kosten per locatie'!$A$14:$C$21,3,FALSE)</f>
        <v>0</v>
      </c>
      <c r="V164" s="242">
        <f>IF(P164&gt;0,P164*J164/Z164,0)*VLOOKUP(B164,'2-Kosten per locatie'!$A$14:$C$21,3,FALSE)</f>
        <v>0</v>
      </c>
      <c r="W164" s="242">
        <f>IF(Q164&gt;0,Q164*J164/AA164,0)*VLOOKUP(B164,'2-Kosten per locatie'!$A$14:$C$21,3,FALSE)</f>
        <v>0</v>
      </c>
      <c r="X164" s="315">
        <f>IF(L164="nio",0,IF(L164&gt;0,VLOOKUP(H164,'3-Productie normen'!A:K,VLOOKUP(L164,'3-Productie normen'!$B$36:$C$42,2,FALSE),FALSE)))</f>
        <v>0</v>
      </c>
      <c r="Y164" s="315">
        <f t="shared" si="26"/>
        <v>0</v>
      </c>
      <c r="Z164" s="315">
        <f t="shared" si="27"/>
        <v>0</v>
      </c>
      <c r="AA164" s="315">
        <f t="shared" si="28"/>
        <v>0</v>
      </c>
      <c r="AB164" s="316"/>
      <c r="AD164" s="317">
        <f t="shared" si="29"/>
        <v>6120</v>
      </c>
    </row>
    <row r="165" spans="1:30" ht="14.1" hidden="1" customHeight="1">
      <c r="A165" s="74">
        <v>165</v>
      </c>
      <c r="B165" s="277" t="s">
        <v>275</v>
      </c>
      <c r="C165" s="277" t="s">
        <v>458</v>
      </c>
      <c r="D165" s="277" t="s">
        <v>367</v>
      </c>
      <c r="E165" s="311" t="s">
        <v>419</v>
      </c>
      <c r="F165" s="312"/>
      <c r="G165" s="70" t="s">
        <v>474</v>
      </c>
      <c r="H165" s="70" t="s">
        <v>392</v>
      </c>
      <c r="I165" s="70" t="s">
        <v>334</v>
      </c>
      <c r="J165" s="313">
        <v>26.25</v>
      </c>
      <c r="K165" s="314">
        <f t="shared" si="25"/>
        <v>255</v>
      </c>
      <c r="L165" s="243">
        <v>255</v>
      </c>
      <c r="M165" s="243"/>
      <c r="N165" s="243"/>
      <c r="O165" s="243"/>
      <c r="P165" s="243"/>
      <c r="Q165" s="243"/>
      <c r="R165" s="242" t="e">
        <f>IF(L165="nio",0,IF(L165&gt;0,L165*J165/X165,0))*VLOOKUP(B165,'2-Kosten per locatie'!$A$14:$C$21,3,FALSE)</f>
        <v>#DIV/0!</v>
      </c>
      <c r="S165" s="242">
        <f>IF(M165&gt;0,M165*J165/Y165,0)*VLOOKUP(B165,'2-Kosten per locatie'!$A$14:$C$21,3,FALSE)</f>
        <v>0</v>
      </c>
      <c r="T165" s="242">
        <f>IF(N165&gt;0,N165*J165/Z165,0)*VLOOKUP(B165,'2-Kosten per locatie'!$A$14:$C$21,3,FALSE)</f>
        <v>0</v>
      </c>
      <c r="U165" s="242">
        <f>IF(O165&gt;0,O165*J165/AA165,0)*VLOOKUP(B165,'2-Kosten per locatie'!$A$14:$C$21,3,FALSE)</f>
        <v>0</v>
      </c>
      <c r="V165" s="242">
        <f>IF(P165&gt;0,P165*J165/Z165,0)*VLOOKUP(B165,'2-Kosten per locatie'!$A$14:$C$21,3,FALSE)</f>
        <v>0</v>
      </c>
      <c r="W165" s="242">
        <f>IF(Q165&gt;0,Q165*J165/AA165,0)*VLOOKUP(B165,'2-Kosten per locatie'!$A$14:$C$21,3,FALSE)</f>
        <v>0</v>
      </c>
      <c r="X165" s="315">
        <f>IF(L165="nio",0,IF(L165&gt;0,VLOOKUP(H165,'3-Productie normen'!A:K,VLOOKUP(L165,'3-Productie normen'!$B$36:$C$42,2,FALSE),FALSE)))</f>
        <v>0</v>
      </c>
      <c r="Y165" s="315">
        <f t="shared" si="26"/>
        <v>0</v>
      </c>
      <c r="Z165" s="315">
        <f t="shared" si="27"/>
        <v>0</v>
      </c>
      <c r="AA165" s="315">
        <f t="shared" si="28"/>
        <v>0</v>
      </c>
      <c r="AB165" s="316"/>
      <c r="AD165" s="317">
        <f t="shared" si="29"/>
        <v>6693.75</v>
      </c>
    </row>
    <row r="166" spans="1:30" ht="14.1" hidden="1" customHeight="1">
      <c r="A166" s="74">
        <v>166</v>
      </c>
      <c r="B166" s="277" t="s">
        <v>275</v>
      </c>
      <c r="C166" s="277" t="s">
        <v>458</v>
      </c>
      <c r="D166" s="277" t="s">
        <v>367</v>
      </c>
      <c r="E166" s="311" t="s">
        <v>419</v>
      </c>
      <c r="F166" s="239"/>
      <c r="G166" s="84" t="s">
        <v>475</v>
      </c>
      <c r="H166" s="84" t="s">
        <v>56</v>
      </c>
      <c r="I166" s="70" t="s">
        <v>334</v>
      </c>
      <c r="J166" s="313">
        <v>16</v>
      </c>
      <c r="K166" s="314">
        <f t="shared" si="25"/>
        <v>255</v>
      </c>
      <c r="L166" s="243">
        <v>255</v>
      </c>
      <c r="M166" s="243"/>
      <c r="N166" s="243"/>
      <c r="O166" s="243"/>
      <c r="P166" s="243"/>
      <c r="Q166" s="243"/>
      <c r="R166" s="242" t="e">
        <f>IF(L166="nio",0,IF(L166&gt;0,L166*J166/X166,0))*VLOOKUP(B166,'2-Kosten per locatie'!$A$14:$C$21,3,FALSE)</f>
        <v>#DIV/0!</v>
      </c>
      <c r="S166" s="242">
        <f>IF(M166&gt;0,M166*J166/Y166,0)*VLOOKUP(B166,'2-Kosten per locatie'!$A$14:$C$21,3,FALSE)</f>
        <v>0</v>
      </c>
      <c r="T166" s="242">
        <f>IF(N166&gt;0,N166*J166/Z166,0)*VLOOKUP(B166,'2-Kosten per locatie'!$A$14:$C$21,3,FALSE)</f>
        <v>0</v>
      </c>
      <c r="U166" s="242">
        <f>IF(O166&gt;0,O166*J166/AA166,0)*VLOOKUP(B166,'2-Kosten per locatie'!$A$14:$C$21,3,FALSE)</f>
        <v>0</v>
      </c>
      <c r="V166" s="242">
        <f>IF(P166&gt;0,P166*J166/Z166,0)*VLOOKUP(B166,'2-Kosten per locatie'!$A$14:$C$21,3,FALSE)</f>
        <v>0</v>
      </c>
      <c r="W166" s="242">
        <f>IF(Q166&gt;0,Q166*J166/AA166,0)*VLOOKUP(B166,'2-Kosten per locatie'!$A$14:$C$21,3,FALSE)</f>
        <v>0</v>
      </c>
      <c r="X166" s="315">
        <f>IF(L166="nio",0,IF(L166&gt;0,VLOOKUP(H166,'3-Productie normen'!A:K,VLOOKUP(L166,'3-Productie normen'!$B$36:$C$42,2,FALSE),FALSE)))</f>
        <v>0</v>
      </c>
      <c r="Y166" s="315">
        <f t="shared" si="26"/>
        <v>0</v>
      </c>
      <c r="Z166" s="315">
        <f t="shared" si="27"/>
        <v>0</v>
      </c>
      <c r="AA166" s="315">
        <f t="shared" si="28"/>
        <v>0</v>
      </c>
      <c r="AB166" s="316"/>
      <c r="AD166" s="317">
        <f t="shared" si="29"/>
        <v>4080</v>
      </c>
    </row>
    <row r="167" spans="1:30" ht="14.1" hidden="1" customHeight="1">
      <c r="A167" s="74">
        <v>167</v>
      </c>
      <c r="B167" s="277" t="s">
        <v>275</v>
      </c>
      <c r="C167" s="277" t="s">
        <v>458</v>
      </c>
      <c r="D167" s="277" t="s">
        <v>367</v>
      </c>
      <c r="E167" s="311" t="s">
        <v>419</v>
      </c>
      <c r="F167" s="312"/>
      <c r="G167" s="70" t="s">
        <v>477</v>
      </c>
      <c r="H167" s="70" t="s">
        <v>411</v>
      </c>
      <c r="I167" s="70" t="s">
        <v>485</v>
      </c>
      <c r="J167" s="313">
        <v>68</v>
      </c>
      <c r="K167" s="314">
        <f t="shared" si="25"/>
        <v>0</v>
      </c>
      <c r="L167" s="243" t="s">
        <v>412</v>
      </c>
      <c r="M167" s="243"/>
      <c r="N167" s="243"/>
      <c r="O167" s="243"/>
      <c r="P167" s="243"/>
      <c r="Q167" s="243"/>
      <c r="R167" s="242">
        <f>IF(L167="nio",0,IF(L167&gt;0,L167*J167/X167,0))*VLOOKUP(B167,'2-Kosten per locatie'!$A$14:$C$21,3,FALSE)</f>
        <v>0</v>
      </c>
      <c r="S167" s="242">
        <f>IF(M167&gt;0,M167*J167/Y167,0)*VLOOKUP(B167,'2-Kosten per locatie'!$A$14:$C$21,3,FALSE)</f>
        <v>0</v>
      </c>
      <c r="T167" s="242">
        <f>IF(N167&gt;0,N167*J167/Z167,0)*VLOOKUP(B167,'2-Kosten per locatie'!$A$14:$C$21,3,FALSE)</f>
        <v>0</v>
      </c>
      <c r="U167" s="242">
        <f>IF(O167&gt;0,O167*J167/AA167,0)*VLOOKUP(B167,'2-Kosten per locatie'!$A$14:$C$21,3,FALSE)</f>
        <v>0</v>
      </c>
      <c r="V167" s="242">
        <f>IF(P167&gt;0,P167*J167/Z167,0)*VLOOKUP(B167,'2-Kosten per locatie'!$A$14:$C$21,3,FALSE)</f>
        <v>0</v>
      </c>
      <c r="W167" s="242">
        <f>IF(Q167&gt;0,Q167*J167/AA167,0)*VLOOKUP(B167,'2-Kosten per locatie'!$A$14:$C$21,3,FALSE)</f>
        <v>0</v>
      </c>
      <c r="X167" s="315">
        <f>IF(L167="nio",0,IF(L167&gt;0,VLOOKUP(H167,'3-Productie normen'!A:K,VLOOKUP(L167,'3-Productie normen'!$B$36:$C$42,2,FALSE),FALSE)))</f>
        <v>0</v>
      </c>
      <c r="Y167" s="315">
        <f t="shared" si="26"/>
        <v>0</v>
      </c>
      <c r="Z167" s="315">
        <f t="shared" si="27"/>
        <v>0</v>
      </c>
      <c r="AA167" s="315">
        <f t="shared" si="28"/>
        <v>0</v>
      </c>
      <c r="AB167" s="316"/>
      <c r="AD167" s="317">
        <f t="shared" si="29"/>
        <v>0</v>
      </c>
    </row>
    <row r="168" spans="1:30" ht="14.1" hidden="1" customHeight="1">
      <c r="A168" s="74">
        <v>168</v>
      </c>
      <c r="B168" s="277" t="s">
        <v>275</v>
      </c>
      <c r="C168" s="277" t="s">
        <v>458</v>
      </c>
      <c r="D168" s="277" t="s">
        <v>367</v>
      </c>
      <c r="E168" s="311" t="s">
        <v>419</v>
      </c>
      <c r="F168" s="312"/>
      <c r="G168" s="70" t="s">
        <v>478</v>
      </c>
      <c r="H168" s="70" t="s">
        <v>411</v>
      </c>
      <c r="I168" s="70" t="s">
        <v>485</v>
      </c>
      <c r="J168" s="313">
        <v>68</v>
      </c>
      <c r="K168" s="314">
        <f t="shared" si="25"/>
        <v>0</v>
      </c>
      <c r="L168" s="243" t="s">
        <v>412</v>
      </c>
      <c r="M168" s="243"/>
      <c r="N168" s="243"/>
      <c r="O168" s="243"/>
      <c r="P168" s="243"/>
      <c r="Q168" s="243"/>
      <c r="R168" s="242">
        <f>IF(L168="nio",0,IF(L168&gt;0,L168*J168/X168,0))*VLOOKUP(B168,'2-Kosten per locatie'!$A$14:$C$21,3,FALSE)</f>
        <v>0</v>
      </c>
      <c r="S168" s="242">
        <f>IF(M168&gt;0,M168*J168/Y168,0)*VLOOKUP(B168,'2-Kosten per locatie'!$A$14:$C$21,3,FALSE)</f>
        <v>0</v>
      </c>
      <c r="T168" s="242">
        <f>IF(N168&gt;0,N168*J168/Z168,0)*VLOOKUP(B168,'2-Kosten per locatie'!$A$14:$C$21,3,FALSE)</f>
        <v>0</v>
      </c>
      <c r="U168" s="242">
        <f>IF(O168&gt;0,O168*J168/AA168,0)*VLOOKUP(B168,'2-Kosten per locatie'!$A$14:$C$21,3,FALSE)</f>
        <v>0</v>
      </c>
      <c r="V168" s="242">
        <f>IF(P168&gt;0,P168*J168/Z168,0)*VLOOKUP(B168,'2-Kosten per locatie'!$A$14:$C$21,3,FALSE)</f>
        <v>0</v>
      </c>
      <c r="W168" s="242">
        <f>IF(Q168&gt;0,Q168*J168/AA168,0)*VLOOKUP(B168,'2-Kosten per locatie'!$A$14:$C$21,3,FALSE)</f>
        <v>0</v>
      </c>
      <c r="X168" s="315">
        <f>IF(L168="nio",0,IF(L168&gt;0,VLOOKUP(H168,'3-Productie normen'!A:K,VLOOKUP(L168,'3-Productie normen'!$B$36:$C$42,2,FALSE),FALSE)))</f>
        <v>0</v>
      </c>
      <c r="Y168" s="315">
        <f t="shared" si="26"/>
        <v>0</v>
      </c>
      <c r="Z168" s="315">
        <f t="shared" si="27"/>
        <v>0</v>
      </c>
      <c r="AA168" s="315">
        <f t="shared" si="28"/>
        <v>0</v>
      </c>
      <c r="AB168" s="316"/>
      <c r="AD168" s="317">
        <f t="shared" si="29"/>
        <v>0</v>
      </c>
    </row>
    <row r="169" spans="1:30" ht="14.1" hidden="1" customHeight="1">
      <c r="A169" s="74">
        <v>169</v>
      </c>
      <c r="B169" s="277" t="s">
        <v>275</v>
      </c>
      <c r="C169" s="277" t="s">
        <v>458</v>
      </c>
      <c r="D169" s="277" t="s">
        <v>367</v>
      </c>
      <c r="E169" s="311" t="s">
        <v>419</v>
      </c>
      <c r="F169" s="312"/>
      <c r="G169" s="70" t="s">
        <v>479</v>
      </c>
      <c r="H169" s="70" t="s">
        <v>411</v>
      </c>
      <c r="I169" s="70" t="s">
        <v>485</v>
      </c>
      <c r="J169" s="313">
        <v>68</v>
      </c>
      <c r="K169" s="314">
        <f t="shared" si="25"/>
        <v>0</v>
      </c>
      <c r="L169" s="243" t="s">
        <v>412</v>
      </c>
      <c r="M169" s="243"/>
      <c r="N169" s="243"/>
      <c r="O169" s="243"/>
      <c r="P169" s="243"/>
      <c r="Q169" s="243"/>
      <c r="R169" s="242">
        <f>IF(L169="nio",0,IF(L169&gt;0,L169*J169/X169,0))*VLOOKUP(B169,'2-Kosten per locatie'!$A$14:$C$21,3,FALSE)</f>
        <v>0</v>
      </c>
      <c r="S169" s="242">
        <f>IF(M169&gt;0,M169*J169/Y169,0)*VLOOKUP(B169,'2-Kosten per locatie'!$A$14:$C$21,3,FALSE)</f>
        <v>0</v>
      </c>
      <c r="T169" s="242">
        <f>IF(N169&gt;0,N169*J169/Z169,0)*VLOOKUP(B169,'2-Kosten per locatie'!$A$14:$C$21,3,FALSE)</f>
        <v>0</v>
      </c>
      <c r="U169" s="242">
        <f>IF(O169&gt;0,O169*J169/AA169,0)*VLOOKUP(B169,'2-Kosten per locatie'!$A$14:$C$21,3,FALSE)</f>
        <v>0</v>
      </c>
      <c r="V169" s="242">
        <f>IF(P169&gt;0,P169*J169/Z169,0)*VLOOKUP(B169,'2-Kosten per locatie'!$A$14:$C$21,3,FALSE)</f>
        <v>0</v>
      </c>
      <c r="W169" s="242">
        <f>IF(Q169&gt;0,Q169*J169/AA169,0)*VLOOKUP(B169,'2-Kosten per locatie'!$A$14:$C$21,3,FALSE)</f>
        <v>0</v>
      </c>
      <c r="X169" s="315">
        <f>IF(L169="nio",0,IF(L169&gt;0,VLOOKUP(H169,'3-Productie normen'!A:K,VLOOKUP(L169,'3-Productie normen'!$B$36:$C$42,2,FALSE),FALSE)))</f>
        <v>0</v>
      </c>
      <c r="Y169" s="315">
        <f t="shared" si="26"/>
        <v>0</v>
      </c>
      <c r="Z169" s="315">
        <f t="shared" si="27"/>
        <v>0</v>
      </c>
      <c r="AA169" s="315">
        <f t="shared" si="28"/>
        <v>0</v>
      </c>
      <c r="AB169" s="316"/>
      <c r="AD169" s="317">
        <f t="shared" si="29"/>
        <v>0</v>
      </c>
    </row>
    <row r="170" spans="1:30" ht="14.1" hidden="1" customHeight="1">
      <c r="A170" s="74">
        <v>170</v>
      </c>
      <c r="B170" s="277" t="s">
        <v>275</v>
      </c>
      <c r="C170" s="277" t="s">
        <v>458</v>
      </c>
      <c r="D170" s="277" t="s">
        <v>367</v>
      </c>
      <c r="E170" s="311" t="s">
        <v>419</v>
      </c>
      <c r="F170" s="312"/>
      <c r="G170" s="70" t="s">
        <v>480</v>
      </c>
      <c r="H170" s="70" t="s">
        <v>411</v>
      </c>
      <c r="I170" s="70" t="s">
        <v>485</v>
      </c>
      <c r="J170" s="313">
        <v>68</v>
      </c>
      <c r="K170" s="314">
        <f t="shared" si="25"/>
        <v>0</v>
      </c>
      <c r="L170" s="243" t="s">
        <v>412</v>
      </c>
      <c r="M170" s="243"/>
      <c r="N170" s="243"/>
      <c r="O170" s="243"/>
      <c r="P170" s="243"/>
      <c r="Q170" s="243"/>
      <c r="R170" s="242">
        <f>IF(L170="nio",0,IF(L170&gt;0,L170*J170/X170,0))*VLOOKUP(B170,'2-Kosten per locatie'!$A$14:$C$21,3,FALSE)</f>
        <v>0</v>
      </c>
      <c r="S170" s="242">
        <f>IF(M170&gt;0,M170*J170/Y170,0)*VLOOKUP(B170,'2-Kosten per locatie'!$A$14:$C$21,3,FALSE)</f>
        <v>0</v>
      </c>
      <c r="T170" s="242">
        <f>IF(N170&gt;0,N170*J170/Z170,0)*VLOOKUP(B170,'2-Kosten per locatie'!$A$14:$C$21,3,FALSE)</f>
        <v>0</v>
      </c>
      <c r="U170" s="242">
        <f>IF(O170&gt;0,O170*J170/AA170,0)*VLOOKUP(B170,'2-Kosten per locatie'!$A$14:$C$21,3,FALSE)</f>
        <v>0</v>
      </c>
      <c r="V170" s="242">
        <f>IF(P170&gt;0,P170*J170/Z170,0)*VLOOKUP(B170,'2-Kosten per locatie'!$A$14:$C$21,3,FALSE)</f>
        <v>0</v>
      </c>
      <c r="W170" s="242">
        <f>IF(Q170&gt;0,Q170*J170/AA170,0)*VLOOKUP(B170,'2-Kosten per locatie'!$A$14:$C$21,3,FALSE)</f>
        <v>0</v>
      </c>
      <c r="X170" s="315">
        <f>IF(L170="nio",0,IF(L170&gt;0,VLOOKUP(H170,'3-Productie normen'!A:K,VLOOKUP(L170,'3-Productie normen'!$B$36:$C$42,2,FALSE),FALSE)))</f>
        <v>0</v>
      </c>
      <c r="Y170" s="315">
        <f t="shared" si="26"/>
        <v>0</v>
      </c>
      <c r="Z170" s="315">
        <f t="shared" si="27"/>
        <v>0</v>
      </c>
      <c r="AA170" s="315">
        <f t="shared" si="28"/>
        <v>0</v>
      </c>
      <c r="AB170" s="316"/>
      <c r="AD170" s="317">
        <f t="shared" si="29"/>
        <v>0</v>
      </c>
    </row>
    <row r="171" spans="1:30" ht="14.1" hidden="1" customHeight="1">
      <c r="A171" s="74">
        <v>171</v>
      </c>
      <c r="B171" s="277" t="s">
        <v>275</v>
      </c>
      <c r="C171" s="277" t="s">
        <v>458</v>
      </c>
      <c r="D171" s="277" t="s">
        <v>367</v>
      </c>
      <c r="E171" s="311" t="s">
        <v>419</v>
      </c>
      <c r="F171" s="312"/>
      <c r="G171" s="70" t="s">
        <v>481</v>
      </c>
      <c r="H171" s="70" t="s">
        <v>53</v>
      </c>
      <c r="I171" s="70" t="s">
        <v>334</v>
      </c>
      <c r="J171" s="313">
        <v>54</v>
      </c>
      <c r="K171" s="314">
        <f t="shared" si="25"/>
        <v>255</v>
      </c>
      <c r="L171" s="243">
        <v>255</v>
      </c>
      <c r="M171" s="243"/>
      <c r="N171" s="243"/>
      <c r="O171" s="243"/>
      <c r="P171" s="243"/>
      <c r="Q171" s="243"/>
      <c r="R171" s="242" t="e">
        <f>IF(L171="nio",0,IF(L171&gt;0,L171*J171/X171,0))*VLOOKUP(B171,'2-Kosten per locatie'!$A$14:$C$21,3,FALSE)</f>
        <v>#DIV/0!</v>
      </c>
      <c r="S171" s="242">
        <f>IF(M171&gt;0,M171*J171/Y171,0)*VLOOKUP(B171,'2-Kosten per locatie'!$A$14:$C$21,3,FALSE)</f>
        <v>0</v>
      </c>
      <c r="T171" s="242">
        <f>IF(N171&gt;0,N171*J171/Z171,0)*VLOOKUP(B171,'2-Kosten per locatie'!$A$14:$C$21,3,FALSE)</f>
        <v>0</v>
      </c>
      <c r="U171" s="242">
        <f>IF(O171&gt;0,O171*J171/AA171,0)*VLOOKUP(B171,'2-Kosten per locatie'!$A$14:$C$21,3,FALSE)</f>
        <v>0</v>
      </c>
      <c r="V171" s="242">
        <f>IF(P171&gt;0,P171*J171/Z171,0)*VLOOKUP(B171,'2-Kosten per locatie'!$A$14:$C$21,3,FALSE)</f>
        <v>0</v>
      </c>
      <c r="W171" s="242">
        <f>IF(Q171&gt;0,Q171*J171/AA171,0)*VLOOKUP(B171,'2-Kosten per locatie'!$A$14:$C$21,3,FALSE)</f>
        <v>0</v>
      </c>
      <c r="X171" s="315">
        <f>IF(L171="nio",0,IF(L171&gt;0,VLOOKUP(H171,'3-Productie normen'!A:K,VLOOKUP(L171,'3-Productie normen'!$B$36:$C$42,2,FALSE),FALSE)))</f>
        <v>0</v>
      </c>
      <c r="Y171" s="315">
        <f t="shared" si="26"/>
        <v>0</v>
      </c>
      <c r="Z171" s="315">
        <f t="shared" si="27"/>
        <v>0</v>
      </c>
      <c r="AA171" s="315">
        <f t="shared" si="28"/>
        <v>0</v>
      </c>
      <c r="AB171" s="316"/>
      <c r="AD171" s="317">
        <f t="shared" si="29"/>
        <v>13770</v>
      </c>
    </row>
    <row r="172" spans="1:30" ht="14.1" hidden="1" customHeight="1">
      <c r="A172" s="74">
        <v>172</v>
      </c>
      <c r="B172" s="277" t="s">
        <v>275</v>
      </c>
      <c r="C172" s="277" t="s">
        <v>458</v>
      </c>
      <c r="D172" s="277" t="s">
        <v>367</v>
      </c>
      <c r="E172" s="311" t="s">
        <v>419</v>
      </c>
      <c r="F172" s="312"/>
      <c r="G172" s="277" t="s">
        <v>476</v>
      </c>
      <c r="H172" s="277" t="s">
        <v>56</v>
      </c>
      <c r="I172" s="70" t="s">
        <v>334</v>
      </c>
      <c r="J172" s="313">
        <v>4</v>
      </c>
      <c r="K172" s="314">
        <f t="shared" si="25"/>
        <v>255</v>
      </c>
      <c r="L172" s="243">
        <v>255</v>
      </c>
      <c r="M172" s="243"/>
      <c r="N172" s="243"/>
      <c r="O172" s="243"/>
      <c r="P172" s="243"/>
      <c r="Q172" s="243"/>
      <c r="R172" s="242" t="e">
        <f>IF(L172="nio",0,IF(L172&gt;0,L172*J172/X172,0))*VLOOKUP(B172,'2-Kosten per locatie'!$A$14:$C$21,3,FALSE)</f>
        <v>#DIV/0!</v>
      </c>
      <c r="S172" s="242">
        <f>IF(M172&gt;0,M172*J172/Y172,0)*VLOOKUP(B172,'2-Kosten per locatie'!$A$14:$C$21,3,FALSE)</f>
        <v>0</v>
      </c>
      <c r="T172" s="242">
        <f>IF(N172&gt;0,N172*J172/Z172,0)*VLOOKUP(B172,'2-Kosten per locatie'!$A$14:$C$21,3,FALSE)</f>
        <v>0</v>
      </c>
      <c r="U172" s="242">
        <f>IF(O172&gt;0,O172*J172/AA172,0)*VLOOKUP(B172,'2-Kosten per locatie'!$A$14:$C$21,3,FALSE)</f>
        <v>0</v>
      </c>
      <c r="V172" s="242">
        <f>IF(P172&gt;0,P172*J172/Z172,0)*VLOOKUP(B172,'2-Kosten per locatie'!$A$14:$C$21,3,FALSE)</f>
        <v>0</v>
      </c>
      <c r="W172" s="242">
        <f>IF(Q172&gt;0,Q172*J172/AA172,0)*VLOOKUP(B172,'2-Kosten per locatie'!$A$14:$C$21,3,FALSE)</f>
        <v>0</v>
      </c>
      <c r="X172" s="315">
        <f>IF(L172="nio",0,IF(L172&gt;0,VLOOKUP(H172,'3-Productie normen'!A:K,VLOOKUP(L172,'3-Productie normen'!$B$36:$C$42,2,FALSE),FALSE)))</f>
        <v>0</v>
      </c>
      <c r="Y172" s="315">
        <f t="shared" si="26"/>
        <v>0</v>
      </c>
      <c r="Z172" s="315">
        <f t="shared" si="27"/>
        <v>0</v>
      </c>
      <c r="AA172" s="315">
        <f t="shared" si="28"/>
        <v>0</v>
      </c>
      <c r="AB172" s="316"/>
      <c r="AD172" s="317">
        <f t="shared" si="29"/>
        <v>1020</v>
      </c>
    </row>
    <row r="173" spans="1:30" ht="14.1" hidden="1" customHeight="1">
      <c r="A173" s="74">
        <v>173</v>
      </c>
      <c r="B173" s="277" t="s">
        <v>275</v>
      </c>
      <c r="C173" s="277" t="s">
        <v>458</v>
      </c>
      <c r="D173" s="277" t="s">
        <v>367</v>
      </c>
      <c r="E173" s="311" t="s">
        <v>419</v>
      </c>
      <c r="F173" s="312"/>
      <c r="G173" s="277" t="s">
        <v>482</v>
      </c>
      <c r="H173" s="70" t="s">
        <v>392</v>
      </c>
      <c r="I173" s="70" t="s">
        <v>334</v>
      </c>
      <c r="J173" s="313">
        <v>2.5</v>
      </c>
      <c r="K173" s="314">
        <f t="shared" si="25"/>
        <v>255</v>
      </c>
      <c r="L173" s="243">
        <v>255</v>
      </c>
      <c r="M173" s="243"/>
      <c r="N173" s="243"/>
      <c r="O173" s="243"/>
      <c r="P173" s="243"/>
      <c r="Q173" s="243"/>
      <c r="R173" s="242" t="e">
        <f>IF(L173="nio",0,IF(L173&gt;0,L173*J173/X173,0))*VLOOKUP(B173,'2-Kosten per locatie'!$A$14:$C$21,3,FALSE)</f>
        <v>#DIV/0!</v>
      </c>
      <c r="S173" s="242">
        <f>IF(M173&gt;0,M173*J173/Y173,0)*VLOOKUP(B173,'2-Kosten per locatie'!$A$14:$C$21,3,FALSE)</f>
        <v>0</v>
      </c>
      <c r="T173" s="242">
        <f>IF(N173&gt;0,N173*J173/Z173,0)*VLOOKUP(B173,'2-Kosten per locatie'!$A$14:$C$21,3,FALSE)</f>
        <v>0</v>
      </c>
      <c r="U173" s="242">
        <f>IF(O173&gt;0,O173*J173/AA173,0)*VLOOKUP(B173,'2-Kosten per locatie'!$A$14:$C$21,3,FALSE)</f>
        <v>0</v>
      </c>
      <c r="V173" s="242">
        <f>IF(P173&gt;0,P173*J173/Z173,0)*VLOOKUP(B173,'2-Kosten per locatie'!$A$14:$C$21,3,FALSE)</f>
        <v>0</v>
      </c>
      <c r="W173" s="242">
        <f>IF(Q173&gt;0,Q173*J173/AA173,0)*VLOOKUP(B173,'2-Kosten per locatie'!$A$14:$C$21,3,FALSE)</f>
        <v>0</v>
      </c>
      <c r="X173" s="315">
        <f>IF(L173="nio",0,IF(L173&gt;0,VLOOKUP(H173,'3-Productie normen'!A:K,VLOOKUP(L173,'3-Productie normen'!$B$36:$C$42,2,FALSE),FALSE)))</f>
        <v>0</v>
      </c>
      <c r="Y173" s="315">
        <f t="shared" si="26"/>
        <v>0</v>
      </c>
      <c r="Z173" s="315">
        <f t="shared" si="27"/>
        <v>0</v>
      </c>
      <c r="AA173" s="315">
        <f t="shared" si="28"/>
        <v>0</v>
      </c>
      <c r="AB173" s="316"/>
      <c r="AD173" s="317">
        <f t="shared" si="29"/>
        <v>637.5</v>
      </c>
    </row>
    <row r="174" spans="1:30" ht="14.1" hidden="1" customHeight="1">
      <c r="A174" s="74">
        <v>174</v>
      </c>
      <c r="B174" s="277" t="s">
        <v>275</v>
      </c>
      <c r="C174" s="277" t="s">
        <v>458</v>
      </c>
      <c r="D174" s="277" t="s">
        <v>367</v>
      </c>
      <c r="E174" s="311" t="s">
        <v>419</v>
      </c>
      <c r="F174" s="312"/>
      <c r="G174" s="277" t="s">
        <v>483</v>
      </c>
      <c r="H174" s="277" t="s">
        <v>52</v>
      </c>
      <c r="I174" s="70" t="s">
        <v>334</v>
      </c>
      <c r="J174" s="313">
        <v>1</v>
      </c>
      <c r="K174" s="314">
        <f t="shared" si="25"/>
        <v>255</v>
      </c>
      <c r="L174" s="243">
        <v>255</v>
      </c>
      <c r="M174" s="243"/>
      <c r="N174" s="243"/>
      <c r="O174" s="243"/>
      <c r="P174" s="243"/>
      <c r="Q174" s="243"/>
      <c r="R174" s="242" t="e">
        <f>IF(L174="nio",0,IF(L174&gt;0,L174*J174/X174,0))*VLOOKUP(B174,'2-Kosten per locatie'!$A$14:$C$21,3,FALSE)</f>
        <v>#DIV/0!</v>
      </c>
      <c r="S174" s="242">
        <f>IF(M174&gt;0,M174*J174/Y174,0)*VLOOKUP(B174,'2-Kosten per locatie'!$A$14:$C$21,3,FALSE)</f>
        <v>0</v>
      </c>
      <c r="T174" s="242">
        <f>IF(N174&gt;0,N174*J174/Z174,0)*VLOOKUP(B174,'2-Kosten per locatie'!$A$14:$C$21,3,FALSE)</f>
        <v>0</v>
      </c>
      <c r="U174" s="242">
        <f>IF(O174&gt;0,O174*J174/AA174,0)*VLOOKUP(B174,'2-Kosten per locatie'!$A$14:$C$21,3,FALSE)</f>
        <v>0</v>
      </c>
      <c r="V174" s="242">
        <f>IF(P174&gt;0,P174*J174/Z174,0)*VLOOKUP(B174,'2-Kosten per locatie'!$A$14:$C$21,3,FALSE)</f>
        <v>0</v>
      </c>
      <c r="W174" s="242">
        <f>IF(Q174&gt;0,Q174*J174/AA174,0)*VLOOKUP(B174,'2-Kosten per locatie'!$A$14:$C$21,3,FALSE)</f>
        <v>0</v>
      </c>
      <c r="X174" s="315">
        <f>IF(L174="nio",0,IF(L174&gt;0,VLOOKUP(H174,'3-Productie normen'!A:K,VLOOKUP(L174,'3-Productie normen'!$B$36:$C$42,2,FALSE),FALSE)))</f>
        <v>0</v>
      </c>
      <c r="Y174" s="315">
        <f t="shared" si="26"/>
        <v>0</v>
      </c>
      <c r="Z174" s="315">
        <f t="shared" si="27"/>
        <v>0</v>
      </c>
      <c r="AA174" s="315">
        <f t="shared" si="28"/>
        <v>0</v>
      </c>
      <c r="AB174" s="316"/>
      <c r="AD174" s="317">
        <f t="shared" si="29"/>
        <v>255</v>
      </c>
    </row>
    <row r="175" spans="1:30" ht="14.1" hidden="1" customHeight="1">
      <c r="A175" s="74">
        <v>175</v>
      </c>
      <c r="B175" s="277" t="s">
        <v>275</v>
      </c>
      <c r="C175" s="277" t="s">
        <v>458</v>
      </c>
      <c r="D175" s="277" t="s">
        <v>367</v>
      </c>
      <c r="E175" s="311" t="s">
        <v>419</v>
      </c>
      <c r="F175" s="312"/>
      <c r="G175" s="70" t="s">
        <v>467</v>
      </c>
      <c r="H175" s="70" t="s">
        <v>56</v>
      </c>
      <c r="I175" s="70" t="s">
        <v>334</v>
      </c>
      <c r="J175" s="313">
        <v>4</v>
      </c>
      <c r="K175" s="314">
        <f t="shared" si="25"/>
        <v>255</v>
      </c>
      <c r="L175" s="243">
        <v>255</v>
      </c>
      <c r="M175" s="243"/>
      <c r="N175" s="243"/>
      <c r="O175" s="243"/>
      <c r="P175" s="243"/>
      <c r="Q175" s="243"/>
      <c r="R175" s="242" t="e">
        <f>IF(L175="nio",0,IF(L175&gt;0,L175*J175/X175,0))*VLOOKUP(B175,'2-Kosten per locatie'!$A$14:$C$21,3,FALSE)</f>
        <v>#DIV/0!</v>
      </c>
      <c r="S175" s="242">
        <f>IF(M175&gt;0,M175*J175/Y175,0)*VLOOKUP(B175,'2-Kosten per locatie'!$A$14:$C$21,3,FALSE)</f>
        <v>0</v>
      </c>
      <c r="T175" s="242">
        <f>IF(N175&gt;0,N175*J175/Z175,0)*VLOOKUP(B175,'2-Kosten per locatie'!$A$14:$C$21,3,FALSE)</f>
        <v>0</v>
      </c>
      <c r="U175" s="242">
        <f>IF(O175&gt;0,O175*J175/AA175,0)*VLOOKUP(B175,'2-Kosten per locatie'!$A$14:$C$21,3,FALSE)</f>
        <v>0</v>
      </c>
      <c r="V175" s="242">
        <f>IF(P175&gt;0,P175*J175/Z175,0)*VLOOKUP(B175,'2-Kosten per locatie'!$A$14:$C$21,3,FALSE)</f>
        <v>0</v>
      </c>
      <c r="W175" s="242">
        <f>IF(Q175&gt;0,Q175*J175/AA175,0)*VLOOKUP(B175,'2-Kosten per locatie'!$A$14:$C$21,3,FALSE)</f>
        <v>0</v>
      </c>
      <c r="X175" s="315">
        <f>IF(L175="nio",0,IF(L175&gt;0,VLOOKUP(H175,'3-Productie normen'!A:K,VLOOKUP(L175,'3-Productie normen'!$B$36:$C$42,2,FALSE),FALSE)))</f>
        <v>0</v>
      </c>
      <c r="Y175" s="315">
        <f t="shared" si="26"/>
        <v>0</v>
      </c>
      <c r="Z175" s="315">
        <f t="shared" si="27"/>
        <v>0</v>
      </c>
      <c r="AA175" s="315">
        <f t="shared" si="28"/>
        <v>0</v>
      </c>
      <c r="AB175" s="316"/>
      <c r="AD175" s="317">
        <f t="shared" si="29"/>
        <v>1020</v>
      </c>
    </row>
    <row r="176" spans="1:30" ht="14.1" hidden="1" customHeight="1">
      <c r="A176" s="74">
        <v>176</v>
      </c>
      <c r="B176" s="277" t="s">
        <v>275</v>
      </c>
      <c r="C176" s="277" t="s">
        <v>458</v>
      </c>
      <c r="D176" s="277" t="s">
        <v>367</v>
      </c>
      <c r="E176" s="311" t="s">
        <v>419</v>
      </c>
      <c r="F176" s="312"/>
      <c r="G176" s="70" t="s">
        <v>468</v>
      </c>
      <c r="H176" s="70" t="s">
        <v>392</v>
      </c>
      <c r="I176" s="70" t="s">
        <v>334</v>
      </c>
      <c r="J176" s="313">
        <v>2.5</v>
      </c>
      <c r="K176" s="314">
        <f t="shared" si="25"/>
        <v>255</v>
      </c>
      <c r="L176" s="243">
        <v>255</v>
      </c>
      <c r="M176" s="243"/>
      <c r="N176" s="243"/>
      <c r="O176" s="243"/>
      <c r="P176" s="243"/>
      <c r="Q176" s="243"/>
      <c r="R176" s="242" t="e">
        <f>IF(L176="nio",0,IF(L176&gt;0,L176*J176/X176,0))*VLOOKUP(B176,'2-Kosten per locatie'!$A$14:$C$21,3,FALSE)</f>
        <v>#DIV/0!</v>
      </c>
      <c r="S176" s="242">
        <f>IF(M176&gt;0,M176*J176/Y176,0)*VLOOKUP(B176,'2-Kosten per locatie'!$A$14:$C$21,3,FALSE)</f>
        <v>0</v>
      </c>
      <c r="T176" s="242">
        <f>IF(N176&gt;0,N176*J176/Z176,0)*VLOOKUP(B176,'2-Kosten per locatie'!$A$14:$C$21,3,FALSE)</f>
        <v>0</v>
      </c>
      <c r="U176" s="242">
        <f>IF(O176&gt;0,O176*J176/AA176,0)*VLOOKUP(B176,'2-Kosten per locatie'!$A$14:$C$21,3,FALSE)</f>
        <v>0</v>
      </c>
      <c r="V176" s="242">
        <f>IF(P176&gt;0,P176*J176/Z176,0)*VLOOKUP(B176,'2-Kosten per locatie'!$A$14:$C$21,3,FALSE)</f>
        <v>0</v>
      </c>
      <c r="W176" s="242">
        <f>IF(Q176&gt;0,Q176*J176/AA176,0)*VLOOKUP(B176,'2-Kosten per locatie'!$A$14:$C$21,3,FALSE)</f>
        <v>0</v>
      </c>
      <c r="X176" s="315">
        <f>IF(L176="nio",0,IF(L176&gt;0,VLOOKUP(H176,'3-Productie normen'!A:K,VLOOKUP(L176,'3-Productie normen'!$B$36:$C$42,2,FALSE),FALSE)))</f>
        <v>0</v>
      </c>
      <c r="Y176" s="315">
        <f t="shared" si="26"/>
        <v>0</v>
      </c>
      <c r="Z176" s="315">
        <f t="shared" si="27"/>
        <v>0</v>
      </c>
      <c r="AA176" s="315">
        <f t="shared" si="28"/>
        <v>0</v>
      </c>
      <c r="AB176" s="316"/>
      <c r="AD176" s="317">
        <f t="shared" si="29"/>
        <v>637.5</v>
      </c>
    </row>
    <row r="177" spans="1:30" ht="14.1" hidden="1" customHeight="1">
      <c r="A177" s="74">
        <v>177</v>
      </c>
      <c r="B177" s="277" t="s">
        <v>275</v>
      </c>
      <c r="C177" s="277" t="s">
        <v>458</v>
      </c>
      <c r="D177" s="277" t="s">
        <v>367</v>
      </c>
      <c r="E177" s="311" t="s">
        <v>419</v>
      </c>
      <c r="F177" s="312"/>
      <c r="G177" s="70" t="s">
        <v>484</v>
      </c>
      <c r="H177" s="70" t="s">
        <v>52</v>
      </c>
      <c r="I177" s="70" t="s">
        <v>334</v>
      </c>
      <c r="J177" s="313">
        <v>1</v>
      </c>
      <c r="K177" s="314">
        <f t="shared" si="25"/>
        <v>255</v>
      </c>
      <c r="L177" s="243">
        <v>255</v>
      </c>
      <c r="M177" s="243"/>
      <c r="N177" s="243"/>
      <c r="O177" s="243"/>
      <c r="P177" s="243"/>
      <c r="Q177" s="243"/>
      <c r="R177" s="242" t="e">
        <f>IF(L177="nio",0,IF(L177&gt;0,L177*J177/X177,0))*VLOOKUP(B177,'2-Kosten per locatie'!$A$14:$C$21,3,FALSE)</f>
        <v>#DIV/0!</v>
      </c>
      <c r="S177" s="242">
        <f>IF(M177&gt;0,M177*J177/Y177,0)*VLOOKUP(B177,'2-Kosten per locatie'!$A$14:$C$21,3,FALSE)</f>
        <v>0</v>
      </c>
      <c r="T177" s="242">
        <f>IF(N177&gt;0,N177*J177/Z177,0)*VLOOKUP(B177,'2-Kosten per locatie'!$A$14:$C$21,3,FALSE)</f>
        <v>0</v>
      </c>
      <c r="U177" s="242">
        <f>IF(O177&gt;0,O177*J177/AA177,0)*VLOOKUP(B177,'2-Kosten per locatie'!$A$14:$C$21,3,FALSE)</f>
        <v>0</v>
      </c>
      <c r="V177" s="242">
        <f>IF(P177&gt;0,P177*J177/Z177,0)*VLOOKUP(B177,'2-Kosten per locatie'!$A$14:$C$21,3,FALSE)</f>
        <v>0</v>
      </c>
      <c r="W177" s="242">
        <f>IF(Q177&gt;0,Q177*J177/AA177,0)*VLOOKUP(B177,'2-Kosten per locatie'!$A$14:$C$21,3,FALSE)</f>
        <v>0</v>
      </c>
      <c r="X177" s="315">
        <f>IF(L177="nio",0,IF(L177&gt;0,VLOOKUP(H177,'3-Productie normen'!A:K,VLOOKUP(L177,'3-Productie normen'!$B$36:$C$42,2,FALSE),FALSE)))</f>
        <v>0</v>
      </c>
      <c r="Y177" s="315">
        <f t="shared" si="26"/>
        <v>0</v>
      </c>
      <c r="Z177" s="315">
        <f t="shared" si="27"/>
        <v>0</v>
      </c>
      <c r="AA177" s="315">
        <f t="shared" si="28"/>
        <v>0</v>
      </c>
      <c r="AB177" s="316"/>
      <c r="AD177" s="317">
        <f t="shared" si="29"/>
        <v>255</v>
      </c>
    </row>
    <row r="178" spans="1:30" ht="14.1" hidden="1" customHeight="1">
      <c r="A178" s="74">
        <v>178</v>
      </c>
      <c r="B178" s="277" t="s">
        <v>275</v>
      </c>
      <c r="C178" s="277" t="s">
        <v>458</v>
      </c>
      <c r="D178" s="277" t="s">
        <v>367</v>
      </c>
      <c r="E178" s="311" t="s">
        <v>419</v>
      </c>
      <c r="F178" s="312"/>
      <c r="G178" s="70" t="s">
        <v>250</v>
      </c>
      <c r="H178" s="70" t="s">
        <v>59</v>
      </c>
      <c r="I178" s="70" t="s">
        <v>292</v>
      </c>
      <c r="J178" s="313">
        <v>1205</v>
      </c>
      <c r="K178" s="314">
        <f t="shared" si="25"/>
        <v>0</v>
      </c>
      <c r="L178" s="243" t="s">
        <v>412</v>
      </c>
      <c r="M178" s="243"/>
      <c r="N178" s="243"/>
      <c r="O178" s="243"/>
      <c r="P178" s="243"/>
      <c r="Q178" s="243"/>
      <c r="R178" s="242">
        <f>IF(L178="nio",0,IF(L178&gt;0,L178*J178/X178,0))*VLOOKUP(B178,'2-Kosten per locatie'!$A$14:$C$21,3,FALSE)</f>
        <v>0</v>
      </c>
      <c r="S178" s="242">
        <f>IF(M178&gt;0,M178*J178/Y178,0)*VLOOKUP(B178,'2-Kosten per locatie'!$A$14:$C$21,3,FALSE)</f>
        <v>0</v>
      </c>
      <c r="T178" s="242">
        <f>IF(N178&gt;0,N178*J178/Z178,0)*VLOOKUP(B178,'2-Kosten per locatie'!$A$14:$C$21,3,FALSE)</f>
        <v>0</v>
      </c>
      <c r="U178" s="242">
        <f>IF(O178&gt;0,O178*J178/AA178,0)*VLOOKUP(B178,'2-Kosten per locatie'!$A$14:$C$21,3,FALSE)</f>
        <v>0</v>
      </c>
      <c r="V178" s="242">
        <f>IF(P178&gt;0,P178*J178/Z178,0)*VLOOKUP(B178,'2-Kosten per locatie'!$A$14:$C$21,3,FALSE)</f>
        <v>0</v>
      </c>
      <c r="W178" s="242">
        <f>IF(Q178&gt;0,Q178*J178/AA178,0)*VLOOKUP(B178,'2-Kosten per locatie'!$A$14:$C$21,3,FALSE)</f>
        <v>0</v>
      </c>
      <c r="X178" s="315">
        <f>IF(L178="nio",0,IF(L178&gt;0,VLOOKUP(H178,'3-Productie normen'!A:K,VLOOKUP(L178,'3-Productie normen'!$B$36:$C$42,2,FALSE),FALSE)))</f>
        <v>0</v>
      </c>
      <c r="Y178" s="315">
        <f t="shared" si="26"/>
        <v>0</v>
      </c>
      <c r="Z178" s="315">
        <f t="shared" si="27"/>
        <v>0</v>
      </c>
      <c r="AA178" s="315">
        <f t="shared" si="28"/>
        <v>0</v>
      </c>
      <c r="AB178" s="316"/>
      <c r="AD178" s="317">
        <f t="shared" si="29"/>
        <v>0</v>
      </c>
    </row>
    <row r="179" spans="1:30" ht="14.1" hidden="1" customHeight="1">
      <c r="A179" s="74">
        <v>179</v>
      </c>
      <c r="B179" s="277" t="s">
        <v>275</v>
      </c>
      <c r="C179" s="277" t="s">
        <v>458</v>
      </c>
      <c r="D179" s="277" t="s">
        <v>367</v>
      </c>
      <c r="E179" s="311" t="s">
        <v>419</v>
      </c>
      <c r="F179" s="312"/>
      <c r="G179" s="320" t="s">
        <v>486</v>
      </c>
      <c r="H179" s="293" t="s">
        <v>58</v>
      </c>
      <c r="I179" s="70" t="s">
        <v>292</v>
      </c>
      <c r="J179" s="313">
        <v>24</v>
      </c>
      <c r="K179" s="314">
        <f t="shared" si="25"/>
        <v>0</v>
      </c>
      <c r="L179" s="243" t="s">
        <v>412</v>
      </c>
      <c r="M179" s="243"/>
      <c r="N179" s="243"/>
      <c r="O179" s="243"/>
      <c r="P179" s="243"/>
      <c r="Q179" s="243"/>
      <c r="R179" s="242">
        <f>IF(L179="nio",0,IF(L179&gt;0,L179*J179/X179,0))*VLOOKUP(B179,'2-Kosten per locatie'!$A$14:$C$21,3,FALSE)</f>
        <v>0</v>
      </c>
      <c r="S179" s="242">
        <f>IF(M179&gt;0,M179*J179/Y179,0)*VLOOKUP(B179,'2-Kosten per locatie'!$A$14:$C$21,3,FALSE)</f>
        <v>0</v>
      </c>
      <c r="T179" s="242">
        <f>IF(N179&gt;0,N179*J179/Z179,0)*VLOOKUP(B179,'2-Kosten per locatie'!$A$14:$C$21,3,FALSE)</f>
        <v>0</v>
      </c>
      <c r="U179" s="242">
        <f>IF(O179&gt;0,O179*J179/AA179,0)*VLOOKUP(B179,'2-Kosten per locatie'!$A$14:$C$21,3,FALSE)</f>
        <v>0</v>
      </c>
      <c r="V179" s="242">
        <f>IF(P179&gt;0,P179*J179/Z179,0)*VLOOKUP(B179,'2-Kosten per locatie'!$A$14:$C$21,3,FALSE)</f>
        <v>0</v>
      </c>
      <c r="W179" s="242">
        <f>IF(Q179&gt;0,Q179*J179/AA179,0)*VLOOKUP(B179,'2-Kosten per locatie'!$A$14:$C$21,3,FALSE)</f>
        <v>0</v>
      </c>
      <c r="X179" s="315">
        <f>IF(L179="nio",0,IF(L179&gt;0,VLOOKUP(H179,'3-Productie normen'!A:K,VLOOKUP(L179,'3-Productie normen'!$B$36:$C$42,2,FALSE),FALSE)))</f>
        <v>0</v>
      </c>
      <c r="Y179" s="315">
        <f t="shared" si="26"/>
        <v>0</v>
      </c>
      <c r="Z179" s="315">
        <f t="shared" si="27"/>
        <v>0</v>
      </c>
      <c r="AA179" s="315">
        <f t="shared" si="28"/>
        <v>0</v>
      </c>
      <c r="AB179" s="316"/>
      <c r="AD179" s="317">
        <f t="shared" si="29"/>
        <v>0</v>
      </c>
    </row>
    <row r="180" spans="1:30" ht="14.1" hidden="1" customHeight="1">
      <c r="A180" s="74">
        <v>180</v>
      </c>
      <c r="B180" s="277" t="s">
        <v>275</v>
      </c>
      <c r="C180" s="277" t="s">
        <v>458</v>
      </c>
      <c r="D180" s="277" t="s">
        <v>367</v>
      </c>
      <c r="E180" s="311" t="s">
        <v>419</v>
      </c>
      <c r="F180" s="312"/>
      <c r="G180" s="70" t="s">
        <v>487</v>
      </c>
      <c r="H180" s="293" t="s">
        <v>58</v>
      </c>
      <c r="I180" s="70" t="s">
        <v>292</v>
      </c>
      <c r="J180" s="313">
        <v>26</v>
      </c>
      <c r="K180" s="314">
        <f t="shared" si="25"/>
        <v>0</v>
      </c>
      <c r="L180" s="243" t="s">
        <v>412</v>
      </c>
      <c r="M180" s="243"/>
      <c r="N180" s="243"/>
      <c r="O180" s="243"/>
      <c r="P180" s="243"/>
      <c r="Q180" s="243"/>
      <c r="R180" s="242">
        <f>IF(L180="nio",0,IF(L180&gt;0,L180*J180/X180,0))*VLOOKUP(B180,'2-Kosten per locatie'!$A$14:$C$21,3,FALSE)</f>
        <v>0</v>
      </c>
      <c r="S180" s="242">
        <f>IF(M180&gt;0,M180*J180/Y180,0)*VLOOKUP(B180,'2-Kosten per locatie'!$A$14:$C$21,3,FALSE)</f>
        <v>0</v>
      </c>
      <c r="T180" s="242">
        <f>IF(N180&gt;0,N180*J180/Z180,0)*VLOOKUP(B180,'2-Kosten per locatie'!$A$14:$C$21,3,FALSE)</f>
        <v>0</v>
      </c>
      <c r="U180" s="242">
        <f>IF(O180&gt;0,O180*J180/AA180,0)*VLOOKUP(B180,'2-Kosten per locatie'!$A$14:$C$21,3,FALSE)</f>
        <v>0</v>
      </c>
      <c r="V180" s="242">
        <f>IF(P180&gt;0,P180*J180/Z180,0)*VLOOKUP(B180,'2-Kosten per locatie'!$A$14:$C$21,3,FALSE)</f>
        <v>0</v>
      </c>
      <c r="W180" s="242">
        <f>IF(Q180&gt;0,Q180*J180/AA180,0)*VLOOKUP(B180,'2-Kosten per locatie'!$A$14:$C$21,3,FALSE)</f>
        <v>0</v>
      </c>
      <c r="X180" s="315">
        <f>IF(L180="nio",0,IF(L180&gt;0,VLOOKUP(H180,'3-Productie normen'!A:K,VLOOKUP(L180,'3-Productie normen'!$B$36:$C$42,2,FALSE),FALSE)))</f>
        <v>0</v>
      </c>
      <c r="Y180" s="315">
        <f t="shared" si="26"/>
        <v>0</v>
      </c>
      <c r="Z180" s="315">
        <f t="shared" si="27"/>
        <v>0</v>
      </c>
      <c r="AA180" s="315">
        <f t="shared" si="28"/>
        <v>0</v>
      </c>
      <c r="AB180" s="316"/>
      <c r="AD180" s="317">
        <f t="shared" si="29"/>
        <v>0</v>
      </c>
    </row>
    <row r="181" spans="1:30" ht="14.1" hidden="1" customHeight="1">
      <c r="A181" s="74">
        <v>181</v>
      </c>
      <c r="B181" s="277" t="s">
        <v>275</v>
      </c>
      <c r="C181" s="277" t="s">
        <v>458</v>
      </c>
      <c r="D181" s="277" t="s">
        <v>367</v>
      </c>
      <c r="E181" s="311" t="s">
        <v>419</v>
      </c>
      <c r="F181" s="239"/>
      <c r="G181" s="84" t="s">
        <v>488</v>
      </c>
      <c r="H181" s="84" t="s">
        <v>58</v>
      </c>
      <c r="I181" s="70" t="s">
        <v>292</v>
      </c>
      <c r="J181" s="313">
        <v>4</v>
      </c>
      <c r="K181" s="314">
        <f t="shared" si="25"/>
        <v>0</v>
      </c>
      <c r="L181" s="243" t="s">
        <v>412</v>
      </c>
      <c r="M181" s="243"/>
      <c r="N181" s="243"/>
      <c r="O181" s="243"/>
      <c r="P181" s="243"/>
      <c r="Q181" s="243"/>
      <c r="R181" s="242">
        <f>IF(L181="nio",0,IF(L181&gt;0,L181*J181/X181,0))*VLOOKUP(B181,'2-Kosten per locatie'!$A$14:$C$21,3,FALSE)</f>
        <v>0</v>
      </c>
      <c r="S181" s="242">
        <f>IF(M181&gt;0,M181*J181/Y181,0)*VLOOKUP(B181,'2-Kosten per locatie'!$A$14:$C$21,3,FALSE)</f>
        <v>0</v>
      </c>
      <c r="T181" s="242">
        <f>IF(N181&gt;0,N181*J181/Z181,0)*VLOOKUP(B181,'2-Kosten per locatie'!$A$14:$C$21,3,FALSE)</f>
        <v>0</v>
      </c>
      <c r="U181" s="242">
        <f>IF(O181&gt;0,O181*J181/AA181,0)*VLOOKUP(B181,'2-Kosten per locatie'!$A$14:$C$21,3,FALSE)</f>
        <v>0</v>
      </c>
      <c r="V181" s="242">
        <f>IF(P181&gt;0,P181*J181/Z181,0)*VLOOKUP(B181,'2-Kosten per locatie'!$A$14:$C$21,3,FALSE)</f>
        <v>0</v>
      </c>
      <c r="W181" s="242">
        <f>IF(Q181&gt;0,Q181*J181/AA181,0)*VLOOKUP(B181,'2-Kosten per locatie'!$A$14:$C$21,3,FALSE)</f>
        <v>0</v>
      </c>
      <c r="X181" s="315">
        <f>IF(L181="nio",0,IF(L181&gt;0,VLOOKUP(H181,'3-Productie normen'!A:K,VLOOKUP(L181,'3-Productie normen'!$B$36:$C$42,2,FALSE),FALSE)))</f>
        <v>0</v>
      </c>
      <c r="Y181" s="315">
        <f t="shared" si="26"/>
        <v>0</v>
      </c>
      <c r="Z181" s="315">
        <f t="shared" si="27"/>
        <v>0</v>
      </c>
      <c r="AA181" s="315">
        <f t="shared" si="28"/>
        <v>0</v>
      </c>
      <c r="AB181" s="316"/>
      <c r="AD181" s="317">
        <f t="shared" si="29"/>
        <v>0</v>
      </c>
    </row>
    <row r="182" spans="1:30" ht="14.1" hidden="1" customHeight="1">
      <c r="A182" s="74">
        <v>182</v>
      </c>
      <c r="B182" s="277" t="s">
        <v>275</v>
      </c>
      <c r="C182" s="277" t="s">
        <v>458</v>
      </c>
      <c r="D182" s="277" t="s">
        <v>367</v>
      </c>
      <c r="E182" s="311" t="s">
        <v>419</v>
      </c>
      <c r="F182" s="312"/>
      <c r="G182" s="70" t="s">
        <v>489</v>
      </c>
      <c r="H182" s="84" t="s">
        <v>411</v>
      </c>
      <c r="I182" s="70" t="s">
        <v>292</v>
      </c>
      <c r="J182" s="313">
        <v>6</v>
      </c>
      <c r="K182" s="314">
        <f t="shared" si="25"/>
        <v>0</v>
      </c>
      <c r="L182" s="243" t="s">
        <v>412</v>
      </c>
      <c r="M182" s="243"/>
      <c r="N182" s="243"/>
      <c r="O182" s="243"/>
      <c r="P182" s="243"/>
      <c r="Q182" s="243"/>
      <c r="R182" s="242">
        <f>IF(L182="nio",0,IF(L182&gt;0,L182*J182/X182,0))*VLOOKUP(B182,'2-Kosten per locatie'!$A$14:$C$21,3,FALSE)</f>
        <v>0</v>
      </c>
      <c r="S182" s="242">
        <f>IF(M182&gt;0,M182*J182/Y182,0)*VLOOKUP(B182,'2-Kosten per locatie'!$A$14:$C$21,3,FALSE)</f>
        <v>0</v>
      </c>
      <c r="T182" s="242">
        <f>IF(N182&gt;0,N182*J182/Z182,0)*VLOOKUP(B182,'2-Kosten per locatie'!$A$14:$C$21,3,FALSE)</f>
        <v>0</v>
      </c>
      <c r="U182" s="242">
        <f>IF(O182&gt;0,O182*J182/AA182,0)*VLOOKUP(B182,'2-Kosten per locatie'!$A$14:$C$21,3,FALSE)</f>
        <v>0</v>
      </c>
      <c r="V182" s="242">
        <f>IF(P182&gt;0,P182*J182/Z182,0)*VLOOKUP(B182,'2-Kosten per locatie'!$A$14:$C$21,3,FALSE)</f>
        <v>0</v>
      </c>
      <c r="W182" s="242">
        <f>IF(Q182&gt;0,Q182*J182/AA182,0)*VLOOKUP(B182,'2-Kosten per locatie'!$A$14:$C$21,3,FALSE)</f>
        <v>0</v>
      </c>
      <c r="X182" s="315">
        <f>IF(L182="nio",0,IF(L182&gt;0,VLOOKUP(H182,'3-Productie normen'!A:K,VLOOKUP(L182,'3-Productie normen'!$B$36:$C$42,2,FALSE),FALSE)))</f>
        <v>0</v>
      </c>
      <c r="Y182" s="315">
        <f t="shared" si="26"/>
        <v>0</v>
      </c>
      <c r="Z182" s="315">
        <f t="shared" si="27"/>
        <v>0</v>
      </c>
      <c r="AA182" s="315">
        <f t="shared" si="28"/>
        <v>0</v>
      </c>
      <c r="AB182" s="316"/>
      <c r="AD182" s="317">
        <f t="shared" si="29"/>
        <v>0</v>
      </c>
    </row>
    <row r="183" spans="1:30" ht="14.1" customHeight="1">
      <c r="A183" s="74">
        <v>183</v>
      </c>
      <c r="B183" s="277" t="s">
        <v>275</v>
      </c>
      <c r="C183" s="277" t="s">
        <v>458</v>
      </c>
      <c r="D183" s="277" t="s">
        <v>367</v>
      </c>
      <c r="E183" s="311" t="s">
        <v>419</v>
      </c>
      <c r="F183" s="312"/>
      <c r="G183" s="70" t="s">
        <v>491</v>
      </c>
      <c r="H183" s="70" t="s">
        <v>53</v>
      </c>
      <c r="I183" s="70" t="s">
        <v>249</v>
      </c>
      <c r="J183" s="313">
        <v>70.25</v>
      </c>
      <c r="K183" s="314">
        <f t="shared" si="25"/>
        <v>357</v>
      </c>
      <c r="L183" s="243">
        <v>255</v>
      </c>
      <c r="M183" s="243"/>
      <c r="N183" s="243">
        <v>102</v>
      </c>
      <c r="O183" s="243"/>
      <c r="P183" s="243"/>
      <c r="Q183" s="243"/>
      <c r="R183" s="242" t="e">
        <f>IF(L183="nio",0,IF(L183&gt;0,L183*J183/X183,0))*VLOOKUP(B183,'2-Kosten per locatie'!$A$14:$C$21,3,FALSE)</f>
        <v>#DIV/0!</v>
      </c>
      <c r="S183" s="242">
        <f>IF(M183&gt;0,M183*J183/Y183,0)*VLOOKUP(B183,'2-Kosten per locatie'!$A$14:$C$21,3,FALSE)</f>
        <v>0</v>
      </c>
      <c r="T183" s="242" t="e">
        <f>IF(N183&gt;0,N183*J183/Z183,0)*VLOOKUP(B183,'2-Kosten per locatie'!$A$14:$C$21,3,FALSE)</f>
        <v>#DIV/0!</v>
      </c>
      <c r="U183" s="242">
        <f>IF(O183&gt;0,O183*J183/AA183,0)*VLOOKUP(B183,'2-Kosten per locatie'!$A$14:$C$21,3,FALSE)</f>
        <v>0</v>
      </c>
      <c r="V183" s="242">
        <f>IF(P183&gt;0,P183*J183/Z183,0)*VLOOKUP(B183,'2-Kosten per locatie'!$A$14:$C$21,3,FALSE)</f>
        <v>0</v>
      </c>
      <c r="W183" s="242">
        <f>IF(Q183&gt;0,Q183*J183/AA183,0)*VLOOKUP(B183,'2-Kosten per locatie'!$A$14:$C$21,3,FALSE)</f>
        <v>0</v>
      </c>
      <c r="X183" s="315">
        <f>IF(L183="nio",0,IF(L183&gt;0,VLOOKUP(H183,'3-Productie normen'!A:K,VLOOKUP(L183,'3-Productie normen'!$B$36:$C$42,2,FALSE),FALSE)))</f>
        <v>0</v>
      </c>
      <c r="Y183" s="315">
        <f t="shared" si="26"/>
        <v>0</v>
      </c>
      <c r="Z183" s="315">
        <f t="shared" si="27"/>
        <v>0</v>
      </c>
      <c r="AA183" s="315">
        <f t="shared" si="28"/>
        <v>0</v>
      </c>
      <c r="AB183" s="316" t="s">
        <v>490</v>
      </c>
      <c r="AD183" s="317">
        <f t="shared" si="29"/>
        <v>25079.25</v>
      </c>
    </row>
    <row r="184" spans="1:30" ht="14.1" customHeight="1">
      <c r="A184" s="74">
        <v>184</v>
      </c>
      <c r="B184" s="277" t="s">
        <v>275</v>
      </c>
      <c r="C184" s="277" t="s">
        <v>458</v>
      </c>
      <c r="D184" s="277" t="s">
        <v>367</v>
      </c>
      <c r="E184" s="311" t="s">
        <v>419</v>
      </c>
      <c r="F184" s="312"/>
      <c r="G184" s="70" t="s">
        <v>492</v>
      </c>
      <c r="H184" s="70" t="s">
        <v>56</v>
      </c>
      <c r="I184" s="70" t="s">
        <v>334</v>
      </c>
      <c r="J184" s="313">
        <v>16</v>
      </c>
      <c r="K184" s="314">
        <f t="shared" si="25"/>
        <v>357</v>
      </c>
      <c r="L184" s="243">
        <v>255</v>
      </c>
      <c r="M184" s="243"/>
      <c r="N184" s="243">
        <v>102</v>
      </c>
      <c r="O184" s="243"/>
      <c r="P184" s="243"/>
      <c r="Q184" s="243"/>
      <c r="R184" s="242" t="e">
        <f>IF(L184="nio",0,IF(L184&gt;0,L184*J184/X184,0))*VLOOKUP(B184,'2-Kosten per locatie'!$A$14:$C$21,3,FALSE)</f>
        <v>#DIV/0!</v>
      </c>
      <c r="S184" s="242">
        <f>IF(M184&gt;0,M184*J184/Y184,0)*VLOOKUP(B184,'2-Kosten per locatie'!$A$14:$C$21,3,FALSE)</f>
        <v>0</v>
      </c>
      <c r="T184" s="242" t="e">
        <f>IF(N184&gt;0,N184*J184/Z184,0)*VLOOKUP(B184,'2-Kosten per locatie'!$A$14:$C$21,3,FALSE)</f>
        <v>#DIV/0!</v>
      </c>
      <c r="U184" s="242">
        <f>IF(O184&gt;0,O184*J184/AA184,0)*VLOOKUP(B184,'2-Kosten per locatie'!$A$14:$C$21,3,FALSE)</f>
        <v>0</v>
      </c>
      <c r="V184" s="242">
        <f>IF(P184&gt;0,P184*J184/Z184,0)*VLOOKUP(B184,'2-Kosten per locatie'!$A$14:$C$21,3,FALSE)</f>
        <v>0</v>
      </c>
      <c r="W184" s="242">
        <f>IF(Q184&gt;0,Q184*J184/AA184,0)*VLOOKUP(B184,'2-Kosten per locatie'!$A$14:$C$21,3,FALSE)</f>
        <v>0</v>
      </c>
      <c r="X184" s="315">
        <f>IF(L184="nio",0,IF(L184&gt;0,VLOOKUP(H184,'3-Productie normen'!A:K,VLOOKUP(L184,'3-Productie normen'!$B$36:$C$42,2,FALSE),FALSE)))</f>
        <v>0</v>
      </c>
      <c r="Y184" s="315">
        <f t="shared" si="26"/>
        <v>0</v>
      </c>
      <c r="Z184" s="315">
        <f t="shared" si="27"/>
        <v>0</v>
      </c>
      <c r="AA184" s="315">
        <f t="shared" si="28"/>
        <v>0</v>
      </c>
      <c r="AB184" s="316" t="s">
        <v>490</v>
      </c>
      <c r="AD184" s="317">
        <f t="shared" si="29"/>
        <v>5712</v>
      </c>
    </row>
    <row r="185" spans="1:30" ht="14.1" customHeight="1">
      <c r="A185" s="74">
        <v>185</v>
      </c>
      <c r="B185" s="277" t="s">
        <v>275</v>
      </c>
      <c r="C185" s="277" t="s">
        <v>458</v>
      </c>
      <c r="D185" s="277" t="s">
        <v>367</v>
      </c>
      <c r="E185" s="311" t="s">
        <v>419</v>
      </c>
      <c r="F185" s="312"/>
      <c r="G185" s="70" t="s">
        <v>467</v>
      </c>
      <c r="H185" s="70" t="s">
        <v>56</v>
      </c>
      <c r="I185" s="70" t="s">
        <v>334</v>
      </c>
      <c r="J185" s="313">
        <v>22.5</v>
      </c>
      <c r="K185" s="314">
        <f t="shared" si="25"/>
        <v>357</v>
      </c>
      <c r="L185" s="243">
        <v>255</v>
      </c>
      <c r="M185" s="243"/>
      <c r="N185" s="243">
        <v>102</v>
      </c>
      <c r="O185" s="243"/>
      <c r="P185" s="243"/>
      <c r="Q185" s="243"/>
      <c r="R185" s="242" t="e">
        <f>IF(L185="nio",0,IF(L185&gt;0,L185*J185/X185,0))*VLOOKUP(B185,'2-Kosten per locatie'!$A$14:$C$21,3,FALSE)</f>
        <v>#DIV/0!</v>
      </c>
      <c r="S185" s="242">
        <f>IF(M185&gt;0,M185*J185/Y185,0)*VLOOKUP(B185,'2-Kosten per locatie'!$A$14:$C$21,3,FALSE)</f>
        <v>0</v>
      </c>
      <c r="T185" s="242" t="e">
        <f>IF(N185&gt;0,N185*J185/Z185,0)*VLOOKUP(B185,'2-Kosten per locatie'!$A$14:$C$21,3,FALSE)</f>
        <v>#DIV/0!</v>
      </c>
      <c r="U185" s="242">
        <f>IF(O185&gt;0,O185*J185/AA185,0)*VLOOKUP(B185,'2-Kosten per locatie'!$A$14:$C$21,3,FALSE)</f>
        <v>0</v>
      </c>
      <c r="V185" s="242">
        <f>IF(P185&gt;0,P185*J185/Z185,0)*VLOOKUP(B185,'2-Kosten per locatie'!$A$14:$C$21,3,FALSE)</f>
        <v>0</v>
      </c>
      <c r="W185" s="242">
        <f>IF(Q185&gt;0,Q185*J185/AA185,0)*VLOOKUP(B185,'2-Kosten per locatie'!$A$14:$C$21,3,FALSE)</f>
        <v>0</v>
      </c>
      <c r="X185" s="315">
        <f>IF(L185="nio",0,IF(L185&gt;0,VLOOKUP(H185,'3-Productie normen'!A:K,VLOOKUP(L185,'3-Productie normen'!$B$36:$C$42,2,FALSE),FALSE)))</f>
        <v>0</v>
      </c>
      <c r="Y185" s="315">
        <f t="shared" ref="Y185:Y216" si="30">IF(M185&gt;0,X185*$Y$8,0)</f>
        <v>0</v>
      </c>
      <c r="Z185" s="315">
        <f t="shared" ref="Z185:Z216" si="31">IF((OR(N185&gt;0,P185&gt;0)),X185*$Z$8,0)</f>
        <v>0</v>
      </c>
      <c r="AA185" s="315">
        <f t="shared" ref="AA185:AA216" si="32">IF((OR(O185&gt;0,Q185&gt;0)),X185*$AA$8,0)</f>
        <v>0</v>
      </c>
      <c r="AB185" s="316" t="s">
        <v>490</v>
      </c>
      <c r="AD185" s="317">
        <f t="shared" ref="AD185:AD216" si="33">K185*J185</f>
        <v>8032.5</v>
      </c>
    </row>
    <row r="186" spans="1:30" ht="14.1" customHeight="1">
      <c r="A186" s="74">
        <v>186</v>
      </c>
      <c r="B186" s="277" t="s">
        <v>275</v>
      </c>
      <c r="C186" s="277" t="s">
        <v>458</v>
      </c>
      <c r="D186" s="277" t="s">
        <v>367</v>
      </c>
      <c r="E186" s="311" t="s">
        <v>419</v>
      </c>
      <c r="F186" s="312"/>
      <c r="G186" s="70" t="s">
        <v>493</v>
      </c>
      <c r="H186" s="70" t="s">
        <v>56</v>
      </c>
      <c r="I186" s="70" t="s">
        <v>334</v>
      </c>
      <c r="J186" s="313">
        <v>22.5</v>
      </c>
      <c r="K186" s="314">
        <f t="shared" si="25"/>
        <v>357</v>
      </c>
      <c r="L186" s="243">
        <v>255</v>
      </c>
      <c r="M186" s="243"/>
      <c r="N186" s="243">
        <v>102</v>
      </c>
      <c r="O186" s="243"/>
      <c r="P186" s="243"/>
      <c r="Q186" s="243"/>
      <c r="R186" s="242" t="e">
        <f>IF(L186="nio",0,IF(L186&gt;0,L186*J186/X186,0))*VLOOKUP(B186,'2-Kosten per locatie'!$A$14:$C$21,3,FALSE)</f>
        <v>#DIV/0!</v>
      </c>
      <c r="S186" s="242">
        <f>IF(M186&gt;0,M186*J186/Y186,0)*VLOOKUP(B186,'2-Kosten per locatie'!$A$14:$C$21,3,FALSE)</f>
        <v>0</v>
      </c>
      <c r="T186" s="242" t="e">
        <f>IF(N186&gt;0,N186*J186/Z186,0)*VLOOKUP(B186,'2-Kosten per locatie'!$A$14:$C$21,3,FALSE)</f>
        <v>#DIV/0!</v>
      </c>
      <c r="U186" s="242">
        <f>IF(O186&gt;0,O186*J186/AA186,0)*VLOOKUP(B186,'2-Kosten per locatie'!$A$14:$C$21,3,FALSE)</f>
        <v>0</v>
      </c>
      <c r="V186" s="242">
        <f>IF(P186&gt;0,P186*J186/Z186,0)*VLOOKUP(B186,'2-Kosten per locatie'!$A$14:$C$21,3,FALSE)</f>
        <v>0</v>
      </c>
      <c r="W186" s="242">
        <f>IF(Q186&gt;0,Q186*J186/AA186,0)*VLOOKUP(B186,'2-Kosten per locatie'!$A$14:$C$21,3,FALSE)</f>
        <v>0</v>
      </c>
      <c r="X186" s="315">
        <f>IF(L186="nio",0,IF(L186&gt;0,VLOOKUP(H186,'3-Productie normen'!A:K,VLOOKUP(L186,'3-Productie normen'!$B$36:$C$42,2,FALSE),FALSE)))</f>
        <v>0</v>
      </c>
      <c r="Y186" s="315">
        <f t="shared" si="30"/>
        <v>0</v>
      </c>
      <c r="Z186" s="315">
        <f t="shared" si="31"/>
        <v>0</v>
      </c>
      <c r="AA186" s="315">
        <f t="shared" si="32"/>
        <v>0</v>
      </c>
      <c r="AB186" s="316" t="s">
        <v>490</v>
      </c>
      <c r="AD186" s="317">
        <f t="shared" si="33"/>
        <v>8032.5</v>
      </c>
    </row>
    <row r="187" spans="1:30" ht="14.1" customHeight="1">
      <c r="A187" s="74">
        <v>187</v>
      </c>
      <c r="B187" s="277" t="s">
        <v>275</v>
      </c>
      <c r="C187" s="277" t="s">
        <v>458</v>
      </c>
      <c r="D187" s="277" t="s">
        <v>367</v>
      </c>
      <c r="E187" s="311" t="s">
        <v>419</v>
      </c>
      <c r="F187" s="312"/>
      <c r="G187" s="277" t="s">
        <v>494</v>
      </c>
      <c r="H187" s="70" t="s">
        <v>56</v>
      </c>
      <c r="I187" s="70" t="s">
        <v>334</v>
      </c>
      <c r="J187" s="313">
        <v>22.5</v>
      </c>
      <c r="K187" s="314">
        <f t="shared" si="25"/>
        <v>357</v>
      </c>
      <c r="L187" s="243">
        <v>255</v>
      </c>
      <c r="M187" s="243"/>
      <c r="N187" s="243">
        <v>102</v>
      </c>
      <c r="O187" s="243"/>
      <c r="P187" s="243"/>
      <c r="Q187" s="243"/>
      <c r="R187" s="242" t="e">
        <f>IF(L187="nio",0,IF(L187&gt;0,L187*J187/X187,0))*VLOOKUP(B187,'2-Kosten per locatie'!$A$14:$C$21,3,FALSE)</f>
        <v>#DIV/0!</v>
      </c>
      <c r="S187" s="242">
        <f>IF(M187&gt;0,M187*J187/Y187,0)*VLOOKUP(B187,'2-Kosten per locatie'!$A$14:$C$21,3,FALSE)</f>
        <v>0</v>
      </c>
      <c r="T187" s="242" t="e">
        <f>IF(N187&gt;0,N187*J187/Z187,0)*VLOOKUP(B187,'2-Kosten per locatie'!$A$14:$C$21,3,FALSE)</f>
        <v>#DIV/0!</v>
      </c>
      <c r="U187" s="242">
        <f>IF(O187&gt;0,O187*J187/AA187,0)*VLOOKUP(B187,'2-Kosten per locatie'!$A$14:$C$21,3,FALSE)</f>
        <v>0</v>
      </c>
      <c r="V187" s="242">
        <f>IF(P187&gt;0,P187*J187/Z187,0)*VLOOKUP(B187,'2-Kosten per locatie'!$A$14:$C$21,3,FALSE)</f>
        <v>0</v>
      </c>
      <c r="W187" s="242">
        <f>IF(Q187&gt;0,Q187*J187/AA187,0)*VLOOKUP(B187,'2-Kosten per locatie'!$A$14:$C$21,3,FALSE)</f>
        <v>0</v>
      </c>
      <c r="X187" s="315">
        <f>IF(L187="nio",0,IF(L187&gt;0,VLOOKUP(H187,'3-Productie normen'!A:K,VLOOKUP(L187,'3-Productie normen'!$B$36:$C$42,2,FALSE),FALSE)))</f>
        <v>0</v>
      </c>
      <c r="Y187" s="315">
        <f t="shared" si="30"/>
        <v>0</v>
      </c>
      <c r="Z187" s="315">
        <f t="shared" si="31"/>
        <v>0</v>
      </c>
      <c r="AA187" s="315">
        <f t="shared" si="32"/>
        <v>0</v>
      </c>
      <c r="AB187" s="316" t="s">
        <v>490</v>
      </c>
      <c r="AD187" s="317">
        <f t="shared" si="33"/>
        <v>8032.5</v>
      </c>
    </row>
    <row r="188" spans="1:30" ht="14.1" customHeight="1">
      <c r="A188" s="74">
        <v>188</v>
      </c>
      <c r="B188" s="277" t="s">
        <v>275</v>
      </c>
      <c r="C188" s="277" t="s">
        <v>458</v>
      </c>
      <c r="D188" s="277" t="s">
        <v>367</v>
      </c>
      <c r="E188" s="311" t="s">
        <v>419</v>
      </c>
      <c r="F188" s="312"/>
      <c r="G188" s="277" t="s">
        <v>475</v>
      </c>
      <c r="H188" s="70" t="s">
        <v>56</v>
      </c>
      <c r="I188" s="70" t="s">
        <v>334</v>
      </c>
      <c r="J188" s="313">
        <v>22.5</v>
      </c>
      <c r="K188" s="314">
        <f t="shared" si="25"/>
        <v>357</v>
      </c>
      <c r="L188" s="243">
        <v>255</v>
      </c>
      <c r="M188" s="243"/>
      <c r="N188" s="243">
        <v>102</v>
      </c>
      <c r="O188" s="243"/>
      <c r="P188" s="243"/>
      <c r="Q188" s="243"/>
      <c r="R188" s="242" t="e">
        <f>IF(L188="nio",0,IF(L188&gt;0,L188*J188/X188,0))*VLOOKUP(B188,'2-Kosten per locatie'!$A$14:$C$21,3,FALSE)</f>
        <v>#DIV/0!</v>
      </c>
      <c r="S188" s="242">
        <f>IF(M188&gt;0,M188*J188/Y188,0)*VLOOKUP(B188,'2-Kosten per locatie'!$A$14:$C$21,3,FALSE)</f>
        <v>0</v>
      </c>
      <c r="T188" s="242" t="e">
        <f>IF(N188&gt;0,N188*J188/Z188,0)*VLOOKUP(B188,'2-Kosten per locatie'!$A$14:$C$21,3,FALSE)</f>
        <v>#DIV/0!</v>
      </c>
      <c r="U188" s="242">
        <f>IF(O188&gt;0,O188*J188/AA188,0)*VLOOKUP(B188,'2-Kosten per locatie'!$A$14:$C$21,3,FALSE)</f>
        <v>0</v>
      </c>
      <c r="V188" s="242">
        <f>IF(P188&gt;0,P188*J188/Z188,0)*VLOOKUP(B188,'2-Kosten per locatie'!$A$14:$C$21,3,FALSE)</f>
        <v>0</v>
      </c>
      <c r="W188" s="242">
        <f>IF(Q188&gt;0,Q188*J188/AA188,0)*VLOOKUP(B188,'2-Kosten per locatie'!$A$14:$C$21,3,FALSE)</f>
        <v>0</v>
      </c>
      <c r="X188" s="315">
        <f>IF(L188="nio",0,IF(L188&gt;0,VLOOKUP(H188,'3-Productie normen'!A:K,VLOOKUP(L188,'3-Productie normen'!$B$36:$C$42,2,FALSE),FALSE)))</f>
        <v>0</v>
      </c>
      <c r="Y188" s="315">
        <f t="shared" si="30"/>
        <v>0</v>
      </c>
      <c r="Z188" s="315">
        <f t="shared" si="31"/>
        <v>0</v>
      </c>
      <c r="AA188" s="315">
        <f t="shared" si="32"/>
        <v>0</v>
      </c>
      <c r="AB188" s="316" t="s">
        <v>490</v>
      </c>
      <c r="AD188" s="317">
        <f t="shared" si="33"/>
        <v>8032.5</v>
      </c>
    </row>
    <row r="189" spans="1:30" ht="14.1" customHeight="1">
      <c r="A189" s="74">
        <v>189</v>
      </c>
      <c r="B189" s="277" t="s">
        <v>275</v>
      </c>
      <c r="C189" s="277" t="s">
        <v>458</v>
      </c>
      <c r="D189" s="277" t="s">
        <v>367</v>
      </c>
      <c r="E189" s="311" t="s">
        <v>419</v>
      </c>
      <c r="F189" s="312"/>
      <c r="G189" s="277" t="s">
        <v>495</v>
      </c>
      <c r="H189" s="70" t="s">
        <v>52</v>
      </c>
      <c r="I189" s="70" t="s">
        <v>334</v>
      </c>
      <c r="J189" s="313">
        <v>21</v>
      </c>
      <c r="K189" s="314">
        <f t="shared" si="25"/>
        <v>357</v>
      </c>
      <c r="L189" s="243">
        <v>255</v>
      </c>
      <c r="M189" s="243"/>
      <c r="N189" s="243">
        <v>102</v>
      </c>
      <c r="O189" s="243"/>
      <c r="P189" s="243"/>
      <c r="Q189" s="243"/>
      <c r="R189" s="242" t="e">
        <f>IF(L189="nio",0,IF(L189&gt;0,L189*J189/X189,0))*VLOOKUP(B189,'2-Kosten per locatie'!$A$14:$C$21,3,FALSE)</f>
        <v>#DIV/0!</v>
      </c>
      <c r="S189" s="242">
        <f>IF(M189&gt;0,M189*J189/Y189,0)*VLOOKUP(B189,'2-Kosten per locatie'!$A$14:$C$21,3,FALSE)</f>
        <v>0</v>
      </c>
      <c r="T189" s="242" t="e">
        <f>IF(N189&gt;0,N189*J189/Z189,0)*VLOOKUP(B189,'2-Kosten per locatie'!$A$14:$C$21,3,FALSE)</f>
        <v>#DIV/0!</v>
      </c>
      <c r="U189" s="242">
        <f>IF(O189&gt;0,O189*J189/AA189,0)*VLOOKUP(B189,'2-Kosten per locatie'!$A$14:$C$21,3,FALSE)</f>
        <v>0</v>
      </c>
      <c r="V189" s="242">
        <f>IF(P189&gt;0,P189*J189/Z189,0)*VLOOKUP(B189,'2-Kosten per locatie'!$A$14:$C$21,3,FALSE)</f>
        <v>0</v>
      </c>
      <c r="W189" s="242">
        <f>IF(Q189&gt;0,Q189*J189/AA189,0)*VLOOKUP(B189,'2-Kosten per locatie'!$A$14:$C$21,3,FALSE)</f>
        <v>0</v>
      </c>
      <c r="X189" s="315">
        <f>IF(L189="nio",0,IF(L189&gt;0,VLOOKUP(H189,'3-Productie normen'!A:K,VLOOKUP(L189,'3-Productie normen'!$B$36:$C$42,2,FALSE),FALSE)))</f>
        <v>0</v>
      </c>
      <c r="Y189" s="315">
        <f t="shared" si="30"/>
        <v>0</v>
      </c>
      <c r="Z189" s="315">
        <f t="shared" si="31"/>
        <v>0</v>
      </c>
      <c r="AA189" s="315">
        <f t="shared" si="32"/>
        <v>0</v>
      </c>
      <c r="AB189" s="316" t="s">
        <v>490</v>
      </c>
      <c r="AD189" s="317">
        <f t="shared" si="33"/>
        <v>7497</v>
      </c>
    </row>
    <row r="190" spans="1:30" ht="14.1" customHeight="1">
      <c r="A190" s="74">
        <v>190</v>
      </c>
      <c r="B190" s="277" t="s">
        <v>275</v>
      </c>
      <c r="C190" s="277" t="s">
        <v>458</v>
      </c>
      <c r="D190" s="277" t="s">
        <v>367</v>
      </c>
      <c r="E190" s="311" t="s">
        <v>419</v>
      </c>
      <c r="F190" s="312"/>
      <c r="G190" s="277" t="s">
        <v>496</v>
      </c>
      <c r="H190" s="70" t="s">
        <v>392</v>
      </c>
      <c r="I190" s="70" t="s">
        <v>334</v>
      </c>
      <c r="J190" s="313">
        <v>8</v>
      </c>
      <c r="K190" s="314">
        <f t="shared" si="25"/>
        <v>357</v>
      </c>
      <c r="L190" s="243">
        <v>255</v>
      </c>
      <c r="M190" s="243"/>
      <c r="N190" s="243">
        <v>102</v>
      </c>
      <c r="O190" s="243"/>
      <c r="P190" s="243"/>
      <c r="Q190" s="243"/>
      <c r="R190" s="242" t="e">
        <f>IF(L190="nio",0,IF(L190&gt;0,L190*J190/X190,0))*VLOOKUP(B190,'2-Kosten per locatie'!$A$14:$C$21,3,FALSE)</f>
        <v>#DIV/0!</v>
      </c>
      <c r="S190" s="242">
        <f>IF(M190&gt;0,M190*J190/Y190,0)*VLOOKUP(B190,'2-Kosten per locatie'!$A$14:$C$21,3,FALSE)</f>
        <v>0</v>
      </c>
      <c r="T190" s="242" t="e">
        <f>IF(N190&gt;0,N190*J190/Z190,0)*VLOOKUP(B190,'2-Kosten per locatie'!$A$14:$C$21,3,FALSE)</f>
        <v>#DIV/0!</v>
      </c>
      <c r="U190" s="242">
        <f>IF(O190&gt;0,O190*J190/AA190,0)*VLOOKUP(B190,'2-Kosten per locatie'!$A$14:$C$21,3,FALSE)</f>
        <v>0</v>
      </c>
      <c r="V190" s="242">
        <f>IF(P190&gt;0,P190*J190/Z190,0)*VLOOKUP(B190,'2-Kosten per locatie'!$A$14:$C$21,3,FALSE)</f>
        <v>0</v>
      </c>
      <c r="W190" s="242">
        <f>IF(Q190&gt;0,Q190*J190/AA190,0)*VLOOKUP(B190,'2-Kosten per locatie'!$A$14:$C$21,3,FALSE)</f>
        <v>0</v>
      </c>
      <c r="X190" s="315">
        <f>IF(L190="nio",0,IF(L190&gt;0,VLOOKUP(H190,'3-Productie normen'!A:K,VLOOKUP(L190,'3-Productie normen'!$B$36:$C$42,2,FALSE),FALSE)))</f>
        <v>0</v>
      </c>
      <c r="Y190" s="315">
        <f t="shared" si="30"/>
        <v>0</v>
      </c>
      <c r="Z190" s="315">
        <f t="shared" si="31"/>
        <v>0</v>
      </c>
      <c r="AA190" s="315">
        <f t="shared" si="32"/>
        <v>0</v>
      </c>
      <c r="AB190" s="316" t="s">
        <v>490</v>
      </c>
      <c r="AD190" s="317">
        <f t="shared" si="33"/>
        <v>2856</v>
      </c>
    </row>
    <row r="191" spans="1:30" ht="14.1" customHeight="1">
      <c r="A191" s="74">
        <v>191</v>
      </c>
      <c r="B191" s="277" t="s">
        <v>275</v>
      </c>
      <c r="C191" s="277" t="s">
        <v>458</v>
      </c>
      <c r="D191" s="277" t="s">
        <v>367</v>
      </c>
      <c r="E191" s="311" t="s">
        <v>419</v>
      </c>
      <c r="F191" s="312"/>
      <c r="G191" s="277" t="s">
        <v>500</v>
      </c>
      <c r="H191" s="70" t="s">
        <v>392</v>
      </c>
      <c r="I191" s="70" t="s">
        <v>334</v>
      </c>
      <c r="J191" s="313">
        <v>10</v>
      </c>
      <c r="K191" s="314">
        <f t="shared" si="25"/>
        <v>357</v>
      </c>
      <c r="L191" s="243">
        <v>255</v>
      </c>
      <c r="M191" s="243"/>
      <c r="N191" s="243">
        <v>102</v>
      </c>
      <c r="O191" s="243"/>
      <c r="P191" s="243"/>
      <c r="Q191" s="243"/>
      <c r="R191" s="242" t="e">
        <f>IF(L191="nio",0,IF(L191&gt;0,L191*J191/X191,0))*VLOOKUP(B191,'2-Kosten per locatie'!$A$14:$C$21,3,FALSE)</f>
        <v>#DIV/0!</v>
      </c>
      <c r="S191" s="242">
        <f>IF(M191&gt;0,M191*J191/Y191,0)*VLOOKUP(B191,'2-Kosten per locatie'!$A$14:$C$21,3,FALSE)</f>
        <v>0</v>
      </c>
      <c r="T191" s="242" t="e">
        <f>IF(N191&gt;0,N191*J191/Z191,0)*VLOOKUP(B191,'2-Kosten per locatie'!$A$14:$C$21,3,FALSE)</f>
        <v>#DIV/0!</v>
      </c>
      <c r="U191" s="242">
        <f>IF(O191&gt;0,O191*J191/AA191,0)*VLOOKUP(B191,'2-Kosten per locatie'!$A$14:$C$21,3,FALSE)</f>
        <v>0</v>
      </c>
      <c r="V191" s="242">
        <f>IF(P191&gt;0,P191*J191/Z191,0)*VLOOKUP(B191,'2-Kosten per locatie'!$A$14:$C$21,3,FALSE)</f>
        <v>0</v>
      </c>
      <c r="W191" s="242">
        <f>IF(Q191&gt;0,Q191*J191/AA191,0)*VLOOKUP(B191,'2-Kosten per locatie'!$A$14:$C$21,3,FALSE)</f>
        <v>0</v>
      </c>
      <c r="X191" s="315">
        <f>IF(L191="nio",0,IF(L191&gt;0,VLOOKUP(H191,'3-Productie normen'!A:K,VLOOKUP(L191,'3-Productie normen'!$B$36:$C$42,2,FALSE),FALSE)))</f>
        <v>0</v>
      </c>
      <c r="Y191" s="315">
        <f t="shared" si="30"/>
        <v>0</v>
      </c>
      <c r="Z191" s="315">
        <f t="shared" si="31"/>
        <v>0</v>
      </c>
      <c r="AA191" s="315">
        <f t="shared" si="32"/>
        <v>0</v>
      </c>
      <c r="AB191" s="316" t="s">
        <v>490</v>
      </c>
      <c r="AD191" s="317">
        <f t="shared" si="33"/>
        <v>3570</v>
      </c>
    </row>
    <row r="192" spans="1:30" ht="14.1" customHeight="1">
      <c r="A192" s="74">
        <v>192</v>
      </c>
      <c r="B192" s="277" t="s">
        <v>275</v>
      </c>
      <c r="C192" s="277" t="s">
        <v>458</v>
      </c>
      <c r="D192" s="277" t="s">
        <v>367</v>
      </c>
      <c r="E192" s="311" t="s">
        <v>419</v>
      </c>
      <c r="F192" s="312"/>
      <c r="G192" s="70" t="s">
        <v>497</v>
      </c>
      <c r="H192" s="70" t="s">
        <v>319</v>
      </c>
      <c r="I192" s="70" t="s">
        <v>334</v>
      </c>
      <c r="J192" s="313">
        <v>55</v>
      </c>
      <c r="K192" s="314">
        <f t="shared" si="25"/>
        <v>357</v>
      </c>
      <c r="L192" s="243">
        <v>255</v>
      </c>
      <c r="M192" s="243"/>
      <c r="N192" s="243">
        <v>102</v>
      </c>
      <c r="O192" s="243"/>
      <c r="P192" s="243"/>
      <c r="Q192" s="243"/>
      <c r="R192" s="242" t="e">
        <f>IF(L192="nio",0,IF(L192&gt;0,L192*J192/X192,0))*VLOOKUP(B192,'2-Kosten per locatie'!$A$14:$C$21,3,FALSE)</f>
        <v>#DIV/0!</v>
      </c>
      <c r="S192" s="242">
        <f>IF(M192&gt;0,M192*J192/Y192,0)*VLOOKUP(B192,'2-Kosten per locatie'!$A$14:$C$21,3,FALSE)</f>
        <v>0</v>
      </c>
      <c r="T192" s="242" t="e">
        <f>IF(N192&gt;0,N192*J192/Z192,0)*VLOOKUP(B192,'2-Kosten per locatie'!$A$14:$C$21,3,FALSE)</f>
        <v>#DIV/0!</v>
      </c>
      <c r="U192" s="242">
        <f>IF(O192&gt;0,O192*J192/AA192,0)*VLOOKUP(B192,'2-Kosten per locatie'!$A$14:$C$21,3,FALSE)</f>
        <v>0</v>
      </c>
      <c r="V192" s="242">
        <f>IF(P192&gt;0,P192*J192/Z192,0)*VLOOKUP(B192,'2-Kosten per locatie'!$A$14:$C$21,3,FALSE)</f>
        <v>0</v>
      </c>
      <c r="W192" s="242">
        <f>IF(Q192&gt;0,Q192*J192/AA192,0)*VLOOKUP(B192,'2-Kosten per locatie'!$A$14:$C$21,3,FALSE)</f>
        <v>0</v>
      </c>
      <c r="X192" s="315">
        <f>IF(L192="nio",0,IF(L192&gt;0,VLOOKUP(H192,'3-Productie normen'!A:K,VLOOKUP(L192,'3-Productie normen'!$B$36:$C$42,2,FALSE),FALSE)))</f>
        <v>0</v>
      </c>
      <c r="Y192" s="315">
        <f t="shared" si="30"/>
        <v>0</v>
      </c>
      <c r="Z192" s="315">
        <f t="shared" si="31"/>
        <v>0</v>
      </c>
      <c r="AA192" s="315">
        <f t="shared" si="32"/>
        <v>0</v>
      </c>
      <c r="AB192" s="316" t="s">
        <v>490</v>
      </c>
      <c r="AD192" s="317">
        <f t="shared" si="33"/>
        <v>19635</v>
      </c>
    </row>
    <row r="193" spans="1:30" ht="14.1" customHeight="1">
      <c r="A193" s="74">
        <v>193</v>
      </c>
      <c r="B193" s="277" t="s">
        <v>275</v>
      </c>
      <c r="C193" s="277" t="s">
        <v>458</v>
      </c>
      <c r="D193" s="277" t="s">
        <v>367</v>
      </c>
      <c r="E193" s="311" t="s">
        <v>419</v>
      </c>
      <c r="F193" s="312"/>
      <c r="G193" s="70" t="s">
        <v>501</v>
      </c>
      <c r="H193" s="70" t="s">
        <v>392</v>
      </c>
      <c r="I193" s="70" t="s">
        <v>334</v>
      </c>
      <c r="J193" s="313">
        <v>5.5</v>
      </c>
      <c r="K193" s="314">
        <f t="shared" si="25"/>
        <v>357</v>
      </c>
      <c r="L193" s="243">
        <v>255</v>
      </c>
      <c r="M193" s="243"/>
      <c r="N193" s="243">
        <v>102</v>
      </c>
      <c r="O193" s="243"/>
      <c r="P193" s="243"/>
      <c r="Q193" s="243"/>
      <c r="R193" s="242" t="e">
        <f>IF(L193="nio",0,IF(L193&gt;0,L193*J193/X193,0))*VLOOKUP(B193,'2-Kosten per locatie'!$A$14:$C$21,3,FALSE)</f>
        <v>#DIV/0!</v>
      </c>
      <c r="S193" s="242">
        <f>IF(M193&gt;0,M193*J193/Y193,0)*VLOOKUP(B193,'2-Kosten per locatie'!$A$14:$C$21,3,FALSE)</f>
        <v>0</v>
      </c>
      <c r="T193" s="242" t="e">
        <f>IF(N193&gt;0,N193*J193/Z193,0)*VLOOKUP(B193,'2-Kosten per locatie'!$A$14:$C$21,3,FALSE)</f>
        <v>#DIV/0!</v>
      </c>
      <c r="U193" s="242">
        <f>IF(O193&gt;0,O193*J193/AA193,0)*VLOOKUP(B193,'2-Kosten per locatie'!$A$14:$C$21,3,FALSE)</f>
        <v>0</v>
      </c>
      <c r="V193" s="242">
        <f>IF(P193&gt;0,P193*J193/Z193,0)*VLOOKUP(B193,'2-Kosten per locatie'!$A$14:$C$21,3,FALSE)</f>
        <v>0</v>
      </c>
      <c r="W193" s="242">
        <f>IF(Q193&gt;0,Q193*J193/AA193,0)*VLOOKUP(B193,'2-Kosten per locatie'!$A$14:$C$21,3,FALSE)</f>
        <v>0</v>
      </c>
      <c r="X193" s="315">
        <f>IF(L193="nio",0,IF(L193&gt;0,VLOOKUP(H193,'3-Productie normen'!A:K,VLOOKUP(L193,'3-Productie normen'!$B$36:$C$42,2,FALSE),FALSE)))</f>
        <v>0</v>
      </c>
      <c r="Y193" s="315">
        <f t="shared" si="30"/>
        <v>0</v>
      </c>
      <c r="Z193" s="315">
        <f t="shared" si="31"/>
        <v>0</v>
      </c>
      <c r="AA193" s="315">
        <f t="shared" si="32"/>
        <v>0</v>
      </c>
      <c r="AB193" s="316" t="s">
        <v>490</v>
      </c>
      <c r="AD193" s="317">
        <f t="shared" si="33"/>
        <v>1963.5</v>
      </c>
    </row>
    <row r="194" spans="1:30" ht="14.1" customHeight="1">
      <c r="A194" s="74">
        <v>194</v>
      </c>
      <c r="B194" s="277" t="s">
        <v>275</v>
      </c>
      <c r="C194" s="277" t="s">
        <v>458</v>
      </c>
      <c r="D194" s="277" t="s">
        <v>367</v>
      </c>
      <c r="E194" s="311" t="s">
        <v>419</v>
      </c>
      <c r="F194" s="312"/>
      <c r="G194" s="70" t="s">
        <v>502</v>
      </c>
      <c r="H194" s="70" t="s">
        <v>319</v>
      </c>
      <c r="I194" s="70" t="s">
        <v>334</v>
      </c>
      <c r="J194" s="313">
        <v>131.69999999999999</v>
      </c>
      <c r="K194" s="314">
        <f t="shared" si="25"/>
        <v>357</v>
      </c>
      <c r="L194" s="243">
        <v>255</v>
      </c>
      <c r="M194" s="243"/>
      <c r="N194" s="243">
        <v>102</v>
      </c>
      <c r="O194" s="243"/>
      <c r="P194" s="243"/>
      <c r="Q194" s="243"/>
      <c r="R194" s="242" t="e">
        <f>IF(L194="nio",0,IF(L194&gt;0,L194*J194/X194,0))*VLOOKUP(B194,'2-Kosten per locatie'!$A$14:$C$21,3,FALSE)</f>
        <v>#DIV/0!</v>
      </c>
      <c r="S194" s="242">
        <f>IF(M194&gt;0,M194*J194/Y194,0)*VLOOKUP(B194,'2-Kosten per locatie'!$A$14:$C$21,3,FALSE)</f>
        <v>0</v>
      </c>
      <c r="T194" s="242" t="e">
        <f>IF(N194&gt;0,N194*J194/Z194,0)*VLOOKUP(B194,'2-Kosten per locatie'!$A$14:$C$21,3,FALSE)</f>
        <v>#DIV/0!</v>
      </c>
      <c r="U194" s="242">
        <f>IF(O194&gt;0,O194*J194/AA194,0)*VLOOKUP(B194,'2-Kosten per locatie'!$A$14:$C$21,3,FALSE)</f>
        <v>0</v>
      </c>
      <c r="V194" s="242">
        <f>IF(P194&gt;0,P194*J194/Z194,0)*VLOOKUP(B194,'2-Kosten per locatie'!$A$14:$C$21,3,FALSE)</f>
        <v>0</v>
      </c>
      <c r="W194" s="242">
        <f>IF(Q194&gt;0,Q194*J194/AA194,0)*VLOOKUP(B194,'2-Kosten per locatie'!$A$14:$C$21,3,FALSE)</f>
        <v>0</v>
      </c>
      <c r="X194" s="315">
        <f>IF(L194="nio",0,IF(L194&gt;0,VLOOKUP(H194,'3-Productie normen'!A:K,VLOOKUP(L194,'3-Productie normen'!$B$36:$C$42,2,FALSE),FALSE)))</f>
        <v>0</v>
      </c>
      <c r="Y194" s="315">
        <f t="shared" si="30"/>
        <v>0</v>
      </c>
      <c r="Z194" s="315">
        <f t="shared" si="31"/>
        <v>0</v>
      </c>
      <c r="AA194" s="315">
        <f t="shared" si="32"/>
        <v>0</v>
      </c>
      <c r="AB194" s="316" t="s">
        <v>490</v>
      </c>
      <c r="AD194" s="317">
        <f t="shared" si="33"/>
        <v>47016.899999999994</v>
      </c>
    </row>
    <row r="195" spans="1:30" ht="14.1" customHeight="1">
      <c r="A195" s="74">
        <v>195</v>
      </c>
      <c r="B195" s="277" t="s">
        <v>275</v>
      </c>
      <c r="C195" s="277" t="s">
        <v>458</v>
      </c>
      <c r="D195" s="277" t="s">
        <v>367</v>
      </c>
      <c r="E195" s="311" t="s">
        <v>419</v>
      </c>
      <c r="F195" s="312"/>
      <c r="G195" s="70" t="s">
        <v>503</v>
      </c>
      <c r="H195" s="70" t="s">
        <v>319</v>
      </c>
      <c r="I195" s="70" t="s">
        <v>334</v>
      </c>
      <c r="J195" s="313">
        <v>98</v>
      </c>
      <c r="K195" s="314">
        <f t="shared" si="25"/>
        <v>357</v>
      </c>
      <c r="L195" s="243">
        <v>255</v>
      </c>
      <c r="M195" s="243"/>
      <c r="N195" s="243">
        <v>102</v>
      </c>
      <c r="O195" s="243"/>
      <c r="P195" s="243"/>
      <c r="Q195" s="243"/>
      <c r="R195" s="242" t="e">
        <f>IF(L195="nio",0,IF(L195&gt;0,L195*J195/X195,0))*VLOOKUP(B195,'2-Kosten per locatie'!$A$14:$C$21,3,FALSE)</f>
        <v>#DIV/0!</v>
      </c>
      <c r="S195" s="242">
        <f>IF(M195&gt;0,M195*J195/Y195,0)*VLOOKUP(B195,'2-Kosten per locatie'!$A$14:$C$21,3,FALSE)</f>
        <v>0</v>
      </c>
      <c r="T195" s="242" t="e">
        <f>IF(N195&gt;0,N195*J195/Z195,0)*VLOOKUP(B195,'2-Kosten per locatie'!$A$14:$C$21,3,FALSE)</f>
        <v>#DIV/0!</v>
      </c>
      <c r="U195" s="242">
        <f>IF(O195&gt;0,O195*J195/AA195,0)*VLOOKUP(B195,'2-Kosten per locatie'!$A$14:$C$21,3,FALSE)</f>
        <v>0</v>
      </c>
      <c r="V195" s="242">
        <f>IF(P195&gt;0,P195*J195/Z195,0)*VLOOKUP(B195,'2-Kosten per locatie'!$A$14:$C$21,3,FALSE)</f>
        <v>0</v>
      </c>
      <c r="W195" s="242">
        <f>IF(Q195&gt;0,Q195*J195/AA195,0)*VLOOKUP(B195,'2-Kosten per locatie'!$A$14:$C$21,3,FALSE)</f>
        <v>0</v>
      </c>
      <c r="X195" s="315">
        <f>IF(L195="nio",0,IF(L195&gt;0,VLOOKUP(H195,'3-Productie normen'!A:K,VLOOKUP(L195,'3-Productie normen'!$B$36:$C$42,2,FALSE),FALSE)))</f>
        <v>0</v>
      </c>
      <c r="Y195" s="315">
        <f t="shared" si="30"/>
        <v>0</v>
      </c>
      <c r="Z195" s="315">
        <f t="shared" si="31"/>
        <v>0</v>
      </c>
      <c r="AA195" s="315">
        <f t="shared" si="32"/>
        <v>0</v>
      </c>
      <c r="AB195" s="316" t="s">
        <v>490</v>
      </c>
      <c r="AD195" s="317">
        <f t="shared" si="33"/>
        <v>34986</v>
      </c>
    </row>
    <row r="196" spans="1:30" ht="14.1" hidden="1" customHeight="1">
      <c r="A196" s="74">
        <v>196</v>
      </c>
      <c r="B196" s="277" t="s">
        <v>275</v>
      </c>
      <c r="C196" s="277" t="s">
        <v>458</v>
      </c>
      <c r="D196" s="277" t="s">
        <v>367</v>
      </c>
      <c r="E196" s="311" t="s">
        <v>419</v>
      </c>
      <c r="F196" s="312"/>
      <c r="G196" s="70" t="s">
        <v>504</v>
      </c>
      <c r="H196" s="70" t="s">
        <v>55</v>
      </c>
      <c r="I196" s="70" t="s">
        <v>505</v>
      </c>
      <c r="J196" s="313">
        <v>23.5</v>
      </c>
      <c r="K196" s="314">
        <f t="shared" si="25"/>
        <v>357</v>
      </c>
      <c r="L196" s="243">
        <v>255</v>
      </c>
      <c r="M196" s="243"/>
      <c r="N196" s="243">
        <v>102</v>
      </c>
      <c r="O196" s="243"/>
      <c r="P196" s="243"/>
      <c r="Q196" s="243"/>
      <c r="R196" s="242" t="e">
        <f>IF(L196="nio",0,IF(L196&gt;0,L196*J196/X196,0))*VLOOKUP(B196,'2-Kosten per locatie'!$A$14:$C$21,3,FALSE)</f>
        <v>#DIV/0!</v>
      </c>
      <c r="S196" s="242">
        <f>IF(M196&gt;0,M196*J196/Y196,0)*VLOOKUP(B196,'2-Kosten per locatie'!$A$14:$C$21,3,FALSE)</f>
        <v>0</v>
      </c>
      <c r="T196" s="242" t="e">
        <f>IF(N196&gt;0,N196*J196/Z196,0)*VLOOKUP(B196,'2-Kosten per locatie'!$A$14:$C$21,3,FALSE)</f>
        <v>#DIV/0!</v>
      </c>
      <c r="U196" s="242">
        <f>IF(O196&gt;0,O196*J196/AA196,0)*VLOOKUP(B196,'2-Kosten per locatie'!$A$14:$C$21,3,FALSE)</f>
        <v>0</v>
      </c>
      <c r="V196" s="242">
        <f>IF(P196&gt;0,P196*J196/Z196,0)*VLOOKUP(B196,'2-Kosten per locatie'!$A$14:$C$21,3,FALSE)</f>
        <v>0</v>
      </c>
      <c r="W196" s="242">
        <f>IF(Q196&gt;0,Q196*J196/AA196,0)*VLOOKUP(B196,'2-Kosten per locatie'!$A$14:$C$21,3,FALSE)</f>
        <v>0</v>
      </c>
      <c r="X196" s="315">
        <f>IF(L196="nio",0,IF(L196&gt;0,VLOOKUP(H196,'3-Productie normen'!A:K,VLOOKUP(L196,'3-Productie normen'!$B$36:$C$42,2,FALSE),FALSE)))</f>
        <v>0</v>
      </c>
      <c r="Y196" s="315">
        <f t="shared" si="30"/>
        <v>0</v>
      </c>
      <c r="Z196" s="315">
        <f t="shared" si="31"/>
        <v>0</v>
      </c>
      <c r="AA196" s="315">
        <f t="shared" si="32"/>
        <v>0</v>
      </c>
      <c r="AB196" s="316"/>
      <c r="AD196" s="317">
        <f t="shared" si="33"/>
        <v>8389.5</v>
      </c>
    </row>
    <row r="197" spans="1:30" ht="14.1" hidden="1" customHeight="1">
      <c r="A197" s="74">
        <v>197</v>
      </c>
      <c r="B197" s="277" t="s">
        <v>275</v>
      </c>
      <c r="C197" s="277" t="s">
        <v>458</v>
      </c>
      <c r="D197" s="277" t="s">
        <v>367</v>
      </c>
      <c r="E197" s="311" t="s">
        <v>419</v>
      </c>
      <c r="F197" s="312"/>
      <c r="G197" s="70" t="s">
        <v>434</v>
      </c>
      <c r="H197" s="70" t="s">
        <v>411</v>
      </c>
      <c r="I197" s="70"/>
      <c r="J197" s="313"/>
      <c r="K197" s="314">
        <f t="shared" si="25"/>
        <v>0</v>
      </c>
      <c r="L197" s="243" t="s">
        <v>412</v>
      </c>
      <c r="M197" s="243"/>
      <c r="N197" s="243"/>
      <c r="O197" s="243"/>
      <c r="P197" s="243"/>
      <c r="Q197" s="243"/>
      <c r="R197" s="242">
        <f>IF(L197="nio",0,IF(L197&gt;0,L197*J197/X197,0))*VLOOKUP(B197,'2-Kosten per locatie'!$A$14:$C$21,3,FALSE)</f>
        <v>0</v>
      </c>
      <c r="S197" s="242">
        <f>IF(M197&gt;0,M197*J197/Y197,0)*VLOOKUP(B197,'2-Kosten per locatie'!$A$14:$C$21,3,FALSE)</f>
        <v>0</v>
      </c>
      <c r="T197" s="242">
        <f>IF(N197&gt;0,N197*J197/Z197,0)*VLOOKUP(B197,'2-Kosten per locatie'!$A$14:$C$21,3,FALSE)</f>
        <v>0</v>
      </c>
      <c r="U197" s="242">
        <f>IF(O197&gt;0,O197*J197/AA197,0)*VLOOKUP(B197,'2-Kosten per locatie'!$A$14:$C$21,3,FALSE)</f>
        <v>0</v>
      </c>
      <c r="V197" s="242">
        <f>IF(P197&gt;0,P197*J197/Z197,0)*VLOOKUP(B197,'2-Kosten per locatie'!$A$14:$C$21,3,FALSE)</f>
        <v>0</v>
      </c>
      <c r="W197" s="242">
        <f>IF(Q197&gt;0,Q197*J197/AA197,0)*VLOOKUP(B197,'2-Kosten per locatie'!$A$14:$C$21,3,FALSE)</f>
        <v>0</v>
      </c>
      <c r="X197" s="315">
        <f>IF(L197="nio",0,IF(L197&gt;0,VLOOKUP(H197,'3-Productie normen'!A:K,VLOOKUP(L197,'3-Productie normen'!$B$36:$C$42,2,FALSE),FALSE)))</f>
        <v>0</v>
      </c>
      <c r="Y197" s="315">
        <f t="shared" si="30"/>
        <v>0</v>
      </c>
      <c r="Z197" s="315">
        <f t="shared" si="31"/>
        <v>0</v>
      </c>
      <c r="AA197" s="315">
        <f t="shared" si="32"/>
        <v>0</v>
      </c>
      <c r="AB197" s="316"/>
      <c r="AD197" s="317">
        <f t="shared" si="33"/>
        <v>0</v>
      </c>
    </row>
    <row r="198" spans="1:30" ht="14.1" hidden="1" customHeight="1">
      <c r="A198" s="74">
        <v>198</v>
      </c>
      <c r="B198" s="277" t="s">
        <v>275</v>
      </c>
      <c r="C198" s="277" t="s">
        <v>458</v>
      </c>
      <c r="D198" s="277" t="s">
        <v>367</v>
      </c>
      <c r="E198" s="311" t="s">
        <v>419</v>
      </c>
      <c r="F198" s="312"/>
      <c r="G198" s="277" t="s">
        <v>506</v>
      </c>
      <c r="H198" s="277" t="s">
        <v>411</v>
      </c>
      <c r="I198" s="70"/>
      <c r="J198" s="313"/>
      <c r="K198" s="314">
        <f t="shared" si="25"/>
        <v>0</v>
      </c>
      <c r="L198" s="243" t="s">
        <v>412</v>
      </c>
      <c r="M198" s="243"/>
      <c r="N198" s="243"/>
      <c r="O198" s="243"/>
      <c r="P198" s="243"/>
      <c r="Q198" s="243"/>
      <c r="R198" s="242">
        <f>IF(L198="nio",0,IF(L198&gt;0,L198*J198/X198,0))*VLOOKUP(B198,'2-Kosten per locatie'!$A$14:$C$21,3,FALSE)</f>
        <v>0</v>
      </c>
      <c r="S198" s="242">
        <f>IF(M198&gt;0,M198*J198/Y198,0)*VLOOKUP(B198,'2-Kosten per locatie'!$A$14:$C$21,3,FALSE)</f>
        <v>0</v>
      </c>
      <c r="T198" s="242">
        <f>IF(N198&gt;0,N198*J198/Z198,0)*VLOOKUP(B198,'2-Kosten per locatie'!$A$14:$C$21,3,FALSE)</f>
        <v>0</v>
      </c>
      <c r="U198" s="242">
        <f>IF(O198&gt;0,O198*J198/AA198,0)*VLOOKUP(B198,'2-Kosten per locatie'!$A$14:$C$21,3,FALSE)</f>
        <v>0</v>
      </c>
      <c r="V198" s="242">
        <f>IF(P198&gt;0,P198*J198/Z198,0)*VLOOKUP(B198,'2-Kosten per locatie'!$A$14:$C$21,3,FALSE)</f>
        <v>0</v>
      </c>
      <c r="W198" s="242">
        <f>IF(Q198&gt;0,Q198*J198/AA198,0)*VLOOKUP(B198,'2-Kosten per locatie'!$A$14:$C$21,3,FALSE)</f>
        <v>0</v>
      </c>
      <c r="X198" s="315">
        <f>IF(L198="nio",0,IF(L198&gt;0,VLOOKUP(H198,'3-Productie normen'!A:K,VLOOKUP(L198,'3-Productie normen'!$B$36:$C$42,2,FALSE),FALSE)))</f>
        <v>0</v>
      </c>
      <c r="Y198" s="315">
        <f t="shared" si="30"/>
        <v>0</v>
      </c>
      <c r="Z198" s="315">
        <f t="shared" si="31"/>
        <v>0</v>
      </c>
      <c r="AA198" s="315">
        <f t="shared" si="32"/>
        <v>0</v>
      </c>
      <c r="AB198" s="316"/>
      <c r="AD198" s="317">
        <f t="shared" si="33"/>
        <v>0</v>
      </c>
    </row>
    <row r="199" spans="1:30" ht="14.1" hidden="1" customHeight="1">
      <c r="A199" s="74">
        <v>199</v>
      </c>
      <c r="B199" s="277" t="s">
        <v>275</v>
      </c>
      <c r="C199" s="277" t="s">
        <v>458</v>
      </c>
      <c r="D199" s="277" t="s">
        <v>367</v>
      </c>
      <c r="E199" s="311" t="s">
        <v>419</v>
      </c>
      <c r="F199" s="312"/>
      <c r="G199" s="277" t="s">
        <v>507</v>
      </c>
      <c r="H199" s="277" t="s">
        <v>54</v>
      </c>
      <c r="I199" s="70" t="s">
        <v>658</v>
      </c>
      <c r="J199" s="313">
        <v>21</v>
      </c>
      <c r="K199" s="314">
        <f t="shared" si="25"/>
        <v>255</v>
      </c>
      <c r="L199" s="243">
        <v>255</v>
      </c>
      <c r="M199" s="243"/>
      <c r="N199" s="243"/>
      <c r="O199" s="243"/>
      <c r="P199" s="243"/>
      <c r="Q199" s="243"/>
      <c r="R199" s="242" t="e">
        <f>IF(L199="nio",0,IF(L199&gt;0,L199*J199/X199,0))*VLOOKUP(B199,'2-Kosten per locatie'!$A$14:$C$21,3,FALSE)</f>
        <v>#DIV/0!</v>
      </c>
      <c r="S199" s="242">
        <f>IF(M199&gt;0,M199*J199/Y199,0)*VLOOKUP(B199,'2-Kosten per locatie'!$A$14:$C$21,3,FALSE)</f>
        <v>0</v>
      </c>
      <c r="T199" s="242">
        <f>IF(N199&gt;0,N199*J199/Z199,0)*VLOOKUP(B199,'2-Kosten per locatie'!$A$14:$C$21,3,FALSE)</f>
        <v>0</v>
      </c>
      <c r="U199" s="242">
        <f>IF(O199&gt;0,O199*J199/AA199,0)*VLOOKUP(B199,'2-Kosten per locatie'!$A$14:$C$21,3,FALSE)</f>
        <v>0</v>
      </c>
      <c r="V199" s="242">
        <f>IF(P199&gt;0,P199*J199/Z199,0)*VLOOKUP(B199,'2-Kosten per locatie'!$A$14:$C$21,3,FALSE)</f>
        <v>0</v>
      </c>
      <c r="W199" s="242">
        <f>IF(Q199&gt;0,Q199*J199/AA199,0)*VLOOKUP(B199,'2-Kosten per locatie'!$A$14:$C$21,3,FALSE)</f>
        <v>0</v>
      </c>
      <c r="X199" s="315">
        <f>IF(L199="nio",0,IF(L199&gt;0,VLOOKUP(H199,'3-Productie normen'!A:K,VLOOKUP(L199,'3-Productie normen'!$B$36:$C$42,2,FALSE),FALSE)))</f>
        <v>0</v>
      </c>
      <c r="Y199" s="315">
        <f t="shared" si="30"/>
        <v>0</v>
      </c>
      <c r="Z199" s="315">
        <f t="shared" si="31"/>
        <v>0</v>
      </c>
      <c r="AA199" s="315">
        <f t="shared" si="32"/>
        <v>0</v>
      </c>
      <c r="AB199" s="316"/>
      <c r="AD199" s="317">
        <f t="shared" si="33"/>
        <v>5355</v>
      </c>
    </row>
    <row r="200" spans="1:30" ht="14.1" hidden="1" customHeight="1">
      <c r="A200" s="74">
        <v>200</v>
      </c>
      <c r="B200" s="277" t="s">
        <v>275</v>
      </c>
      <c r="C200" s="277" t="s">
        <v>458</v>
      </c>
      <c r="D200" s="277" t="s">
        <v>367</v>
      </c>
      <c r="E200" s="311" t="s">
        <v>419</v>
      </c>
      <c r="F200" s="312"/>
      <c r="G200" s="277" t="s">
        <v>510</v>
      </c>
      <c r="H200" s="277" t="s">
        <v>56</v>
      </c>
      <c r="I200" s="70" t="s">
        <v>255</v>
      </c>
      <c r="J200" s="313">
        <v>10.5</v>
      </c>
      <c r="K200" s="314">
        <f t="shared" si="25"/>
        <v>255</v>
      </c>
      <c r="L200" s="243">
        <v>255</v>
      </c>
      <c r="M200" s="243"/>
      <c r="N200" s="243"/>
      <c r="O200" s="243"/>
      <c r="P200" s="243"/>
      <c r="Q200" s="243"/>
      <c r="R200" s="242" t="e">
        <f>IF(L200="nio",0,IF(L200&gt;0,L200*J200/X200,0))*VLOOKUP(B200,'2-Kosten per locatie'!$A$14:$C$21,3,FALSE)</f>
        <v>#DIV/0!</v>
      </c>
      <c r="S200" s="242">
        <f>IF(M200&gt;0,M200*J200/Y200,0)*VLOOKUP(B200,'2-Kosten per locatie'!$A$14:$C$21,3,FALSE)</f>
        <v>0</v>
      </c>
      <c r="T200" s="242">
        <f>IF(N200&gt;0,N200*J200/Z200,0)*VLOOKUP(B200,'2-Kosten per locatie'!$A$14:$C$21,3,FALSE)</f>
        <v>0</v>
      </c>
      <c r="U200" s="242">
        <f>IF(O200&gt;0,O200*J200/AA200,0)*VLOOKUP(B200,'2-Kosten per locatie'!$A$14:$C$21,3,FALSE)</f>
        <v>0</v>
      </c>
      <c r="V200" s="242">
        <f>IF(P200&gt;0,P200*J200/Z200,0)*VLOOKUP(B200,'2-Kosten per locatie'!$A$14:$C$21,3,FALSE)</f>
        <v>0</v>
      </c>
      <c r="W200" s="242">
        <f>IF(Q200&gt;0,Q200*J200/AA200,0)*VLOOKUP(B200,'2-Kosten per locatie'!$A$14:$C$21,3,FALSE)</f>
        <v>0</v>
      </c>
      <c r="X200" s="315">
        <f>IF(L200="nio",0,IF(L200&gt;0,VLOOKUP(H200,'3-Productie normen'!A:K,VLOOKUP(L200,'3-Productie normen'!$B$36:$C$42,2,FALSE),FALSE)))</f>
        <v>0</v>
      </c>
      <c r="Y200" s="315">
        <f t="shared" si="30"/>
        <v>0</v>
      </c>
      <c r="Z200" s="315">
        <f t="shared" si="31"/>
        <v>0</v>
      </c>
      <c r="AA200" s="315">
        <f t="shared" si="32"/>
        <v>0</v>
      </c>
      <c r="AB200" s="316"/>
      <c r="AD200" s="317">
        <f t="shared" si="33"/>
        <v>2677.5</v>
      </c>
    </row>
    <row r="201" spans="1:30" ht="14.1" hidden="1" customHeight="1">
      <c r="A201" s="74">
        <v>201</v>
      </c>
      <c r="B201" s="277" t="s">
        <v>275</v>
      </c>
      <c r="C201" s="277" t="s">
        <v>458</v>
      </c>
      <c r="D201" s="277" t="s">
        <v>367</v>
      </c>
      <c r="E201" s="311" t="s">
        <v>419</v>
      </c>
      <c r="F201" s="312"/>
      <c r="G201" s="70" t="s">
        <v>508</v>
      </c>
      <c r="H201" s="70" t="s">
        <v>53</v>
      </c>
      <c r="I201" s="70" t="s">
        <v>255</v>
      </c>
      <c r="J201" s="313">
        <v>18.2</v>
      </c>
      <c r="K201" s="314">
        <f t="shared" si="25"/>
        <v>255</v>
      </c>
      <c r="L201" s="243">
        <v>255</v>
      </c>
      <c r="M201" s="243"/>
      <c r="N201" s="243"/>
      <c r="O201" s="243"/>
      <c r="P201" s="243"/>
      <c r="Q201" s="243"/>
      <c r="R201" s="242" t="e">
        <f>IF(L201="nio",0,IF(L201&gt;0,L201*J201/X201,0))*VLOOKUP(B201,'2-Kosten per locatie'!$A$14:$C$21,3,FALSE)</f>
        <v>#DIV/0!</v>
      </c>
      <c r="S201" s="242">
        <f>IF(M201&gt;0,M201*J201/Y201,0)*VLOOKUP(B201,'2-Kosten per locatie'!$A$14:$C$21,3,FALSE)</f>
        <v>0</v>
      </c>
      <c r="T201" s="242">
        <f>IF(N201&gt;0,N201*J201/Z201,0)*VLOOKUP(B201,'2-Kosten per locatie'!$A$14:$C$21,3,FALSE)</f>
        <v>0</v>
      </c>
      <c r="U201" s="242">
        <f>IF(O201&gt;0,O201*J201/AA201,0)*VLOOKUP(B201,'2-Kosten per locatie'!$A$14:$C$21,3,FALSE)</f>
        <v>0</v>
      </c>
      <c r="V201" s="242">
        <f>IF(P201&gt;0,P201*J201/Z201,0)*VLOOKUP(B201,'2-Kosten per locatie'!$A$14:$C$21,3,FALSE)</f>
        <v>0</v>
      </c>
      <c r="W201" s="242">
        <f>IF(Q201&gt;0,Q201*J201/AA201,0)*VLOOKUP(B201,'2-Kosten per locatie'!$A$14:$C$21,3,FALSE)</f>
        <v>0</v>
      </c>
      <c r="X201" s="315">
        <f>IF(L201="nio",0,IF(L201&gt;0,VLOOKUP(H201,'3-Productie normen'!A:K,VLOOKUP(L201,'3-Productie normen'!$B$36:$C$42,2,FALSE),FALSE)))</f>
        <v>0</v>
      </c>
      <c r="Y201" s="315">
        <f t="shared" si="30"/>
        <v>0</v>
      </c>
      <c r="Z201" s="315">
        <f t="shared" si="31"/>
        <v>0</v>
      </c>
      <c r="AA201" s="315">
        <f t="shared" si="32"/>
        <v>0</v>
      </c>
      <c r="AB201" s="316"/>
      <c r="AD201" s="317">
        <f t="shared" si="33"/>
        <v>4641</v>
      </c>
    </row>
    <row r="202" spans="1:30" ht="14.1" hidden="1" customHeight="1">
      <c r="A202" s="74">
        <v>202</v>
      </c>
      <c r="B202" s="277" t="s">
        <v>275</v>
      </c>
      <c r="C202" s="277" t="s">
        <v>458</v>
      </c>
      <c r="D202" s="277" t="s">
        <v>367</v>
      </c>
      <c r="E202" s="311" t="s">
        <v>419</v>
      </c>
      <c r="F202" s="312"/>
      <c r="G202" s="70" t="s">
        <v>476</v>
      </c>
      <c r="H202" s="70" t="s">
        <v>56</v>
      </c>
      <c r="I202" s="70" t="s">
        <v>255</v>
      </c>
      <c r="J202" s="313">
        <v>25</v>
      </c>
      <c r="K202" s="314">
        <f t="shared" ref="K202:K265" si="34">SUM(L202:Q202)</f>
        <v>255</v>
      </c>
      <c r="L202" s="243">
        <v>255</v>
      </c>
      <c r="M202" s="243"/>
      <c r="N202" s="243"/>
      <c r="O202" s="243"/>
      <c r="P202" s="243"/>
      <c r="Q202" s="243"/>
      <c r="R202" s="242" t="e">
        <f>IF(L202="nio",0,IF(L202&gt;0,L202*J202/X202,0))*VLOOKUP(B202,'2-Kosten per locatie'!$A$14:$C$21,3,FALSE)</f>
        <v>#DIV/0!</v>
      </c>
      <c r="S202" s="242">
        <f>IF(M202&gt;0,M202*J202/Y202,0)*VLOOKUP(B202,'2-Kosten per locatie'!$A$14:$C$21,3,FALSE)</f>
        <v>0</v>
      </c>
      <c r="T202" s="242">
        <f>IF(N202&gt;0,N202*J202/Z202,0)*VLOOKUP(B202,'2-Kosten per locatie'!$A$14:$C$21,3,FALSE)</f>
        <v>0</v>
      </c>
      <c r="U202" s="242">
        <f>IF(O202&gt;0,O202*J202/AA202,0)*VLOOKUP(B202,'2-Kosten per locatie'!$A$14:$C$21,3,FALSE)</f>
        <v>0</v>
      </c>
      <c r="V202" s="242">
        <f>IF(P202&gt;0,P202*J202/Z202,0)*VLOOKUP(B202,'2-Kosten per locatie'!$A$14:$C$21,3,FALSE)</f>
        <v>0</v>
      </c>
      <c r="W202" s="242">
        <f>IF(Q202&gt;0,Q202*J202/AA202,0)*VLOOKUP(B202,'2-Kosten per locatie'!$A$14:$C$21,3,FALSE)</f>
        <v>0</v>
      </c>
      <c r="X202" s="315">
        <f>IF(L202="nio",0,IF(L202&gt;0,VLOOKUP(H202,'3-Productie normen'!A:K,VLOOKUP(L202,'3-Productie normen'!$B$36:$C$42,2,FALSE),FALSE)))</f>
        <v>0</v>
      </c>
      <c r="Y202" s="315">
        <f t="shared" si="30"/>
        <v>0</v>
      </c>
      <c r="Z202" s="315">
        <f t="shared" si="31"/>
        <v>0</v>
      </c>
      <c r="AA202" s="315">
        <f t="shared" si="32"/>
        <v>0</v>
      </c>
      <c r="AB202" s="316"/>
      <c r="AD202" s="317">
        <f t="shared" si="33"/>
        <v>6375</v>
      </c>
    </row>
    <row r="203" spans="1:30" ht="14.1" hidden="1" customHeight="1">
      <c r="A203" s="74">
        <v>203</v>
      </c>
      <c r="B203" s="277" t="s">
        <v>275</v>
      </c>
      <c r="C203" s="277" t="s">
        <v>458</v>
      </c>
      <c r="D203" s="277" t="s">
        <v>367</v>
      </c>
      <c r="E203" s="311" t="s">
        <v>419</v>
      </c>
      <c r="F203" s="312"/>
      <c r="G203" s="70" t="s">
        <v>509</v>
      </c>
      <c r="H203" s="70" t="s">
        <v>411</v>
      </c>
      <c r="I203" s="70"/>
      <c r="J203" s="313">
        <v>25</v>
      </c>
      <c r="K203" s="314">
        <f t="shared" si="34"/>
        <v>0</v>
      </c>
      <c r="L203" s="243" t="s">
        <v>412</v>
      </c>
      <c r="M203" s="243"/>
      <c r="N203" s="243"/>
      <c r="O203" s="243"/>
      <c r="P203" s="243"/>
      <c r="Q203" s="243"/>
      <c r="R203" s="242">
        <f>IF(L203="nio",0,IF(L203&gt;0,L203*J203/X203,0))*VLOOKUP(B203,'2-Kosten per locatie'!$A$14:$C$21,3,FALSE)</f>
        <v>0</v>
      </c>
      <c r="S203" s="242">
        <f>IF(M203&gt;0,M203*J203/Y203,0)*VLOOKUP(B203,'2-Kosten per locatie'!$A$14:$C$21,3,FALSE)</f>
        <v>0</v>
      </c>
      <c r="T203" s="242">
        <f>IF(N203&gt;0,N203*J203/Z203,0)*VLOOKUP(B203,'2-Kosten per locatie'!$A$14:$C$21,3,FALSE)</f>
        <v>0</v>
      </c>
      <c r="U203" s="242">
        <f>IF(O203&gt;0,O203*J203/AA203,0)*VLOOKUP(B203,'2-Kosten per locatie'!$A$14:$C$21,3,FALSE)</f>
        <v>0</v>
      </c>
      <c r="V203" s="242">
        <f>IF(P203&gt;0,P203*J203/Z203,0)*VLOOKUP(B203,'2-Kosten per locatie'!$A$14:$C$21,3,FALSE)</f>
        <v>0</v>
      </c>
      <c r="W203" s="242">
        <f>IF(Q203&gt;0,Q203*J203/AA203,0)*VLOOKUP(B203,'2-Kosten per locatie'!$A$14:$C$21,3,FALSE)</f>
        <v>0</v>
      </c>
      <c r="X203" s="315">
        <f>IF(L203="nio",0,IF(L203&gt;0,VLOOKUP(H203,'3-Productie normen'!A:K,VLOOKUP(L203,'3-Productie normen'!$B$36:$C$42,2,FALSE),FALSE)))</f>
        <v>0</v>
      </c>
      <c r="Y203" s="315">
        <f t="shared" si="30"/>
        <v>0</v>
      </c>
      <c r="Z203" s="315">
        <f t="shared" si="31"/>
        <v>0</v>
      </c>
      <c r="AA203" s="315">
        <f t="shared" si="32"/>
        <v>0</v>
      </c>
      <c r="AB203" s="316"/>
      <c r="AD203" s="317">
        <f t="shared" si="33"/>
        <v>0</v>
      </c>
    </row>
    <row r="204" spans="1:30" ht="14.1" hidden="1" customHeight="1">
      <c r="A204" s="74">
        <v>204</v>
      </c>
      <c r="B204" s="277" t="s">
        <v>275</v>
      </c>
      <c r="C204" s="277" t="s">
        <v>458</v>
      </c>
      <c r="D204" s="277" t="s">
        <v>367</v>
      </c>
      <c r="E204" s="311" t="s">
        <v>419</v>
      </c>
      <c r="F204" s="312"/>
      <c r="G204" s="70" t="s">
        <v>509</v>
      </c>
      <c r="H204" s="70" t="s">
        <v>411</v>
      </c>
      <c r="I204" s="70"/>
      <c r="J204" s="313">
        <v>8</v>
      </c>
      <c r="K204" s="314">
        <f t="shared" si="34"/>
        <v>0</v>
      </c>
      <c r="L204" s="243" t="s">
        <v>412</v>
      </c>
      <c r="M204" s="243"/>
      <c r="N204" s="243"/>
      <c r="O204" s="243"/>
      <c r="P204" s="243"/>
      <c r="Q204" s="243"/>
      <c r="R204" s="242">
        <f>IF(L204="nio",0,IF(L204&gt;0,L204*J204/X204,0))*VLOOKUP(B204,'2-Kosten per locatie'!$A$14:$C$21,3,FALSE)</f>
        <v>0</v>
      </c>
      <c r="S204" s="242">
        <f>IF(M204&gt;0,M204*J204/Y204,0)*VLOOKUP(B204,'2-Kosten per locatie'!$A$14:$C$21,3,FALSE)</f>
        <v>0</v>
      </c>
      <c r="T204" s="242">
        <f>IF(N204&gt;0,N204*J204/Z204,0)*VLOOKUP(B204,'2-Kosten per locatie'!$A$14:$C$21,3,FALSE)</f>
        <v>0</v>
      </c>
      <c r="U204" s="242">
        <f>IF(O204&gt;0,O204*J204/AA204,0)*VLOOKUP(B204,'2-Kosten per locatie'!$A$14:$C$21,3,FALSE)</f>
        <v>0</v>
      </c>
      <c r="V204" s="242">
        <f>IF(P204&gt;0,P204*J204/Z204,0)*VLOOKUP(B204,'2-Kosten per locatie'!$A$14:$C$21,3,FALSE)</f>
        <v>0</v>
      </c>
      <c r="W204" s="242">
        <f>IF(Q204&gt;0,Q204*J204/AA204,0)*VLOOKUP(B204,'2-Kosten per locatie'!$A$14:$C$21,3,FALSE)</f>
        <v>0</v>
      </c>
      <c r="X204" s="315">
        <f>IF(L204="nio",0,IF(L204&gt;0,VLOOKUP(H204,'3-Productie normen'!A:K,VLOOKUP(L204,'3-Productie normen'!$B$36:$C$42,2,FALSE),FALSE)))</f>
        <v>0</v>
      </c>
      <c r="Y204" s="315">
        <f t="shared" si="30"/>
        <v>0</v>
      </c>
      <c r="Z204" s="315">
        <f t="shared" si="31"/>
        <v>0</v>
      </c>
      <c r="AA204" s="315">
        <f t="shared" si="32"/>
        <v>0</v>
      </c>
      <c r="AB204" s="316"/>
      <c r="AD204" s="317">
        <f t="shared" si="33"/>
        <v>0</v>
      </c>
    </row>
    <row r="205" spans="1:30" ht="14.1" hidden="1" customHeight="1">
      <c r="A205" s="74">
        <v>205</v>
      </c>
      <c r="B205" s="277" t="s">
        <v>275</v>
      </c>
      <c r="C205" s="277" t="s">
        <v>458</v>
      </c>
      <c r="D205" s="277" t="s">
        <v>367</v>
      </c>
      <c r="E205" s="311" t="s">
        <v>419</v>
      </c>
      <c r="F205" s="312"/>
      <c r="G205" s="70" t="s">
        <v>509</v>
      </c>
      <c r="H205" s="70" t="s">
        <v>411</v>
      </c>
      <c r="I205" s="70"/>
      <c r="J205" s="313">
        <v>17</v>
      </c>
      <c r="K205" s="314">
        <f t="shared" si="34"/>
        <v>0</v>
      </c>
      <c r="L205" s="243" t="s">
        <v>412</v>
      </c>
      <c r="M205" s="243"/>
      <c r="N205" s="243"/>
      <c r="O205" s="243"/>
      <c r="P205" s="243"/>
      <c r="Q205" s="243"/>
      <c r="R205" s="242">
        <f>IF(L205="nio",0,IF(L205&gt;0,L205*J205/X205,0))*VLOOKUP(B205,'2-Kosten per locatie'!$A$14:$C$21,3,FALSE)</f>
        <v>0</v>
      </c>
      <c r="S205" s="242">
        <f>IF(M205&gt;0,M205*J205/Y205,0)*VLOOKUP(B205,'2-Kosten per locatie'!$A$14:$C$21,3,FALSE)</f>
        <v>0</v>
      </c>
      <c r="T205" s="242">
        <f>IF(N205&gt;0,N205*J205/Z205,0)*VLOOKUP(B205,'2-Kosten per locatie'!$A$14:$C$21,3,FALSE)</f>
        <v>0</v>
      </c>
      <c r="U205" s="242">
        <f>IF(O205&gt;0,O205*J205/AA205,0)*VLOOKUP(B205,'2-Kosten per locatie'!$A$14:$C$21,3,FALSE)</f>
        <v>0</v>
      </c>
      <c r="V205" s="242">
        <f>IF(P205&gt;0,P205*J205/Z205,0)*VLOOKUP(B205,'2-Kosten per locatie'!$A$14:$C$21,3,FALSE)</f>
        <v>0</v>
      </c>
      <c r="W205" s="242">
        <f>IF(Q205&gt;0,Q205*J205/AA205,0)*VLOOKUP(B205,'2-Kosten per locatie'!$A$14:$C$21,3,FALSE)</f>
        <v>0</v>
      </c>
      <c r="X205" s="315">
        <f>IF(L205="nio",0,IF(L205&gt;0,VLOOKUP(H205,'3-Productie normen'!A:K,VLOOKUP(L205,'3-Productie normen'!$B$36:$C$42,2,FALSE),FALSE)))</f>
        <v>0</v>
      </c>
      <c r="Y205" s="315">
        <f t="shared" si="30"/>
        <v>0</v>
      </c>
      <c r="Z205" s="315">
        <f t="shared" si="31"/>
        <v>0</v>
      </c>
      <c r="AA205" s="315">
        <f t="shared" si="32"/>
        <v>0</v>
      </c>
      <c r="AB205" s="316"/>
      <c r="AD205" s="317">
        <f t="shared" si="33"/>
        <v>0</v>
      </c>
    </row>
    <row r="206" spans="1:30" ht="14.1" hidden="1" customHeight="1">
      <c r="A206" s="74">
        <v>206</v>
      </c>
      <c r="B206" s="277" t="s">
        <v>275</v>
      </c>
      <c r="C206" s="277" t="s">
        <v>458</v>
      </c>
      <c r="D206" s="277" t="s">
        <v>367</v>
      </c>
      <c r="E206" s="311" t="s">
        <v>419</v>
      </c>
      <c r="F206" s="312"/>
      <c r="G206" s="70" t="s">
        <v>511</v>
      </c>
      <c r="H206" s="70" t="s">
        <v>51</v>
      </c>
      <c r="I206" s="70" t="s">
        <v>505</v>
      </c>
      <c r="J206" s="313">
        <v>20</v>
      </c>
      <c r="K206" s="314">
        <f t="shared" si="34"/>
        <v>255</v>
      </c>
      <c r="L206" s="243">
        <v>255</v>
      </c>
      <c r="M206" s="243"/>
      <c r="N206" s="243"/>
      <c r="O206" s="243"/>
      <c r="P206" s="243"/>
      <c r="Q206" s="243"/>
      <c r="R206" s="242" t="e">
        <f>IF(L206="nio",0,IF(L206&gt;0,L206*J206/X206,0))*VLOOKUP(B206,'2-Kosten per locatie'!$A$14:$C$21,3,FALSE)</f>
        <v>#DIV/0!</v>
      </c>
      <c r="S206" s="242">
        <f>IF(M206&gt;0,M206*J206/Y206,0)*VLOOKUP(B206,'2-Kosten per locatie'!$A$14:$C$21,3,FALSE)</f>
        <v>0</v>
      </c>
      <c r="T206" s="242">
        <f>IF(N206&gt;0,N206*J206/Z206,0)*VLOOKUP(B206,'2-Kosten per locatie'!$A$14:$C$21,3,FALSE)</f>
        <v>0</v>
      </c>
      <c r="U206" s="242">
        <f>IF(O206&gt;0,O206*J206/AA206,0)*VLOOKUP(B206,'2-Kosten per locatie'!$A$14:$C$21,3,FALSE)</f>
        <v>0</v>
      </c>
      <c r="V206" s="242">
        <f>IF(P206&gt;0,P206*J206/Z206,0)*VLOOKUP(B206,'2-Kosten per locatie'!$A$14:$C$21,3,FALSE)</f>
        <v>0</v>
      </c>
      <c r="W206" s="242">
        <f>IF(Q206&gt;0,Q206*J206/AA206,0)*VLOOKUP(B206,'2-Kosten per locatie'!$A$14:$C$21,3,FALSE)</f>
        <v>0</v>
      </c>
      <c r="X206" s="315">
        <f>IF(L206="nio",0,IF(L206&gt;0,VLOOKUP(H206,'3-Productie normen'!A:K,VLOOKUP(L206,'3-Productie normen'!$B$36:$C$42,2,FALSE),FALSE)))</f>
        <v>0</v>
      </c>
      <c r="Y206" s="315">
        <f t="shared" si="30"/>
        <v>0</v>
      </c>
      <c r="Z206" s="315">
        <f t="shared" si="31"/>
        <v>0</v>
      </c>
      <c r="AA206" s="315">
        <f t="shared" si="32"/>
        <v>0</v>
      </c>
      <c r="AB206" s="316"/>
      <c r="AD206" s="317">
        <f t="shared" si="33"/>
        <v>5100</v>
      </c>
    </row>
    <row r="207" spans="1:30" ht="14.1" hidden="1" customHeight="1">
      <c r="A207" s="74">
        <v>207</v>
      </c>
      <c r="B207" s="277" t="s">
        <v>275</v>
      </c>
      <c r="C207" s="277" t="s">
        <v>458</v>
      </c>
      <c r="D207" s="277" t="s">
        <v>367</v>
      </c>
      <c r="E207" s="311" t="s">
        <v>419</v>
      </c>
      <c r="F207" s="312"/>
      <c r="G207" s="70" t="s">
        <v>512</v>
      </c>
      <c r="H207" s="70" t="s">
        <v>53</v>
      </c>
      <c r="I207" s="70" t="s">
        <v>505</v>
      </c>
      <c r="J207" s="313">
        <v>13</v>
      </c>
      <c r="K207" s="314">
        <f t="shared" si="34"/>
        <v>255</v>
      </c>
      <c r="L207" s="243">
        <v>255</v>
      </c>
      <c r="M207" s="243"/>
      <c r="N207" s="243"/>
      <c r="O207" s="243"/>
      <c r="P207" s="243"/>
      <c r="Q207" s="243"/>
      <c r="R207" s="242" t="e">
        <f>IF(L207="nio",0,IF(L207&gt;0,L207*J207/X207,0))*VLOOKUP(B207,'2-Kosten per locatie'!$A$14:$C$21,3,FALSE)</f>
        <v>#DIV/0!</v>
      </c>
      <c r="S207" s="242">
        <f>IF(M207&gt;0,M207*J207/Y207,0)*VLOOKUP(B207,'2-Kosten per locatie'!$A$14:$C$21,3,FALSE)</f>
        <v>0</v>
      </c>
      <c r="T207" s="242">
        <f>IF(N207&gt;0,N207*J207/Z207,0)*VLOOKUP(B207,'2-Kosten per locatie'!$A$14:$C$21,3,FALSE)</f>
        <v>0</v>
      </c>
      <c r="U207" s="242">
        <f>IF(O207&gt;0,O207*J207/AA207,0)*VLOOKUP(B207,'2-Kosten per locatie'!$A$14:$C$21,3,FALSE)</f>
        <v>0</v>
      </c>
      <c r="V207" s="242">
        <f>IF(P207&gt;0,P207*J207/Z207,0)*VLOOKUP(B207,'2-Kosten per locatie'!$A$14:$C$21,3,FALSE)</f>
        <v>0</v>
      </c>
      <c r="W207" s="242">
        <f>IF(Q207&gt;0,Q207*J207/AA207,0)*VLOOKUP(B207,'2-Kosten per locatie'!$A$14:$C$21,3,FALSE)</f>
        <v>0</v>
      </c>
      <c r="X207" s="315">
        <f>IF(L207="nio",0,IF(L207&gt;0,VLOOKUP(H207,'3-Productie normen'!A:K,VLOOKUP(L207,'3-Productie normen'!$B$36:$C$42,2,FALSE),FALSE)))</f>
        <v>0</v>
      </c>
      <c r="Y207" s="315">
        <f t="shared" si="30"/>
        <v>0</v>
      </c>
      <c r="Z207" s="315">
        <f t="shared" si="31"/>
        <v>0</v>
      </c>
      <c r="AA207" s="315">
        <f t="shared" si="32"/>
        <v>0</v>
      </c>
      <c r="AB207" s="316"/>
      <c r="AD207" s="317">
        <f t="shared" si="33"/>
        <v>3315</v>
      </c>
    </row>
    <row r="208" spans="1:30" ht="14.1" hidden="1" customHeight="1">
      <c r="A208" s="74">
        <v>208</v>
      </c>
      <c r="B208" s="277" t="s">
        <v>275</v>
      </c>
      <c r="C208" s="277" t="s">
        <v>458</v>
      </c>
      <c r="D208" s="277" t="s">
        <v>367</v>
      </c>
      <c r="E208" s="311" t="s">
        <v>513</v>
      </c>
      <c r="F208" s="312"/>
      <c r="G208" s="277" t="s">
        <v>452</v>
      </c>
      <c r="H208" s="277" t="s">
        <v>320</v>
      </c>
      <c r="I208" s="70" t="s">
        <v>255</v>
      </c>
      <c r="J208" s="313">
        <v>16.850000000000001</v>
      </c>
      <c r="K208" s="314">
        <f t="shared" si="34"/>
        <v>255</v>
      </c>
      <c r="L208" s="243">
        <v>255</v>
      </c>
      <c r="M208" s="243"/>
      <c r="N208" s="243"/>
      <c r="O208" s="243"/>
      <c r="P208" s="243"/>
      <c r="Q208" s="243"/>
      <c r="R208" s="242" t="e">
        <f>IF(L208="nio",0,IF(L208&gt;0,L208*J208/X208,0))*VLOOKUP(B208,'2-Kosten per locatie'!$A$14:$C$21,3,FALSE)</f>
        <v>#DIV/0!</v>
      </c>
      <c r="S208" s="242">
        <f>IF(M208&gt;0,M208*J208/Y208,0)*VLOOKUP(B208,'2-Kosten per locatie'!$A$14:$C$21,3,FALSE)</f>
        <v>0</v>
      </c>
      <c r="T208" s="242">
        <f>IF(N208&gt;0,N208*J208/Z208,0)*VLOOKUP(B208,'2-Kosten per locatie'!$A$14:$C$21,3,FALSE)</f>
        <v>0</v>
      </c>
      <c r="U208" s="242">
        <f>IF(O208&gt;0,O208*J208/AA208,0)*VLOOKUP(B208,'2-Kosten per locatie'!$A$14:$C$21,3,FALSE)</f>
        <v>0</v>
      </c>
      <c r="V208" s="242">
        <f>IF(P208&gt;0,P208*J208/Z208,0)*VLOOKUP(B208,'2-Kosten per locatie'!$A$14:$C$21,3,FALSE)</f>
        <v>0</v>
      </c>
      <c r="W208" s="242">
        <f>IF(Q208&gt;0,Q208*J208/AA208,0)*VLOOKUP(B208,'2-Kosten per locatie'!$A$14:$C$21,3,FALSE)</f>
        <v>0</v>
      </c>
      <c r="X208" s="315">
        <f>IF(L208="nio",0,IF(L208&gt;0,VLOOKUP(H208,'3-Productie normen'!A:K,VLOOKUP(L208,'3-Productie normen'!$B$36:$C$42,2,FALSE),FALSE)))</f>
        <v>0</v>
      </c>
      <c r="Y208" s="315">
        <f t="shared" si="30"/>
        <v>0</v>
      </c>
      <c r="Z208" s="315">
        <f t="shared" si="31"/>
        <v>0</v>
      </c>
      <c r="AA208" s="315">
        <f t="shared" si="32"/>
        <v>0</v>
      </c>
      <c r="AB208" s="316"/>
      <c r="AD208" s="317">
        <f t="shared" si="33"/>
        <v>4296.75</v>
      </c>
    </row>
    <row r="209" spans="1:30" ht="14.1" hidden="1" customHeight="1">
      <c r="A209" s="74">
        <v>209</v>
      </c>
      <c r="B209" s="277" t="s">
        <v>275</v>
      </c>
      <c r="C209" s="277" t="s">
        <v>458</v>
      </c>
      <c r="D209" s="277" t="s">
        <v>367</v>
      </c>
      <c r="E209" s="311" t="s">
        <v>513</v>
      </c>
      <c r="F209" s="312"/>
      <c r="G209" s="277" t="s">
        <v>452</v>
      </c>
      <c r="H209" s="277" t="s">
        <v>320</v>
      </c>
      <c r="I209" s="70" t="s">
        <v>255</v>
      </c>
      <c r="J209" s="313">
        <v>9.5</v>
      </c>
      <c r="K209" s="314">
        <f t="shared" si="34"/>
        <v>255</v>
      </c>
      <c r="L209" s="243">
        <v>255</v>
      </c>
      <c r="M209" s="243"/>
      <c r="N209" s="243"/>
      <c r="O209" s="243"/>
      <c r="P209" s="243"/>
      <c r="Q209" s="243"/>
      <c r="R209" s="242" t="e">
        <f>IF(L209="nio",0,IF(L209&gt;0,L209*J209/X209,0))*VLOOKUP(B209,'2-Kosten per locatie'!$A$14:$C$21,3,FALSE)</f>
        <v>#DIV/0!</v>
      </c>
      <c r="S209" s="242">
        <f>IF(M209&gt;0,M209*J209/Y209,0)*VLOOKUP(B209,'2-Kosten per locatie'!$A$14:$C$21,3,FALSE)</f>
        <v>0</v>
      </c>
      <c r="T209" s="242">
        <f>IF(N209&gt;0,N209*J209/Z209,0)*VLOOKUP(B209,'2-Kosten per locatie'!$A$14:$C$21,3,FALSE)</f>
        <v>0</v>
      </c>
      <c r="U209" s="242">
        <f>IF(O209&gt;0,O209*J209/AA209,0)*VLOOKUP(B209,'2-Kosten per locatie'!$A$14:$C$21,3,FALSE)</f>
        <v>0</v>
      </c>
      <c r="V209" s="242">
        <f>IF(P209&gt;0,P209*J209/Z209,0)*VLOOKUP(B209,'2-Kosten per locatie'!$A$14:$C$21,3,FALSE)</f>
        <v>0</v>
      </c>
      <c r="W209" s="242">
        <f>IF(Q209&gt;0,Q209*J209/AA209,0)*VLOOKUP(B209,'2-Kosten per locatie'!$A$14:$C$21,3,FALSE)</f>
        <v>0</v>
      </c>
      <c r="X209" s="315">
        <f>IF(L209="nio",0,IF(L209&gt;0,VLOOKUP(H209,'3-Productie normen'!A:K,VLOOKUP(L209,'3-Productie normen'!$B$36:$C$42,2,FALSE),FALSE)))</f>
        <v>0</v>
      </c>
      <c r="Y209" s="315">
        <f t="shared" si="30"/>
        <v>0</v>
      </c>
      <c r="Z209" s="315">
        <f t="shared" si="31"/>
        <v>0</v>
      </c>
      <c r="AA209" s="315">
        <f t="shared" si="32"/>
        <v>0</v>
      </c>
      <c r="AB209" s="316"/>
      <c r="AD209" s="317">
        <f t="shared" si="33"/>
        <v>2422.5</v>
      </c>
    </row>
    <row r="210" spans="1:30" ht="14.1" hidden="1" customHeight="1">
      <c r="A210" s="74">
        <v>210</v>
      </c>
      <c r="B210" s="277" t="s">
        <v>275</v>
      </c>
      <c r="C210" s="277" t="s">
        <v>458</v>
      </c>
      <c r="D210" s="277" t="s">
        <v>367</v>
      </c>
      <c r="E210" s="311" t="s">
        <v>513</v>
      </c>
      <c r="F210" s="312"/>
      <c r="G210" s="277" t="s">
        <v>452</v>
      </c>
      <c r="H210" s="277" t="s">
        <v>320</v>
      </c>
      <c r="I210" s="70" t="s">
        <v>255</v>
      </c>
      <c r="J210" s="313">
        <v>9.5</v>
      </c>
      <c r="K210" s="314">
        <f t="shared" si="34"/>
        <v>255</v>
      </c>
      <c r="L210" s="243">
        <v>255</v>
      </c>
      <c r="M210" s="243"/>
      <c r="N210" s="243"/>
      <c r="O210" s="243"/>
      <c r="P210" s="243"/>
      <c r="Q210" s="243"/>
      <c r="R210" s="242" t="e">
        <f>IF(L210="nio",0,IF(L210&gt;0,L210*J210/X210,0))*VLOOKUP(B210,'2-Kosten per locatie'!$A$14:$C$21,3,FALSE)</f>
        <v>#DIV/0!</v>
      </c>
      <c r="S210" s="242">
        <f>IF(M210&gt;0,M210*J210/Y210,0)*VLOOKUP(B210,'2-Kosten per locatie'!$A$14:$C$21,3,FALSE)</f>
        <v>0</v>
      </c>
      <c r="T210" s="242">
        <f>IF(N210&gt;0,N210*J210/Z210,0)*VLOOKUP(B210,'2-Kosten per locatie'!$A$14:$C$21,3,FALSE)</f>
        <v>0</v>
      </c>
      <c r="U210" s="242">
        <f>IF(O210&gt;0,O210*J210/AA210,0)*VLOOKUP(B210,'2-Kosten per locatie'!$A$14:$C$21,3,FALSE)</f>
        <v>0</v>
      </c>
      <c r="V210" s="242">
        <f>IF(P210&gt;0,P210*J210/Z210,0)*VLOOKUP(B210,'2-Kosten per locatie'!$A$14:$C$21,3,FALSE)</f>
        <v>0</v>
      </c>
      <c r="W210" s="242">
        <f>IF(Q210&gt;0,Q210*J210/AA210,0)*VLOOKUP(B210,'2-Kosten per locatie'!$A$14:$C$21,3,FALSE)</f>
        <v>0</v>
      </c>
      <c r="X210" s="315">
        <f>IF(L210="nio",0,IF(L210&gt;0,VLOOKUP(H210,'3-Productie normen'!A:K,VLOOKUP(L210,'3-Productie normen'!$B$36:$C$42,2,FALSE),FALSE)))</f>
        <v>0</v>
      </c>
      <c r="Y210" s="315">
        <f t="shared" si="30"/>
        <v>0</v>
      </c>
      <c r="Z210" s="315">
        <f t="shared" si="31"/>
        <v>0</v>
      </c>
      <c r="AA210" s="315">
        <f t="shared" si="32"/>
        <v>0</v>
      </c>
      <c r="AB210" s="316"/>
      <c r="AD210" s="317">
        <f t="shared" si="33"/>
        <v>2422.5</v>
      </c>
    </row>
    <row r="211" spans="1:30" ht="14.1" hidden="1" customHeight="1">
      <c r="A211" s="74">
        <v>211</v>
      </c>
      <c r="B211" s="277" t="s">
        <v>275</v>
      </c>
      <c r="C211" s="277" t="s">
        <v>458</v>
      </c>
      <c r="D211" s="277" t="s">
        <v>367</v>
      </c>
      <c r="E211" s="311" t="s">
        <v>419</v>
      </c>
      <c r="F211" s="312"/>
      <c r="G211" s="277" t="s">
        <v>263</v>
      </c>
      <c r="H211" s="277" t="s">
        <v>52</v>
      </c>
      <c r="I211" s="70" t="s">
        <v>334</v>
      </c>
      <c r="J211" s="313">
        <v>16.399999999999999</v>
      </c>
      <c r="K211" s="314">
        <f t="shared" si="34"/>
        <v>255</v>
      </c>
      <c r="L211" s="243">
        <v>255</v>
      </c>
      <c r="M211" s="243"/>
      <c r="N211" s="243"/>
      <c r="O211" s="243"/>
      <c r="P211" s="243"/>
      <c r="Q211" s="243"/>
      <c r="R211" s="242" t="e">
        <f>IF(L211="nio",0,IF(L211&gt;0,L211*J211/X211,0))*VLOOKUP(B211,'2-Kosten per locatie'!$A$14:$C$21,3,FALSE)</f>
        <v>#DIV/0!</v>
      </c>
      <c r="S211" s="242">
        <f>IF(M211&gt;0,M211*J211/Y211,0)*VLOOKUP(B211,'2-Kosten per locatie'!$A$14:$C$21,3,FALSE)</f>
        <v>0</v>
      </c>
      <c r="T211" s="242">
        <f>IF(N211&gt;0,N211*J211/Z211,0)*VLOOKUP(B211,'2-Kosten per locatie'!$A$14:$C$21,3,FALSE)</f>
        <v>0</v>
      </c>
      <c r="U211" s="242">
        <f>IF(O211&gt;0,O211*J211/AA211,0)*VLOOKUP(B211,'2-Kosten per locatie'!$A$14:$C$21,3,FALSE)</f>
        <v>0</v>
      </c>
      <c r="V211" s="242">
        <f>IF(P211&gt;0,P211*J211/Z211,0)*VLOOKUP(B211,'2-Kosten per locatie'!$A$14:$C$21,3,FALSE)</f>
        <v>0</v>
      </c>
      <c r="W211" s="242">
        <f>IF(Q211&gt;0,Q211*J211/AA211,0)*VLOOKUP(B211,'2-Kosten per locatie'!$A$14:$C$21,3,FALSE)</f>
        <v>0</v>
      </c>
      <c r="X211" s="315">
        <f>IF(L211="nio",0,IF(L211&gt;0,VLOOKUP(H211,'3-Productie normen'!A:K,VLOOKUP(L211,'3-Productie normen'!$B$36:$C$42,2,FALSE),FALSE)))</f>
        <v>0</v>
      </c>
      <c r="Y211" s="315">
        <f t="shared" si="30"/>
        <v>0</v>
      </c>
      <c r="Z211" s="315">
        <f t="shared" si="31"/>
        <v>0</v>
      </c>
      <c r="AA211" s="315">
        <f t="shared" si="32"/>
        <v>0</v>
      </c>
      <c r="AB211" s="316"/>
      <c r="AD211" s="317">
        <f t="shared" si="33"/>
        <v>4182</v>
      </c>
    </row>
    <row r="212" spans="1:30" ht="14.1" hidden="1" customHeight="1">
      <c r="A212" s="74">
        <v>212</v>
      </c>
      <c r="B212" s="277" t="s">
        <v>275</v>
      </c>
      <c r="C212" s="277" t="s">
        <v>458</v>
      </c>
      <c r="D212" s="277" t="s">
        <v>367</v>
      </c>
      <c r="E212" s="311" t="s">
        <v>419</v>
      </c>
      <c r="F212" s="312"/>
      <c r="G212" s="277" t="s">
        <v>239</v>
      </c>
      <c r="H212" s="277" t="s">
        <v>239</v>
      </c>
      <c r="I212" s="70" t="s">
        <v>255</v>
      </c>
      <c r="J212" s="313">
        <v>3</v>
      </c>
      <c r="K212" s="314">
        <f t="shared" si="34"/>
        <v>255</v>
      </c>
      <c r="L212" s="243">
        <v>255</v>
      </c>
      <c r="M212" s="243"/>
      <c r="N212" s="243"/>
      <c r="O212" s="243"/>
      <c r="P212" s="243"/>
      <c r="Q212" s="243"/>
      <c r="R212" s="242" t="e">
        <f>IF(L212="nio",0,IF(L212&gt;0,L212*J212/X212,0))*VLOOKUP(B212,'2-Kosten per locatie'!$A$14:$C$21,3,FALSE)</f>
        <v>#DIV/0!</v>
      </c>
      <c r="S212" s="242">
        <f>IF(M212&gt;0,M212*J212/Y212,0)*VLOOKUP(B212,'2-Kosten per locatie'!$A$14:$C$21,3,FALSE)</f>
        <v>0</v>
      </c>
      <c r="T212" s="242">
        <f>IF(N212&gt;0,N212*J212/Z212,0)*VLOOKUP(B212,'2-Kosten per locatie'!$A$14:$C$21,3,FALSE)</f>
        <v>0</v>
      </c>
      <c r="U212" s="242">
        <f>IF(O212&gt;0,O212*J212/AA212,0)*VLOOKUP(B212,'2-Kosten per locatie'!$A$14:$C$21,3,FALSE)</f>
        <v>0</v>
      </c>
      <c r="V212" s="242">
        <f>IF(P212&gt;0,P212*J212/Z212,0)*VLOOKUP(B212,'2-Kosten per locatie'!$A$14:$C$21,3,FALSE)</f>
        <v>0</v>
      </c>
      <c r="W212" s="242">
        <f>IF(Q212&gt;0,Q212*J212/AA212,0)*VLOOKUP(B212,'2-Kosten per locatie'!$A$14:$C$21,3,FALSE)</f>
        <v>0</v>
      </c>
      <c r="X212" s="315">
        <f>IF(L212="nio",0,IF(L212&gt;0,VLOOKUP(H212,'3-Productie normen'!A:K,VLOOKUP(L212,'3-Productie normen'!$B$36:$C$42,2,FALSE),FALSE)))</f>
        <v>0</v>
      </c>
      <c r="Y212" s="315">
        <f t="shared" si="30"/>
        <v>0</v>
      </c>
      <c r="Z212" s="315">
        <f t="shared" si="31"/>
        <v>0</v>
      </c>
      <c r="AA212" s="315">
        <f t="shared" si="32"/>
        <v>0</v>
      </c>
      <c r="AB212" s="316"/>
      <c r="AD212" s="317">
        <f t="shared" si="33"/>
        <v>765</v>
      </c>
    </row>
    <row r="213" spans="1:30" ht="14.1" hidden="1" customHeight="1">
      <c r="A213" s="74">
        <v>213</v>
      </c>
      <c r="B213" s="277" t="s">
        <v>275</v>
      </c>
      <c r="C213" s="277" t="s">
        <v>458</v>
      </c>
      <c r="D213" s="277" t="s">
        <v>367</v>
      </c>
      <c r="E213" s="311" t="s">
        <v>419</v>
      </c>
      <c r="F213" s="312"/>
      <c r="G213" s="277" t="s">
        <v>508</v>
      </c>
      <c r="H213" s="277" t="s">
        <v>53</v>
      </c>
      <c r="I213" s="70" t="s">
        <v>255</v>
      </c>
      <c r="J213" s="313">
        <v>87.8</v>
      </c>
      <c r="K213" s="314">
        <f t="shared" si="34"/>
        <v>255</v>
      </c>
      <c r="L213" s="243">
        <v>255</v>
      </c>
      <c r="M213" s="243"/>
      <c r="N213" s="243"/>
      <c r="O213" s="243"/>
      <c r="P213" s="243"/>
      <c r="Q213" s="243"/>
      <c r="R213" s="242" t="e">
        <f>IF(L213="nio",0,IF(L213&gt;0,L213*J213/X213,0))*VLOOKUP(B213,'2-Kosten per locatie'!$A$14:$C$21,3,FALSE)</f>
        <v>#DIV/0!</v>
      </c>
      <c r="S213" s="242">
        <f>IF(M213&gt;0,M213*J213/Y213,0)*VLOOKUP(B213,'2-Kosten per locatie'!$A$14:$C$21,3,FALSE)</f>
        <v>0</v>
      </c>
      <c r="T213" s="242">
        <f>IF(N213&gt;0,N213*J213/Z213,0)*VLOOKUP(B213,'2-Kosten per locatie'!$A$14:$C$21,3,FALSE)</f>
        <v>0</v>
      </c>
      <c r="U213" s="242">
        <f>IF(O213&gt;0,O213*J213/AA213,0)*VLOOKUP(B213,'2-Kosten per locatie'!$A$14:$C$21,3,FALSE)</f>
        <v>0</v>
      </c>
      <c r="V213" s="242">
        <f>IF(P213&gt;0,P213*J213/Z213,0)*VLOOKUP(B213,'2-Kosten per locatie'!$A$14:$C$21,3,FALSE)</f>
        <v>0</v>
      </c>
      <c r="W213" s="242">
        <f>IF(Q213&gt;0,Q213*J213/AA213,0)*VLOOKUP(B213,'2-Kosten per locatie'!$A$14:$C$21,3,FALSE)</f>
        <v>0</v>
      </c>
      <c r="X213" s="315">
        <f>IF(L213="nio",0,IF(L213&gt;0,VLOOKUP(H213,'3-Productie normen'!A:K,VLOOKUP(L213,'3-Productie normen'!$B$36:$C$42,2,FALSE),FALSE)))</f>
        <v>0</v>
      </c>
      <c r="Y213" s="315">
        <f t="shared" si="30"/>
        <v>0</v>
      </c>
      <c r="Z213" s="315">
        <f t="shared" si="31"/>
        <v>0</v>
      </c>
      <c r="AA213" s="315">
        <f t="shared" si="32"/>
        <v>0</v>
      </c>
      <c r="AB213" s="316"/>
      <c r="AD213" s="317">
        <f t="shared" si="33"/>
        <v>22389</v>
      </c>
    </row>
    <row r="214" spans="1:30" ht="14.1" hidden="1" customHeight="1">
      <c r="A214" s="74">
        <v>214</v>
      </c>
      <c r="B214" s="277" t="s">
        <v>275</v>
      </c>
      <c r="C214" s="277" t="s">
        <v>458</v>
      </c>
      <c r="D214" s="277" t="s">
        <v>367</v>
      </c>
      <c r="E214" s="311" t="s">
        <v>419</v>
      </c>
      <c r="F214" s="312"/>
      <c r="G214" s="277" t="s">
        <v>664</v>
      </c>
      <c r="H214" s="296" t="s">
        <v>657</v>
      </c>
      <c r="I214" s="70" t="s">
        <v>255</v>
      </c>
      <c r="J214" s="313">
        <v>52</v>
      </c>
      <c r="K214" s="314">
        <f t="shared" si="34"/>
        <v>205</v>
      </c>
      <c r="L214" s="243">
        <v>205</v>
      </c>
      <c r="M214" s="243"/>
      <c r="N214" s="243"/>
      <c r="O214" s="243"/>
      <c r="P214" s="243"/>
      <c r="Q214" s="243"/>
      <c r="R214" s="242" t="e">
        <f>IF(L214="nio",0,IF(L214&gt;0,L214*J214/X214,0))*VLOOKUP(B214,'2-Kosten per locatie'!$A$14:$C$21,3,FALSE)</f>
        <v>#DIV/0!</v>
      </c>
      <c r="S214" s="242">
        <f>IF(M214&gt;0,M214*J214/Y214,0)*VLOOKUP(B214,'2-Kosten per locatie'!$A$14:$C$21,3,FALSE)</f>
        <v>0</v>
      </c>
      <c r="T214" s="242">
        <f>IF(N214&gt;0,N214*J214/Z214,0)*VLOOKUP(B214,'2-Kosten per locatie'!$A$14:$C$21,3,FALSE)</f>
        <v>0</v>
      </c>
      <c r="U214" s="242">
        <f>IF(O214&gt;0,O214*J214/AA214,0)*VLOOKUP(B214,'2-Kosten per locatie'!$A$14:$C$21,3,FALSE)</f>
        <v>0</v>
      </c>
      <c r="V214" s="242">
        <f>IF(P214&gt;0,P214*J214/Z214,0)*VLOOKUP(B214,'2-Kosten per locatie'!$A$14:$C$21,3,FALSE)</f>
        <v>0</v>
      </c>
      <c r="W214" s="242">
        <f>IF(Q214&gt;0,Q214*J214/AA214,0)*VLOOKUP(B214,'2-Kosten per locatie'!$A$14:$C$21,3,FALSE)</f>
        <v>0</v>
      </c>
      <c r="X214" s="315">
        <f>IF(L214="nio",0,IF(L214&gt;0,VLOOKUP(H214,'3-Productie normen'!A:K,VLOOKUP(L214,'3-Productie normen'!$B$36:$C$42,2,FALSE),FALSE)))</f>
        <v>0</v>
      </c>
      <c r="Y214" s="315">
        <f t="shared" si="30"/>
        <v>0</v>
      </c>
      <c r="Z214" s="315">
        <f t="shared" si="31"/>
        <v>0</v>
      </c>
      <c r="AA214" s="315">
        <f t="shared" si="32"/>
        <v>0</v>
      </c>
      <c r="AB214" s="316"/>
      <c r="AD214" s="317">
        <f t="shared" si="33"/>
        <v>10660</v>
      </c>
    </row>
    <row r="215" spans="1:30" ht="14.1" hidden="1" customHeight="1">
      <c r="A215" s="74">
        <v>215</v>
      </c>
      <c r="B215" s="277" t="s">
        <v>275</v>
      </c>
      <c r="C215" s="277" t="s">
        <v>458</v>
      </c>
      <c r="D215" s="277" t="s">
        <v>367</v>
      </c>
      <c r="E215" s="311" t="s">
        <v>419</v>
      </c>
      <c r="F215" s="312"/>
      <c r="G215" s="277" t="s">
        <v>665</v>
      </c>
      <c r="H215" s="296" t="s">
        <v>657</v>
      </c>
      <c r="I215" s="70" t="s">
        <v>255</v>
      </c>
      <c r="J215" s="313">
        <v>52</v>
      </c>
      <c r="K215" s="314">
        <f t="shared" si="34"/>
        <v>205</v>
      </c>
      <c r="L215" s="243">
        <v>205</v>
      </c>
      <c r="M215" s="243"/>
      <c r="N215" s="243"/>
      <c r="O215" s="243"/>
      <c r="P215" s="243"/>
      <c r="Q215" s="243"/>
      <c r="R215" s="242" t="e">
        <f>IF(L215="nio",0,IF(L215&gt;0,L215*J215/X215,0))*VLOOKUP(B215,'2-Kosten per locatie'!$A$14:$C$21,3,FALSE)</f>
        <v>#DIV/0!</v>
      </c>
      <c r="S215" s="242">
        <f>IF(M215&gt;0,M215*J215/Y215,0)*VLOOKUP(B215,'2-Kosten per locatie'!$A$14:$C$21,3,FALSE)</f>
        <v>0</v>
      </c>
      <c r="T215" s="242">
        <f>IF(N215&gt;0,N215*J215/Z215,0)*VLOOKUP(B215,'2-Kosten per locatie'!$A$14:$C$21,3,FALSE)</f>
        <v>0</v>
      </c>
      <c r="U215" s="242">
        <f>IF(O215&gt;0,O215*J215/AA215,0)*VLOOKUP(B215,'2-Kosten per locatie'!$A$14:$C$21,3,FALSE)</f>
        <v>0</v>
      </c>
      <c r="V215" s="242">
        <f>IF(P215&gt;0,P215*J215/Z215,0)*VLOOKUP(B215,'2-Kosten per locatie'!$A$14:$C$21,3,FALSE)</f>
        <v>0</v>
      </c>
      <c r="W215" s="242">
        <f>IF(Q215&gt;0,Q215*J215/AA215,0)*VLOOKUP(B215,'2-Kosten per locatie'!$A$14:$C$21,3,FALSE)</f>
        <v>0</v>
      </c>
      <c r="X215" s="315">
        <f>IF(L215="nio",0,IF(L215&gt;0,VLOOKUP(H215,'3-Productie normen'!A:K,VLOOKUP(L215,'3-Productie normen'!$B$36:$C$42,2,FALSE),FALSE)))</f>
        <v>0</v>
      </c>
      <c r="Y215" s="315">
        <f t="shared" si="30"/>
        <v>0</v>
      </c>
      <c r="Z215" s="315">
        <f t="shared" si="31"/>
        <v>0</v>
      </c>
      <c r="AA215" s="315">
        <f t="shared" si="32"/>
        <v>0</v>
      </c>
      <c r="AB215" s="316"/>
      <c r="AD215" s="317">
        <f t="shared" si="33"/>
        <v>10660</v>
      </c>
    </row>
    <row r="216" spans="1:30" ht="14.1" hidden="1" customHeight="1">
      <c r="A216" s="74">
        <v>216</v>
      </c>
      <c r="B216" s="277" t="s">
        <v>275</v>
      </c>
      <c r="C216" s="277" t="s">
        <v>458</v>
      </c>
      <c r="D216" s="277" t="s">
        <v>367</v>
      </c>
      <c r="E216" s="311" t="s">
        <v>419</v>
      </c>
      <c r="F216" s="312"/>
      <c r="G216" s="277" t="s">
        <v>666</v>
      </c>
      <c r="H216" s="296" t="s">
        <v>657</v>
      </c>
      <c r="I216" s="70" t="s">
        <v>255</v>
      </c>
      <c r="J216" s="313">
        <v>52</v>
      </c>
      <c r="K216" s="314">
        <f t="shared" si="34"/>
        <v>205</v>
      </c>
      <c r="L216" s="243">
        <v>205</v>
      </c>
      <c r="M216" s="243"/>
      <c r="N216" s="243"/>
      <c r="O216" s="243"/>
      <c r="P216" s="243"/>
      <c r="Q216" s="243"/>
      <c r="R216" s="242" t="e">
        <f>IF(L216="nio",0,IF(L216&gt;0,L216*J216/X216,0))*VLOOKUP(B216,'2-Kosten per locatie'!$A$14:$C$21,3,FALSE)</f>
        <v>#DIV/0!</v>
      </c>
      <c r="S216" s="242">
        <f>IF(M216&gt;0,M216*J216/Y216,0)*VLOOKUP(B216,'2-Kosten per locatie'!$A$14:$C$21,3,FALSE)</f>
        <v>0</v>
      </c>
      <c r="T216" s="242">
        <f>IF(N216&gt;0,N216*J216/Z216,0)*VLOOKUP(B216,'2-Kosten per locatie'!$A$14:$C$21,3,FALSE)</f>
        <v>0</v>
      </c>
      <c r="U216" s="242">
        <f>IF(O216&gt;0,O216*J216/AA216,0)*VLOOKUP(B216,'2-Kosten per locatie'!$A$14:$C$21,3,FALSE)</f>
        <v>0</v>
      </c>
      <c r="V216" s="242">
        <f>IF(P216&gt;0,P216*J216/Z216,0)*VLOOKUP(B216,'2-Kosten per locatie'!$A$14:$C$21,3,FALSE)</f>
        <v>0</v>
      </c>
      <c r="W216" s="242">
        <f>IF(Q216&gt;0,Q216*J216/AA216,0)*VLOOKUP(B216,'2-Kosten per locatie'!$A$14:$C$21,3,FALSE)</f>
        <v>0</v>
      </c>
      <c r="X216" s="315">
        <f>IF(L216="nio",0,IF(L216&gt;0,VLOOKUP(H216,'3-Productie normen'!A:K,VLOOKUP(L216,'3-Productie normen'!$B$36:$C$42,2,FALSE),FALSE)))</f>
        <v>0</v>
      </c>
      <c r="Y216" s="315">
        <f t="shared" si="30"/>
        <v>0</v>
      </c>
      <c r="Z216" s="315">
        <f t="shared" si="31"/>
        <v>0</v>
      </c>
      <c r="AA216" s="315">
        <f t="shared" si="32"/>
        <v>0</v>
      </c>
      <c r="AB216" s="316"/>
      <c r="AD216" s="317">
        <f t="shared" si="33"/>
        <v>10660</v>
      </c>
    </row>
    <row r="217" spans="1:30" ht="14.1" hidden="1" customHeight="1">
      <c r="A217" s="74">
        <v>217</v>
      </c>
      <c r="B217" s="277" t="s">
        <v>275</v>
      </c>
      <c r="C217" s="277" t="s">
        <v>458</v>
      </c>
      <c r="D217" s="277" t="s">
        <v>367</v>
      </c>
      <c r="E217" s="311" t="s">
        <v>419</v>
      </c>
      <c r="F217" s="312"/>
      <c r="G217" s="277" t="s">
        <v>670</v>
      </c>
      <c r="H217" s="277" t="s">
        <v>59</v>
      </c>
      <c r="I217" s="70" t="s">
        <v>292</v>
      </c>
      <c r="J217" s="313">
        <v>76</v>
      </c>
      <c r="K217" s="314">
        <f t="shared" si="34"/>
        <v>205</v>
      </c>
      <c r="L217" s="243">
        <v>205</v>
      </c>
      <c r="M217" s="243"/>
      <c r="N217" s="243"/>
      <c r="O217" s="243"/>
      <c r="P217" s="243"/>
      <c r="Q217" s="243"/>
      <c r="R217" s="242" t="e">
        <f>IF(L217="nio",0,IF(L217&gt;0,L217*J217/X217,0))*VLOOKUP(B217,'2-Kosten per locatie'!$A$14:$C$21,3,FALSE)</f>
        <v>#DIV/0!</v>
      </c>
      <c r="S217" s="242">
        <f>IF(M217&gt;0,M217*J217/Y217,0)*VLOOKUP(B217,'2-Kosten per locatie'!$A$14:$C$21,3,FALSE)</f>
        <v>0</v>
      </c>
      <c r="T217" s="242">
        <f>IF(N217&gt;0,N217*J217/Z217,0)*VLOOKUP(B217,'2-Kosten per locatie'!$A$14:$C$21,3,FALSE)</f>
        <v>0</v>
      </c>
      <c r="U217" s="242">
        <f>IF(O217&gt;0,O217*J217/AA217,0)*VLOOKUP(B217,'2-Kosten per locatie'!$A$14:$C$21,3,FALSE)</f>
        <v>0</v>
      </c>
      <c r="V217" s="242">
        <f>IF(P217&gt;0,P217*J217/Z217,0)*VLOOKUP(B217,'2-Kosten per locatie'!$A$14:$C$21,3,FALSE)</f>
        <v>0</v>
      </c>
      <c r="W217" s="242">
        <f>IF(Q217&gt;0,Q217*J217/AA217,0)*VLOOKUP(B217,'2-Kosten per locatie'!$A$14:$C$21,3,FALSE)</f>
        <v>0</v>
      </c>
      <c r="X217" s="315">
        <f>IF(L217="nio",0,IF(L217&gt;0,VLOOKUP(H217,'3-Productie normen'!A:K,VLOOKUP(L217,'3-Productie normen'!$B$36:$C$42,2,FALSE),FALSE)))</f>
        <v>0</v>
      </c>
      <c r="Y217" s="315">
        <f t="shared" ref="Y217:Y248" si="35">IF(M217&gt;0,X217*$Y$8,0)</f>
        <v>0</v>
      </c>
      <c r="Z217" s="315">
        <f t="shared" ref="Z217:Z248" si="36">IF((OR(N217&gt;0,P217&gt;0)),X217*$Z$8,0)</f>
        <v>0</v>
      </c>
      <c r="AA217" s="315">
        <f t="shared" ref="AA217:AA248" si="37">IF((OR(O217&gt;0,Q217&gt;0)),X217*$AA$8,0)</f>
        <v>0</v>
      </c>
      <c r="AB217" s="316"/>
      <c r="AD217" s="317">
        <f t="shared" ref="AD217:AD248" si="38">K217*J217</f>
        <v>15580</v>
      </c>
    </row>
    <row r="218" spans="1:30" ht="14.1" hidden="1" customHeight="1">
      <c r="A218" s="74">
        <v>218</v>
      </c>
      <c r="B218" s="277" t="s">
        <v>275</v>
      </c>
      <c r="C218" s="277" t="s">
        <v>458</v>
      </c>
      <c r="D218" s="277" t="s">
        <v>367</v>
      </c>
      <c r="E218" s="311">
        <v>1</v>
      </c>
      <c r="F218" s="312"/>
      <c r="G218" s="277" t="s">
        <v>259</v>
      </c>
      <c r="H218" s="277" t="s">
        <v>52</v>
      </c>
      <c r="I218" s="70" t="s">
        <v>334</v>
      </c>
      <c r="J218" s="313">
        <v>2.5</v>
      </c>
      <c r="K218" s="314">
        <f t="shared" si="34"/>
        <v>255</v>
      </c>
      <c r="L218" s="243">
        <v>255</v>
      </c>
      <c r="M218" s="243"/>
      <c r="N218" s="243"/>
      <c r="O218" s="243"/>
      <c r="P218" s="243"/>
      <c r="Q218" s="243"/>
      <c r="R218" s="242" t="e">
        <f>IF(L218="nio",0,IF(L218&gt;0,L218*J218/X218,0))*VLOOKUP(B218,'2-Kosten per locatie'!$A$14:$C$21,3,FALSE)</f>
        <v>#DIV/0!</v>
      </c>
      <c r="S218" s="242">
        <f>IF(M218&gt;0,M218*J218/Y218,0)*VLOOKUP(B218,'2-Kosten per locatie'!$A$14:$C$21,3,FALSE)</f>
        <v>0</v>
      </c>
      <c r="T218" s="242">
        <f>IF(N218&gt;0,N218*J218/Z218,0)*VLOOKUP(B218,'2-Kosten per locatie'!$A$14:$C$21,3,FALSE)</f>
        <v>0</v>
      </c>
      <c r="U218" s="242">
        <f>IF(O218&gt;0,O218*J218/AA218,0)*VLOOKUP(B218,'2-Kosten per locatie'!$A$14:$C$21,3,FALSE)</f>
        <v>0</v>
      </c>
      <c r="V218" s="242">
        <f>IF(P218&gt;0,P218*J218/Z218,0)*VLOOKUP(B218,'2-Kosten per locatie'!$A$14:$C$21,3,FALSE)</f>
        <v>0</v>
      </c>
      <c r="W218" s="242">
        <f>IF(Q218&gt;0,Q218*J218/AA218,0)*VLOOKUP(B218,'2-Kosten per locatie'!$A$14:$C$21,3,FALSE)</f>
        <v>0</v>
      </c>
      <c r="X218" s="315">
        <f>IF(L218="nio",0,IF(L218&gt;0,VLOOKUP(H218,'3-Productie normen'!A:K,VLOOKUP(L218,'3-Productie normen'!$B$36:$C$42,2,FALSE),FALSE)))</f>
        <v>0</v>
      </c>
      <c r="Y218" s="315">
        <f t="shared" si="35"/>
        <v>0</v>
      </c>
      <c r="Z218" s="315">
        <f t="shared" si="36"/>
        <v>0</v>
      </c>
      <c r="AA218" s="315">
        <f t="shared" si="37"/>
        <v>0</v>
      </c>
      <c r="AB218" s="316"/>
      <c r="AD218" s="317">
        <f t="shared" si="38"/>
        <v>637.5</v>
      </c>
    </row>
    <row r="219" spans="1:30" ht="14.1" hidden="1" customHeight="1">
      <c r="A219" s="74">
        <v>219</v>
      </c>
      <c r="B219" s="277" t="s">
        <v>275</v>
      </c>
      <c r="C219" s="277" t="s">
        <v>458</v>
      </c>
      <c r="D219" s="277" t="s">
        <v>367</v>
      </c>
      <c r="E219" s="311">
        <v>1</v>
      </c>
      <c r="F219" s="312"/>
      <c r="G219" s="70" t="s">
        <v>243</v>
      </c>
      <c r="H219" s="70" t="s">
        <v>52</v>
      </c>
      <c r="I219" s="70" t="s">
        <v>334</v>
      </c>
      <c r="J219" s="313">
        <v>2.5</v>
      </c>
      <c r="K219" s="314">
        <f t="shared" si="34"/>
        <v>255</v>
      </c>
      <c r="L219" s="243">
        <v>255</v>
      </c>
      <c r="M219" s="243"/>
      <c r="N219" s="243"/>
      <c r="O219" s="243"/>
      <c r="P219" s="243"/>
      <c r="Q219" s="243"/>
      <c r="R219" s="242" t="e">
        <f>IF(L219="nio",0,IF(L219&gt;0,L219*J219/X219,0))*VLOOKUP(B219,'2-Kosten per locatie'!$A$14:$C$21,3,FALSE)</f>
        <v>#DIV/0!</v>
      </c>
      <c r="S219" s="242">
        <f>IF(M219&gt;0,M219*J219/Y219,0)*VLOOKUP(B219,'2-Kosten per locatie'!$A$14:$C$21,3,FALSE)</f>
        <v>0</v>
      </c>
      <c r="T219" s="242">
        <f>IF(N219&gt;0,N219*J219/Z219,0)*VLOOKUP(B219,'2-Kosten per locatie'!$A$14:$C$21,3,FALSE)</f>
        <v>0</v>
      </c>
      <c r="U219" s="242">
        <f>IF(O219&gt;0,O219*J219/AA219,0)*VLOOKUP(B219,'2-Kosten per locatie'!$A$14:$C$21,3,FALSE)</f>
        <v>0</v>
      </c>
      <c r="V219" s="242">
        <f>IF(P219&gt;0,P219*J219/Z219,0)*VLOOKUP(B219,'2-Kosten per locatie'!$A$14:$C$21,3,FALSE)</f>
        <v>0</v>
      </c>
      <c r="W219" s="242">
        <f>IF(Q219&gt;0,Q219*J219/AA219,0)*VLOOKUP(B219,'2-Kosten per locatie'!$A$14:$C$21,3,FALSE)</f>
        <v>0</v>
      </c>
      <c r="X219" s="315">
        <f>IF(L219="nio",0,IF(L219&gt;0,VLOOKUP(H219,'3-Productie normen'!A:K,VLOOKUP(L219,'3-Productie normen'!$B$36:$C$42,2,FALSE),FALSE)))</f>
        <v>0</v>
      </c>
      <c r="Y219" s="315">
        <f t="shared" si="35"/>
        <v>0</v>
      </c>
      <c r="Z219" s="315">
        <f t="shared" si="36"/>
        <v>0</v>
      </c>
      <c r="AA219" s="315">
        <f t="shared" si="37"/>
        <v>0</v>
      </c>
      <c r="AB219" s="316"/>
      <c r="AD219" s="317">
        <f t="shared" si="38"/>
        <v>637.5</v>
      </c>
    </row>
    <row r="220" spans="1:30" ht="14.1" hidden="1" customHeight="1">
      <c r="A220" s="74">
        <v>220</v>
      </c>
      <c r="B220" s="277" t="s">
        <v>275</v>
      </c>
      <c r="C220" s="277" t="s">
        <v>458</v>
      </c>
      <c r="D220" s="277" t="s">
        <v>367</v>
      </c>
      <c r="E220" s="311">
        <v>1</v>
      </c>
      <c r="F220" s="312"/>
      <c r="G220" s="70" t="s">
        <v>508</v>
      </c>
      <c r="H220" s="70" t="s">
        <v>53</v>
      </c>
      <c r="I220" s="318" t="s">
        <v>96</v>
      </c>
      <c r="J220" s="313">
        <v>22</v>
      </c>
      <c r="K220" s="314">
        <f t="shared" si="34"/>
        <v>255</v>
      </c>
      <c r="L220" s="243">
        <v>255</v>
      </c>
      <c r="M220" s="243"/>
      <c r="N220" s="243"/>
      <c r="O220" s="243"/>
      <c r="P220" s="243"/>
      <c r="Q220" s="243"/>
      <c r="R220" s="242" t="e">
        <f>IF(L220="nio",0,IF(L220&gt;0,L220*J220/X220,0))*VLOOKUP(B220,'2-Kosten per locatie'!$A$14:$C$21,3,FALSE)</f>
        <v>#DIV/0!</v>
      </c>
      <c r="S220" s="242">
        <f>IF(M220&gt;0,M220*J220/Y220,0)*VLOOKUP(B220,'2-Kosten per locatie'!$A$14:$C$21,3,FALSE)</f>
        <v>0</v>
      </c>
      <c r="T220" s="242">
        <f>IF(N220&gt;0,N220*J220/Z220,0)*VLOOKUP(B220,'2-Kosten per locatie'!$A$14:$C$21,3,FALSE)</f>
        <v>0</v>
      </c>
      <c r="U220" s="242">
        <f>IF(O220&gt;0,O220*J220/AA220,0)*VLOOKUP(B220,'2-Kosten per locatie'!$A$14:$C$21,3,FALSE)</f>
        <v>0</v>
      </c>
      <c r="V220" s="242">
        <f>IF(P220&gt;0,P220*J220/Z220,0)*VLOOKUP(B220,'2-Kosten per locatie'!$A$14:$C$21,3,FALSE)</f>
        <v>0</v>
      </c>
      <c r="W220" s="242">
        <f>IF(Q220&gt;0,Q220*J220/AA220,0)*VLOOKUP(B220,'2-Kosten per locatie'!$A$14:$C$21,3,FALSE)</f>
        <v>0</v>
      </c>
      <c r="X220" s="315">
        <f>IF(L220="nio",0,IF(L220&gt;0,VLOOKUP(H220,'3-Productie normen'!A:K,VLOOKUP(L220,'3-Productie normen'!$B$36:$C$42,2,FALSE),FALSE)))</f>
        <v>0</v>
      </c>
      <c r="Y220" s="315">
        <f t="shared" si="35"/>
        <v>0</v>
      </c>
      <c r="Z220" s="315">
        <f t="shared" si="36"/>
        <v>0</v>
      </c>
      <c r="AA220" s="315">
        <f t="shared" si="37"/>
        <v>0</v>
      </c>
      <c r="AB220" s="316"/>
      <c r="AD220" s="317">
        <f t="shared" si="38"/>
        <v>5610</v>
      </c>
    </row>
    <row r="221" spans="1:30" ht="14.1" hidden="1" customHeight="1">
      <c r="A221" s="74">
        <v>221</v>
      </c>
      <c r="B221" s="277" t="s">
        <v>275</v>
      </c>
      <c r="C221" s="277" t="s">
        <v>458</v>
      </c>
      <c r="D221" s="277" t="s">
        <v>367</v>
      </c>
      <c r="E221" s="311">
        <v>1</v>
      </c>
      <c r="F221" s="312"/>
      <c r="G221" s="70" t="s">
        <v>514</v>
      </c>
      <c r="H221" s="293" t="s">
        <v>57</v>
      </c>
      <c r="I221" s="318" t="s">
        <v>96</v>
      </c>
      <c r="J221" s="313">
        <v>12</v>
      </c>
      <c r="K221" s="314">
        <f t="shared" si="34"/>
        <v>255</v>
      </c>
      <c r="L221" s="243">
        <v>255</v>
      </c>
      <c r="M221" s="243"/>
      <c r="N221" s="243"/>
      <c r="O221" s="243"/>
      <c r="P221" s="243"/>
      <c r="Q221" s="243"/>
      <c r="R221" s="242" t="e">
        <f>IF(L221="nio",0,IF(L221&gt;0,L221*J221/X221,0))*VLOOKUP(B221,'2-Kosten per locatie'!$A$14:$C$21,3,FALSE)</f>
        <v>#DIV/0!</v>
      </c>
      <c r="S221" s="242">
        <f>IF(M221&gt;0,M221*J221/Y221,0)*VLOOKUP(B221,'2-Kosten per locatie'!$A$14:$C$21,3,FALSE)</f>
        <v>0</v>
      </c>
      <c r="T221" s="242">
        <f>IF(N221&gt;0,N221*J221/Z221,0)*VLOOKUP(B221,'2-Kosten per locatie'!$A$14:$C$21,3,FALSE)</f>
        <v>0</v>
      </c>
      <c r="U221" s="242">
        <f>IF(O221&gt;0,O221*J221/AA221,0)*VLOOKUP(B221,'2-Kosten per locatie'!$A$14:$C$21,3,FALSE)</f>
        <v>0</v>
      </c>
      <c r="V221" s="242">
        <f>IF(P221&gt;0,P221*J221/Z221,0)*VLOOKUP(B221,'2-Kosten per locatie'!$A$14:$C$21,3,FALSE)</f>
        <v>0</v>
      </c>
      <c r="W221" s="242">
        <f>IF(Q221&gt;0,Q221*J221/AA221,0)*VLOOKUP(B221,'2-Kosten per locatie'!$A$14:$C$21,3,FALSE)</f>
        <v>0</v>
      </c>
      <c r="X221" s="315">
        <f>IF(L221="nio",0,IF(L221&gt;0,VLOOKUP(H221,'3-Productie normen'!A:K,VLOOKUP(L221,'3-Productie normen'!$B$36:$C$42,2,FALSE),FALSE)))</f>
        <v>0</v>
      </c>
      <c r="Y221" s="315">
        <f t="shared" si="35"/>
        <v>0</v>
      </c>
      <c r="Z221" s="315">
        <f t="shared" si="36"/>
        <v>0</v>
      </c>
      <c r="AA221" s="315">
        <f t="shared" si="37"/>
        <v>0</v>
      </c>
      <c r="AB221" s="316"/>
      <c r="AD221" s="317">
        <f t="shared" si="38"/>
        <v>3060</v>
      </c>
    </row>
    <row r="222" spans="1:30" ht="14.1" hidden="1" customHeight="1">
      <c r="A222" s="74">
        <v>222</v>
      </c>
      <c r="B222" s="277" t="s">
        <v>275</v>
      </c>
      <c r="C222" s="277" t="s">
        <v>458</v>
      </c>
      <c r="D222" s="277" t="s">
        <v>367</v>
      </c>
      <c r="E222" s="311">
        <v>1</v>
      </c>
      <c r="F222" s="312"/>
      <c r="G222" s="70" t="s">
        <v>242</v>
      </c>
      <c r="H222" s="70" t="s">
        <v>51</v>
      </c>
      <c r="I222" s="318" t="s">
        <v>96</v>
      </c>
      <c r="J222" s="313">
        <v>8</v>
      </c>
      <c r="K222" s="314">
        <f t="shared" si="34"/>
        <v>255</v>
      </c>
      <c r="L222" s="243">
        <v>255</v>
      </c>
      <c r="M222" s="243"/>
      <c r="N222" s="243"/>
      <c r="O222" s="243"/>
      <c r="P222" s="243"/>
      <c r="Q222" s="243"/>
      <c r="R222" s="242" t="e">
        <f>IF(L222="nio",0,IF(L222&gt;0,L222*J222/X222,0))*VLOOKUP(B222,'2-Kosten per locatie'!$A$14:$C$21,3,FALSE)</f>
        <v>#DIV/0!</v>
      </c>
      <c r="S222" s="242">
        <f>IF(M222&gt;0,M222*J222/Y222,0)*VLOOKUP(B222,'2-Kosten per locatie'!$A$14:$C$21,3,FALSE)</f>
        <v>0</v>
      </c>
      <c r="T222" s="242">
        <f>IF(N222&gt;0,N222*J222/Z222,0)*VLOOKUP(B222,'2-Kosten per locatie'!$A$14:$C$21,3,FALSE)</f>
        <v>0</v>
      </c>
      <c r="U222" s="242">
        <f>IF(O222&gt;0,O222*J222/AA222,0)*VLOOKUP(B222,'2-Kosten per locatie'!$A$14:$C$21,3,FALSE)</f>
        <v>0</v>
      </c>
      <c r="V222" s="242">
        <f>IF(P222&gt;0,P222*J222/Z222,0)*VLOOKUP(B222,'2-Kosten per locatie'!$A$14:$C$21,3,FALSE)</f>
        <v>0</v>
      </c>
      <c r="W222" s="242">
        <f>IF(Q222&gt;0,Q222*J222/AA222,0)*VLOOKUP(B222,'2-Kosten per locatie'!$A$14:$C$21,3,FALSE)</f>
        <v>0</v>
      </c>
      <c r="X222" s="315">
        <f>IF(L222="nio",0,IF(L222&gt;0,VLOOKUP(H222,'3-Productie normen'!A:K,VLOOKUP(L222,'3-Productie normen'!$B$36:$C$42,2,FALSE),FALSE)))</f>
        <v>0</v>
      </c>
      <c r="Y222" s="315">
        <f t="shared" si="35"/>
        <v>0</v>
      </c>
      <c r="Z222" s="315">
        <f t="shared" si="36"/>
        <v>0</v>
      </c>
      <c r="AA222" s="315">
        <f t="shared" si="37"/>
        <v>0</v>
      </c>
      <c r="AB222" s="316"/>
      <c r="AD222" s="317">
        <f t="shared" si="38"/>
        <v>2040</v>
      </c>
    </row>
    <row r="223" spans="1:30" ht="14.1" hidden="1" customHeight="1">
      <c r="A223" s="74">
        <v>223</v>
      </c>
      <c r="B223" s="277" t="s">
        <v>275</v>
      </c>
      <c r="C223" s="277" t="s">
        <v>458</v>
      </c>
      <c r="D223" s="277" t="s">
        <v>367</v>
      </c>
      <c r="E223" s="311">
        <v>1</v>
      </c>
      <c r="F223" s="312"/>
      <c r="G223" s="70" t="s">
        <v>242</v>
      </c>
      <c r="H223" s="320" t="s">
        <v>51</v>
      </c>
      <c r="I223" s="318" t="s">
        <v>96</v>
      </c>
      <c r="J223" s="313">
        <v>8</v>
      </c>
      <c r="K223" s="314">
        <f t="shared" si="34"/>
        <v>255</v>
      </c>
      <c r="L223" s="243">
        <v>255</v>
      </c>
      <c r="M223" s="243"/>
      <c r="N223" s="243"/>
      <c r="O223" s="243"/>
      <c r="P223" s="243"/>
      <c r="Q223" s="243"/>
      <c r="R223" s="242" t="e">
        <f>IF(L223="nio",0,IF(L223&gt;0,L223*J223/X223,0))*VLOOKUP(B223,'2-Kosten per locatie'!$A$14:$C$21,3,FALSE)</f>
        <v>#DIV/0!</v>
      </c>
      <c r="S223" s="242">
        <f>IF(M223&gt;0,M223*J223/Y223,0)*VLOOKUP(B223,'2-Kosten per locatie'!$A$14:$C$21,3,FALSE)</f>
        <v>0</v>
      </c>
      <c r="T223" s="242">
        <f>IF(N223&gt;0,N223*J223/Z223,0)*VLOOKUP(B223,'2-Kosten per locatie'!$A$14:$C$21,3,FALSE)</f>
        <v>0</v>
      </c>
      <c r="U223" s="242">
        <f>IF(O223&gt;0,O223*J223/AA223,0)*VLOOKUP(B223,'2-Kosten per locatie'!$A$14:$C$21,3,FALSE)</f>
        <v>0</v>
      </c>
      <c r="V223" s="242">
        <f>IF(P223&gt;0,P223*J223/Z223,0)*VLOOKUP(B223,'2-Kosten per locatie'!$A$14:$C$21,3,FALSE)</f>
        <v>0</v>
      </c>
      <c r="W223" s="242">
        <f>IF(Q223&gt;0,Q223*J223/AA223,0)*VLOOKUP(B223,'2-Kosten per locatie'!$A$14:$C$21,3,FALSE)</f>
        <v>0</v>
      </c>
      <c r="X223" s="315">
        <f>IF(L223="nio",0,IF(L223&gt;0,VLOOKUP(H223,'3-Productie normen'!A:K,VLOOKUP(L223,'3-Productie normen'!$B$36:$C$42,2,FALSE),FALSE)))</f>
        <v>0</v>
      </c>
      <c r="Y223" s="315">
        <f t="shared" si="35"/>
        <v>0</v>
      </c>
      <c r="Z223" s="315">
        <f t="shared" si="36"/>
        <v>0</v>
      </c>
      <c r="AA223" s="315">
        <f t="shared" si="37"/>
        <v>0</v>
      </c>
      <c r="AB223" s="316"/>
      <c r="AD223" s="317">
        <f t="shared" si="38"/>
        <v>2040</v>
      </c>
    </row>
    <row r="224" spans="1:30" ht="14.1" hidden="1" customHeight="1">
      <c r="A224" s="74">
        <v>224</v>
      </c>
      <c r="B224" s="277" t="s">
        <v>275</v>
      </c>
      <c r="C224" s="277" t="s">
        <v>458</v>
      </c>
      <c r="D224" s="277" t="s">
        <v>367</v>
      </c>
      <c r="E224" s="311">
        <v>1</v>
      </c>
      <c r="F224" s="312"/>
      <c r="G224" s="70" t="s">
        <v>242</v>
      </c>
      <c r="H224" s="70" t="s">
        <v>51</v>
      </c>
      <c r="I224" s="318" t="s">
        <v>96</v>
      </c>
      <c r="J224" s="313">
        <v>35</v>
      </c>
      <c r="K224" s="314">
        <f t="shared" si="34"/>
        <v>255</v>
      </c>
      <c r="L224" s="243">
        <v>255</v>
      </c>
      <c r="M224" s="243"/>
      <c r="N224" s="243"/>
      <c r="O224" s="243"/>
      <c r="P224" s="243"/>
      <c r="Q224" s="243"/>
      <c r="R224" s="242" t="e">
        <f>IF(L224="nio",0,IF(L224&gt;0,L224*J224/X224,0))*VLOOKUP(B224,'2-Kosten per locatie'!$A$14:$C$21,3,FALSE)</f>
        <v>#DIV/0!</v>
      </c>
      <c r="S224" s="242">
        <f>IF(M224&gt;0,M224*J224/Y224,0)*VLOOKUP(B224,'2-Kosten per locatie'!$A$14:$C$21,3,FALSE)</f>
        <v>0</v>
      </c>
      <c r="T224" s="242">
        <f>IF(N224&gt;0,N224*J224/Z224,0)*VLOOKUP(B224,'2-Kosten per locatie'!$A$14:$C$21,3,FALSE)</f>
        <v>0</v>
      </c>
      <c r="U224" s="242">
        <f>IF(O224&gt;0,O224*J224/AA224,0)*VLOOKUP(B224,'2-Kosten per locatie'!$A$14:$C$21,3,FALSE)</f>
        <v>0</v>
      </c>
      <c r="V224" s="242">
        <f>IF(P224&gt;0,P224*J224/Z224,0)*VLOOKUP(B224,'2-Kosten per locatie'!$A$14:$C$21,3,FALSE)</f>
        <v>0</v>
      </c>
      <c r="W224" s="242">
        <f>IF(Q224&gt;0,Q224*J224/AA224,0)*VLOOKUP(B224,'2-Kosten per locatie'!$A$14:$C$21,3,FALSE)</f>
        <v>0</v>
      </c>
      <c r="X224" s="315">
        <f>IF(L224="nio",0,IF(L224&gt;0,VLOOKUP(H224,'3-Productie normen'!A:K,VLOOKUP(L224,'3-Productie normen'!$B$36:$C$42,2,FALSE),FALSE)))</f>
        <v>0</v>
      </c>
      <c r="Y224" s="315">
        <f t="shared" si="35"/>
        <v>0</v>
      </c>
      <c r="Z224" s="315">
        <f t="shared" si="36"/>
        <v>0</v>
      </c>
      <c r="AA224" s="315">
        <f t="shared" si="37"/>
        <v>0</v>
      </c>
      <c r="AB224" s="316"/>
      <c r="AD224" s="317">
        <f t="shared" si="38"/>
        <v>8925</v>
      </c>
    </row>
    <row r="225" spans="1:30" ht="14.1" hidden="1" customHeight="1">
      <c r="A225" s="74">
        <v>225</v>
      </c>
      <c r="B225" s="277" t="s">
        <v>275</v>
      </c>
      <c r="C225" s="277" t="s">
        <v>458</v>
      </c>
      <c r="D225" s="277" t="s">
        <v>367</v>
      </c>
      <c r="E225" s="311">
        <v>1</v>
      </c>
      <c r="F225" s="239"/>
      <c r="G225" s="84" t="s">
        <v>432</v>
      </c>
      <c r="H225" s="84" t="s">
        <v>411</v>
      </c>
      <c r="I225" s="70"/>
      <c r="J225" s="313">
        <v>1.5</v>
      </c>
      <c r="K225" s="314">
        <f t="shared" si="34"/>
        <v>0</v>
      </c>
      <c r="L225" s="243" t="s">
        <v>412</v>
      </c>
      <c r="M225" s="243"/>
      <c r="N225" s="243"/>
      <c r="O225" s="243"/>
      <c r="P225" s="243"/>
      <c r="Q225" s="243"/>
      <c r="R225" s="242">
        <f>IF(L225="nio",0,IF(L225&gt;0,L225*J225/X225,0))*VLOOKUP(B225,'2-Kosten per locatie'!$A$14:$C$21,3,FALSE)</f>
        <v>0</v>
      </c>
      <c r="S225" s="242">
        <f>IF(M225&gt;0,M225*J225/Y225,0)*VLOOKUP(B225,'2-Kosten per locatie'!$A$14:$C$21,3,FALSE)</f>
        <v>0</v>
      </c>
      <c r="T225" s="242">
        <f>IF(N225&gt;0,N225*J225/Z225,0)*VLOOKUP(B225,'2-Kosten per locatie'!$A$14:$C$21,3,FALSE)</f>
        <v>0</v>
      </c>
      <c r="U225" s="242">
        <f>IF(O225&gt;0,O225*J225/AA225,0)*VLOOKUP(B225,'2-Kosten per locatie'!$A$14:$C$21,3,FALSE)</f>
        <v>0</v>
      </c>
      <c r="V225" s="242">
        <f>IF(P225&gt;0,P225*J225/Z225,0)*VLOOKUP(B225,'2-Kosten per locatie'!$A$14:$C$21,3,FALSE)</f>
        <v>0</v>
      </c>
      <c r="W225" s="242">
        <f>IF(Q225&gt;0,Q225*J225/AA225,0)*VLOOKUP(B225,'2-Kosten per locatie'!$A$14:$C$21,3,FALSE)</f>
        <v>0</v>
      </c>
      <c r="X225" s="315">
        <f>IF(L225="nio",0,IF(L225&gt;0,VLOOKUP(H225,'3-Productie normen'!A:K,VLOOKUP(L225,'3-Productie normen'!$B$36:$C$42,2,FALSE),FALSE)))</f>
        <v>0</v>
      </c>
      <c r="Y225" s="315">
        <f t="shared" si="35"/>
        <v>0</v>
      </c>
      <c r="Z225" s="315">
        <f t="shared" si="36"/>
        <v>0</v>
      </c>
      <c r="AA225" s="315">
        <f t="shared" si="37"/>
        <v>0</v>
      </c>
      <c r="AB225" s="316"/>
      <c r="AD225" s="317">
        <f t="shared" si="38"/>
        <v>0</v>
      </c>
    </row>
    <row r="226" spans="1:30" ht="13.2" hidden="1">
      <c r="A226" s="74">
        <v>226</v>
      </c>
      <c r="B226" s="277" t="s">
        <v>275</v>
      </c>
      <c r="C226" s="277" t="s">
        <v>458</v>
      </c>
      <c r="D226" s="277" t="s">
        <v>367</v>
      </c>
      <c r="E226" s="311">
        <v>1</v>
      </c>
      <c r="F226" s="239"/>
      <c r="G226" s="277" t="s">
        <v>263</v>
      </c>
      <c r="H226" s="277" t="s">
        <v>52</v>
      </c>
      <c r="I226" s="70" t="s">
        <v>334</v>
      </c>
      <c r="J226" s="313">
        <v>16.399999999999999</v>
      </c>
      <c r="K226" s="314">
        <f t="shared" si="34"/>
        <v>205</v>
      </c>
      <c r="L226" s="243">
        <v>205</v>
      </c>
      <c r="M226" s="243"/>
      <c r="N226" s="243"/>
      <c r="O226" s="243"/>
      <c r="P226" s="243"/>
      <c r="Q226" s="243"/>
      <c r="R226" s="242" t="e">
        <f>IF(L226="nio",0,IF(L226&gt;0,L226*J226/X226,0))*VLOOKUP(B226,'2-Kosten per locatie'!$A$14:$C$21,3,FALSE)</f>
        <v>#DIV/0!</v>
      </c>
      <c r="S226" s="242">
        <f>IF(M226&gt;0,M226*J226/Y226,0)*VLOOKUP(B226,'2-Kosten per locatie'!$A$14:$C$21,3,FALSE)</f>
        <v>0</v>
      </c>
      <c r="T226" s="242">
        <f>IF(N226&gt;0,N226*J226/Z226,0)*VLOOKUP(B226,'2-Kosten per locatie'!$A$14:$C$21,3,FALSE)</f>
        <v>0</v>
      </c>
      <c r="U226" s="242">
        <f>IF(O226&gt;0,O226*J226/AA226,0)*VLOOKUP(B226,'2-Kosten per locatie'!$A$14:$C$21,3,FALSE)</f>
        <v>0</v>
      </c>
      <c r="V226" s="242">
        <f>IF(P226&gt;0,P226*J226/Z226,0)*VLOOKUP(B226,'2-Kosten per locatie'!$A$14:$C$21,3,FALSE)</f>
        <v>0</v>
      </c>
      <c r="W226" s="242">
        <f>IF(Q226&gt;0,Q226*J226/AA226,0)*VLOOKUP(B226,'2-Kosten per locatie'!$A$14:$C$21,3,FALSE)</f>
        <v>0</v>
      </c>
      <c r="X226" s="315">
        <f>IF(L226="nio",0,IF(L226&gt;0,VLOOKUP(H226,'3-Productie normen'!A:K,VLOOKUP(L226,'3-Productie normen'!$B$36:$C$42,2,FALSE),FALSE)))</f>
        <v>0</v>
      </c>
      <c r="Y226" s="315">
        <f t="shared" si="35"/>
        <v>0</v>
      </c>
      <c r="Z226" s="315">
        <f t="shared" si="36"/>
        <v>0</v>
      </c>
      <c r="AA226" s="315">
        <f t="shared" si="37"/>
        <v>0</v>
      </c>
      <c r="AB226" s="316"/>
      <c r="AD226" s="317">
        <f t="shared" si="38"/>
        <v>3361.9999999999995</v>
      </c>
    </row>
    <row r="227" spans="1:30" ht="13.2" hidden="1">
      <c r="A227" s="74">
        <v>227</v>
      </c>
      <c r="B227" s="277" t="s">
        <v>275</v>
      </c>
      <c r="C227" s="277" t="s">
        <v>458</v>
      </c>
      <c r="D227" s="277" t="s">
        <v>367</v>
      </c>
      <c r="E227" s="311">
        <v>1</v>
      </c>
      <c r="F227" s="239"/>
      <c r="G227" s="277" t="s">
        <v>239</v>
      </c>
      <c r="H227" s="277" t="s">
        <v>239</v>
      </c>
      <c r="I227" s="70" t="s">
        <v>255</v>
      </c>
      <c r="J227" s="313">
        <v>3</v>
      </c>
      <c r="K227" s="314">
        <f t="shared" si="34"/>
        <v>0</v>
      </c>
      <c r="L227" s="243" t="s">
        <v>412</v>
      </c>
      <c r="M227" s="243"/>
      <c r="N227" s="243"/>
      <c r="O227" s="243"/>
      <c r="P227" s="243"/>
      <c r="Q227" s="243"/>
      <c r="R227" s="242">
        <f>IF(L227="nio",0,IF(L227&gt;0,L227*J227/X227,0))*VLOOKUP(B227,'2-Kosten per locatie'!$A$14:$C$21,3,FALSE)</f>
        <v>0</v>
      </c>
      <c r="S227" s="242">
        <f>IF(M227&gt;0,M227*J227/Y227,0)*VLOOKUP(B227,'2-Kosten per locatie'!$A$14:$C$21,3,FALSE)</f>
        <v>0</v>
      </c>
      <c r="T227" s="242">
        <f>IF(N227&gt;0,N227*J227/Z227,0)*VLOOKUP(B227,'2-Kosten per locatie'!$A$14:$C$21,3,FALSE)</f>
        <v>0</v>
      </c>
      <c r="U227" s="242">
        <f>IF(O227&gt;0,O227*J227/AA227,0)*VLOOKUP(B227,'2-Kosten per locatie'!$A$14:$C$21,3,FALSE)</f>
        <v>0</v>
      </c>
      <c r="V227" s="242">
        <f>IF(P227&gt;0,P227*J227/Z227,0)*VLOOKUP(B227,'2-Kosten per locatie'!$A$14:$C$21,3,FALSE)</f>
        <v>0</v>
      </c>
      <c r="W227" s="242">
        <f>IF(Q227&gt;0,Q227*J227/AA227,0)*VLOOKUP(B227,'2-Kosten per locatie'!$A$14:$C$21,3,FALSE)</f>
        <v>0</v>
      </c>
      <c r="X227" s="315">
        <f>IF(L227="nio",0,IF(L227&gt;0,VLOOKUP(H227,'3-Productie normen'!A:K,VLOOKUP(L227,'3-Productie normen'!$B$36:$C$42,2,FALSE),FALSE)))</f>
        <v>0</v>
      </c>
      <c r="Y227" s="315">
        <f t="shared" si="35"/>
        <v>0</v>
      </c>
      <c r="Z227" s="315">
        <f t="shared" si="36"/>
        <v>0</v>
      </c>
      <c r="AA227" s="315">
        <f t="shared" si="37"/>
        <v>0</v>
      </c>
      <c r="AB227" s="316"/>
      <c r="AD227" s="317">
        <f t="shared" si="38"/>
        <v>0</v>
      </c>
    </row>
    <row r="228" spans="1:30" ht="13.2" hidden="1">
      <c r="A228" s="74">
        <v>228</v>
      </c>
      <c r="B228" s="277" t="s">
        <v>275</v>
      </c>
      <c r="C228" s="277" t="s">
        <v>458</v>
      </c>
      <c r="D228" s="277" t="s">
        <v>367</v>
      </c>
      <c r="E228" s="311">
        <v>1</v>
      </c>
      <c r="F228" s="239"/>
      <c r="G228" s="84" t="s">
        <v>508</v>
      </c>
      <c r="H228" s="84" t="s">
        <v>53</v>
      </c>
      <c r="I228" s="70" t="s">
        <v>255</v>
      </c>
      <c r="J228" s="313">
        <v>166.2</v>
      </c>
      <c r="K228" s="314">
        <f t="shared" si="34"/>
        <v>205</v>
      </c>
      <c r="L228" s="243">
        <v>205</v>
      </c>
      <c r="M228" s="243"/>
      <c r="N228" s="243"/>
      <c r="O228" s="243"/>
      <c r="P228" s="243"/>
      <c r="Q228" s="243"/>
      <c r="R228" s="242" t="e">
        <f>IF(L228="nio",0,IF(L228&gt;0,L228*J228/X228,0))*VLOOKUP(B228,'2-Kosten per locatie'!$A$14:$C$21,3,FALSE)</f>
        <v>#DIV/0!</v>
      </c>
      <c r="S228" s="242">
        <f>IF(M228&gt;0,M228*J228/Y228,0)*VLOOKUP(B228,'2-Kosten per locatie'!$A$14:$C$21,3,FALSE)</f>
        <v>0</v>
      </c>
      <c r="T228" s="242">
        <f>IF(N228&gt;0,N228*J228/Z228,0)*VLOOKUP(B228,'2-Kosten per locatie'!$A$14:$C$21,3,FALSE)</f>
        <v>0</v>
      </c>
      <c r="U228" s="242">
        <f>IF(O228&gt;0,O228*J228/AA228,0)*VLOOKUP(B228,'2-Kosten per locatie'!$A$14:$C$21,3,FALSE)</f>
        <v>0</v>
      </c>
      <c r="V228" s="242">
        <f>IF(P228&gt;0,P228*J228/Z228,0)*VLOOKUP(B228,'2-Kosten per locatie'!$A$14:$C$21,3,FALSE)</f>
        <v>0</v>
      </c>
      <c r="W228" s="242">
        <f>IF(Q228&gt;0,Q228*J228/AA228,0)*VLOOKUP(B228,'2-Kosten per locatie'!$A$14:$C$21,3,FALSE)</f>
        <v>0</v>
      </c>
      <c r="X228" s="315">
        <f>IF(L228="nio",0,IF(L228&gt;0,VLOOKUP(H228,'3-Productie normen'!A:K,VLOOKUP(L228,'3-Productie normen'!$B$36:$C$42,2,FALSE),FALSE)))</f>
        <v>0</v>
      </c>
      <c r="Y228" s="315">
        <f t="shared" si="35"/>
        <v>0</v>
      </c>
      <c r="Z228" s="315">
        <f t="shared" si="36"/>
        <v>0</v>
      </c>
      <c r="AA228" s="315">
        <f t="shared" si="37"/>
        <v>0</v>
      </c>
      <c r="AB228" s="316"/>
      <c r="AD228" s="317">
        <f t="shared" si="38"/>
        <v>34071</v>
      </c>
    </row>
    <row r="229" spans="1:30" ht="14.1" hidden="1" customHeight="1">
      <c r="A229" s="74">
        <v>229</v>
      </c>
      <c r="B229" s="277" t="s">
        <v>275</v>
      </c>
      <c r="C229" s="277" t="s">
        <v>458</v>
      </c>
      <c r="D229" s="277" t="s">
        <v>367</v>
      </c>
      <c r="E229" s="311">
        <v>1</v>
      </c>
      <c r="F229" s="239"/>
      <c r="G229" s="84" t="s">
        <v>671</v>
      </c>
      <c r="H229" s="84" t="s">
        <v>53</v>
      </c>
      <c r="I229" s="70" t="s">
        <v>255</v>
      </c>
      <c r="J229" s="313">
        <v>36</v>
      </c>
      <c r="K229" s="314">
        <f t="shared" si="34"/>
        <v>205</v>
      </c>
      <c r="L229" s="243">
        <v>205</v>
      </c>
      <c r="M229" s="243"/>
      <c r="N229" s="243"/>
      <c r="O229" s="243"/>
      <c r="P229" s="243"/>
      <c r="Q229" s="243"/>
      <c r="R229" s="242" t="e">
        <f>IF(L229="nio",0,IF(L229&gt;0,L229*J229/X229,0))*VLOOKUP(B229,'2-Kosten per locatie'!$A$14:$C$21,3,FALSE)</f>
        <v>#DIV/0!</v>
      </c>
      <c r="S229" s="242">
        <f>IF(M229&gt;0,M229*J229/Y229,0)*VLOOKUP(B229,'2-Kosten per locatie'!$A$14:$C$21,3,FALSE)</f>
        <v>0</v>
      </c>
      <c r="T229" s="242">
        <f>IF(N229&gt;0,N229*J229/Z229,0)*VLOOKUP(B229,'2-Kosten per locatie'!$A$14:$C$21,3,FALSE)</f>
        <v>0</v>
      </c>
      <c r="U229" s="242">
        <f>IF(O229&gt;0,O229*J229/AA229,0)*VLOOKUP(B229,'2-Kosten per locatie'!$A$14:$C$21,3,FALSE)</f>
        <v>0</v>
      </c>
      <c r="V229" s="242">
        <f>IF(P229&gt;0,P229*J229/Z229,0)*VLOOKUP(B229,'2-Kosten per locatie'!$A$14:$C$21,3,FALSE)</f>
        <v>0</v>
      </c>
      <c r="W229" s="242">
        <f>IF(Q229&gt;0,Q229*J229/AA229,0)*VLOOKUP(B229,'2-Kosten per locatie'!$A$14:$C$21,3,FALSE)</f>
        <v>0</v>
      </c>
      <c r="X229" s="315">
        <f>IF(L229="nio",0,IF(L229&gt;0,VLOOKUP(H229,'3-Productie normen'!A:K,VLOOKUP(L229,'3-Productie normen'!$B$36:$C$42,2,FALSE),FALSE)))</f>
        <v>0</v>
      </c>
      <c r="Y229" s="315">
        <f t="shared" si="35"/>
        <v>0</v>
      </c>
      <c r="Z229" s="315">
        <f t="shared" si="36"/>
        <v>0</v>
      </c>
      <c r="AA229" s="315">
        <f t="shared" si="37"/>
        <v>0</v>
      </c>
      <c r="AB229" s="316"/>
      <c r="AD229" s="317">
        <f t="shared" si="38"/>
        <v>7380</v>
      </c>
    </row>
    <row r="230" spans="1:30" ht="14.1" hidden="1" customHeight="1">
      <c r="A230" s="74">
        <v>230</v>
      </c>
      <c r="B230" s="277" t="s">
        <v>275</v>
      </c>
      <c r="C230" s="277" t="s">
        <v>458</v>
      </c>
      <c r="D230" s="277" t="s">
        <v>367</v>
      </c>
      <c r="E230" s="311">
        <v>1</v>
      </c>
      <c r="F230" s="239"/>
      <c r="G230" s="84" t="s">
        <v>672</v>
      </c>
      <c r="H230" s="84" t="s">
        <v>657</v>
      </c>
      <c r="I230" s="70" t="s">
        <v>255</v>
      </c>
      <c r="J230" s="313">
        <v>52</v>
      </c>
      <c r="K230" s="314">
        <f t="shared" si="34"/>
        <v>205</v>
      </c>
      <c r="L230" s="243">
        <v>205</v>
      </c>
      <c r="M230" s="243"/>
      <c r="N230" s="243"/>
      <c r="O230" s="243"/>
      <c r="P230" s="243"/>
      <c r="Q230" s="243"/>
      <c r="R230" s="242" t="e">
        <f>IF(L230="nio",0,IF(L230&gt;0,L230*J230/X230,0))*VLOOKUP(B230,'2-Kosten per locatie'!$A$14:$C$21,3,FALSE)</f>
        <v>#DIV/0!</v>
      </c>
      <c r="S230" s="242">
        <f>IF(M230&gt;0,M230*J230/Y230,0)*VLOOKUP(B230,'2-Kosten per locatie'!$A$14:$C$21,3,FALSE)</f>
        <v>0</v>
      </c>
      <c r="T230" s="242">
        <f>IF(N230&gt;0,N230*J230/Z230,0)*VLOOKUP(B230,'2-Kosten per locatie'!$A$14:$C$21,3,FALSE)</f>
        <v>0</v>
      </c>
      <c r="U230" s="242">
        <f>IF(O230&gt;0,O230*J230/AA230,0)*VLOOKUP(B230,'2-Kosten per locatie'!$A$14:$C$21,3,FALSE)</f>
        <v>0</v>
      </c>
      <c r="V230" s="242">
        <f>IF(P230&gt;0,P230*J230/Z230,0)*VLOOKUP(B230,'2-Kosten per locatie'!$A$14:$C$21,3,FALSE)</f>
        <v>0</v>
      </c>
      <c r="W230" s="242">
        <f>IF(Q230&gt;0,Q230*J230/AA230,0)*VLOOKUP(B230,'2-Kosten per locatie'!$A$14:$C$21,3,FALSE)</f>
        <v>0</v>
      </c>
      <c r="X230" s="315">
        <f>IF(L230="nio",0,IF(L230&gt;0,VLOOKUP(H230,'3-Productie normen'!A:K,VLOOKUP(L230,'3-Productie normen'!$B$36:$C$42,2,FALSE),FALSE)))</f>
        <v>0</v>
      </c>
      <c r="Y230" s="315">
        <f t="shared" si="35"/>
        <v>0</v>
      </c>
      <c r="Z230" s="315">
        <f t="shared" si="36"/>
        <v>0</v>
      </c>
      <c r="AA230" s="315">
        <f t="shared" si="37"/>
        <v>0</v>
      </c>
      <c r="AB230" s="316"/>
      <c r="AD230" s="317">
        <f t="shared" si="38"/>
        <v>10660</v>
      </c>
    </row>
    <row r="231" spans="1:30" ht="14.1" hidden="1" customHeight="1">
      <c r="A231" s="74">
        <v>231</v>
      </c>
      <c r="B231" s="277" t="s">
        <v>275</v>
      </c>
      <c r="C231" s="277" t="s">
        <v>458</v>
      </c>
      <c r="D231" s="277" t="s">
        <v>367</v>
      </c>
      <c r="E231" s="311">
        <v>1</v>
      </c>
      <c r="F231" s="239"/>
      <c r="G231" s="84" t="s">
        <v>673</v>
      </c>
      <c r="H231" s="84" t="s">
        <v>657</v>
      </c>
      <c r="I231" s="70" t="s">
        <v>255</v>
      </c>
      <c r="J231" s="313">
        <v>52</v>
      </c>
      <c r="K231" s="314">
        <f t="shared" si="34"/>
        <v>205</v>
      </c>
      <c r="L231" s="243">
        <v>205</v>
      </c>
      <c r="M231" s="243"/>
      <c r="N231" s="243"/>
      <c r="O231" s="243"/>
      <c r="P231" s="243"/>
      <c r="Q231" s="243"/>
      <c r="R231" s="242" t="e">
        <f>IF(L231="nio",0,IF(L231&gt;0,L231*J231/X231,0))*VLOOKUP(B231,'2-Kosten per locatie'!$A$14:$C$21,3,FALSE)</f>
        <v>#DIV/0!</v>
      </c>
      <c r="S231" s="242">
        <f>IF(M231&gt;0,M231*J231/Y231,0)*VLOOKUP(B231,'2-Kosten per locatie'!$A$14:$C$21,3,FALSE)</f>
        <v>0</v>
      </c>
      <c r="T231" s="242">
        <f>IF(N231&gt;0,N231*J231/Z231,0)*VLOOKUP(B231,'2-Kosten per locatie'!$A$14:$C$21,3,FALSE)</f>
        <v>0</v>
      </c>
      <c r="U231" s="242">
        <f>IF(O231&gt;0,O231*J231/AA231,0)*VLOOKUP(B231,'2-Kosten per locatie'!$A$14:$C$21,3,FALSE)</f>
        <v>0</v>
      </c>
      <c r="V231" s="242">
        <f>IF(P231&gt;0,P231*J231/Z231,0)*VLOOKUP(B231,'2-Kosten per locatie'!$A$14:$C$21,3,FALSE)</f>
        <v>0</v>
      </c>
      <c r="W231" s="242">
        <f>IF(Q231&gt;0,Q231*J231/AA231,0)*VLOOKUP(B231,'2-Kosten per locatie'!$A$14:$C$21,3,FALSE)</f>
        <v>0</v>
      </c>
      <c r="X231" s="315">
        <f>IF(L231="nio",0,IF(L231&gt;0,VLOOKUP(H231,'3-Productie normen'!A:K,VLOOKUP(L231,'3-Productie normen'!$B$36:$C$42,2,FALSE),FALSE)))</f>
        <v>0</v>
      </c>
      <c r="Y231" s="315">
        <f t="shared" si="35"/>
        <v>0</v>
      </c>
      <c r="Z231" s="315">
        <f t="shared" si="36"/>
        <v>0</v>
      </c>
      <c r="AA231" s="315">
        <f t="shared" si="37"/>
        <v>0</v>
      </c>
      <c r="AB231" s="316"/>
      <c r="AD231" s="317">
        <f t="shared" si="38"/>
        <v>10660</v>
      </c>
    </row>
    <row r="232" spans="1:30" ht="14.1" hidden="1" customHeight="1">
      <c r="A232" s="74">
        <v>232</v>
      </c>
      <c r="B232" s="277" t="s">
        <v>275</v>
      </c>
      <c r="C232" s="277" t="s">
        <v>458</v>
      </c>
      <c r="D232" s="277" t="s">
        <v>367</v>
      </c>
      <c r="E232" s="311">
        <v>1</v>
      </c>
      <c r="F232" s="239"/>
      <c r="G232" s="84" t="s">
        <v>674</v>
      </c>
      <c r="H232" s="84" t="s">
        <v>56</v>
      </c>
      <c r="I232" s="70" t="s">
        <v>255</v>
      </c>
      <c r="J232" s="313">
        <v>21</v>
      </c>
      <c r="K232" s="314">
        <f t="shared" si="34"/>
        <v>255</v>
      </c>
      <c r="L232" s="243">
        <v>255</v>
      </c>
      <c r="M232" s="243"/>
      <c r="N232" s="243"/>
      <c r="O232" s="243"/>
      <c r="P232" s="243"/>
      <c r="Q232" s="243"/>
      <c r="R232" s="242" t="e">
        <f>IF(L232="nio",0,IF(L232&gt;0,L232*J232/X232,0))*VLOOKUP(B232,'2-Kosten per locatie'!$A$14:$C$21,3,FALSE)</f>
        <v>#DIV/0!</v>
      </c>
      <c r="S232" s="242">
        <f>IF(M232&gt;0,M232*J232/Y232,0)*VLOOKUP(B232,'2-Kosten per locatie'!$A$14:$C$21,3,FALSE)</f>
        <v>0</v>
      </c>
      <c r="T232" s="242">
        <f>IF(N232&gt;0,N232*J232/Z232,0)*VLOOKUP(B232,'2-Kosten per locatie'!$A$14:$C$21,3,FALSE)</f>
        <v>0</v>
      </c>
      <c r="U232" s="242">
        <f>IF(O232&gt;0,O232*J232/AA232,0)*VLOOKUP(B232,'2-Kosten per locatie'!$A$14:$C$21,3,FALSE)</f>
        <v>0</v>
      </c>
      <c r="V232" s="242">
        <f>IF(P232&gt;0,P232*J232/Z232,0)*VLOOKUP(B232,'2-Kosten per locatie'!$A$14:$C$21,3,FALSE)</f>
        <v>0</v>
      </c>
      <c r="W232" s="242">
        <f>IF(Q232&gt;0,Q232*J232/AA232,0)*VLOOKUP(B232,'2-Kosten per locatie'!$A$14:$C$21,3,FALSE)</f>
        <v>0</v>
      </c>
      <c r="X232" s="315">
        <f>IF(L232="nio",0,IF(L232&gt;0,VLOOKUP(H232,'3-Productie normen'!A:K,VLOOKUP(L232,'3-Productie normen'!$B$36:$C$42,2,FALSE),FALSE)))</f>
        <v>0</v>
      </c>
      <c r="Y232" s="315">
        <f t="shared" si="35"/>
        <v>0</v>
      </c>
      <c r="Z232" s="315">
        <f t="shared" si="36"/>
        <v>0</v>
      </c>
      <c r="AA232" s="315">
        <f t="shared" si="37"/>
        <v>0</v>
      </c>
      <c r="AB232" s="316"/>
      <c r="AD232" s="317">
        <f t="shared" si="38"/>
        <v>5355</v>
      </c>
    </row>
    <row r="233" spans="1:30" ht="14.1" hidden="1" customHeight="1">
      <c r="A233" s="74">
        <v>233</v>
      </c>
      <c r="B233" s="277" t="s">
        <v>275</v>
      </c>
      <c r="C233" s="277" t="s">
        <v>458</v>
      </c>
      <c r="D233" s="277" t="s">
        <v>367</v>
      </c>
      <c r="E233" s="311">
        <v>1</v>
      </c>
      <c r="F233" s="239"/>
      <c r="G233" s="84" t="s">
        <v>675</v>
      </c>
      <c r="H233" s="84" t="s">
        <v>392</v>
      </c>
      <c r="I233" s="70" t="s">
        <v>249</v>
      </c>
      <c r="J233" s="313">
        <v>3.6</v>
      </c>
      <c r="K233" s="314">
        <f t="shared" si="34"/>
        <v>255</v>
      </c>
      <c r="L233" s="243">
        <v>255</v>
      </c>
      <c r="M233" s="243"/>
      <c r="N233" s="243"/>
      <c r="O233" s="243"/>
      <c r="P233" s="243"/>
      <c r="Q233" s="243"/>
      <c r="R233" s="242" t="e">
        <f>IF(L233="nio",0,IF(L233&gt;0,L233*J233/X233,0))*VLOOKUP(B233,'2-Kosten per locatie'!$A$14:$C$21,3,FALSE)</f>
        <v>#DIV/0!</v>
      </c>
      <c r="S233" s="242">
        <f>IF(M233&gt;0,M233*J233/Y233,0)*VLOOKUP(B233,'2-Kosten per locatie'!$A$14:$C$21,3,FALSE)</f>
        <v>0</v>
      </c>
      <c r="T233" s="242">
        <f>IF(N233&gt;0,N233*J233/Z233,0)*VLOOKUP(B233,'2-Kosten per locatie'!$A$14:$C$21,3,FALSE)</f>
        <v>0</v>
      </c>
      <c r="U233" s="242">
        <f>IF(O233&gt;0,O233*J233/AA233,0)*VLOOKUP(B233,'2-Kosten per locatie'!$A$14:$C$21,3,FALSE)</f>
        <v>0</v>
      </c>
      <c r="V233" s="242">
        <f>IF(P233&gt;0,P233*J233/Z233,0)*VLOOKUP(B233,'2-Kosten per locatie'!$A$14:$C$21,3,FALSE)</f>
        <v>0</v>
      </c>
      <c r="W233" s="242">
        <f>IF(Q233&gt;0,Q233*J233/AA233,0)*VLOOKUP(B233,'2-Kosten per locatie'!$A$14:$C$21,3,FALSE)</f>
        <v>0</v>
      </c>
      <c r="X233" s="315">
        <f>IF(L233="nio",0,IF(L233&gt;0,VLOOKUP(H233,'3-Productie normen'!A:K,VLOOKUP(L233,'3-Productie normen'!$B$36:$C$42,2,FALSE),FALSE)))</f>
        <v>0</v>
      </c>
      <c r="Y233" s="315">
        <f t="shared" si="35"/>
        <v>0</v>
      </c>
      <c r="Z233" s="315">
        <f t="shared" si="36"/>
        <v>0</v>
      </c>
      <c r="AA233" s="315">
        <f t="shared" si="37"/>
        <v>0</v>
      </c>
      <c r="AB233" s="316"/>
      <c r="AD233" s="317">
        <f t="shared" si="38"/>
        <v>918</v>
      </c>
    </row>
    <row r="234" spans="1:30" ht="14.1" hidden="1" customHeight="1">
      <c r="A234" s="74">
        <v>234</v>
      </c>
      <c r="B234" s="277" t="s">
        <v>275</v>
      </c>
      <c r="C234" s="277" t="s">
        <v>458</v>
      </c>
      <c r="D234" s="277" t="s">
        <v>367</v>
      </c>
      <c r="E234" s="311">
        <v>1</v>
      </c>
      <c r="F234" s="239"/>
      <c r="G234" s="84" t="s">
        <v>678</v>
      </c>
      <c r="H234" s="84" t="s">
        <v>52</v>
      </c>
      <c r="I234" s="70" t="s">
        <v>249</v>
      </c>
      <c r="J234" s="313">
        <v>1.6</v>
      </c>
      <c r="K234" s="314">
        <f t="shared" si="34"/>
        <v>255</v>
      </c>
      <c r="L234" s="243">
        <v>255</v>
      </c>
      <c r="M234" s="243"/>
      <c r="N234" s="243"/>
      <c r="O234" s="243"/>
      <c r="P234" s="243"/>
      <c r="Q234" s="243"/>
      <c r="R234" s="242" t="e">
        <f>IF(L234="nio",0,IF(L234&gt;0,L234*J234/X234,0))*VLOOKUP(B234,'2-Kosten per locatie'!$A$14:$C$21,3,FALSE)</f>
        <v>#DIV/0!</v>
      </c>
      <c r="S234" s="242">
        <f>IF(M234&gt;0,M234*J234/Y234,0)*VLOOKUP(B234,'2-Kosten per locatie'!$A$14:$C$21,3,FALSE)</f>
        <v>0</v>
      </c>
      <c r="T234" s="242">
        <f>IF(N234&gt;0,N234*J234/Z234,0)*VLOOKUP(B234,'2-Kosten per locatie'!$A$14:$C$21,3,FALSE)</f>
        <v>0</v>
      </c>
      <c r="U234" s="242">
        <f>IF(O234&gt;0,O234*J234/AA234,0)*VLOOKUP(B234,'2-Kosten per locatie'!$A$14:$C$21,3,FALSE)</f>
        <v>0</v>
      </c>
      <c r="V234" s="242">
        <f>IF(P234&gt;0,P234*J234/Z234,0)*VLOOKUP(B234,'2-Kosten per locatie'!$A$14:$C$21,3,FALSE)</f>
        <v>0</v>
      </c>
      <c r="W234" s="242">
        <f>IF(Q234&gt;0,Q234*J234/AA234,0)*VLOOKUP(B234,'2-Kosten per locatie'!$A$14:$C$21,3,FALSE)</f>
        <v>0</v>
      </c>
      <c r="X234" s="315">
        <f>IF(L234="nio",0,IF(L234&gt;0,VLOOKUP(H234,'3-Productie normen'!A:K,VLOOKUP(L234,'3-Productie normen'!$B$36:$C$42,2,FALSE),FALSE)))</f>
        <v>0</v>
      </c>
      <c r="Y234" s="315">
        <f t="shared" si="35"/>
        <v>0</v>
      </c>
      <c r="Z234" s="315">
        <f t="shared" si="36"/>
        <v>0</v>
      </c>
      <c r="AA234" s="315">
        <f t="shared" si="37"/>
        <v>0</v>
      </c>
      <c r="AB234" s="316"/>
      <c r="AD234" s="317">
        <f t="shared" si="38"/>
        <v>408</v>
      </c>
    </row>
    <row r="235" spans="1:30" ht="14.1" hidden="1" customHeight="1">
      <c r="A235" s="74">
        <v>235</v>
      </c>
      <c r="B235" s="277" t="s">
        <v>275</v>
      </c>
      <c r="C235" s="277" t="s">
        <v>458</v>
      </c>
      <c r="D235" s="277" t="s">
        <v>367</v>
      </c>
      <c r="E235" s="311">
        <v>1</v>
      </c>
      <c r="F235" s="239"/>
      <c r="G235" s="84" t="s">
        <v>676</v>
      </c>
      <c r="H235" s="84" t="s">
        <v>56</v>
      </c>
      <c r="I235" s="70" t="s">
        <v>255</v>
      </c>
      <c r="J235" s="313">
        <v>21</v>
      </c>
      <c r="K235" s="314">
        <f t="shared" si="34"/>
        <v>255</v>
      </c>
      <c r="L235" s="243">
        <v>255</v>
      </c>
      <c r="M235" s="243"/>
      <c r="N235" s="243"/>
      <c r="O235" s="243"/>
      <c r="P235" s="243"/>
      <c r="Q235" s="243"/>
      <c r="R235" s="242" t="e">
        <f>IF(L235="nio",0,IF(L235&gt;0,L235*J235/X235,0))*VLOOKUP(B235,'2-Kosten per locatie'!$A$14:$C$21,3,FALSE)</f>
        <v>#DIV/0!</v>
      </c>
      <c r="S235" s="242">
        <f>IF(M235&gt;0,M235*J235/Y235,0)*VLOOKUP(B235,'2-Kosten per locatie'!$A$14:$C$21,3,FALSE)</f>
        <v>0</v>
      </c>
      <c r="T235" s="242">
        <f>IF(N235&gt;0,N235*J235/Z235,0)*VLOOKUP(B235,'2-Kosten per locatie'!$A$14:$C$21,3,FALSE)</f>
        <v>0</v>
      </c>
      <c r="U235" s="242">
        <f>IF(O235&gt;0,O235*J235/AA235,0)*VLOOKUP(B235,'2-Kosten per locatie'!$A$14:$C$21,3,FALSE)</f>
        <v>0</v>
      </c>
      <c r="V235" s="242">
        <f>IF(P235&gt;0,P235*J235/Z235,0)*VLOOKUP(B235,'2-Kosten per locatie'!$A$14:$C$21,3,FALSE)</f>
        <v>0</v>
      </c>
      <c r="W235" s="242">
        <f>IF(Q235&gt;0,Q235*J235/AA235,0)*VLOOKUP(B235,'2-Kosten per locatie'!$A$14:$C$21,3,FALSE)</f>
        <v>0</v>
      </c>
      <c r="X235" s="315">
        <f>IF(L235="nio",0,IF(L235&gt;0,VLOOKUP(H235,'3-Productie normen'!A:K,VLOOKUP(L235,'3-Productie normen'!$B$36:$C$42,2,FALSE),FALSE)))</f>
        <v>0</v>
      </c>
      <c r="Y235" s="315">
        <f t="shared" si="35"/>
        <v>0</v>
      </c>
      <c r="Z235" s="315">
        <f t="shared" si="36"/>
        <v>0</v>
      </c>
      <c r="AA235" s="315">
        <f t="shared" si="37"/>
        <v>0</v>
      </c>
      <c r="AB235" s="316"/>
      <c r="AD235" s="317">
        <f t="shared" si="38"/>
        <v>5355</v>
      </c>
    </row>
    <row r="236" spans="1:30" ht="14.1" hidden="1" customHeight="1">
      <c r="A236" s="74">
        <v>236</v>
      </c>
      <c r="B236" s="277" t="s">
        <v>275</v>
      </c>
      <c r="C236" s="277" t="s">
        <v>458</v>
      </c>
      <c r="D236" s="277" t="s">
        <v>367</v>
      </c>
      <c r="E236" s="311">
        <v>1</v>
      </c>
      <c r="F236" s="239"/>
      <c r="G236" s="84" t="s">
        <v>677</v>
      </c>
      <c r="H236" s="84" t="s">
        <v>392</v>
      </c>
      <c r="I236" s="70" t="s">
        <v>334</v>
      </c>
      <c r="J236" s="313">
        <v>3.6</v>
      </c>
      <c r="K236" s="314">
        <f t="shared" si="34"/>
        <v>255</v>
      </c>
      <c r="L236" s="243">
        <v>255</v>
      </c>
      <c r="M236" s="243"/>
      <c r="N236" s="243"/>
      <c r="O236" s="243"/>
      <c r="P236" s="243"/>
      <c r="Q236" s="243"/>
      <c r="R236" s="242" t="e">
        <f>IF(L236="nio",0,IF(L236&gt;0,L236*J236/X236,0))*VLOOKUP(B236,'2-Kosten per locatie'!$A$14:$C$21,3,FALSE)</f>
        <v>#DIV/0!</v>
      </c>
      <c r="S236" s="242">
        <f>IF(M236&gt;0,M236*J236/Y236,0)*VLOOKUP(B236,'2-Kosten per locatie'!$A$14:$C$21,3,FALSE)</f>
        <v>0</v>
      </c>
      <c r="T236" s="242">
        <f>IF(N236&gt;0,N236*J236/Z236,0)*VLOOKUP(B236,'2-Kosten per locatie'!$A$14:$C$21,3,FALSE)</f>
        <v>0</v>
      </c>
      <c r="U236" s="242">
        <f>IF(O236&gt;0,O236*J236/AA236,0)*VLOOKUP(B236,'2-Kosten per locatie'!$A$14:$C$21,3,FALSE)</f>
        <v>0</v>
      </c>
      <c r="V236" s="242">
        <f>IF(P236&gt;0,P236*J236/Z236,0)*VLOOKUP(B236,'2-Kosten per locatie'!$A$14:$C$21,3,FALSE)</f>
        <v>0</v>
      </c>
      <c r="W236" s="242">
        <f>IF(Q236&gt;0,Q236*J236/AA236,0)*VLOOKUP(B236,'2-Kosten per locatie'!$A$14:$C$21,3,FALSE)</f>
        <v>0</v>
      </c>
      <c r="X236" s="315">
        <f>IF(L236="nio",0,IF(L236&gt;0,VLOOKUP(H236,'3-Productie normen'!A:K,VLOOKUP(L236,'3-Productie normen'!$B$36:$C$42,2,FALSE),FALSE)))</f>
        <v>0</v>
      </c>
      <c r="Y236" s="315">
        <f t="shared" si="35"/>
        <v>0</v>
      </c>
      <c r="Z236" s="315">
        <f t="shared" si="36"/>
        <v>0</v>
      </c>
      <c r="AA236" s="315">
        <f t="shared" si="37"/>
        <v>0</v>
      </c>
      <c r="AB236" s="316"/>
      <c r="AD236" s="317">
        <f t="shared" si="38"/>
        <v>918</v>
      </c>
    </row>
    <row r="237" spans="1:30" ht="14.1" hidden="1" customHeight="1">
      <c r="A237" s="74">
        <v>237</v>
      </c>
      <c r="B237" s="277" t="s">
        <v>275</v>
      </c>
      <c r="C237" s="277" t="s">
        <v>458</v>
      </c>
      <c r="D237" s="277" t="s">
        <v>367</v>
      </c>
      <c r="E237" s="311">
        <v>1</v>
      </c>
      <c r="F237" s="239"/>
      <c r="G237" s="84" t="s">
        <v>679</v>
      </c>
      <c r="H237" s="84" t="s">
        <v>52</v>
      </c>
      <c r="I237" s="70" t="s">
        <v>334</v>
      </c>
      <c r="J237" s="313">
        <v>1.6</v>
      </c>
      <c r="K237" s="314">
        <f t="shared" si="34"/>
        <v>255</v>
      </c>
      <c r="L237" s="243">
        <v>255</v>
      </c>
      <c r="M237" s="243"/>
      <c r="N237" s="243"/>
      <c r="O237" s="243"/>
      <c r="P237" s="243"/>
      <c r="Q237" s="243"/>
      <c r="R237" s="242" t="e">
        <f>IF(L237="nio",0,IF(L237&gt;0,L237*J237/X237,0))*VLOOKUP(B237,'2-Kosten per locatie'!$A$14:$C$21,3,FALSE)</f>
        <v>#DIV/0!</v>
      </c>
      <c r="S237" s="242">
        <f>IF(M237&gt;0,M237*J237/Y237,0)*VLOOKUP(B237,'2-Kosten per locatie'!$A$14:$C$21,3,FALSE)</f>
        <v>0</v>
      </c>
      <c r="T237" s="242">
        <f>IF(N237&gt;0,N237*J237/Z237,0)*VLOOKUP(B237,'2-Kosten per locatie'!$A$14:$C$21,3,FALSE)</f>
        <v>0</v>
      </c>
      <c r="U237" s="242">
        <f>IF(O237&gt;0,O237*J237/AA237,0)*VLOOKUP(B237,'2-Kosten per locatie'!$A$14:$C$21,3,FALSE)</f>
        <v>0</v>
      </c>
      <c r="V237" s="242">
        <f>IF(P237&gt;0,P237*J237/Z237,0)*VLOOKUP(B237,'2-Kosten per locatie'!$A$14:$C$21,3,FALSE)</f>
        <v>0</v>
      </c>
      <c r="W237" s="242">
        <f>IF(Q237&gt;0,Q237*J237/AA237,0)*VLOOKUP(B237,'2-Kosten per locatie'!$A$14:$C$21,3,FALSE)</f>
        <v>0</v>
      </c>
      <c r="X237" s="315">
        <f>IF(L237="nio",0,IF(L237&gt;0,VLOOKUP(H237,'3-Productie normen'!A:K,VLOOKUP(L237,'3-Productie normen'!$B$36:$C$42,2,FALSE),FALSE)))</f>
        <v>0</v>
      </c>
      <c r="Y237" s="315">
        <f t="shared" si="35"/>
        <v>0</v>
      </c>
      <c r="Z237" s="315">
        <f t="shared" si="36"/>
        <v>0</v>
      </c>
      <c r="AA237" s="315">
        <f t="shared" si="37"/>
        <v>0</v>
      </c>
      <c r="AB237" s="316"/>
      <c r="AD237" s="317">
        <f t="shared" si="38"/>
        <v>408</v>
      </c>
    </row>
    <row r="238" spans="1:30" ht="14.1" hidden="1" customHeight="1">
      <c r="A238" s="74">
        <v>238</v>
      </c>
      <c r="B238" s="277" t="s">
        <v>275</v>
      </c>
      <c r="C238" s="277" t="s">
        <v>458</v>
      </c>
      <c r="D238" s="277" t="s">
        <v>367</v>
      </c>
      <c r="E238" s="311">
        <v>1</v>
      </c>
      <c r="F238" s="239"/>
      <c r="G238" s="84" t="s">
        <v>680</v>
      </c>
      <c r="H238" s="84" t="s">
        <v>251</v>
      </c>
      <c r="I238" s="70" t="s">
        <v>683</v>
      </c>
      <c r="J238" s="313">
        <v>152.30000000000001</v>
      </c>
      <c r="K238" s="314">
        <f t="shared" si="34"/>
        <v>255</v>
      </c>
      <c r="L238" s="243">
        <v>255</v>
      </c>
      <c r="M238" s="243"/>
      <c r="N238" s="243"/>
      <c r="O238" s="243"/>
      <c r="P238" s="243"/>
      <c r="Q238" s="243"/>
      <c r="R238" s="242" t="e">
        <f>IF(L238="nio",0,IF(L238&gt;0,L238*J238/X238,0))*VLOOKUP(B238,'2-Kosten per locatie'!$A$14:$C$21,3,FALSE)</f>
        <v>#DIV/0!</v>
      </c>
      <c r="S238" s="242">
        <f>IF(M238&gt;0,M238*J238/Y238,0)*VLOOKUP(B238,'2-Kosten per locatie'!$A$14:$C$21,3,FALSE)</f>
        <v>0</v>
      </c>
      <c r="T238" s="242">
        <f>IF(N238&gt;0,N238*J238/Z238,0)*VLOOKUP(B238,'2-Kosten per locatie'!$A$14:$C$21,3,FALSE)</f>
        <v>0</v>
      </c>
      <c r="U238" s="242">
        <f>IF(O238&gt;0,O238*J238/AA238,0)*VLOOKUP(B238,'2-Kosten per locatie'!$A$14:$C$21,3,FALSE)</f>
        <v>0</v>
      </c>
      <c r="V238" s="242">
        <f>IF(P238&gt;0,P238*J238/Z238,0)*VLOOKUP(B238,'2-Kosten per locatie'!$A$14:$C$21,3,FALSE)</f>
        <v>0</v>
      </c>
      <c r="W238" s="242">
        <f>IF(Q238&gt;0,Q238*J238/AA238,0)*VLOOKUP(B238,'2-Kosten per locatie'!$A$14:$C$21,3,FALSE)</f>
        <v>0</v>
      </c>
      <c r="X238" s="315">
        <f>IF(L238="nio",0,IF(L238&gt;0,VLOOKUP(H238,'3-Productie normen'!A:K,VLOOKUP(L238,'3-Productie normen'!$B$36:$C$42,2,FALSE),FALSE)))</f>
        <v>0</v>
      </c>
      <c r="Y238" s="315">
        <f t="shared" si="35"/>
        <v>0</v>
      </c>
      <c r="Z238" s="315">
        <f t="shared" si="36"/>
        <v>0</v>
      </c>
      <c r="AA238" s="315">
        <f t="shared" si="37"/>
        <v>0</v>
      </c>
      <c r="AB238" s="316"/>
      <c r="AD238" s="317">
        <f t="shared" si="38"/>
        <v>38836.5</v>
      </c>
    </row>
    <row r="239" spans="1:30" ht="13.2" hidden="1">
      <c r="A239" s="74">
        <v>239</v>
      </c>
      <c r="B239" s="277" t="s">
        <v>275</v>
      </c>
      <c r="C239" s="277" t="s">
        <v>458</v>
      </c>
      <c r="D239" s="277" t="s">
        <v>367</v>
      </c>
      <c r="E239" s="311">
        <v>1</v>
      </c>
      <c r="F239" s="239"/>
      <c r="G239" s="84" t="s">
        <v>681</v>
      </c>
      <c r="H239" s="84" t="s">
        <v>53</v>
      </c>
      <c r="I239" s="70" t="s">
        <v>682</v>
      </c>
      <c r="J239" s="313">
        <v>152.30000000000001</v>
      </c>
      <c r="K239" s="314">
        <f t="shared" si="34"/>
        <v>255</v>
      </c>
      <c r="L239" s="243">
        <v>255</v>
      </c>
      <c r="M239" s="243"/>
      <c r="N239" s="243"/>
      <c r="O239" s="243"/>
      <c r="P239" s="243"/>
      <c r="Q239" s="243"/>
      <c r="R239" s="242" t="e">
        <f>IF(L239="nio",0,IF(L239&gt;0,L239*J239/X239,0))*VLOOKUP(B239,'2-Kosten per locatie'!$A$14:$C$21,3,FALSE)</f>
        <v>#DIV/0!</v>
      </c>
      <c r="S239" s="242">
        <f>IF(M239&gt;0,M239*J239/Y239,0)*VLOOKUP(B239,'2-Kosten per locatie'!$A$14:$C$21,3,FALSE)</f>
        <v>0</v>
      </c>
      <c r="T239" s="242">
        <f>IF(N239&gt;0,N239*J239/Z239,0)*VLOOKUP(B239,'2-Kosten per locatie'!$A$14:$C$21,3,FALSE)</f>
        <v>0</v>
      </c>
      <c r="U239" s="242">
        <f>IF(O239&gt;0,O239*J239/AA239,0)*VLOOKUP(B239,'2-Kosten per locatie'!$A$14:$C$21,3,FALSE)</f>
        <v>0</v>
      </c>
      <c r="V239" s="242">
        <f>IF(P239&gt;0,P239*J239/Z239,0)*VLOOKUP(B239,'2-Kosten per locatie'!$A$14:$C$21,3,FALSE)</f>
        <v>0</v>
      </c>
      <c r="W239" s="242">
        <f>IF(Q239&gt;0,Q239*J239/AA239,0)*VLOOKUP(B239,'2-Kosten per locatie'!$A$14:$C$21,3,FALSE)</f>
        <v>0</v>
      </c>
      <c r="X239" s="315">
        <f>IF(L239="nio",0,IF(L239&gt;0,VLOOKUP(H239,'3-Productie normen'!A:K,VLOOKUP(L239,'3-Productie normen'!$B$36:$C$42,2,FALSE),FALSE)))</f>
        <v>0</v>
      </c>
      <c r="Y239" s="315">
        <f t="shared" si="35"/>
        <v>0</v>
      </c>
      <c r="Z239" s="315">
        <f t="shared" si="36"/>
        <v>0</v>
      </c>
      <c r="AA239" s="315">
        <f t="shared" si="37"/>
        <v>0</v>
      </c>
      <c r="AB239" s="316"/>
      <c r="AD239" s="317">
        <f t="shared" si="38"/>
        <v>38836.5</v>
      </c>
    </row>
    <row r="240" spans="1:30" ht="13.2" hidden="1">
      <c r="A240" s="74">
        <v>240</v>
      </c>
      <c r="B240" s="277" t="s">
        <v>457</v>
      </c>
      <c r="C240" s="277" t="s">
        <v>565</v>
      </c>
      <c r="D240" s="277" t="s">
        <v>566</v>
      </c>
      <c r="E240" s="311" t="s">
        <v>419</v>
      </c>
      <c r="F240" s="312" t="s">
        <v>369</v>
      </c>
      <c r="G240" s="70" t="s">
        <v>567</v>
      </c>
      <c r="H240" s="296" t="s">
        <v>657</v>
      </c>
      <c r="I240" s="70" t="s">
        <v>255</v>
      </c>
      <c r="J240" s="313">
        <v>53.91</v>
      </c>
      <c r="K240" s="314">
        <f t="shared" si="34"/>
        <v>205</v>
      </c>
      <c r="L240" s="243">
        <v>205</v>
      </c>
      <c r="M240" s="243"/>
      <c r="N240" s="243">
        <v>0</v>
      </c>
      <c r="O240" s="243">
        <v>0</v>
      </c>
      <c r="P240" s="243">
        <v>0</v>
      </c>
      <c r="Q240" s="243"/>
      <c r="R240" s="242" t="e">
        <f>IF(L240="nio",0,IF(L240&gt;0,L240*J240/X240,0))*VLOOKUP(B240,'2-Kosten per locatie'!$A$14:$C$21,3,FALSE)</f>
        <v>#DIV/0!</v>
      </c>
      <c r="S240" s="242">
        <f>IF(M240&gt;0,M240*J240/Y240,0)*VLOOKUP(B240,'2-Kosten per locatie'!$A$14:$C$21,3,FALSE)</f>
        <v>0</v>
      </c>
      <c r="T240" s="242">
        <f>IF(N240&gt;0,N240*J240/Z240,0)*VLOOKUP(B240,'2-Kosten per locatie'!$A$14:$C$21,3,FALSE)</f>
        <v>0</v>
      </c>
      <c r="U240" s="242">
        <f>IF(O240&gt;0,O240*J240/AA240,0)*VLOOKUP(B240,'2-Kosten per locatie'!$A$14:$C$21,3,FALSE)</f>
        <v>0</v>
      </c>
      <c r="V240" s="242">
        <f>IF(P240&gt;0,P240*J240/Z240,0)*VLOOKUP(B240,'2-Kosten per locatie'!$A$14:$C$21,3,FALSE)</f>
        <v>0</v>
      </c>
      <c r="W240" s="242">
        <f>IF(Q240&gt;0,Q240*J240/AA240,0)*VLOOKUP(B240,'2-Kosten per locatie'!$A$14:$C$21,3,FALSE)</f>
        <v>0</v>
      </c>
      <c r="X240" s="315">
        <f>IF(L240="nio",0,IF(L240&gt;0,VLOOKUP(H240,'3-Productie normen'!A:K,VLOOKUP(L240,'3-Productie normen'!$B$36:$C$42,2,FALSE),FALSE)))</f>
        <v>0</v>
      </c>
      <c r="Y240" s="315">
        <f t="shared" si="35"/>
        <v>0</v>
      </c>
      <c r="Z240" s="315">
        <f t="shared" si="36"/>
        <v>0</v>
      </c>
      <c r="AA240" s="315">
        <f t="shared" si="37"/>
        <v>0</v>
      </c>
      <c r="AB240" s="316" t="s">
        <v>659</v>
      </c>
      <c r="AD240" s="317">
        <f t="shared" si="38"/>
        <v>11051.55</v>
      </c>
    </row>
    <row r="241" spans="1:30" ht="14.1" hidden="1" customHeight="1">
      <c r="A241" s="74">
        <v>241</v>
      </c>
      <c r="B241" s="277" t="s">
        <v>457</v>
      </c>
      <c r="C241" s="277" t="s">
        <v>565</v>
      </c>
      <c r="D241" s="277" t="s">
        <v>566</v>
      </c>
      <c r="E241" s="311" t="s">
        <v>419</v>
      </c>
      <c r="F241" s="312" t="s">
        <v>371</v>
      </c>
      <c r="G241" s="70" t="s">
        <v>567</v>
      </c>
      <c r="H241" s="296" t="s">
        <v>657</v>
      </c>
      <c r="I241" s="70" t="s">
        <v>255</v>
      </c>
      <c r="J241" s="313">
        <v>53.91</v>
      </c>
      <c r="K241" s="314">
        <f t="shared" si="34"/>
        <v>205</v>
      </c>
      <c r="L241" s="243">
        <v>205</v>
      </c>
      <c r="M241" s="243"/>
      <c r="N241" s="243"/>
      <c r="O241" s="243"/>
      <c r="P241" s="243"/>
      <c r="Q241" s="243"/>
      <c r="R241" s="242" t="e">
        <f>IF(L241="nio",0,IF(L241&gt;0,L241*J241/X241,0))*VLOOKUP(B241,'2-Kosten per locatie'!$A$14:$C$21,3,FALSE)</f>
        <v>#DIV/0!</v>
      </c>
      <c r="S241" s="242">
        <f>IF(M241&gt;0,M241*J241/Y241,0)*VLOOKUP(B241,'2-Kosten per locatie'!$A$14:$C$21,3,FALSE)</f>
        <v>0</v>
      </c>
      <c r="T241" s="242">
        <f>IF(N241&gt;0,N241*J241/Z241,0)*VLOOKUP(B241,'2-Kosten per locatie'!$A$14:$C$21,3,FALSE)</f>
        <v>0</v>
      </c>
      <c r="U241" s="242">
        <f>IF(O241&gt;0,O241*J241/AA241,0)*VLOOKUP(B241,'2-Kosten per locatie'!$A$14:$C$21,3,FALSE)</f>
        <v>0</v>
      </c>
      <c r="V241" s="242">
        <f>IF(P241&gt;0,P241*J241/Z241,0)*VLOOKUP(B241,'2-Kosten per locatie'!$A$14:$C$21,3,FALSE)</f>
        <v>0</v>
      </c>
      <c r="W241" s="242">
        <f>IF(Q241&gt;0,Q241*J241/AA241,0)*VLOOKUP(B241,'2-Kosten per locatie'!$A$14:$C$21,3,FALSE)</f>
        <v>0</v>
      </c>
      <c r="X241" s="315">
        <f>IF(L241="nio",0,IF(L241&gt;0,VLOOKUP(H241,'3-Productie normen'!A:K,VLOOKUP(L241,'3-Productie normen'!$B$36:$C$42,2,FALSE),FALSE)))</f>
        <v>0</v>
      </c>
      <c r="Y241" s="315">
        <f t="shared" si="35"/>
        <v>0</v>
      </c>
      <c r="Z241" s="315">
        <f t="shared" si="36"/>
        <v>0</v>
      </c>
      <c r="AA241" s="315">
        <f t="shared" si="37"/>
        <v>0</v>
      </c>
      <c r="AB241" s="316" t="s">
        <v>659</v>
      </c>
      <c r="AD241" s="317">
        <f t="shared" si="38"/>
        <v>11051.55</v>
      </c>
    </row>
    <row r="242" spans="1:30" ht="14.1" hidden="1" customHeight="1">
      <c r="A242" s="74">
        <v>242</v>
      </c>
      <c r="B242" s="277" t="s">
        <v>457</v>
      </c>
      <c r="C242" s="277" t="s">
        <v>565</v>
      </c>
      <c r="D242" s="277" t="s">
        <v>566</v>
      </c>
      <c r="E242" s="311" t="s">
        <v>419</v>
      </c>
      <c r="F242" s="312" t="s">
        <v>372</v>
      </c>
      <c r="G242" s="70" t="s">
        <v>567</v>
      </c>
      <c r="H242" s="296" t="s">
        <v>657</v>
      </c>
      <c r="I242" s="70" t="s">
        <v>255</v>
      </c>
      <c r="J242" s="313">
        <v>54.13</v>
      </c>
      <c r="K242" s="314">
        <f t="shared" si="34"/>
        <v>205</v>
      </c>
      <c r="L242" s="243">
        <v>205</v>
      </c>
      <c r="M242" s="243"/>
      <c r="N242" s="243"/>
      <c r="O242" s="243"/>
      <c r="P242" s="243"/>
      <c r="Q242" s="243"/>
      <c r="R242" s="242" t="e">
        <f>IF(L242="nio",0,IF(L242&gt;0,L242*J242/X242,0))*VLOOKUP(B242,'2-Kosten per locatie'!$A$14:$C$21,3,FALSE)</f>
        <v>#DIV/0!</v>
      </c>
      <c r="S242" s="242">
        <f>IF(M242&gt;0,M242*J242/Y242,0)*VLOOKUP(B242,'2-Kosten per locatie'!$A$14:$C$21,3,FALSE)</f>
        <v>0</v>
      </c>
      <c r="T242" s="242">
        <f>IF(N242&gt;0,N242*J242/Z242,0)*VLOOKUP(B242,'2-Kosten per locatie'!$A$14:$C$21,3,FALSE)</f>
        <v>0</v>
      </c>
      <c r="U242" s="242">
        <f>IF(O242&gt;0,O242*J242/AA242,0)*VLOOKUP(B242,'2-Kosten per locatie'!$A$14:$C$21,3,FALSE)</f>
        <v>0</v>
      </c>
      <c r="V242" s="242">
        <f>IF(P242&gt;0,P242*J242/Z242,0)*VLOOKUP(B242,'2-Kosten per locatie'!$A$14:$C$21,3,FALSE)</f>
        <v>0</v>
      </c>
      <c r="W242" s="242">
        <f>IF(Q242&gt;0,Q242*J242/AA242,0)*VLOOKUP(B242,'2-Kosten per locatie'!$A$14:$C$21,3,FALSE)</f>
        <v>0</v>
      </c>
      <c r="X242" s="315">
        <f>IF(L242="nio",0,IF(L242&gt;0,VLOOKUP(H242,'3-Productie normen'!A:K,VLOOKUP(L242,'3-Productie normen'!$B$36:$C$42,2,FALSE),FALSE)))</f>
        <v>0</v>
      </c>
      <c r="Y242" s="315">
        <f t="shared" si="35"/>
        <v>0</v>
      </c>
      <c r="Z242" s="315">
        <f t="shared" si="36"/>
        <v>0</v>
      </c>
      <c r="AA242" s="315">
        <f t="shared" si="37"/>
        <v>0</v>
      </c>
      <c r="AB242" s="316" t="s">
        <v>659</v>
      </c>
      <c r="AD242" s="317">
        <f t="shared" si="38"/>
        <v>11096.65</v>
      </c>
    </row>
    <row r="243" spans="1:30" ht="14.1" hidden="1" customHeight="1">
      <c r="A243" s="74">
        <v>243</v>
      </c>
      <c r="B243" s="277" t="s">
        <v>457</v>
      </c>
      <c r="C243" s="277" t="s">
        <v>565</v>
      </c>
      <c r="D243" s="277" t="s">
        <v>566</v>
      </c>
      <c r="E243" s="311" t="s">
        <v>419</v>
      </c>
      <c r="F243" s="312" t="s">
        <v>374</v>
      </c>
      <c r="G243" s="70" t="s">
        <v>567</v>
      </c>
      <c r="H243" s="296" t="s">
        <v>657</v>
      </c>
      <c r="I243" s="70" t="s">
        <v>255</v>
      </c>
      <c r="J243" s="313">
        <v>52.8</v>
      </c>
      <c r="K243" s="314">
        <f t="shared" si="34"/>
        <v>205</v>
      </c>
      <c r="L243" s="243">
        <v>205</v>
      </c>
      <c r="M243" s="243"/>
      <c r="N243" s="243"/>
      <c r="O243" s="243"/>
      <c r="P243" s="243"/>
      <c r="Q243" s="243"/>
      <c r="R243" s="242" t="e">
        <f>IF(L243="nio",0,IF(L243&gt;0,L243*J243/X243,0))*VLOOKUP(B243,'2-Kosten per locatie'!$A$14:$C$21,3,FALSE)</f>
        <v>#DIV/0!</v>
      </c>
      <c r="S243" s="242">
        <f>IF(M243&gt;0,M243*J243/Y243,0)*VLOOKUP(B243,'2-Kosten per locatie'!$A$14:$C$21,3,FALSE)</f>
        <v>0</v>
      </c>
      <c r="T243" s="242">
        <f>IF(N243&gt;0,N243*J243/Z243,0)*VLOOKUP(B243,'2-Kosten per locatie'!$A$14:$C$21,3,FALSE)</f>
        <v>0</v>
      </c>
      <c r="U243" s="242">
        <f>IF(O243&gt;0,O243*J243/AA243,0)*VLOOKUP(B243,'2-Kosten per locatie'!$A$14:$C$21,3,FALSE)</f>
        <v>0</v>
      </c>
      <c r="V243" s="242">
        <f>IF(P243&gt;0,P243*J243/Z243,0)*VLOOKUP(B243,'2-Kosten per locatie'!$A$14:$C$21,3,FALSE)</f>
        <v>0</v>
      </c>
      <c r="W243" s="242">
        <f>IF(Q243&gt;0,Q243*J243/AA243,0)*VLOOKUP(B243,'2-Kosten per locatie'!$A$14:$C$21,3,FALSE)</f>
        <v>0</v>
      </c>
      <c r="X243" s="315">
        <f>IF(L243="nio",0,IF(L243&gt;0,VLOOKUP(H243,'3-Productie normen'!A:K,VLOOKUP(L243,'3-Productie normen'!$B$36:$C$42,2,FALSE),FALSE)))</f>
        <v>0</v>
      </c>
      <c r="Y243" s="315">
        <f t="shared" si="35"/>
        <v>0</v>
      </c>
      <c r="Z243" s="315">
        <f t="shared" si="36"/>
        <v>0</v>
      </c>
      <c r="AA243" s="315">
        <f t="shared" si="37"/>
        <v>0</v>
      </c>
      <c r="AB243" s="316" t="s">
        <v>659</v>
      </c>
      <c r="AD243" s="317">
        <f t="shared" si="38"/>
        <v>10824</v>
      </c>
    </row>
    <row r="244" spans="1:30" ht="14.1" hidden="1" customHeight="1">
      <c r="A244" s="74">
        <v>244</v>
      </c>
      <c r="B244" s="277" t="s">
        <v>457</v>
      </c>
      <c r="C244" s="277" t="s">
        <v>565</v>
      </c>
      <c r="D244" s="277" t="s">
        <v>566</v>
      </c>
      <c r="E244" s="311" t="s">
        <v>419</v>
      </c>
      <c r="F244" s="312" t="s">
        <v>376</v>
      </c>
      <c r="G244" s="70" t="s">
        <v>567</v>
      </c>
      <c r="H244" s="296" t="s">
        <v>657</v>
      </c>
      <c r="I244" s="70" t="s">
        <v>255</v>
      </c>
      <c r="J244" s="313">
        <v>53.91</v>
      </c>
      <c r="K244" s="314">
        <f t="shared" si="34"/>
        <v>205</v>
      </c>
      <c r="L244" s="243">
        <v>205</v>
      </c>
      <c r="M244" s="243"/>
      <c r="N244" s="243"/>
      <c r="O244" s="243"/>
      <c r="P244" s="243"/>
      <c r="Q244" s="243"/>
      <c r="R244" s="242" t="e">
        <f>IF(L244="nio",0,IF(L244&gt;0,L244*J244/X244,0))*VLOOKUP(B244,'2-Kosten per locatie'!$A$14:$C$21,3,FALSE)</f>
        <v>#DIV/0!</v>
      </c>
      <c r="S244" s="242">
        <f>IF(M244&gt;0,M244*J244/Y244,0)*VLOOKUP(B244,'2-Kosten per locatie'!$A$14:$C$21,3,FALSE)</f>
        <v>0</v>
      </c>
      <c r="T244" s="242">
        <f>IF(N244&gt;0,N244*J244/Z244,0)*VLOOKUP(B244,'2-Kosten per locatie'!$A$14:$C$21,3,FALSE)</f>
        <v>0</v>
      </c>
      <c r="U244" s="242">
        <f>IF(O244&gt;0,O244*J244/AA244,0)*VLOOKUP(B244,'2-Kosten per locatie'!$A$14:$C$21,3,FALSE)</f>
        <v>0</v>
      </c>
      <c r="V244" s="242">
        <f>IF(P244&gt;0,P244*J244/Z244,0)*VLOOKUP(B244,'2-Kosten per locatie'!$A$14:$C$21,3,FALSE)</f>
        <v>0</v>
      </c>
      <c r="W244" s="242">
        <f>IF(Q244&gt;0,Q244*J244/AA244,0)*VLOOKUP(B244,'2-Kosten per locatie'!$A$14:$C$21,3,FALSE)</f>
        <v>0</v>
      </c>
      <c r="X244" s="315">
        <f>IF(L244="nio",0,IF(L244&gt;0,VLOOKUP(H244,'3-Productie normen'!A:K,VLOOKUP(L244,'3-Productie normen'!$B$36:$C$42,2,FALSE),FALSE)))</f>
        <v>0</v>
      </c>
      <c r="Y244" s="315">
        <f t="shared" si="35"/>
        <v>0</v>
      </c>
      <c r="Z244" s="315">
        <f t="shared" si="36"/>
        <v>0</v>
      </c>
      <c r="AA244" s="315">
        <f t="shared" si="37"/>
        <v>0</v>
      </c>
      <c r="AB244" s="316" t="s">
        <v>659</v>
      </c>
      <c r="AD244" s="317">
        <f t="shared" si="38"/>
        <v>11051.55</v>
      </c>
    </row>
    <row r="245" spans="1:30" ht="14.1" hidden="1" customHeight="1">
      <c r="A245" s="74">
        <v>245</v>
      </c>
      <c r="B245" s="277" t="s">
        <v>457</v>
      </c>
      <c r="C245" s="277" t="s">
        <v>565</v>
      </c>
      <c r="D245" s="277" t="s">
        <v>566</v>
      </c>
      <c r="E245" s="311" t="s">
        <v>419</v>
      </c>
      <c r="F245" s="312" t="s">
        <v>377</v>
      </c>
      <c r="G245" s="70" t="s">
        <v>568</v>
      </c>
      <c r="H245" s="296" t="s">
        <v>657</v>
      </c>
      <c r="I245" s="70" t="s">
        <v>255</v>
      </c>
      <c r="J245" s="313">
        <v>153.06</v>
      </c>
      <c r="K245" s="314">
        <f t="shared" si="34"/>
        <v>205</v>
      </c>
      <c r="L245" s="243">
        <v>205</v>
      </c>
      <c r="M245" s="243"/>
      <c r="N245" s="243"/>
      <c r="O245" s="243"/>
      <c r="P245" s="243"/>
      <c r="Q245" s="243"/>
      <c r="R245" s="242" t="e">
        <f>IF(L245="nio",0,IF(L245&gt;0,L245*J245/X245,0))*VLOOKUP(B245,'2-Kosten per locatie'!$A$14:$C$21,3,FALSE)</f>
        <v>#DIV/0!</v>
      </c>
      <c r="S245" s="242">
        <f>IF(M245&gt;0,M245*J245/Y245,0)*VLOOKUP(B245,'2-Kosten per locatie'!$A$14:$C$21,3,FALSE)</f>
        <v>0</v>
      </c>
      <c r="T245" s="242">
        <f>IF(N245&gt;0,N245*J245/Z245,0)*VLOOKUP(B245,'2-Kosten per locatie'!$A$14:$C$21,3,FALSE)</f>
        <v>0</v>
      </c>
      <c r="U245" s="242">
        <f>IF(O245&gt;0,O245*J245/AA245,0)*VLOOKUP(B245,'2-Kosten per locatie'!$A$14:$C$21,3,FALSE)</f>
        <v>0</v>
      </c>
      <c r="V245" s="242">
        <f>IF(P245&gt;0,P245*J245/Z245,0)*VLOOKUP(B245,'2-Kosten per locatie'!$A$14:$C$21,3,FALSE)</f>
        <v>0</v>
      </c>
      <c r="W245" s="242">
        <f>IF(Q245&gt;0,Q245*J245/AA245,0)*VLOOKUP(B245,'2-Kosten per locatie'!$A$14:$C$21,3,FALSE)</f>
        <v>0</v>
      </c>
      <c r="X245" s="315">
        <f>IF(L245="nio",0,IF(L245&gt;0,VLOOKUP(H245,'3-Productie normen'!A:K,VLOOKUP(L245,'3-Productie normen'!$B$36:$C$42,2,FALSE),FALSE)))</f>
        <v>0</v>
      </c>
      <c r="Y245" s="315">
        <f t="shared" si="35"/>
        <v>0</v>
      </c>
      <c r="Z245" s="315">
        <f t="shared" si="36"/>
        <v>0</v>
      </c>
      <c r="AA245" s="315">
        <f t="shared" si="37"/>
        <v>0</v>
      </c>
      <c r="AB245" s="316" t="s">
        <v>660</v>
      </c>
      <c r="AD245" s="317">
        <f t="shared" si="38"/>
        <v>31377.3</v>
      </c>
    </row>
    <row r="246" spans="1:30" ht="14.1" hidden="1" customHeight="1">
      <c r="A246" s="74">
        <v>246</v>
      </c>
      <c r="B246" s="277" t="s">
        <v>457</v>
      </c>
      <c r="C246" s="277" t="s">
        <v>565</v>
      </c>
      <c r="D246" s="277" t="s">
        <v>566</v>
      </c>
      <c r="E246" s="311" t="s">
        <v>419</v>
      </c>
      <c r="F246" s="312" t="s">
        <v>379</v>
      </c>
      <c r="G246" s="70" t="s">
        <v>569</v>
      </c>
      <c r="H246" s="296" t="s">
        <v>657</v>
      </c>
      <c r="I246" s="70" t="s">
        <v>255</v>
      </c>
      <c r="J246" s="313">
        <v>58.87</v>
      </c>
      <c r="K246" s="314">
        <f t="shared" si="34"/>
        <v>205</v>
      </c>
      <c r="L246" s="243">
        <v>205</v>
      </c>
      <c r="M246" s="243"/>
      <c r="N246" s="243"/>
      <c r="O246" s="243"/>
      <c r="P246" s="243"/>
      <c r="Q246" s="243"/>
      <c r="R246" s="242" t="e">
        <f>IF(L246="nio",0,IF(L246&gt;0,L246*J246/X246,0))*VLOOKUP(B246,'2-Kosten per locatie'!$A$14:$C$21,3,FALSE)</f>
        <v>#DIV/0!</v>
      </c>
      <c r="S246" s="242">
        <f>IF(M246&gt;0,M246*J246/Y246,0)*VLOOKUP(B246,'2-Kosten per locatie'!$A$14:$C$21,3,FALSE)</f>
        <v>0</v>
      </c>
      <c r="T246" s="242">
        <f>IF(N246&gt;0,N246*J246/Z246,0)*VLOOKUP(B246,'2-Kosten per locatie'!$A$14:$C$21,3,FALSE)</f>
        <v>0</v>
      </c>
      <c r="U246" s="242">
        <f>IF(O246&gt;0,O246*J246/AA246,0)*VLOOKUP(B246,'2-Kosten per locatie'!$A$14:$C$21,3,FALSE)</f>
        <v>0</v>
      </c>
      <c r="V246" s="242">
        <f>IF(P246&gt;0,P246*J246/Z246,0)*VLOOKUP(B246,'2-Kosten per locatie'!$A$14:$C$21,3,FALSE)</f>
        <v>0</v>
      </c>
      <c r="W246" s="242">
        <f>IF(Q246&gt;0,Q246*J246/AA246,0)*VLOOKUP(B246,'2-Kosten per locatie'!$A$14:$C$21,3,FALSE)</f>
        <v>0</v>
      </c>
      <c r="X246" s="315">
        <f>IF(L246="nio",0,IF(L246&gt;0,VLOOKUP(H246,'3-Productie normen'!A:K,VLOOKUP(L246,'3-Productie normen'!$B$36:$C$42,2,FALSE),FALSE)))</f>
        <v>0</v>
      </c>
      <c r="Y246" s="315">
        <f t="shared" si="35"/>
        <v>0</v>
      </c>
      <c r="Z246" s="315">
        <f t="shared" si="36"/>
        <v>0</v>
      </c>
      <c r="AA246" s="315">
        <f t="shared" si="37"/>
        <v>0</v>
      </c>
      <c r="AB246" s="316" t="s">
        <v>659</v>
      </c>
      <c r="AD246" s="317">
        <f t="shared" si="38"/>
        <v>12068.35</v>
      </c>
    </row>
    <row r="247" spans="1:30" ht="14.1" hidden="1" customHeight="1">
      <c r="A247" s="74">
        <v>247</v>
      </c>
      <c r="B247" s="277" t="s">
        <v>457</v>
      </c>
      <c r="C247" s="277" t="s">
        <v>565</v>
      </c>
      <c r="D247" s="277" t="s">
        <v>566</v>
      </c>
      <c r="E247" s="311" t="s">
        <v>419</v>
      </c>
      <c r="F247" s="312" t="s">
        <v>381</v>
      </c>
      <c r="G247" s="70" t="s">
        <v>570</v>
      </c>
      <c r="H247" s="296" t="s">
        <v>657</v>
      </c>
      <c r="I247" s="70" t="s">
        <v>255</v>
      </c>
      <c r="J247" s="313">
        <v>113</v>
      </c>
      <c r="K247" s="314">
        <f t="shared" si="34"/>
        <v>205</v>
      </c>
      <c r="L247" s="243">
        <v>205</v>
      </c>
      <c r="M247" s="243"/>
      <c r="N247" s="243"/>
      <c r="O247" s="243"/>
      <c r="P247" s="243"/>
      <c r="Q247" s="243"/>
      <c r="R247" s="242" t="e">
        <f>IF(L247="nio",0,IF(L247&gt;0,L247*J247/X247,0))*VLOOKUP(B247,'2-Kosten per locatie'!$A$14:$C$21,3,FALSE)</f>
        <v>#DIV/0!</v>
      </c>
      <c r="S247" s="242">
        <f>IF(M247&gt;0,M247*J247/Y247,0)*VLOOKUP(B247,'2-Kosten per locatie'!$A$14:$C$21,3,FALSE)</f>
        <v>0</v>
      </c>
      <c r="T247" s="242">
        <f>IF(N247&gt;0,N247*J247/Z247,0)*VLOOKUP(B247,'2-Kosten per locatie'!$A$14:$C$21,3,FALSE)</f>
        <v>0</v>
      </c>
      <c r="U247" s="242">
        <f>IF(O247&gt;0,O247*J247/AA247,0)*VLOOKUP(B247,'2-Kosten per locatie'!$A$14:$C$21,3,FALSE)</f>
        <v>0</v>
      </c>
      <c r="V247" s="242">
        <f>IF(P247&gt;0,P247*J247/Z247,0)*VLOOKUP(B247,'2-Kosten per locatie'!$A$14:$C$21,3,FALSE)</f>
        <v>0</v>
      </c>
      <c r="W247" s="242">
        <f>IF(Q247&gt;0,Q247*J247/AA247,0)*VLOOKUP(B247,'2-Kosten per locatie'!$A$14:$C$21,3,FALSE)</f>
        <v>0</v>
      </c>
      <c r="X247" s="315">
        <f>IF(L247="nio",0,IF(L247&gt;0,VLOOKUP(H247,'3-Productie normen'!A:K,VLOOKUP(L247,'3-Productie normen'!$B$36:$C$42,2,FALSE),FALSE)))</f>
        <v>0</v>
      </c>
      <c r="Y247" s="315">
        <f t="shared" si="35"/>
        <v>0</v>
      </c>
      <c r="Z247" s="315">
        <f t="shared" si="36"/>
        <v>0</v>
      </c>
      <c r="AA247" s="315">
        <f t="shared" si="37"/>
        <v>0</v>
      </c>
      <c r="AB247" s="316" t="s">
        <v>659</v>
      </c>
      <c r="AD247" s="317">
        <f t="shared" si="38"/>
        <v>23165</v>
      </c>
    </row>
    <row r="248" spans="1:30" ht="14.1" hidden="1" customHeight="1">
      <c r="A248" s="74">
        <v>248</v>
      </c>
      <c r="B248" s="277" t="s">
        <v>457</v>
      </c>
      <c r="C248" s="277" t="s">
        <v>565</v>
      </c>
      <c r="D248" s="277" t="s">
        <v>566</v>
      </c>
      <c r="E248" s="311" t="s">
        <v>419</v>
      </c>
      <c r="F248" s="312" t="s">
        <v>382</v>
      </c>
      <c r="G248" s="277" t="s">
        <v>571</v>
      </c>
      <c r="H248" s="296" t="s">
        <v>657</v>
      </c>
      <c r="I248" s="70" t="s">
        <v>255</v>
      </c>
      <c r="J248" s="313">
        <v>32.979999999999997</v>
      </c>
      <c r="K248" s="314">
        <f t="shared" si="34"/>
        <v>255</v>
      </c>
      <c r="L248" s="243">
        <v>255</v>
      </c>
      <c r="M248" s="243"/>
      <c r="N248" s="243"/>
      <c r="O248" s="243"/>
      <c r="P248" s="243"/>
      <c r="Q248" s="243"/>
      <c r="R248" s="242" t="e">
        <f>IF(L248="nio",0,IF(L248&gt;0,L248*J248/X248,0))*VLOOKUP(B248,'2-Kosten per locatie'!$A$14:$C$21,3,FALSE)</f>
        <v>#DIV/0!</v>
      </c>
      <c r="S248" s="242">
        <f>IF(M248&gt;0,M248*J248/Y248,0)*VLOOKUP(B248,'2-Kosten per locatie'!$A$14:$C$21,3,FALSE)</f>
        <v>0</v>
      </c>
      <c r="T248" s="242">
        <f>IF(N248&gt;0,N248*J248/Z248,0)*VLOOKUP(B248,'2-Kosten per locatie'!$A$14:$C$21,3,FALSE)</f>
        <v>0</v>
      </c>
      <c r="U248" s="242">
        <f>IF(O248&gt;0,O248*J248/AA248,0)*VLOOKUP(B248,'2-Kosten per locatie'!$A$14:$C$21,3,FALSE)</f>
        <v>0</v>
      </c>
      <c r="V248" s="242">
        <f>IF(P248&gt;0,P248*J248/Z248,0)*VLOOKUP(B248,'2-Kosten per locatie'!$A$14:$C$21,3,FALSE)</f>
        <v>0</v>
      </c>
      <c r="W248" s="242">
        <f>IF(Q248&gt;0,Q248*J248/AA248,0)*VLOOKUP(B248,'2-Kosten per locatie'!$A$14:$C$21,3,FALSE)</f>
        <v>0</v>
      </c>
      <c r="X248" s="315">
        <f>IF(L248="nio",0,IF(L248&gt;0,VLOOKUP(H248,'3-Productie normen'!A:K,VLOOKUP(L248,'3-Productie normen'!$B$36:$C$42,2,FALSE),FALSE)))</f>
        <v>0</v>
      </c>
      <c r="Y248" s="315">
        <f t="shared" si="35"/>
        <v>0</v>
      </c>
      <c r="Z248" s="315">
        <f t="shared" si="36"/>
        <v>0</v>
      </c>
      <c r="AA248" s="315">
        <f t="shared" si="37"/>
        <v>0</v>
      </c>
      <c r="AB248" s="316" t="s">
        <v>660</v>
      </c>
      <c r="AD248" s="317">
        <f t="shared" si="38"/>
        <v>8409.9</v>
      </c>
    </row>
    <row r="249" spans="1:30" ht="14.1" hidden="1" customHeight="1">
      <c r="A249" s="74">
        <v>249</v>
      </c>
      <c r="B249" s="277" t="s">
        <v>457</v>
      </c>
      <c r="C249" s="277" t="s">
        <v>565</v>
      </c>
      <c r="D249" s="277" t="s">
        <v>566</v>
      </c>
      <c r="E249" s="311" t="s">
        <v>419</v>
      </c>
      <c r="F249" s="312" t="s">
        <v>384</v>
      </c>
      <c r="G249" s="277" t="s">
        <v>434</v>
      </c>
      <c r="H249" s="277" t="s">
        <v>54</v>
      </c>
      <c r="I249" s="70" t="s">
        <v>255</v>
      </c>
      <c r="J249" s="313">
        <v>9</v>
      </c>
      <c r="K249" s="314">
        <f t="shared" si="34"/>
        <v>255</v>
      </c>
      <c r="L249" s="243">
        <v>255</v>
      </c>
      <c r="M249" s="243"/>
      <c r="N249" s="243"/>
      <c r="O249" s="243"/>
      <c r="P249" s="243"/>
      <c r="Q249" s="243"/>
      <c r="R249" s="242" t="e">
        <f>IF(L249="nio",0,IF(L249&gt;0,L249*J249/X249,0))*VLOOKUP(B249,'2-Kosten per locatie'!$A$14:$C$21,3,FALSE)</f>
        <v>#DIV/0!</v>
      </c>
      <c r="S249" s="242">
        <f>IF(M249&gt;0,M249*J249/Y249,0)*VLOOKUP(B249,'2-Kosten per locatie'!$A$14:$C$21,3,FALSE)</f>
        <v>0</v>
      </c>
      <c r="T249" s="242">
        <f>IF(N249&gt;0,N249*J249/Z249,0)*VLOOKUP(B249,'2-Kosten per locatie'!$A$14:$C$21,3,FALSE)</f>
        <v>0</v>
      </c>
      <c r="U249" s="242">
        <f>IF(O249&gt;0,O249*J249/AA249,0)*VLOOKUP(B249,'2-Kosten per locatie'!$A$14:$C$21,3,FALSE)</f>
        <v>0</v>
      </c>
      <c r="V249" s="242">
        <f>IF(P249&gt;0,P249*J249/Z249,0)*VLOOKUP(B249,'2-Kosten per locatie'!$A$14:$C$21,3,FALSE)</f>
        <v>0</v>
      </c>
      <c r="W249" s="242">
        <f>IF(Q249&gt;0,Q249*J249/AA249,0)*VLOOKUP(B249,'2-Kosten per locatie'!$A$14:$C$21,3,FALSE)</f>
        <v>0</v>
      </c>
      <c r="X249" s="315">
        <f>IF(L249="nio",0,IF(L249&gt;0,VLOOKUP(H249,'3-Productie normen'!A:K,VLOOKUP(L249,'3-Productie normen'!$B$36:$C$42,2,FALSE),FALSE)))</f>
        <v>0</v>
      </c>
      <c r="Y249" s="315">
        <f t="shared" ref="Y249:Y280" si="39">IF(M249&gt;0,X249*$Y$8,0)</f>
        <v>0</v>
      </c>
      <c r="Z249" s="315">
        <f t="shared" ref="Z249:Z280" si="40">IF((OR(N249&gt;0,P249&gt;0)),X249*$Z$8,0)</f>
        <v>0</v>
      </c>
      <c r="AA249" s="315">
        <f t="shared" ref="AA249:AA280" si="41">IF((OR(O249&gt;0,Q249&gt;0)),X249*$AA$8,0)</f>
        <v>0</v>
      </c>
      <c r="AB249" s="316" t="s">
        <v>660</v>
      </c>
      <c r="AD249" s="317">
        <f t="shared" ref="AD249:AD280" si="42">K249*J249</f>
        <v>2295</v>
      </c>
    </row>
    <row r="250" spans="1:30" ht="14.1" hidden="1" customHeight="1">
      <c r="A250" s="74">
        <v>250</v>
      </c>
      <c r="B250" s="277" t="s">
        <v>457</v>
      </c>
      <c r="C250" s="277" t="s">
        <v>565</v>
      </c>
      <c r="D250" s="277" t="s">
        <v>566</v>
      </c>
      <c r="E250" s="311" t="s">
        <v>419</v>
      </c>
      <c r="F250" s="312" t="s">
        <v>386</v>
      </c>
      <c r="G250" s="277" t="s">
        <v>572</v>
      </c>
      <c r="H250" s="277" t="s">
        <v>60</v>
      </c>
      <c r="I250" s="70" t="s">
        <v>442</v>
      </c>
      <c r="J250" s="313">
        <v>11.75</v>
      </c>
      <c r="K250" s="314">
        <f t="shared" si="34"/>
        <v>255</v>
      </c>
      <c r="L250" s="243">
        <v>255</v>
      </c>
      <c r="M250" s="243"/>
      <c r="N250" s="243"/>
      <c r="O250" s="243"/>
      <c r="P250" s="243"/>
      <c r="Q250" s="243"/>
      <c r="R250" s="242" t="e">
        <f>IF(L250="nio",0,IF(L250&gt;0,L250*J250/X250,0))*VLOOKUP(B250,'2-Kosten per locatie'!$A$14:$C$21,3,FALSE)</f>
        <v>#DIV/0!</v>
      </c>
      <c r="S250" s="242">
        <f>IF(M250&gt;0,M250*J250/Y250,0)*VLOOKUP(B250,'2-Kosten per locatie'!$A$14:$C$21,3,FALSE)</f>
        <v>0</v>
      </c>
      <c r="T250" s="242">
        <f>IF(N250&gt;0,N250*J250/Z250,0)*VLOOKUP(B250,'2-Kosten per locatie'!$A$14:$C$21,3,FALSE)</f>
        <v>0</v>
      </c>
      <c r="U250" s="242">
        <f>IF(O250&gt;0,O250*J250/AA250,0)*VLOOKUP(B250,'2-Kosten per locatie'!$A$14:$C$21,3,FALSE)</f>
        <v>0</v>
      </c>
      <c r="V250" s="242">
        <f>IF(P250&gt;0,P250*J250/Z250,0)*VLOOKUP(B250,'2-Kosten per locatie'!$A$14:$C$21,3,FALSE)</f>
        <v>0</v>
      </c>
      <c r="W250" s="242">
        <f>IF(Q250&gt;0,Q250*J250/AA250,0)*VLOOKUP(B250,'2-Kosten per locatie'!$A$14:$C$21,3,FALSE)</f>
        <v>0</v>
      </c>
      <c r="X250" s="315">
        <f>IF(L250="nio",0,IF(L250&gt;0,VLOOKUP(H250,'3-Productie normen'!A:K,VLOOKUP(L250,'3-Productie normen'!$B$36:$C$42,2,FALSE),FALSE)))</f>
        <v>0</v>
      </c>
      <c r="Y250" s="315">
        <f t="shared" si="39"/>
        <v>0</v>
      </c>
      <c r="Z250" s="315">
        <f t="shared" si="40"/>
        <v>0</v>
      </c>
      <c r="AA250" s="315">
        <f t="shared" si="41"/>
        <v>0</v>
      </c>
      <c r="AB250" s="316" t="s">
        <v>660</v>
      </c>
      <c r="AD250" s="317">
        <f t="shared" si="42"/>
        <v>2996.25</v>
      </c>
    </row>
    <row r="251" spans="1:30" ht="14.1" hidden="1" customHeight="1">
      <c r="A251" s="74">
        <v>251</v>
      </c>
      <c r="B251" s="277" t="s">
        <v>457</v>
      </c>
      <c r="C251" s="277" t="s">
        <v>565</v>
      </c>
      <c r="D251" s="277" t="s">
        <v>566</v>
      </c>
      <c r="E251" s="311" t="s">
        <v>419</v>
      </c>
      <c r="F251" s="312" t="s">
        <v>388</v>
      </c>
      <c r="G251" s="70" t="s">
        <v>573</v>
      </c>
      <c r="H251" s="70" t="s">
        <v>56</v>
      </c>
      <c r="I251" s="70" t="s">
        <v>255</v>
      </c>
      <c r="J251" s="313">
        <v>5.37</v>
      </c>
      <c r="K251" s="314">
        <f t="shared" si="34"/>
        <v>255</v>
      </c>
      <c r="L251" s="243">
        <v>255</v>
      </c>
      <c r="M251" s="243"/>
      <c r="N251" s="243"/>
      <c r="O251" s="243"/>
      <c r="P251" s="243"/>
      <c r="Q251" s="243"/>
      <c r="R251" s="242" t="e">
        <f>IF(L251="nio",0,IF(L251&gt;0,L251*J251/X251,0))*VLOOKUP(B251,'2-Kosten per locatie'!$A$14:$C$21,3,FALSE)</f>
        <v>#DIV/0!</v>
      </c>
      <c r="S251" s="242">
        <f>IF(M251&gt;0,M251*J251/Y251,0)*VLOOKUP(B251,'2-Kosten per locatie'!$A$14:$C$21,3,FALSE)</f>
        <v>0</v>
      </c>
      <c r="T251" s="242">
        <f>IF(N251&gt;0,N251*J251/Z251,0)*VLOOKUP(B251,'2-Kosten per locatie'!$A$14:$C$21,3,FALSE)</f>
        <v>0</v>
      </c>
      <c r="U251" s="242">
        <f>IF(O251&gt;0,O251*J251/AA251,0)*VLOOKUP(B251,'2-Kosten per locatie'!$A$14:$C$21,3,FALSE)</f>
        <v>0</v>
      </c>
      <c r="V251" s="242">
        <f>IF(P251&gt;0,P251*J251/Z251,0)*VLOOKUP(B251,'2-Kosten per locatie'!$A$14:$C$21,3,FALSE)</f>
        <v>0</v>
      </c>
      <c r="W251" s="242">
        <f>IF(Q251&gt;0,Q251*J251/AA251,0)*VLOOKUP(B251,'2-Kosten per locatie'!$A$14:$C$21,3,FALSE)</f>
        <v>0</v>
      </c>
      <c r="X251" s="315">
        <f>IF(L251="nio",0,IF(L251&gt;0,VLOOKUP(H251,'3-Productie normen'!A:K,VLOOKUP(L251,'3-Productie normen'!$B$36:$C$42,2,FALSE),FALSE)))</f>
        <v>0</v>
      </c>
      <c r="Y251" s="315">
        <f t="shared" si="39"/>
        <v>0</v>
      </c>
      <c r="Z251" s="315">
        <f t="shared" si="40"/>
        <v>0</v>
      </c>
      <c r="AA251" s="315">
        <f t="shared" si="41"/>
        <v>0</v>
      </c>
      <c r="AB251" s="316" t="s">
        <v>660</v>
      </c>
      <c r="AD251" s="317">
        <f t="shared" si="42"/>
        <v>1369.3500000000001</v>
      </c>
    </row>
    <row r="252" spans="1:30" ht="14.1" hidden="1" customHeight="1">
      <c r="A252" s="74">
        <v>252</v>
      </c>
      <c r="B252" s="277" t="s">
        <v>457</v>
      </c>
      <c r="C252" s="277" t="s">
        <v>565</v>
      </c>
      <c r="D252" s="277" t="s">
        <v>566</v>
      </c>
      <c r="E252" s="311" t="s">
        <v>419</v>
      </c>
      <c r="F252" s="312" t="s">
        <v>390</v>
      </c>
      <c r="G252" s="70" t="s">
        <v>290</v>
      </c>
      <c r="H252" s="70" t="s">
        <v>52</v>
      </c>
      <c r="I252" s="70" t="s">
        <v>261</v>
      </c>
      <c r="J252" s="313">
        <v>2.3199999999999998</v>
      </c>
      <c r="K252" s="314">
        <f t="shared" si="34"/>
        <v>255</v>
      </c>
      <c r="L252" s="243">
        <v>255</v>
      </c>
      <c r="M252" s="243"/>
      <c r="N252" s="243"/>
      <c r="O252" s="243"/>
      <c r="P252" s="243"/>
      <c r="Q252" s="243"/>
      <c r="R252" s="242" t="e">
        <f>IF(L252="nio",0,IF(L252&gt;0,L252*J252/X252,0))*VLOOKUP(B252,'2-Kosten per locatie'!$A$14:$C$21,3,FALSE)</f>
        <v>#DIV/0!</v>
      </c>
      <c r="S252" s="242">
        <f>IF(M252&gt;0,M252*J252/Y252,0)*VLOOKUP(B252,'2-Kosten per locatie'!$A$14:$C$21,3,FALSE)</f>
        <v>0</v>
      </c>
      <c r="T252" s="242">
        <f>IF(N252&gt;0,N252*J252/Z252,0)*VLOOKUP(B252,'2-Kosten per locatie'!$A$14:$C$21,3,FALSE)</f>
        <v>0</v>
      </c>
      <c r="U252" s="242">
        <f>IF(O252&gt;0,O252*J252/AA252,0)*VLOOKUP(B252,'2-Kosten per locatie'!$A$14:$C$21,3,FALSE)</f>
        <v>0</v>
      </c>
      <c r="V252" s="242">
        <f>IF(P252&gt;0,P252*J252/Z252,0)*VLOOKUP(B252,'2-Kosten per locatie'!$A$14:$C$21,3,FALSE)</f>
        <v>0</v>
      </c>
      <c r="W252" s="242">
        <f>IF(Q252&gt;0,Q252*J252/AA252,0)*VLOOKUP(B252,'2-Kosten per locatie'!$A$14:$C$21,3,FALSE)</f>
        <v>0</v>
      </c>
      <c r="X252" s="315">
        <f>IF(L252="nio",0,IF(L252&gt;0,VLOOKUP(H252,'3-Productie normen'!A:K,VLOOKUP(L252,'3-Productie normen'!$B$36:$C$42,2,FALSE),FALSE)))</f>
        <v>0</v>
      </c>
      <c r="Y252" s="315">
        <f t="shared" si="39"/>
        <v>0</v>
      </c>
      <c r="Z252" s="315">
        <f t="shared" si="40"/>
        <v>0</v>
      </c>
      <c r="AA252" s="315">
        <f t="shared" si="41"/>
        <v>0</v>
      </c>
      <c r="AB252" s="316" t="s">
        <v>660</v>
      </c>
      <c r="AD252" s="317">
        <f t="shared" si="42"/>
        <v>591.59999999999991</v>
      </c>
    </row>
    <row r="253" spans="1:30" ht="14.1" hidden="1" customHeight="1">
      <c r="A253" s="74">
        <v>253</v>
      </c>
      <c r="B253" s="277" t="s">
        <v>457</v>
      </c>
      <c r="C253" s="277" t="s">
        <v>565</v>
      </c>
      <c r="D253" s="277" t="s">
        <v>566</v>
      </c>
      <c r="E253" s="311" t="s">
        <v>419</v>
      </c>
      <c r="F253" s="312" t="s">
        <v>421</v>
      </c>
      <c r="G253" s="70" t="s">
        <v>574</v>
      </c>
      <c r="H253" s="70" t="s">
        <v>53</v>
      </c>
      <c r="I253" s="70" t="s">
        <v>255</v>
      </c>
      <c r="J253" s="313">
        <v>3.32</v>
      </c>
      <c r="K253" s="314">
        <f t="shared" si="34"/>
        <v>205</v>
      </c>
      <c r="L253" s="243">
        <v>205</v>
      </c>
      <c r="M253" s="243"/>
      <c r="N253" s="243"/>
      <c r="O253" s="243"/>
      <c r="P253" s="243"/>
      <c r="Q253" s="243"/>
      <c r="R253" s="242" t="e">
        <f>IF(L253="nio",0,IF(L253&gt;0,L253*J253/X253,0))*VLOOKUP(B253,'2-Kosten per locatie'!$A$14:$C$21,3,FALSE)</f>
        <v>#DIV/0!</v>
      </c>
      <c r="S253" s="242">
        <f>IF(M253&gt;0,M253*J253/Y253,0)*VLOOKUP(B253,'2-Kosten per locatie'!$A$14:$C$21,3,FALSE)</f>
        <v>0</v>
      </c>
      <c r="T253" s="242">
        <f>IF(N253&gt;0,N253*J253/Z253,0)*VLOOKUP(B253,'2-Kosten per locatie'!$A$14:$C$21,3,FALSE)</f>
        <v>0</v>
      </c>
      <c r="U253" s="242">
        <f>IF(O253&gt;0,O253*J253/AA253,0)*VLOOKUP(B253,'2-Kosten per locatie'!$A$14:$C$21,3,FALSE)</f>
        <v>0</v>
      </c>
      <c r="V253" s="242">
        <f>IF(P253&gt;0,P253*J253/Z253,0)*VLOOKUP(B253,'2-Kosten per locatie'!$A$14:$C$21,3,FALSE)</f>
        <v>0</v>
      </c>
      <c r="W253" s="242">
        <f>IF(Q253&gt;0,Q253*J253/AA253,0)*VLOOKUP(B253,'2-Kosten per locatie'!$A$14:$C$21,3,FALSE)</f>
        <v>0</v>
      </c>
      <c r="X253" s="315">
        <f>IF(L253="nio",0,IF(L253&gt;0,VLOOKUP(H253,'3-Productie normen'!A:K,VLOOKUP(L253,'3-Productie normen'!$B$36:$C$42,2,FALSE),FALSE)))</f>
        <v>0</v>
      </c>
      <c r="Y253" s="315">
        <f t="shared" si="39"/>
        <v>0</v>
      </c>
      <c r="Z253" s="315">
        <f t="shared" si="40"/>
        <v>0</v>
      </c>
      <c r="AA253" s="315">
        <f t="shared" si="41"/>
        <v>0</v>
      </c>
      <c r="AB253" s="316" t="s">
        <v>659</v>
      </c>
      <c r="AD253" s="317">
        <f t="shared" si="42"/>
        <v>680.6</v>
      </c>
    </row>
    <row r="254" spans="1:30" ht="14.1" hidden="1" customHeight="1">
      <c r="A254" s="74">
        <v>254</v>
      </c>
      <c r="B254" s="277" t="s">
        <v>457</v>
      </c>
      <c r="C254" s="277" t="s">
        <v>565</v>
      </c>
      <c r="D254" s="277" t="s">
        <v>566</v>
      </c>
      <c r="E254" s="311" t="s">
        <v>419</v>
      </c>
      <c r="F254" s="312" t="s">
        <v>422</v>
      </c>
      <c r="G254" s="70" t="s">
        <v>575</v>
      </c>
      <c r="H254" s="70" t="s">
        <v>58</v>
      </c>
      <c r="I254" s="70" t="s">
        <v>255</v>
      </c>
      <c r="J254" s="313">
        <v>5.96</v>
      </c>
      <c r="K254" s="314">
        <f t="shared" si="34"/>
        <v>205</v>
      </c>
      <c r="L254" s="243">
        <v>205</v>
      </c>
      <c r="M254" s="243"/>
      <c r="N254" s="243"/>
      <c r="O254" s="243"/>
      <c r="P254" s="243"/>
      <c r="Q254" s="243"/>
      <c r="R254" s="242" t="e">
        <f>IF(L254="nio",0,IF(L254&gt;0,L254*J254/X254,0))*VLOOKUP(B254,'2-Kosten per locatie'!$A$14:$C$21,3,FALSE)</f>
        <v>#DIV/0!</v>
      </c>
      <c r="S254" s="242">
        <f>IF(M254&gt;0,M254*J254/Y254,0)*VLOOKUP(B254,'2-Kosten per locatie'!$A$14:$C$21,3,FALSE)</f>
        <v>0</v>
      </c>
      <c r="T254" s="242">
        <f>IF(N254&gt;0,N254*J254/Z254,0)*VLOOKUP(B254,'2-Kosten per locatie'!$A$14:$C$21,3,FALSE)</f>
        <v>0</v>
      </c>
      <c r="U254" s="242">
        <f>IF(O254&gt;0,O254*J254/AA254,0)*VLOOKUP(B254,'2-Kosten per locatie'!$A$14:$C$21,3,FALSE)</f>
        <v>0</v>
      </c>
      <c r="V254" s="242">
        <f>IF(P254&gt;0,P254*J254/Z254,0)*VLOOKUP(B254,'2-Kosten per locatie'!$A$14:$C$21,3,FALSE)</f>
        <v>0</v>
      </c>
      <c r="W254" s="242">
        <f>IF(Q254&gt;0,Q254*J254/AA254,0)*VLOOKUP(B254,'2-Kosten per locatie'!$A$14:$C$21,3,FALSE)</f>
        <v>0</v>
      </c>
      <c r="X254" s="315">
        <f>IF(L254="nio",0,IF(L254&gt;0,VLOOKUP(H254,'3-Productie normen'!A:K,VLOOKUP(L254,'3-Productie normen'!$B$36:$C$42,2,FALSE),FALSE)))</f>
        <v>0</v>
      </c>
      <c r="Y254" s="315">
        <f t="shared" si="39"/>
        <v>0</v>
      </c>
      <c r="Z254" s="315">
        <f t="shared" si="40"/>
        <v>0</v>
      </c>
      <c r="AA254" s="315">
        <f t="shared" si="41"/>
        <v>0</v>
      </c>
      <c r="AB254" s="316" t="s">
        <v>659</v>
      </c>
      <c r="AD254" s="317">
        <f t="shared" si="42"/>
        <v>1221.8</v>
      </c>
    </row>
    <row r="255" spans="1:30" ht="14.1" hidden="1" customHeight="1">
      <c r="A255" s="74">
        <v>255</v>
      </c>
      <c r="B255" s="277" t="s">
        <v>457</v>
      </c>
      <c r="C255" s="277" t="s">
        <v>565</v>
      </c>
      <c r="D255" s="277" t="s">
        <v>566</v>
      </c>
      <c r="E255" s="311" t="s">
        <v>419</v>
      </c>
      <c r="F255" s="312" t="s">
        <v>423</v>
      </c>
      <c r="G255" s="320" t="s">
        <v>576</v>
      </c>
      <c r="H255" s="320" t="s">
        <v>52</v>
      </c>
      <c r="I255" s="70" t="s">
        <v>261</v>
      </c>
      <c r="J255" s="313">
        <v>1.24</v>
      </c>
      <c r="K255" s="314">
        <f t="shared" si="34"/>
        <v>205</v>
      </c>
      <c r="L255" s="243">
        <v>205</v>
      </c>
      <c r="M255" s="243"/>
      <c r="N255" s="243"/>
      <c r="O255" s="243"/>
      <c r="P255" s="243"/>
      <c r="Q255" s="243"/>
      <c r="R255" s="242" t="e">
        <f>IF(L255="nio",0,IF(L255&gt;0,L255*J255/X255,0))*VLOOKUP(B255,'2-Kosten per locatie'!$A$14:$C$21,3,FALSE)</f>
        <v>#DIV/0!</v>
      </c>
      <c r="S255" s="242">
        <f>IF(M255&gt;0,M255*J255/Y255,0)*VLOOKUP(B255,'2-Kosten per locatie'!$A$14:$C$21,3,FALSE)</f>
        <v>0</v>
      </c>
      <c r="T255" s="242">
        <f>IF(N255&gt;0,N255*J255/Z255,0)*VLOOKUP(B255,'2-Kosten per locatie'!$A$14:$C$21,3,FALSE)</f>
        <v>0</v>
      </c>
      <c r="U255" s="242">
        <f>IF(O255&gt;0,O255*J255/AA255,0)*VLOOKUP(B255,'2-Kosten per locatie'!$A$14:$C$21,3,FALSE)</f>
        <v>0</v>
      </c>
      <c r="V255" s="242">
        <f>IF(P255&gt;0,P255*J255/Z255,0)*VLOOKUP(B255,'2-Kosten per locatie'!$A$14:$C$21,3,FALSE)</f>
        <v>0</v>
      </c>
      <c r="W255" s="242">
        <f>IF(Q255&gt;0,Q255*J255/AA255,0)*VLOOKUP(B255,'2-Kosten per locatie'!$A$14:$C$21,3,FALSE)</f>
        <v>0</v>
      </c>
      <c r="X255" s="315">
        <f>IF(L255="nio",0,IF(L255&gt;0,VLOOKUP(H255,'3-Productie normen'!A:K,VLOOKUP(L255,'3-Productie normen'!$B$36:$C$42,2,FALSE),FALSE)))</f>
        <v>0</v>
      </c>
      <c r="Y255" s="315">
        <f t="shared" si="39"/>
        <v>0</v>
      </c>
      <c r="Z255" s="315">
        <f t="shared" si="40"/>
        <v>0</v>
      </c>
      <c r="AA255" s="315">
        <f t="shared" si="41"/>
        <v>0</v>
      </c>
      <c r="AB255" s="316" t="s">
        <v>660</v>
      </c>
      <c r="AD255" s="317">
        <f t="shared" si="42"/>
        <v>254.2</v>
      </c>
    </row>
    <row r="256" spans="1:30" ht="14.1" hidden="1" customHeight="1">
      <c r="A256" s="74">
        <v>256</v>
      </c>
      <c r="B256" s="277" t="s">
        <v>457</v>
      </c>
      <c r="C256" s="277" t="s">
        <v>565</v>
      </c>
      <c r="D256" s="277" t="s">
        <v>566</v>
      </c>
      <c r="E256" s="311" t="s">
        <v>419</v>
      </c>
      <c r="F256" s="312" t="s">
        <v>424</v>
      </c>
      <c r="G256" s="70" t="s">
        <v>473</v>
      </c>
      <c r="H256" s="70" t="s">
        <v>58</v>
      </c>
      <c r="I256" s="70" t="s">
        <v>255</v>
      </c>
      <c r="J256" s="313">
        <v>8.34</v>
      </c>
      <c r="K256" s="314">
        <f t="shared" si="34"/>
        <v>40</v>
      </c>
      <c r="L256" s="243">
        <v>40</v>
      </c>
      <c r="M256" s="243"/>
      <c r="N256" s="243"/>
      <c r="O256" s="243"/>
      <c r="P256" s="243"/>
      <c r="Q256" s="243"/>
      <c r="R256" s="242" t="e">
        <f>IF(L256="nio",0,IF(L256&gt;0,L256*J256/X256,0))*VLOOKUP(B256,'2-Kosten per locatie'!$A$14:$C$21,3,FALSE)</f>
        <v>#DIV/0!</v>
      </c>
      <c r="S256" s="242">
        <f>IF(M256&gt;0,M256*J256/Y256,0)*VLOOKUP(B256,'2-Kosten per locatie'!$A$14:$C$21,3,FALSE)</f>
        <v>0</v>
      </c>
      <c r="T256" s="242">
        <f>IF(N256&gt;0,N256*J256/Z256,0)*VLOOKUP(B256,'2-Kosten per locatie'!$A$14:$C$21,3,FALSE)</f>
        <v>0</v>
      </c>
      <c r="U256" s="242">
        <f>IF(O256&gt;0,O256*J256/AA256,0)*VLOOKUP(B256,'2-Kosten per locatie'!$A$14:$C$21,3,FALSE)</f>
        <v>0</v>
      </c>
      <c r="V256" s="242">
        <f>IF(P256&gt;0,P256*J256/Z256,0)*VLOOKUP(B256,'2-Kosten per locatie'!$A$14:$C$21,3,FALSE)</f>
        <v>0</v>
      </c>
      <c r="W256" s="242">
        <f>IF(Q256&gt;0,Q256*J256/AA256,0)*VLOOKUP(B256,'2-Kosten per locatie'!$A$14:$C$21,3,FALSE)</f>
        <v>0</v>
      </c>
      <c r="X256" s="315">
        <f>IF(L256="nio",0,IF(L256&gt;0,VLOOKUP(H256,'3-Productie normen'!A:K,VLOOKUP(L256,'3-Productie normen'!$B$36:$C$42,2,FALSE),FALSE)))</f>
        <v>0</v>
      </c>
      <c r="Y256" s="315">
        <f t="shared" si="39"/>
        <v>0</v>
      </c>
      <c r="Z256" s="315">
        <f t="shared" si="40"/>
        <v>0</v>
      </c>
      <c r="AA256" s="315">
        <f t="shared" si="41"/>
        <v>0</v>
      </c>
      <c r="AB256" s="316" t="s">
        <v>660</v>
      </c>
      <c r="AD256" s="317">
        <f t="shared" si="42"/>
        <v>333.6</v>
      </c>
    </row>
    <row r="257" spans="1:30" ht="14.1" hidden="1" customHeight="1">
      <c r="A257" s="74">
        <v>257</v>
      </c>
      <c r="B257" s="277" t="s">
        <v>457</v>
      </c>
      <c r="C257" s="277" t="s">
        <v>565</v>
      </c>
      <c r="D257" s="277" t="s">
        <v>566</v>
      </c>
      <c r="E257" s="311" t="s">
        <v>419</v>
      </c>
      <c r="F257" s="312" t="s">
        <v>425</v>
      </c>
      <c r="G257" s="84" t="s">
        <v>577</v>
      </c>
      <c r="H257" s="84" t="s">
        <v>411</v>
      </c>
      <c r="I257" s="70"/>
      <c r="J257" s="313"/>
      <c r="K257" s="314">
        <f t="shared" si="34"/>
        <v>0</v>
      </c>
      <c r="L257" s="243" t="s">
        <v>412</v>
      </c>
      <c r="M257" s="243"/>
      <c r="N257" s="243"/>
      <c r="O257" s="243"/>
      <c r="P257" s="243"/>
      <c r="Q257" s="243"/>
      <c r="R257" s="242">
        <f>IF(L257="nio",0,IF(L257&gt;0,L257*J257/X257,0))*VLOOKUP(B257,'2-Kosten per locatie'!$A$14:$C$21,3,FALSE)</f>
        <v>0</v>
      </c>
      <c r="S257" s="242">
        <f>IF(M257&gt;0,M257*J257/Y257,0)*VLOOKUP(B257,'2-Kosten per locatie'!$A$14:$C$21,3,FALSE)</f>
        <v>0</v>
      </c>
      <c r="T257" s="242">
        <f>IF(N257&gt;0,N257*J257/Z257,0)*VLOOKUP(B257,'2-Kosten per locatie'!$A$14:$C$21,3,FALSE)</f>
        <v>0</v>
      </c>
      <c r="U257" s="242">
        <f>IF(O257&gt;0,O257*J257/AA257,0)*VLOOKUP(B257,'2-Kosten per locatie'!$A$14:$C$21,3,FALSE)</f>
        <v>0</v>
      </c>
      <c r="V257" s="242">
        <f>IF(P257&gt;0,P257*J257/Z257,0)*VLOOKUP(B257,'2-Kosten per locatie'!$A$14:$C$21,3,FALSE)</f>
        <v>0</v>
      </c>
      <c r="W257" s="242">
        <f>IF(Q257&gt;0,Q257*J257/AA257,0)*VLOOKUP(B257,'2-Kosten per locatie'!$A$14:$C$21,3,FALSE)</f>
        <v>0</v>
      </c>
      <c r="X257" s="315">
        <f>IF(L257="nio",0,IF(L257&gt;0,VLOOKUP(H257,'3-Productie normen'!A:K,VLOOKUP(L257,'3-Productie normen'!$B$36:$C$42,2,FALSE),FALSE)))</f>
        <v>0</v>
      </c>
      <c r="Y257" s="315">
        <f t="shared" si="39"/>
        <v>0</v>
      </c>
      <c r="Z257" s="315">
        <f t="shared" si="40"/>
        <v>0</v>
      </c>
      <c r="AA257" s="315">
        <f t="shared" si="41"/>
        <v>0</v>
      </c>
      <c r="AB257" s="316"/>
      <c r="AD257" s="317">
        <f t="shared" si="42"/>
        <v>0</v>
      </c>
    </row>
    <row r="258" spans="1:30" ht="14.1" hidden="1" customHeight="1">
      <c r="A258" s="74">
        <v>258</v>
      </c>
      <c r="B258" s="277" t="s">
        <v>457</v>
      </c>
      <c r="C258" s="277" t="s">
        <v>565</v>
      </c>
      <c r="D258" s="277" t="s">
        <v>566</v>
      </c>
      <c r="E258" s="311" t="s">
        <v>419</v>
      </c>
      <c r="F258" s="312" t="s">
        <v>426</v>
      </c>
      <c r="G258" s="70" t="s">
        <v>578</v>
      </c>
      <c r="H258" s="70" t="s">
        <v>52</v>
      </c>
      <c r="I258" s="70" t="s">
        <v>261</v>
      </c>
      <c r="J258" s="313">
        <v>1.24</v>
      </c>
      <c r="K258" s="314">
        <f t="shared" si="34"/>
        <v>255</v>
      </c>
      <c r="L258" s="243">
        <v>255</v>
      </c>
      <c r="M258" s="243"/>
      <c r="N258" s="243"/>
      <c r="O258" s="243"/>
      <c r="P258" s="243"/>
      <c r="Q258" s="243"/>
      <c r="R258" s="242" t="e">
        <f>IF(L258="nio",0,IF(L258&gt;0,L258*J258/X258,0))*VLOOKUP(B258,'2-Kosten per locatie'!$A$14:$C$21,3,FALSE)</f>
        <v>#DIV/0!</v>
      </c>
      <c r="S258" s="242">
        <f>IF(M258&gt;0,M258*J258/Y258,0)*VLOOKUP(B258,'2-Kosten per locatie'!$A$14:$C$21,3,FALSE)</f>
        <v>0</v>
      </c>
      <c r="T258" s="242">
        <f>IF(N258&gt;0,N258*J258/Z258,0)*VLOOKUP(B258,'2-Kosten per locatie'!$A$14:$C$21,3,FALSE)</f>
        <v>0</v>
      </c>
      <c r="U258" s="242">
        <f>IF(O258&gt;0,O258*J258/AA258,0)*VLOOKUP(B258,'2-Kosten per locatie'!$A$14:$C$21,3,FALSE)</f>
        <v>0</v>
      </c>
      <c r="V258" s="242">
        <f>IF(P258&gt;0,P258*J258/Z258,0)*VLOOKUP(B258,'2-Kosten per locatie'!$A$14:$C$21,3,FALSE)</f>
        <v>0</v>
      </c>
      <c r="W258" s="242">
        <f>IF(Q258&gt;0,Q258*J258/AA258,0)*VLOOKUP(B258,'2-Kosten per locatie'!$A$14:$C$21,3,FALSE)</f>
        <v>0</v>
      </c>
      <c r="X258" s="315">
        <f>IF(L258="nio",0,IF(L258&gt;0,VLOOKUP(H258,'3-Productie normen'!A:K,VLOOKUP(L258,'3-Productie normen'!$B$36:$C$42,2,FALSE),FALSE)))</f>
        <v>0</v>
      </c>
      <c r="Y258" s="315">
        <f t="shared" si="39"/>
        <v>0</v>
      </c>
      <c r="Z258" s="315">
        <f t="shared" si="40"/>
        <v>0</v>
      </c>
      <c r="AA258" s="315">
        <f t="shared" si="41"/>
        <v>0</v>
      </c>
      <c r="AB258" s="316" t="s">
        <v>660</v>
      </c>
      <c r="AD258" s="317">
        <f t="shared" si="42"/>
        <v>316.2</v>
      </c>
    </row>
    <row r="259" spans="1:30" ht="14.1" hidden="1" customHeight="1">
      <c r="A259" s="74">
        <v>259</v>
      </c>
      <c r="B259" s="277" t="s">
        <v>457</v>
      </c>
      <c r="C259" s="277" t="s">
        <v>565</v>
      </c>
      <c r="D259" s="277" t="s">
        <v>566</v>
      </c>
      <c r="E259" s="311" t="s">
        <v>419</v>
      </c>
      <c r="F259" s="312" t="s">
        <v>515</v>
      </c>
      <c r="G259" s="70" t="s">
        <v>579</v>
      </c>
      <c r="H259" s="70" t="s">
        <v>57</v>
      </c>
      <c r="I259" s="70" t="s">
        <v>255</v>
      </c>
      <c r="J259" s="313">
        <v>14.26</v>
      </c>
      <c r="K259" s="314">
        <f t="shared" si="34"/>
        <v>40</v>
      </c>
      <c r="L259" s="243">
        <v>40</v>
      </c>
      <c r="M259" s="243"/>
      <c r="N259" s="243"/>
      <c r="O259" s="243"/>
      <c r="P259" s="243"/>
      <c r="Q259" s="243"/>
      <c r="R259" s="242" t="e">
        <f>IF(L259="nio",0,IF(L259&gt;0,L259*J259/X259,0))*VLOOKUP(B259,'2-Kosten per locatie'!$A$14:$C$21,3,FALSE)</f>
        <v>#DIV/0!</v>
      </c>
      <c r="S259" s="242">
        <f>IF(M259&gt;0,M259*J259/Y259,0)*VLOOKUP(B259,'2-Kosten per locatie'!$A$14:$C$21,3,FALSE)</f>
        <v>0</v>
      </c>
      <c r="T259" s="242">
        <f>IF(N259&gt;0,N259*J259/Z259,0)*VLOOKUP(B259,'2-Kosten per locatie'!$A$14:$C$21,3,FALSE)</f>
        <v>0</v>
      </c>
      <c r="U259" s="242">
        <f>IF(O259&gt;0,O259*J259/AA259,0)*VLOOKUP(B259,'2-Kosten per locatie'!$A$14:$C$21,3,FALSE)</f>
        <v>0</v>
      </c>
      <c r="V259" s="242">
        <f>IF(P259&gt;0,P259*J259/Z259,0)*VLOOKUP(B259,'2-Kosten per locatie'!$A$14:$C$21,3,FALSE)</f>
        <v>0</v>
      </c>
      <c r="W259" s="242">
        <f>IF(Q259&gt;0,Q259*J259/AA259,0)*VLOOKUP(B259,'2-Kosten per locatie'!$A$14:$C$21,3,FALSE)</f>
        <v>0</v>
      </c>
      <c r="X259" s="315">
        <f>IF(L259="nio",0,IF(L259&gt;0,VLOOKUP(H259,'3-Productie normen'!A:K,VLOOKUP(L259,'3-Productie normen'!$B$36:$C$42,2,FALSE),FALSE)))</f>
        <v>0</v>
      </c>
      <c r="Y259" s="315">
        <f t="shared" si="39"/>
        <v>0</v>
      </c>
      <c r="Z259" s="315">
        <f t="shared" si="40"/>
        <v>0</v>
      </c>
      <c r="AA259" s="315">
        <f t="shared" si="41"/>
        <v>0</v>
      </c>
      <c r="AB259" s="316" t="s">
        <v>660</v>
      </c>
      <c r="AD259" s="317">
        <f t="shared" si="42"/>
        <v>570.4</v>
      </c>
    </row>
    <row r="260" spans="1:30" ht="14.1" hidden="1" customHeight="1">
      <c r="A260" s="74">
        <v>260</v>
      </c>
      <c r="B260" s="277" t="s">
        <v>457</v>
      </c>
      <c r="C260" s="277" t="s">
        <v>565</v>
      </c>
      <c r="D260" s="277" t="s">
        <v>566</v>
      </c>
      <c r="E260" s="311" t="s">
        <v>419</v>
      </c>
      <c r="F260" s="312" t="s">
        <v>516</v>
      </c>
      <c r="G260" s="70" t="s">
        <v>577</v>
      </c>
      <c r="H260" s="70" t="s">
        <v>411</v>
      </c>
      <c r="I260" s="70"/>
      <c r="J260" s="313"/>
      <c r="K260" s="314">
        <f t="shared" si="34"/>
        <v>0</v>
      </c>
      <c r="L260" s="243" t="s">
        <v>412</v>
      </c>
      <c r="M260" s="243"/>
      <c r="N260" s="243"/>
      <c r="O260" s="243"/>
      <c r="P260" s="243"/>
      <c r="Q260" s="243"/>
      <c r="R260" s="242">
        <f>IF(L260="nio",0,IF(L260&gt;0,L260*J260/X260,0))*VLOOKUP(B260,'2-Kosten per locatie'!$A$14:$C$21,3,FALSE)</f>
        <v>0</v>
      </c>
      <c r="S260" s="242">
        <f>IF(M260&gt;0,M260*J260/Y260,0)*VLOOKUP(B260,'2-Kosten per locatie'!$A$14:$C$21,3,FALSE)</f>
        <v>0</v>
      </c>
      <c r="T260" s="242">
        <f>IF(N260&gt;0,N260*J260/Z260,0)*VLOOKUP(B260,'2-Kosten per locatie'!$A$14:$C$21,3,FALSE)</f>
        <v>0</v>
      </c>
      <c r="U260" s="242">
        <f>IF(O260&gt;0,O260*J260/AA260,0)*VLOOKUP(B260,'2-Kosten per locatie'!$A$14:$C$21,3,FALSE)</f>
        <v>0</v>
      </c>
      <c r="V260" s="242">
        <f>IF(P260&gt;0,P260*J260/Z260,0)*VLOOKUP(B260,'2-Kosten per locatie'!$A$14:$C$21,3,FALSE)</f>
        <v>0</v>
      </c>
      <c r="W260" s="242">
        <f>IF(Q260&gt;0,Q260*J260/AA260,0)*VLOOKUP(B260,'2-Kosten per locatie'!$A$14:$C$21,3,FALSE)</f>
        <v>0</v>
      </c>
      <c r="X260" s="315">
        <f>IF(L260="nio",0,IF(L260&gt;0,VLOOKUP(H260,'3-Productie normen'!A:K,VLOOKUP(L260,'3-Productie normen'!$B$36:$C$42,2,FALSE),FALSE)))</f>
        <v>0</v>
      </c>
      <c r="Y260" s="315">
        <f t="shared" si="39"/>
        <v>0</v>
      </c>
      <c r="Z260" s="315">
        <f t="shared" si="40"/>
        <v>0</v>
      </c>
      <c r="AA260" s="315">
        <f t="shared" si="41"/>
        <v>0</v>
      </c>
      <c r="AB260" s="316"/>
      <c r="AD260" s="317">
        <f t="shared" si="42"/>
        <v>0</v>
      </c>
    </row>
    <row r="261" spans="1:30" ht="14.1" hidden="1" customHeight="1">
      <c r="A261" s="74">
        <v>261</v>
      </c>
      <c r="B261" s="277" t="s">
        <v>457</v>
      </c>
      <c r="C261" s="277" t="s">
        <v>565</v>
      </c>
      <c r="D261" s="277" t="s">
        <v>566</v>
      </c>
      <c r="E261" s="311" t="s">
        <v>419</v>
      </c>
      <c r="F261" s="312" t="s">
        <v>517</v>
      </c>
      <c r="G261" s="70" t="s">
        <v>580</v>
      </c>
      <c r="H261" s="70" t="s">
        <v>52</v>
      </c>
      <c r="I261" s="70" t="s">
        <v>261</v>
      </c>
      <c r="J261" s="313">
        <v>1.24</v>
      </c>
      <c r="K261" s="314">
        <f t="shared" si="34"/>
        <v>205</v>
      </c>
      <c r="L261" s="243">
        <v>205</v>
      </c>
      <c r="M261" s="243"/>
      <c r="N261" s="243"/>
      <c r="O261" s="243"/>
      <c r="P261" s="243"/>
      <c r="Q261" s="243"/>
      <c r="R261" s="242" t="e">
        <f>IF(L261="nio",0,IF(L261&gt;0,L261*J261/X261,0))*VLOOKUP(B261,'2-Kosten per locatie'!$A$14:$C$21,3,FALSE)</f>
        <v>#DIV/0!</v>
      </c>
      <c r="S261" s="242">
        <f>IF(M261&gt;0,M261*J261/Y261,0)*VLOOKUP(B261,'2-Kosten per locatie'!$A$14:$C$21,3,FALSE)</f>
        <v>0</v>
      </c>
      <c r="T261" s="242">
        <f>IF(N261&gt;0,N261*J261/Z261,0)*VLOOKUP(B261,'2-Kosten per locatie'!$A$14:$C$21,3,FALSE)</f>
        <v>0</v>
      </c>
      <c r="U261" s="242">
        <f>IF(O261&gt;0,O261*J261/AA261,0)*VLOOKUP(B261,'2-Kosten per locatie'!$A$14:$C$21,3,FALSE)</f>
        <v>0</v>
      </c>
      <c r="V261" s="242">
        <f>IF(P261&gt;0,P261*J261/Z261,0)*VLOOKUP(B261,'2-Kosten per locatie'!$A$14:$C$21,3,FALSE)</f>
        <v>0</v>
      </c>
      <c r="W261" s="242">
        <f>IF(Q261&gt;0,Q261*J261/AA261,0)*VLOOKUP(B261,'2-Kosten per locatie'!$A$14:$C$21,3,FALSE)</f>
        <v>0</v>
      </c>
      <c r="X261" s="315">
        <f>IF(L261="nio",0,IF(L261&gt;0,VLOOKUP(H261,'3-Productie normen'!A:K,VLOOKUP(L261,'3-Productie normen'!$B$36:$C$42,2,FALSE),FALSE)))</f>
        <v>0</v>
      </c>
      <c r="Y261" s="315">
        <f t="shared" si="39"/>
        <v>0</v>
      </c>
      <c r="Z261" s="315">
        <f t="shared" si="40"/>
        <v>0</v>
      </c>
      <c r="AA261" s="315">
        <f t="shared" si="41"/>
        <v>0</v>
      </c>
      <c r="AB261" s="316" t="s">
        <v>661</v>
      </c>
      <c r="AD261" s="317">
        <f t="shared" si="42"/>
        <v>254.2</v>
      </c>
    </row>
    <row r="262" spans="1:30" ht="14.1" hidden="1" customHeight="1">
      <c r="A262" s="74">
        <v>262</v>
      </c>
      <c r="B262" s="277" t="s">
        <v>457</v>
      </c>
      <c r="C262" s="277" t="s">
        <v>565</v>
      </c>
      <c r="D262" s="277" t="s">
        <v>566</v>
      </c>
      <c r="E262" s="311" t="s">
        <v>419</v>
      </c>
      <c r="F262" s="312" t="s">
        <v>518</v>
      </c>
      <c r="G262" s="70" t="s">
        <v>577</v>
      </c>
      <c r="H262" s="70" t="s">
        <v>411</v>
      </c>
      <c r="I262" s="70"/>
      <c r="J262" s="313"/>
      <c r="K262" s="314">
        <f t="shared" si="34"/>
        <v>0</v>
      </c>
      <c r="L262" s="243" t="s">
        <v>412</v>
      </c>
      <c r="M262" s="243"/>
      <c r="N262" s="243"/>
      <c r="O262" s="243"/>
      <c r="P262" s="243"/>
      <c r="Q262" s="243"/>
      <c r="R262" s="242">
        <f>IF(L262="nio",0,IF(L262&gt;0,L262*J262/X262,0))*VLOOKUP(B262,'2-Kosten per locatie'!$A$14:$C$21,3,FALSE)</f>
        <v>0</v>
      </c>
      <c r="S262" s="242">
        <f>IF(M262&gt;0,M262*J262/Y262,0)*VLOOKUP(B262,'2-Kosten per locatie'!$A$14:$C$21,3,FALSE)</f>
        <v>0</v>
      </c>
      <c r="T262" s="242">
        <f>IF(N262&gt;0,N262*J262/Z262,0)*VLOOKUP(B262,'2-Kosten per locatie'!$A$14:$C$21,3,FALSE)</f>
        <v>0</v>
      </c>
      <c r="U262" s="242">
        <f>IF(O262&gt;0,O262*J262/AA262,0)*VLOOKUP(B262,'2-Kosten per locatie'!$A$14:$C$21,3,FALSE)</f>
        <v>0</v>
      </c>
      <c r="V262" s="242">
        <f>IF(P262&gt;0,P262*J262/Z262,0)*VLOOKUP(B262,'2-Kosten per locatie'!$A$14:$C$21,3,FALSE)</f>
        <v>0</v>
      </c>
      <c r="W262" s="242">
        <f>IF(Q262&gt;0,Q262*J262/AA262,0)*VLOOKUP(B262,'2-Kosten per locatie'!$A$14:$C$21,3,FALSE)</f>
        <v>0</v>
      </c>
      <c r="X262" s="315">
        <f>IF(L262="nio",0,IF(L262&gt;0,VLOOKUP(H262,'3-Productie normen'!A:K,VLOOKUP(L262,'3-Productie normen'!$B$36:$C$42,2,FALSE),FALSE)))</f>
        <v>0</v>
      </c>
      <c r="Y262" s="315">
        <f t="shared" si="39"/>
        <v>0</v>
      </c>
      <c r="Z262" s="315">
        <f t="shared" si="40"/>
        <v>0</v>
      </c>
      <c r="AA262" s="315">
        <f t="shared" si="41"/>
        <v>0</v>
      </c>
      <c r="AB262" s="316"/>
      <c r="AD262" s="317">
        <f t="shared" si="42"/>
        <v>0</v>
      </c>
    </row>
    <row r="263" spans="1:30" ht="14.1" hidden="1" customHeight="1">
      <c r="A263" s="74">
        <v>263</v>
      </c>
      <c r="B263" s="277" t="s">
        <v>457</v>
      </c>
      <c r="C263" s="277" t="s">
        <v>565</v>
      </c>
      <c r="D263" s="277" t="s">
        <v>566</v>
      </c>
      <c r="E263" s="311" t="s">
        <v>419</v>
      </c>
      <c r="F263" s="312" t="s">
        <v>519</v>
      </c>
      <c r="G263" s="70" t="s">
        <v>580</v>
      </c>
      <c r="H263" s="70" t="s">
        <v>52</v>
      </c>
      <c r="I263" s="70" t="s">
        <v>261</v>
      </c>
      <c r="J263" s="313">
        <v>1.24</v>
      </c>
      <c r="K263" s="314">
        <f t="shared" si="34"/>
        <v>205</v>
      </c>
      <c r="L263" s="243">
        <v>205</v>
      </c>
      <c r="M263" s="243"/>
      <c r="N263" s="243"/>
      <c r="O263" s="243"/>
      <c r="P263" s="243"/>
      <c r="Q263" s="243"/>
      <c r="R263" s="242" t="e">
        <f>IF(L263="nio",0,IF(L263&gt;0,L263*J263/X263,0))*VLOOKUP(B263,'2-Kosten per locatie'!$A$14:$C$21,3,FALSE)</f>
        <v>#DIV/0!</v>
      </c>
      <c r="S263" s="242">
        <f>IF(M263&gt;0,M263*J263/Y263,0)*VLOOKUP(B263,'2-Kosten per locatie'!$A$14:$C$21,3,FALSE)</f>
        <v>0</v>
      </c>
      <c r="T263" s="242">
        <f>IF(N263&gt;0,N263*J263/Z263,0)*VLOOKUP(B263,'2-Kosten per locatie'!$A$14:$C$21,3,FALSE)</f>
        <v>0</v>
      </c>
      <c r="U263" s="242">
        <f>IF(O263&gt;0,O263*J263/AA263,0)*VLOOKUP(B263,'2-Kosten per locatie'!$A$14:$C$21,3,FALSE)</f>
        <v>0</v>
      </c>
      <c r="V263" s="242">
        <f>IF(P263&gt;0,P263*J263/Z263,0)*VLOOKUP(B263,'2-Kosten per locatie'!$A$14:$C$21,3,FALSE)</f>
        <v>0</v>
      </c>
      <c r="W263" s="242">
        <f>IF(Q263&gt;0,Q263*J263/AA263,0)*VLOOKUP(B263,'2-Kosten per locatie'!$A$14:$C$21,3,FALSE)</f>
        <v>0</v>
      </c>
      <c r="X263" s="315">
        <f>IF(L263="nio",0,IF(L263&gt;0,VLOOKUP(H263,'3-Productie normen'!A:K,VLOOKUP(L263,'3-Productie normen'!$B$36:$C$42,2,FALSE),FALSE)))</f>
        <v>0</v>
      </c>
      <c r="Y263" s="315">
        <f t="shared" si="39"/>
        <v>0</v>
      </c>
      <c r="Z263" s="315">
        <f t="shared" si="40"/>
        <v>0</v>
      </c>
      <c r="AA263" s="315">
        <f t="shared" si="41"/>
        <v>0</v>
      </c>
      <c r="AB263" s="316" t="s">
        <v>661</v>
      </c>
      <c r="AD263" s="317">
        <f t="shared" si="42"/>
        <v>254.2</v>
      </c>
    </row>
    <row r="264" spans="1:30" ht="14.1" hidden="1" customHeight="1">
      <c r="A264" s="74">
        <v>264</v>
      </c>
      <c r="B264" s="277" t="s">
        <v>457</v>
      </c>
      <c r="C264" s="277" t="s">
        <v>565</v>
      </c>
      <c r="D264" s="277" t="s">
        <v>566</v>
      </c>
      <c r="E264" s="311" t="s">
        <v>419</v>
      </c>
      <c r="F264" s="312" t="s">
        <v>520</v>
      </c>
      <c r="G264" s="70" t="s">
        <v>581</v>
      </c>
      <c r="H264" s="70" t="s">
        <v>251</v>
      </c>
      <c r="I264" s="70" t="s">
        <v>255</v>
      </c>
      <c r="J264" s="313">
        <v>78.069999999999993</v>
      </c>
      <c r="K264" s="314">
        <f t="shared" si="34"/>
        <v>80</v>
      </c>
      <c r="L264" s="243">
        <v>80</v>
      </c>
      <c r="M264" s="243"/>
      <c r="N264" s="243"/>
      <c r="O264" s="243"/>
      <c r="P264" s="243"/>
      <c r="Q264" s="243"/>
      <c r="R264" s="242" t="e">
        <f>IF(L264="nio",0,IF(L264&gt;0,L264*J264/X264,0))*VLOOKUP(B264,'2-Kosten per locatie'!$A$14:$C$21,3,FALSE)</f>
        <v>#DIV/0!</v>
      </c>
      <c r="S264" s="242">
        <f>IF(M264&gt;0,M264*J264/Y264,0)*VLOOKUP(B264,'2-Kosten per locatie'!$A$14:$C$21,3,FALSE)</f>
        <v>0</v>
      </c>
      <c r="T264" s="242">
        <f>IF(N264&gt;0,N264*J264/Z264,0)*VLOOKUP(B264,'2-Kosten per locatie'!$A$14:$C$21,3,FALSE)</f>
        <v>0</v>
      </c>
      <c r="U264" s="242">
        <f>IF(O264&gt;0,O264*J264/AA264,0)*VLOOKUP(B264,'2-Kosten per locatie'!$A$14:$C$21,3,FALSE)</f>
        <v>0</v>
      </c>
      <c r="V264" s="242">
        <f>IF(P264&gt;0,P264*J264/Z264,0)*VLOOKUP(B264,'2-Kosten per locatie'!$A$14:$C$21,3,FALSE)</f>
        <v>0</v>
      </c>
      <c r="W264" s="242">
        <f>IF(Q264&gt;0,Q264*J264/AA264,0)*VLOOKUP(B264,'2-Kosten per locatie'!$A$14:$C$21,3,FALSE)</f>
        <v>0</v>
      </c>
      <c r="X264" s="315">
        <f>IF(L264="nio",0,IF(L264&gt;0,VLOOKUP(H264,'3-Productie normen'!A:K,VLOOKUP(L264,'3-Productie normen'!$B$36:$C$42,2,FALSE),FALSE)))</f>
        <v>0</v>
      </c>
      <c r="Y264" s="315">
        <f t="shared" si="39"/>
        <v>0</v>
      </c>
      <c r="Z264" s="315">
        <f t="shared" si="40"/>
        <v>0</v>
      </c>
      <c r="AA264" s="315">
        <f t="shared" si="41"/>
        <v>0</v>
      </c>
      <c r="AB264" s="316" t="s">
        <v>662</v>
      </c>
      <c r="AD264" s="317">
        <f t="shared" si="42"/>
        <v>6245.5999999999995</v>
      </c>
    </row>
    <row r="265" spans="1:30" ht="14.1" hidden="1" customHeight="1">
      <c r="A265" s="74">
        <v>265</v>
      </c>
      <c r="B265" s="277" t="s">
        <v>457</v>
      </c>
      <c r="C265" s="277" t="s">
        <v>565</v>
      </c>
      <c r="D265" s="277" t="s">
        <v>566</v>
      </c>
      <c r="E265" s="311" t="s">
        <v>419</v>
      </c>
      <c r="F265" s="312" t="s">
        <v>521</v>
      </c>
      <c r="G265" s="70" t="s">
        <v>344</v>
      </c>
      <c r="H265" s="70" t="s">
        <v>53</v>
      </c>
      <c r="I265" s="70" t="s">
        <v>255</v>
      </c>
      <c r="J265" s="313">
        <v>42.83</v>
      </c>
      <c r="K265" s="314">
        <f t="shared" si="34"/>
        <v>205</v>
      </c>
      <c r="L265" s="243">
        <v>205</v>
      </c>
      <c r="M265" s="243"/>
      <c r="N265" s="243"/>
      <c r="O265" s="243"/>
      <c r="P265" s="243"/>
      <c r="Q265" s="243"/>
      <c r="R265" s="242" t="e">
        <f>IF(L265="nio",0,IF(L265&gt;0,L265*J265/X265,0))*VLOOKUP(B265,'2-Kosten per locatie'!$A$14:$C$21,3,FALSE)</f>
        <v>#DIV/0!</v>
      </c>
      <c r="S265" s="242">
        <f>IF(M265&gt;0,M265*J265/Y265,0)*VLOOKUP(B265,'2-Kosten per locatie'!$A$14:$C$21,3,FALSE)</f>
        <v>0</v>
      </c>
      <c r="T265" s="242">
        <f>IF(N265&gt;0,N265*J265/Z265,0)*VLOOKUP(B265,'2-Kosten per locatie'!$A$14:$C$21,3,FALSE)</f>
        <v>0</v>
      </c>
      <c r="U265" s="242">
        <f>IF(O265&gt;0,O265*J265/AA265,0)*VLOOKUP(B265,'2-Kosten per locatie'!$A$14:$C$21,3,FALSE)</f>
        <v>0</v>
      </c>
      <c r="V265" s="242">
        <f>IF(P265&gt;0,P265*J265/Z265,0)*VLOOKUP(B265,'2-Kosten per locatie'!$A$14:$C$21,3,FALSE)</f>
        <v>0</v>
      </c>
      <c r="W265" s="242">
        <f>IF(Q265&gt;0,Q265*J265/AA265,0)*VLOOKUP(B265,'2-Kosten per locatie'!$A$14:$C$21,3,FALSE)</f>
        <v>0</v>
      </c>
      <c r="X265" s="315">
        <f>IF(L265="nio",0,IF(L265&gt;0,VLOOKUP(H265,'3-Productie normen'!A:K,VLOOKUP(L265,'3-Productie normen'!$B$36:$C$42,2,FALSE),FALSE)))</f>
        <v>0</v>
      </c>
      <c r="Y265" s="315">
        <f t="shared" si="39"/>
        <v>0</v>
      </c>
      <c r="Z265" s="315">
        <f t="shared" si="40"/>
        <v>0</v>
      </c>
      <c r="AA265" s="315">
        <f t="shared" si="41"/>
        <v>0</v>
      </c>
      <c r="AB265" s="316" t="s">
        <v>661</v>
      </c>
      <c r="AD265" s="317">
        <f t="shared" si="42"/>
        <v>8780.15</v>
      </c>
    </row>
    <row r="266" spans="1:30" ht="14.1" hidden="1" customHeight="1">
      <c r="A266" s="74">
        <v>266</v>
      </c>
      <c r="B266" s="277" t="s">
        <v>457</v>
      </c>
      <c r="C266" s="277" t="s">
        <v>565</v>
      </c>
      <c r="D266" s="277" t="s">
        <v>566</v>
      </c>
      <c r="E266" s="311" t="s">
        <v>419</v>
      </c>
      <c r="F266" s="312" t="s">
        <v>522</v>
      </c>
      <c r="G266" s="70" t="s">
        <v>582</v>
      </c>
      <c r="H266" s="70" t="s">
        <v>53</v>
      </c>
      <c r="I266" s="70" t="s">
        <v>255</v>
      </c>
      <c r="J266" s="313">
        <v>15.99</v>
      </c>
      <c r="K266" s="314">
        <f t="shared" ref="K266:K329" si="43">SUM(L266:Q266)</f>
        <v>40</v>
      </c>
      <c r="L266" s="243">
        <v>40</v>
      </c>
      <c r="M266" s="243"/>
      <c r="N266" s="243"/>
      <c r="O266" s="243"/>
      <c r="P266" s="243"/>
      <c r="Q266" s="243"/>
      <c r="R266" s="242" t="e">
        <f>IF(L266="nio",0,IF(L266&gt;0,L266*J266/X266,0))*VLOOKUP(B266,'2-Kosten per locatie'!$A$14:$C$21,3,FALSE)</f>
        <v>#DIV/0!</v>
      </c>
      <c r="S266" s="242">
        <f>IF(M266&gt;0,M266*J266/Y266,0)*VLOOKUP(B266,'2-Kosten per locatie'!$A$14:$C$21,3,FALSE)</f>
        <v>0</v>
      </c>
      <c r="T266" s="242">
        <f>IF(N266&gt;0,N266*J266/Z266,0)*VLOOKUP(B266,'2-Kosten per locatie'!$A$14:$C$21,3,FALSE)</f>
        <v>0</v>
      </c>
      <c r="U266" s="242">
        <f>IF(O266&gt;0,O266*J266/AA266,0)*VLOOKUP(B266,'2-Kosten per locatie'!$A$14:$C$21,3,FALSE)</f>
        <v>0</v>
      </c>
      <c r="V266" s="242">
        <f>IF(P266&gt;0,P266*J266/Z266,0)*VLOOKUP(B266,'2-Kosten per locatie'!$A$14:$C$21,3,FALSE)</f>
        <v>0</v>
      </c>
      <c r="W266" s="242">
        <f>IF(Q266&gt;0,Q266*J266/AA266,0)*VLOOKUP(B266,'2-Kosten per locatie'!$A$14:$C$21,3,FALSE)</f>
        <v>0</v>
      </c>
      <c r="X266" s="315">
        <f>IF(L266="nio",0,IF(L266&gt;0,VLOOKUP(H266,'3-Productie normen'!A:K,VLOOKUP(L266,'3-Productie normen'!$B$36:$C$42,2,FALSE),FALSE)))</f>
        <v>0</v>
      </c>
      <c r="Y266" s="315">
        <f t="shared" si="39"/>
        <v>0</v>
      </c>
      <c r="Z266" s="315">
        <f t="shared" si="40"/>
        <v>0</v>
      </c>
      <c r="AA266" s="315">
        <f t="shared" si="41"/>
        <v>0</v>
      </c>
      <c r="AB266" s="316" t="s">
        <v>661</v>
      </c>
      <c r="AD266" s="317">
        <f t="shared" si="42"/>
        <v>639.6</v>
      </c>
    </row>
    <row r="267" spans="1:30" ht="14.1" hidden="1" customHeight="1">
      <c r="A267" s="74">
        <v>267</v>
      </c>
      <c r="B267" s="277" t="s">
        <v>457</v>
      </c>
      <c r="C267" s="277" t="s">
        <v>565</v>
      </c>
      <c r="D267" s="277" t="s">
        <v>566</v>
      </c>
      <c r="E267" s="311" t="s">
        <v>419</v>
      </c>
      <c r="F267" s="312" t="s">
        <v>523</v>
      </c>
      <c r="G267" s="70" t="s">
        <v>583</v>
      </c>
      <c r="H267" s="70" t="s">
        <v>657</v>
      </c>
      <c r="I267" s="70" t="s">
        <v>255</v>
      </c>
      <c r="J267" s="313">
        <v>53.28</v>
      </c>
      <c r="K267" s="314">
        <f t="shared" si="43"/>
        <v>205</v>
      </c>
      <c r="L267" s="243">
        <v>205</v>
      </c>
      <c r="M267" s="243"/>
      <c r="N267" s="243"/>
      <c r="O267" s="243"/>
      <c r="P267" s="243"/>
      <c r="Q267" s="243"/>
      <c r="R267" s="242" t="e">
        <f>IF(L267="nio",0,IF(L267&gt;0,L267*J267/X267,0))*VLOOKUP(B267,'2-Kosten per locatie'!$A$14:$C$21,3,FALSE)</f>
        <v>#DIV/0!</v>
      </c>
      <c r="S267" s="242">
        <f>IF(M267&gt;0,M267*J267/Y267,0)*VLOOKUP(B267,'2-Kosten per locatie'!$A$14:$C$21,3,FALSE)</f>
        <v>0</v>
      </c>
      <c r="T267" s="242">
        <f>IF(N267&gt;0,N267*J267/Z267,0)*VLOOKUP(B267,'2-Kosten per locatie'!$A$14:$C$21,3,FALSE)</f>
        <v>0</v>
      </c>
      <c r="U267" s="242">
        <f>IF(O267&gt;0,O267*J267/AA267,0)*VLOOKUP(B267,'2-Kosten per locatie'!$A$14:$C$21,3,FALSE)</f>
        <v>0</v>
      </c>
      <c r="V267" s="242">
        <f>IF(P267&gt;0,P267*J267/Z267,0)*VLOOKUP(B267,'2-Kosten per locatie'!$A$14:$C$21,3,FALSE)</f>
        <v>0</v>
      </c>
      <c r="W267" s="242">
        <f>IF(Q267&gt;0,Q267*J267/AA267,0)*VLOOKUP(B267,'2-Kosten per locatie'!$A$14:$C$21,3,FALSE)</f>
        <v>0</v>
      </c>
      <c r="X267" s="315">
        <f>IF(L267="nio",0,IF(L267&gt;0,VLOOKUP(H267,'3-Productie normen'!A:K,VLOOKUP(L267,'3-Productie normen'!$B$36:$C$42,2,FALSE),FALSE)))</f>
        <v>0</v>
      </c>
      <c r="Y267" s="315">
        <f t="shared" si="39"/>
        <v>0</v>
      </c>
      <c r="Z267" s="315">
        <f t="shared" si="40"/>
        <v>0</v>
      </c>
      <c r="AA267" s="315">
        <f t="shared" si="41"/>
        <v>0</v>
      </c>
      <c r="AB267" s="316" t="s">
        <v>661</v>
      </c>
      <c r="AD267" s="317">
        <f t="shared" si="42"/>
        <v>10922.4</v>
      </c>
    </row>
    <row r="268" spans="1:30" ht="14.1" hidden="1" customHeight="1">
      <c r="A268" s="74">
        <v>268</v>
      </c>
      <c r="B268" s="277" t="s">
        <v>457</v>
      </c>
      <c r="C268" s="277" t="s">
        <v>565</v>
      </c>
      <c r="D268" s="277" t="s">
        <v>566</v>
      </c>
      <c r="E268" s="311" t="s">
        <v>419</v>
      </c>
      <c r="F268" s="312" t="s">
        <v>524</v>
      </c>
      <c r="G268" s="70" t="s">
        <v>584</v>
      </c>
      <c r="H268" s="70" t="s">
        <v>51</v>
      </c>
      <c r="I268" s="70" t="s">
        <v>255</v>
      </c>
      <c r="J268" s="313">
        <v>18.23</v>
      </c>
      <c r="K268" s="314">
        <f t="shared" si="43"/>
        <v>40</v>
      </c>
      <c r="L268" s="243">
        <v>40</v>
      </c>
      <c r="M268" s="243"/>
      <c r="N268" s="243"/>
      <c r="O268" s="243"/>
      <c r="P268" s="243"/>
      <c r="Q268" s="243"/>
      <c r="R268" s="242" t="e">
        <f>IF(L268="nio",0,IF(L268&gt;0,L268*J268/X268,0))*VLOOKUP(B268,'2-Kosten per locatie'!$A$14:$C$21,3,FALSE)</f>
        <v>#DIV/0!</v>
      </c>
      <c r="S268" s="242">
        <f>IF(M268&gt;0,M268*J268/Y268,0)*VLOOKUP(B268,'2-Kosten per locatie'!$A$14:$C$21,3,FALSE)</f>
        <v>0</v>
      </c>
      <c r="T268" s="242">
        <f>IF(N268&gt;0,N268*J268/Z268,0)*VLOOKUP(B268,'2-Kosten per locatie'!$A$14:$C$21,3,FALSE)</f>
        <v>0</v>
      </c>
      <c r="U268" s="242">
        <f>IF(O268&gt;0,O268*J268/AA268,0)*VLOOKUP(B268,'2-Kosten per locatie'!$A$14:$C$21,3,FALSE)</f>
        <v>0</v>
      </c>
      <c r="V268" s="242">
        <f>IF(P268&gt;0,P268*J268/Z268,0)*VLOOKUP(B268,'2-Kosten per locatie'!$A$14:$C$21,3,FALSE)</f>
        <v>0</v>
      </c>
      <c r="W268" s="242">
        <f>IF(Q268&gt;0,Q268*J268/AA268,0)*VLOOKUP(B268,'2-Kosten per locatie'!$A$14:$C$21,3,FALSE)</f>
        <v>0</v>
      </c>
      <c r="X268" s="315">
        <f>IF(L268="nio",0,IF(L268&gt;0,VLOOKUP(H268,'3-Productie normen'!A:K,VLOOKUP(L268,'3-Productie normen'!$B$36:$C$42,2,FALSE),FALSE)))</f>
        <v>0</v>
      </c>
      <c r="Y268" s="315">
        <f t="shared" si="39"/>
        <v>0</v>
      </c>
      <c r="Z268" s="315">
        <f t="shared" si="40"/>
        <v>0</v>
      </c>
      <c r="AA268" s="315">
        <f t="shared" si="41"/>
        <v>0</v>
      </c>
      <c r="AB268" s="316" t="s">
        <v>661</v>
      </c>
      <c r="AD268" s="317">
        <f t="shared" si="42"/>
        <v>729.2</v>
      </c>
    </row>
    <row r="269" spans="1:30" ht="14.1" hidden="1" customHeight="1">
      <c r="A269" s="74">
        <v>269</v>
      </c>
      <c r="B269" s="277" t="s">
        <v>457</v>
      </c>
      <c r="C269" s="277" t="s">
        <v>565</v>
      </c>
      <c r="D269" s="277" t="s">
        <v>566</v>
      </c>
      <c r="E269" s="311" t="s">
        <v>419</v>
      </c>
      <c r="F269" s="312" t="s">
        <v>525</v>
      </c>
      <c r="G269" s="277" t="s">
        <v>585</v>
      </c>
      <c r="H269" s="277" t="s">
        <v>54</v>
      </c>
      <c r="I269" s="70" t="s">
        <v>261</v>
      </c>
      <c r="J269" s="313">
        <v>9</v>
      </c>
      <c r="K269" s="314">
        <f t="shared" si="43"/>
        <v>150</v>
      </c>
      <c r="L269" s="243">
        <v>150</v>
      </c>
      <c r="M269" s="243"/>
      <c r="N269" s="243"/>
      <c r="O269" s="243"/>
      <c r="P269" s="243"/>
      <c r="Q269" s="243"/>
      <c r="R269" s="242" t="e">
        <f>IF(L269="nio",0,IF(L269&gt;0,L269*J269/X269,0))*VLOOKUP(B269,'2-Kosten per locatie'!$A$14:$C$21,3,FALSE)</f>
        <v>#DIV/0!</v>
      </c>
      <c r="S269" s="242">
        <f>IF(M269&gt;0,M269*J269/Y269,0)*VLOOKUP(B269,'2-Kosten per locatie'!$A$14:$C$21,3,FALSE)</f>
        <v>0</v>
      </c>
      <c r="T269" s="242">
        <f>IF(N269&gt;0,N269*J269/Z269,0)*VLOOKUP(B269,'2-Kosten per locatie'!$A$14:$C$21,3,FALSE)</f>
        <v>0</v>
      </c>
      <c r="U269" s="242">
        <f>IF(O269&gt;0,O269*J269/AA269,0)*VLOOKUP(B269,'2-Kosten per locatie'!$A$14:$C$21,3,FALSE)</f>
        <v>0</v>
      </c>
      <c r="V269" s="242">
        <f>IF(P269&gt;0,P269*J269/Z269,0)*VLOOKUP(B269,'2-Kosten per locatie'!$A$14:$C$21,3,FALSE)</f>
        <v>0</v>
      </c>
      <c r="W269" s="242">
        <f>IF(Q269&gt;0,Q269*J269/AA269,0)*VLOOKUP(B269,'2-Kosten per locatie'!$A$14:$C$21,3,FALSE)</f>
        <v>0</v>
      </c>
      <c r="X269" s="315">
        <f>IF(L269="nio",0,IF(L269&gt;0,VLOOKUP(H269,'3-Productie normen'!A:K,VLOOKUP(L269,'3-Productie normen'!$B$36:$C$42,2,FALSE),FALSE)))</f>
        <v>0</v>
      </c>
      <c r="Y269" s="315">
        <f t="shared" si="39"/>
        <v>0</v>
      </c>
      <c r="Z269" s="315">
        <f t="shared" si="40"/>
        <v>0</v>
      </c>
      <c r="AA269" s="315">
        <f t="shared" si="41"/>
        <v>0</v>
      </c>
      <c r="AB269" s="316" t="s">
        <v>662</v>
      </c>
      <c r="AD269" s="317">
        <f t="shared" si="42"/>
        <v>1350</v>
      </c>
    </row>
    <row r="270" spans="1:30" ht="14.1" hidden="1" customHeight="1">
      <c r="A270" s="74">
        <v>270</v>
      </c>
      <c r="B270" s="277" t="s">
        <v>457</v>
      </c>
      <c r="C270" s="277" t="s">
        <v>565</v>
      </c>
      <c r="D270" s="277" t="s">
        <v>566</v>
      </c>
      <c r="E270" s="311" t="s">
        <v>419</v>
      </c>
      <c r="F270" s="312" t="s">
        <v>526</v>
      </c>
      <c r="G270" s="277" t="s">
        <v>504</v>
      </c>
      <c r="H270" s="277" t="s">
        <v>411</v>
      </c>
      <c r="I270" s="70"/>
      <c r="J270" s="313"/>
      <c r="K270" s="314">
        <f t="shared" si="43"/>
        <v>0</v>
      </c>
      <c r="L270" s="243" t="s">
        <v>412</v>
      </c>
      <c r="M270" s="243"/>
      <c r="N270" s="243"/>
      <c r="O270" s="243"/>
      <c r="P270" s="243"/>
      <c r="Q270" s="243"/>
      <c r="R270" s="242">
        <f>IF(L270="nio",0,IF(L270&gt;0,L270*J270/X270,0))*VLOOKUP(B270,'2-Kosten per locatie'!$A$14:$C$21,3,FALSE)</f>
        <v>0</v>
      </c>
      <c r="S270" s="242">
        <f>IF(M270&gt;0,M270*J270/Y270,0)*VLOOKUP(B270,'2-Kosten per locatie'!$A$14:$C$21,3,FALSE)</f>
        <v>0</v>
      </c>
      <c r="T270" s="242">
        <f>IF(N270&gt;0,N270*J270/Z270,0)*VLOOKUP(B270,'2-Kosten per locatie'!$A$14:$C$21,3,FALSE)</f>
        <v>0</v>
      </c>
      <c r="U270" s="242">
        <f>IF(O270&gt;0,O270*J270/AA270,0)*VLOOKUP(B270,'2-Kosten per locatie'!$A$14:$C$21,3,FALSE)</f>
        <v>0</v>
      </c>
      <c r="V270" s="242">
        <f>IF(P270&gt;0,P270*J270/Z270,0)*VLOOKUP(B270,'2-Kosten per locatie'!$A$14:$C$21,3,FALSE)</f>
        <v>0</v>
      </c>
      <c r="W270" s="242">
        <f>IF(Q270&gt;0,Q270*J270/AA270,0)*VLOOKUP(B270,'2-Kosten per locatie'!$A$14:$C$21,3,FALSE)</f>
        <v>0</v>
      </c>
      <c r="X270" s="315">
        <f>IF(L270="nio",0,IF(L270&gt;0,VLOOKUP(H270,'3-Productie normen'!A:K,VLOOKUP(L270,'3-Productie normen'!$B$36:$C$42,2,FALSE),FALSE)))</f>
        <v>0</v>
      </c>
      <c r="Y270" s="315">
        <f t="shared" si="39"/>
        <v>0</v>
      </c>
      <c r="Z270" s="315">
        <f t="shared" si="40"/>
        <v>0</v>
      </c>
      <c r="AA270" s="315">
        <f t="shared" si="41"/>
        <v>0</v>
      </c>
      <c r="AB270" s="316" t="s">
        <v>662</v>
      </c>
      <c r="AD270" s="317">
        <f t="shared" si="42"/>
        <v>0</v>
      </c>
    </row>
    <row r="271" spans="1:30" ht="14.1" hidden="1" customHeight="1">
      <c r="A271" s="74">
        <v>271</v>
      </c>
      <c r="B271" s="277" t="s">
        <v>457</v>
      </c>
      <c r="C271" s="277" t="s">
        <v>565</v>
      </c>
      <c r="D271" s="277" t="s">
        <v>566</v>
      </c>
      <c r="E271" s="311" t="s">
        <v>419</v>
      </c>
      <c r="F271" s="312" t="s">
        <v>527</v>
      </c>
      <c r="G271" s="277" t="s">
        <v>586</v>
      </c>
      <c r="H271" s="277" t="s">
        <v>251</v>
      </c>
      <c r="I271" s="70" t="s">
        <v>255</v>
      </c>
      <c r="J271" s="313">
        <v>177.65</v>
      </c>
      <c r="K271" s="314">
        <f t="shared" si="43"/>
        <v>205</v>
      </c>
      <c r="L271" s="243">
        <v>205</v>
      </c>
      <c r="M271" s="243"/>
      <c r="N271" s="243"/>
      <c r="O271" s="243"/>
      <c r="P271" s="243"/>
      <c r="Q271" s="243"/>
      <c r="R271" s="242" t="e">
        <f>IF(L271="nio",0,IF(L271&gt;0,L271*J271/X271,0))*VLOOKUP(B271,'2-Kosten per locatie'!$A$14:$C$21,3,FALSE)</f>
        <v>#DIV/0!</v>
      </c>
      <c r="S271" s="242">
        <f>IF(M271&gt;0,M271*J271/Y271,0)*VLOOKUP(B271,'2-Kosten per locatie'!$A$14:$C$21,3,FALSE)</f>
        <v>0</v>
      </c>
      <c r="T271" s="242">
        <f>IF(N271&gt;0,N271*J271/Z271,0)*VLOOKUP(B271,'2-Kosten per locatie'!$A$14:$C$21,3,FALSE)</f>
        <v>0</v>
      </c>
      <c r="U271" s="242">
        <f>IF(O271&gt;0,O271*J271/AA271,0)*VLOOKUP(B271,'2-Kosten per locatie'!$A$14:$C$21,3,FALSE)</f>
        <v>0</v>
      </c>
      <c r="V271" s="242">
        <f>IF(P271&gt;0,P271*J271/Z271,0)*VLOOKUP(B271,'2-Kosten per locatie'!$A$14:$C$21,3,FALSE)</f>
        <v>0</v>
      </c>
      <c r="W271" s="242">
        <f>IF(Q271&gt;0,Q271*J271/AA271,0)*VLOOKUP(B271,'2-Kosten per locatie'!$A$14:$C$21,3,FALSE)</f>
        <v>0</v>
      </c>
      <c r="X271" s="315">
        <f>IF(L271="nio",0,IF(L271&gt;0,VLOOKUP(H271,'3-Productie normen'!A:K,VLOOKUP(L271,'3-Productie normen'!$B$36:$C$42,2,FALSE),FALSE)))</f>
        <v>0</v>
      </c>
      <c r="Y271" s="315">
        <f t="shared" si="39"/>
        <v>0</v>
      </c>
      <c r="Z271" s="315">
        <f t="shared" si="40"/>
        <v>0</v>
      </c>
      <c r="AA271" s="315">
        <f t="shared" si="41"/>
        <v>0</v>
      </c>
      <c r="AB271" s="316" t="s">
        <v>662</v>
      </c>
      <c r="AD271" s="317">
        <f t="shared" si="42"/>
        <v>36418.25</v>
      </c>
    </row>
    <row r="272" spans="1:30" ht="14.1" hidden="1" customHeight="1">
      <c r="A272" s="74">
        <v>272</v>
      </c>
      <c r="B272" s="277" t="s">
        <v>457</v>
      </c>
      <c r="C272" s="277" t="s">
        <v>565</v>
      </c>
      <c r="D272" s="277" t="s">
        <v>566</v>
      </c>
      <c r="E272" s="311" t="s">
        <v>419</v>
      </c>
      <c r="F272" s="312" t="s">
        <v>528</v>
      </c>
      <c r="G272" s="70" t="s">
        <v>587</v>
      </c>
      <c r="H272" s="70" t="s">
        <v>60</v>
      </c>
      <c r="I272" s="70" t="s">
        <v>442</v>
      </c>
      <c r="J272" s="313">
        <v>38.200000000000003</v>
      </c>
      <c r="K272" s="314">
        <f t="shared" si="43"/>
        <v>205</v>
      </c>
      <c r="L272" s="243">
        <v>205</v>
      </c>
      <c r="M272" s="243"/>
      <c r="N272" s="243"/>
      <c r="O272" s="243"/>
      <c r="P272" s="243"/>
      <c r="Q272" s="243"/>
      <c r="R272" s="242" t="e">
        <f>IF(L272="nio",0,IF(L272&gt;0,L272*J272/X272,0))*VLOOKUP(B272,'2-Kosten per locatie'!$A$14:$C$21,3,FALSE)</f>
        <v>#DIV/0!</v>
      </c>
      <c r="S272" s="242">
        <f>IF(M272&gt;0,M272*J272/Y272,0)*VLOOKUP(B272,'2-Kosten per locatie'!$A$14:$C$21,3,FALSE)</f>
        <v>0</v>
      </c>
      <c r="T272" s="242">
        <f>IF(N272&gt;0,N272*J272/Z272,0)*VLOOKUP(B272,'2-Kosten per locatie'!$A$14:$C$21,3,FALSE)</f>
        <v>0</v>
      </c>
      <c r="U272" s="242">
        <f>IF(O272&gt;0,O272*J272/AA272,0)*VLOOKUP(B272,'2-Kosten per locatie'!$A$14:$C$21,3,FALSE)</f>
        <v>0</v>
      </c>
      <c r="V272" s="242">
        <f>IF(P272&gt;0,P272*J272/Z272,0)*VLOOKUP(B272,'2-Kosten per locatie'!$A$14:$C$21,3,FALSE)</f>
        <v>0</v>
      </c>
      <c r="W272" s="242">
        <f>IF(Q272&gt;0,Q272*J272/AA272,0)*VLOOKUP(B272,'2-Kosten per locatie'!$A$14:$C$21,3,FALSE)</f>
        <v>0</v>
      </c>
      <c r="X272" s="315">
        <f>IF(L272="nio",0,IF(L272&gt;0,VLOOKUP(H272,'3-Productie normen'!A:K,VLOOKUP(L272,'3-Productie normen'!$B$36:$C$42,2,FALSE),FALSE)))</f>
        <v>0</v>
      </c>
      <c r="Y272" s="315">
        <f t="shared" si="39"/>
        <v>0</v>
      </c>
      <c r="Z272" s="315">
        <f t="shared" si="40"/>
        <v>0</v>
      </c>
      <c r="AA272" s="315">
        <f t="shared" si="41"/>
        <v>0</v>
      </c>
      <c r="AB272" s="316" t="s">
        <v>661</v>
      </c>
      <c r="AD272" s="317">
        <f t="shared" si="42"/>
        <v>7831.0000000000009</v>
      </c>
    </row>
    <row r="273" spans="1:30" ht="14.1" hidden="1" customHeight="1">
      <c r="A273" s="74">
        <v>273</v>
      </c>
      <c r="B273" s="277" t="s">
        <v>457</v>
      </c>
      <c r="C273" s="277" t="s">
        <v>565</v>
      </c>
      <c r="D273" s="277" t="s">
        <v>566</v>
      </c>
      <c r="E273" s="311" t="s">
        <v>419</v>
      </c>
      <c r="F273" s="312" t="s">
        <v>529</v>
      </c>
      <c r="G273" s="70" t="s">
        <v>588</v>
      </c>
      <c r="H273" s="70" t="s">
        <v>60</v>
      </c>
      <c r="I273" s="70" t="s">
        <v>442</v>
      </c>
      <c r="J273" s="313">
        <v>10.85</v>
      </c>
      <c r="K273" s="314">
        <f t="shared" si="43"/>
        <v>205</v>
      </c>
      <c r="L273" s="243">
        <v>205</v>
      </c>
      <c r="M273" s="243"/>
      <c r="N273" s="243"/>
      <c r="O273" s="243"/>
      <c r="P273" s="243"/>
      <c r="Q273" s="243"/>
      <c r="R273" s="242" t="e">
        <f>IF(L273="nio",0,IF(L273&gt;0,L273*J273/X273,0))*VLOOKUP(B273,'2-Kosten per locatie'!$A$14:$C$21,3,FALSE)</f>
        <v>#DIV/0!</v>
      </c>
      <c r="S273" s="242">
        <f>IF(M273&gt;0,M273*J273/Y273,0)*VLOOKUP(B273,'2-Kosten per locatie'!$A$14:$C$21,3,FALSE)</f>
        <v>0</v>
      </c>
      <c r="T273" s="242">
        <f>IF(N273&gt;0,N273*J273/Z273,0)*VLOOKUP(B273,'2-Kosten per locatie'!$A$14:$C$21,3,FALSE)</f>
        <v>0</v>
      </c>
      <c r="U273" s="242">
        <f>IF(O273&gt;0,O273*J273/AA273,0)*VLOOKUP(B273,'2-Kosten per locatie'!$A$14:$C$21,3,FALSE)</f>
        <v>0</v>
      </c>
      <c r="V273" s="242">
        <f>IF(P273&gt;0,P273*J273/Z273,0)*VLOOKUP(B273,'2-Kosten per locatie'!$A$14:$C$21,3,FALSE)</f>
        <v>0</v>
      </c>
      <c r="W273" s="242">
        <f>IF(Q273&gt;0,Q273*J273/AA273,0)*VLOOKUP(B273,'2-Kosten per locatie'!$A$14:$C$21,3,FALSE)</f>
        <v>0</v>
      </c>
      <c r="X273" s="315">
        <f>IF(L273="nio",0,IF(L273&gt;0,VLOOKUP(H273,'3-Productie normen'!A:K,VLOOKUP(L273,'3-Productie normen'!$B$36:$C$42,2,FALSE),FALSE)))</f>
        <v>0</v>
      </c>
      <c r="Y273" s="315">
        <f t="shared" si="39"/>
        <v>0</v>
      </c>
      <c r="Z273" s="315">
        <f t="shared" si="40"/>
        <v>0</v>
      </c>
      <c r="AA273" s="315">
        <f t="shared" si="41"/>
        <v>0</v>
      </c>
      <c r="AB273" s="316" t="s">
        <v>662</v>
      </c>
      <c r="AD273" s="317">
        <f t="shared" si="42"/>
        <v>2224.25</v>
      </c>
    </row>
    <row r="274" spans="1:30" ht="14.1" hidden="1" customHeight="1">
      <c r="A274" s="74">
        <v>274</v>
      </c>
      <c r="B274" s="277" t="s">
        <v>457</v>
      </c>
      <c r="C274" s="277" t="s">
        <v>565</v>
      </c>
      <c r="D274" s="277" t="s">
        <v>566</v>
      </c>
      <c r="E274" s="311" t="s">
        <v>419</v>
      </c>
      <c r="F274" s="312" t="s">
        <v>530</v>
      </c>
      <c r="G274" s="70" t="s">
        <v>589</v>
      </c>
      <c r="H274" s="70" t="s">
        <v>411</v>
      </c>
      <c r="I274" s="70"/>
      <c r="J274" s="313">
        <v>9</v>
      </c>
      <c r="K274" s="314">
        <f t="shared" si="43"/>
        <v>0</v>
      </c>
      <c r="L274" s="243" t="s">
        <v>412</v>
      </c>
      <c r="M274" s="243"/>
      <c r="N274" s="243"/>
      <c r="O274" s="243"/>
      <c r="P274" s="243"/>
      <c r="Q274" s="243"/>
      <c r="R274" s="242">
        <f>IF(L274="nio",0,IF(L274&gt;0,L274*J274/X274,0))*VLOOKUP(B274,'2-Kosten per locatie'!$A$14:$C$21,3,FALSE)</f>
        <v>0</v>
      </c>
      <c r="S274" s="242">
        <f>IF(M274&gt;0,M274*J274/Y274,0)*VLOOKUP(B274,'2-Kosten per locatie'!$A$14:$C$21,3,FALSE)</f>
        <v>0</v>
      </c>
      <c r="T274" s="242">
        <f>IF(N274&gt;0,N274*J274/Z274,0)*VLOOKUP(B274,'2-Kosten per locatie'!$A$14:$C$21,3,FALSE)</f>
        <v>0</v>
      </c>
      <c r="U274" s="242">
        <f>IF(O274&gt;0,O274*J274/AA274,0)*VLOOKUP(B274,'2-Kosten per locatie'!$A$14:$C$21,3,FALSE)</f>
        <v>0</v>
      </c>
      <c r="V274" s="242">
        <f>IF(P274&gt;0,P274*J274/Z274,0)*VLOOKUP(B274,'2-Kosten per locatie'!$A$14:$C$21,3,FALSE)</f>
        <v>0</v>
      </c>
      <c r="W274" s="242">
        <f>IF(Q274&gt;0,Q274*J274/AA274,0)*VLOOKUP(B274,'2-Kosten per locatie'!$A$14:$C$21,3,FALSE)</f>
        <v>0</v>
      </c>
      <c r="X274" s="315">
        <f>IF(L274="nio",0,IF(L274&gt;0,VLOOKUP(H274,'3-Productie normen'!A:K,VLOOKUP(L274,'3-Productie normen'!$B$36:$C$42,2,FALSE),FALSE)))</f>
        <v>0</v>
      </c>
      <c r="Y274" s="315">
        <f t="shared" si="39"/>
        <v>0</v>
      </c>
      <c r="Z274" s="315">
        <f t="shared" si="40"/>
        <v>0</v>
      </c>
      <c r="AA274" s="315">
        <f t="shared" si="41"/>
        <v>0</v>
      </c>
      <c r="AB274" s="316" t="s">
        <v>662</v>
      </c>
      <c r="AD274" s="317">
        <f t="shared" si="42"/>
        <v>0</v>
      </c>
    </row>
    <row r="275" spans="1:30" ht="14.1" hidden="1" customHeight="1">
      <c r="A275" s="74">
        <v>275</v>
      </c>
      <c r="B275" s="277" t="s">
        <v>457</v>
      </c>
      <c r="C275" s="277" t="s">
        <v>565</v>
      </c>
      <c r="D275" s="277" t="s">
        <v>566</v>
      </c>
      <c r="E275" s="311" t="s">
        <v>419</v>
      </c>
      <c r="F275" s="312" t="s">
        <v>531</v>
      </c>
      <c r="G275" s="70" t="s">
        <v>590</v>
      </c>
      <c r="H275" s="70" t="s">
        <v>411</v>
      </c>
      <c r="I275" s="70"/>
      <c r="J275" s="313">
        <v>29.45</v>
      </c>
      <c r="K275" s="314">
        <f t="shared" si="43"/>
        <v>0</v>
      </c>
      <c r="L275" s="243" t="s">
        <v>412</v>
      </c>
      <c r="M275" s="243"/>
      <c r="N275" s="243"/>
      <c r="O275" s="243"/>
      <c r="P275" s="243"/>
      <c r="Q275" s="243"/>
      <c r="R275" s="242">
        <f>IF(L275="nio",0,IF(L275&gt;0,L275*J275/X275,0))*VLOOKUP(B275,'2-Kosten per locatie'!$A$14:$C$21,3,FALSE)</f>
        <v>0</v>
      </c>
      <c r="S275" s="242">
        <f>IF(M275&gt;0,M275*J275/Y275,0)*VLOOKUP(B275,'2-Kosten per locatie'!$A$14:$C$21,3,FALSE)</f>
        <v>0</v>
      </c>
      <c r="T275" s="242">
        <f>IF(N275&gt;0,N275*J275/Z275,0)*VLOOKUP(B275,'2-Kosten per locatie'!$A$14:$C$21,3,FALSE)</f>
        <v>0</v>
      </c>
      <c r="U275" s="242">
        <f>IF(O275&gt;0,O275*J275/AA275,0)*VLOOKUP(B275,'2-Kosten per locatie'!$A$14:$C$21,3,FALSE)</f>
        <v>0</v>
      </c>
      <c r="V275" s="242">
        <f>IF(P275&gt;0,P275*J275/Z275,0)*VLOOKUP(B275,'2-Kosten per locatie'!$A$14:$C$21,3,FALSE)</f>
        <v>0</v>
      </c>
      <c r="W275" s="242">
        <f>IF(Q275&gt;0,Q275*J275/AA275,0)*VLOOKUP(B275,'2-Kosten per locatie'!$A$14:$C$21,3,FALSE)</f>
        <v>0</v>
      </c>
      <c r="X275" s="315">
        <f>IF(L275="nio",0,IF(L275&gt;0,VLOOKUP(H275,'3-Productie normen'!A:K,VLOOKUP(L275,'3-Productie normen'!$B$36:$C$42,2,FALSE),FALSE)))</f>
        <v>0</v>
      </c>
      <c r="Y275" s="315">
        <f t="shared" si="39"/>
        <v>0</v>
      </c>
      <c r="Z275" s="315">
        <f t="shared" si="40"/>
        <v>0</v>
      </c>
      <c r="AA275" s="315">
        <f t="shared" si="41"/>
        <v>0</v>
      </c>
      <c r="AB275" s="316" t="s">
        <v>662</v>
      </c>
      <c r="AD275" s="317">
        <f t="shared" si="42"/>
        <v>0</v>
      </c>
    </row>
    <row r="276" spans="1:30" ht="14.1" hidden="1" customHeight="1">
      <c r="A276" s="74">
        <v>276</v>
      </c>
      <c r="B276" s="277" t="s">
        <v>457</v>
      </c>
      <c r="C276" s="277" t="s">
        <v>565</v>
      </c>
      <c r="D276" s="277" t="s">
        <v>566</v>
      </c>
      <c r="E276" s="311" t="s">
        <v>419</v>
      </c>
      <c r="F276" s="312" t="s">
        <v>532</v>
      </c>
      <c r="G276" s="86" t="s">
        <v>591</v>
      </c>
      <c r="H276" s="86" t="s">
        <v>657</v>
      </c>
      <c r="I276" s="70" t="s">
        <v>255</v>
      </c>
      <c r="J276" s="313">
        <v>10.75</v>
      </c>
      <c r="K276" s="314">
        <f t="shared" si="43"/>
        <v>80</v>
      </c>
      <c r="L276" s="243">
        <v>80</v>
      </c>
      <c r="M276" s="243"/>
      <c r="N276" s="243"/>
      <c r="O276" s="243"/>
      <c r="P276" s="243"/>
      <c r="Q276" s="243"/>
      <c r="R276" s="242" t="e">
        <f>IF(L276="nio",0,IF(L276&gt;0,L276*J276/X276,0))*VLOOKUP(B276,'2-Kosten per locatie'!$A$14:$C$21,3,FALSE)</f>
        <v>#DIV/0!</v>
      </c>
      <c r="S276" s="242">
        <f>IF(M276&gt;0,M276*J276/Y276,0)*VLOOKUP(B276,'2-Kosten per locatie'!$A$14:$C$21,3,FALSE)</f>
        <v>0</v>
      </c>
      <c r="T276" s="242">
        <f>IF(N276&gt;0,N276*J276/Z276,0)*VLOOKUP(B276,'2-Kosten per locatie'!$A$14:$C$21,3,FALSE)</f>
        <v>0</v>
      </c>
      <c r="U276" s="242">
        <f>IF(O276&gt;0,O276*J276/AA276,0)*VLOOKUP(B276,'2-Kosten per locatie'!$A$14:$C$21,3,FALSE)</f>
        <v>0</v>
      </c>
      <c r="V276" s="242">
        <f>IF(P276&gt;0,P276*J276/Z276,0)*VLOOKUP(B276,'2-Kosten per locatie'!$A$14:$C$21,3,FALSE)</f>
        <v>0</v>
      </c>
      <c r="W276" s="242">
        <f>IF(Q276&gt;0,Q276*J276/AA276,0)*VLOOKUP(B276,'2-Kosten per locatie'!$A$14:$C$21,3,FALSE)</f>
        <v>0</v>
      </c>
      <c r="X276" s="315">
        <f>IF(L276="nio",0,IF(L276&gt;0,VLOOKUP(H276,'3-Productie normen'!A:K,VLOOKUP(L276,'3-Productie normen'!$B$36:$C$42,2,FALSE),FALSE)))</f>
        <v>0</v>
      </c>
      <c r="Y276" s="315">
        <f t="shared" si="39"/>
        <v>0</v>
      </c>
      <c r="Z276" s="315">
        <f t="shared" si="40"/>
        <v>0</v>
      </c>
      <c r="AA276" s="315">
        <f t="shared" si="41"/>
        <v>0</v>
      </c>
      <c r="AB276" s="316" t="s">
        <v>662</v>
      </c>
      <c r="AD276" s="317">
        <f t="shared" si="42"/>
        <v>860</v>
      </c>
    </row>
    <row r="277" spans="1:30" ht="14.1" hidden="1" customHeight="1">
      <c r="A277" s="74">
        <v>277</v>
      </c>
      <c r="B277" s="277" t="s">
        <v>457</v>
      </c>
      <c r="C277" s="277" t="s">
        <v>565</v>
      </c>
      <c r="D277" s="277" t="s">
        <v>566</v>
      </c>
      <c r="E277" s="311" t="s">
        <v>419</v>
      </c>
      <c r="F277" s="312" t="s">
        <v>533</v>
      </c>
      <c r="G277" s="86" t="s">
        <v>592</v>
      </c>
      <c r="H277" s="86" t="s">
        <v>251</v>
      </c>
      <c r="I277" s="70" t="s">
        <v>255</v>
      </c>
      <c r="J277" s="313">
        <v>139.53</v>
      </c>
      <c r="K277" s="314">
        <f t="shared" si="43"/>
        <v>205</v>
      </c>
      <c r="L277" s="243">
        <v>205</v>
      </c>
      <c r="M277" s="243"/>
      <c r="N277" s="243"/>
      <c r="O277" s="243"/>
      <c r="P277" s="243"/>
      <c r="Q277" s="243"/>
      <c r="R277" s="242" t="e">
        <f>IF(L277="nio",0,IF(L277&gt;0,L277*J277/X277,0))*VLOOKUP(B277,'2-Kosten per locatie'!$A$14:$C$21,3,FALSE)</f>
        <v>#DIV/0!</v>
      </c>
      <c r="S277" s="242">
        <f>IF(M277&gt;0,M277*J277/Y277,0)*VLOOKUP(B277,'2-Kosten per locatie'!$A$14:$C$21,3,FALSE)</f>
        <v>0</v>
      </c>
      <c r="T277" s="242">
        <f>IF(N277&gt;0,N277*J277/Z277,0)*VLOOKUP(B277,'2-Kosten per locatie'!$A$14:$C$21,3,FALSE)</f>
        <v>0</v>
      </c>
      <c r="U277" s="242">
        <f>IF(O277&gt;0,O277*J277/AA277,0)*VLOOKUP(B277,'2-Kosten per locatie'!$A$14:$C$21,3,FALSE)</f>
        <v>0</v>
      </c>
      <c r="V277" s="242">
        <f>IF(P277&gt;0,P277*J277/Z277,0)*VLOOKUP(B277,'2-Kosten per locatie'!$A$14:$C$21,3,FALSE)</f>
        <v>0</v>
      </c>
      <c r="W277" s="242">
        <f>IF(Q277&gt;0,Q277*J277/AA277,0)*VLOOKUP(B277,'2-Kosten per locatie'!$A$14:$C$21,3,FALSE)</f>
        <v>0</v>
      </c>
      <c r="X277" s="315">
        <f>IF(L277="nio",0,IF(L277&gt;0,VLOOKUP(H277,'3-Productie normen'!A:K,VLOOKUP(L277,'3-Productie normen'!$B$36:$C$42,2,FALSE),FALSE)))</f>
        <v>0</v>
      </c>
      <c r="Y277" s="315">
        <f t="shared" si="39"/>
        <v>0</v>
      </c>
      <c r="Z277" s="315">
        <f t="shared" si="40"/>
        <v>0</v>
      </c>
      <c r="AA277" s="315">
        <f t="shared" si="41"/>
        <v>0</v>
      </c>
      <c r="AB277" s="316" t="s">
        <v>662</v>
      </c>
      <c r="AD277" s="317">
        <f t="shared" si="42"/>
        <v>28603.65</v>
      </c>
    </row>
    <row r="278" spans="1:30" ht="14.1" hidden="1" customHeight="1">
      <c r="A278" s="74">
        <v>278</v>
      </c>
      <c r="B278" s="277" t="s">
        <v>457</v>
      </c>
      <c r="C278" s="277" t="s">
        <v>565</v>
      </c>
      <c r="D278" s="277" t="s">
        <v>566</v>
      </c>
      <c r="E278" s="311" t="s">
        <v>419</v>
      </c>
      <c r="F278" s="312" t="s">
        <v>534</v>
      </c>
      <c r="G278" s="86" t="s">
        <v>593</v>
      </c>
      <c r="H278" s="86" t="s">
        <v>411</v>
      </c>
      <c r="I278" s="87"/>
      <c r="J278" s="313">
        <v>1.97</v>
      </c>
      <c r="K278" s="314">
        <f t="shared" si="43"/>
        <v>0</v>
      </c>
      <c r="L278" s="243" t="s">
        <v>412</v>
      </c>
      <c r="M278" s="243"/>
      <c r="N278" s="243"/>
      <c r="O278" s="243"/>
      <c r="P278" s="243"/>
      <c r="Q278" s="243"/>
      <c r="R278" s="242">
        <f>IF(L278="nio",0,IF(L278&gt;0,L278*J278/X278,0))*VLOOKUP(B278,'2-Kosten per locatie'!$A$14:$C$21,3,FALSE)</f>
        <v>0</v>
      </c>
      <c r="S278" s="242">
        <f>IF(M278&gt;0,M278*J278/Y278,0)*VLOOKUP(B278,'2-Kosten per locatie'!$A$14:$C$21,3,FALSE)</f>
        <v>0</v>
      </c>
      <c r="T278" s="242">
        <f>IF(N278&gt;0,N278*J278/Z278,0)*VLOOKUP(B278,'2-Kosten per locatie'!$A$14:$C$21,3,FALSE)</f>
        <v>0</v>
      </c>
      <c r="U278" s="242">
        <f>IF(O278&gt;0,O278*J278/AA278,0)*VLOOKUP(B278,'2-Kosten per locatie'!$A$14:$C$21,3,FALSE)</f>
        <v>0</v>
      </c>
      <c r="V278" s="242">
        <f>IF(P278&gt;0,P278*J278/Z278,0)*VLOOKUP(B278,'2-Kosten per locatie'!$A$14:$C$21,3,FALSE)</f>
        <v>0</v>
      </c>
      <c r="W278" s="242">
        <f>IF(Q278&gt;0,Q278*J278/AA278,0)*VLOOKUP(B278,'2-Kosten per locatie'!$A$14:$C$21,3,FALSE)</f>
        <v>0</v>
      </c>
      <c r="X278" s="315">
        <f>IF(L278="nio",0,IF(L278&gt;0,VLOOKUP(H278,'3-Productie normen'!A:K,VLOOKUP(L278,'3-Productie normen'!$B$36:$C$42,2,FALSE),FALSE)))</f>
        <v>0</v>
      </c>
      <c r="Y278" s="315">
        <f t="shared" si="39"/>
        <v>0</v>
      </c>
      <c r="Z278" s="315">
        <f t="shared" si="40"/>
        <v>0</v>
      </c>
      <c r="AA278" s="315">
        <f t="shared" si="41"/>
        <v>0</v>
      </c>
      <c r="AB278" s="316" t="s">
        <v>662</v>
      </c>
      <c r="AD278" s="317">
        <f t="shared" si="42"/>
        <v>0</v>
      </c>
    </row>
    <row r="279" spans="1:30" ht="14.1" hidden="1" customHeight="1">
      <c r="A279" s="74">
        <v>279</v>
      </c>
      <c r="B279" s="277" t="s">
        <v>457</v>
      </c>
      <c r="C279" s="277" t="s">
        <v>565</v>
      </c>
      <c r="D279" s="277" t="s">
        <v>566</v>
      </c>
      <c r="E279" s="311" t="s">
        <v>419</v>
      </c>
      <c r="F279" s="312" t="s">
        <v>535</v>
      </c>
      <c r="G279" s="86" t="s">
        <v>594</v>
      </c>
      <c r="H279" s="86" t="s">
        <v>411</v>
      </c>
      <c r="I279" s="87"/>
      <c r="J279" s="313">
        <v>1.97</v>
      </c>
      <c r="K279" s="314">
        <f t="shared" si="43"/>
        <v>0</v>
      </c>
      <c r="L279" s="243" t="s">
        <v>412</v>
      </c>
      <c r="M279" s="243"/>
      <c r="N279" s="243"/>
      <c r="O279" s="243"/>
      <c r="P279" s="243"/>
      <c r="Q279" s="243"/>
      <c r="R279" s="242">
        <f>IF(L279="nio",0,IF(L279&gt;0,L279*J279/X279,0))*VLOOKUP(B279,'2-Kosten per locatie'!$A$14:$C$21,3,FALSE)</f>
        <v>0</v>
      </c>
      <c r="S279" s="242">
        <f>IF(M279&gt;0,M279*J279/Y279,0)*VLOOKUP(B279,'2-Kosten per locatie'!$A$14:$C$21,3,FALSE)</f>
        <v>0</v>
      </c>
      <c r="T279" s="242">
        <f>IF(N279&gt;0,N279*J279/Z279,0)*VLOOKUP(B279,'2-Kosten per locatie'!$A$14:$C$21,3,FALSE)</f>
        <v>0</v>
      </c>
      <c r="U279" s="242">
        <f>IF(O279&gt;0,O279*J279/AA279,0)*VLOOKUP(B279,'2-Kosten per locatie'!$A$14:$C$21,3,FALSE)</f>
        <v>0</v>
      </c>
      <c r="V279" s="242">
        <f>IF(P279&gt;0,P279*J279/Z279,0)*VLOOKUP(B279,'2-Kosten per locatie'!$A$14:$C$21,3,FALSE)</f>
        <v>0</v>
      </c>
      <c r="W279" s="242">
        <f>IF(Q279&gt;0,Q279*J279/AA279,0)*VLOOKUP(B279,'2-Kosten per locatie'!$A$14:$C$21,3,FALSE)</f>
        <v>0</v>
      </c>
      <c r="X279" s="315">
        <f>IF(L279="nio",0,IF(L279&gt;0,VLOOKUP(H279,'3-Productie normen'!A:K,VLOOKUP(L279,'3-Productie normen'!$B$36:$C$42,2,FALSE),FALSE)))</f>
        <v>0</v>
      </c>
      <c r="Y279" s="315">
        <f t="shared" si="39"/>
        <v>0</v>
      </c>
      <c r="Z279" s="315">
        <f t="shared" si="40"/>
        <v>0</v>
      </c>
      <c r="AA279" s="315">
        <f t="shared" si="41"/>
        <v>0</v>
      </c>
      <c r="AB279" s="316" t="s">
        <v>662</v>
      </c>
      <c r="AD279" s="317">
        <f t="shared" si="42"/>
        <v>0</v>
      </c>
    </row>
    <row r="280" spans="1:30" ht="14.1" hidden="1" customHeight="1">
      <c r="A280" s="74">
        <v>280</v>
      </c>
      <c r="B280" s="277" t="s">
        <v>457</v>
      </c>
      <c r="C280" s="277" t="s">
        <v>565</v>
      </c>
      <c r="D280" s="277" t="s">
        <v>566</v>
      </c>
      <c r="E280" s="311" t="s">
        <v>419</v>
      </c>
      <c r="F280" s="312" t="s">
        <v>536</v>
      </c>
      <c r="G280" s="86" t="s">
        <v>595</v>
      </c>
      <c r="H280" s="293" t="s">
        <v>411</v>
      </c>
      <c r="I280" s="87"/>
      <c r="J280" s="313">
        <v>23</v>
      </c>
      <c r="K280" s="314">
        <f t="shared" si="43"/>
        <v>0</v>
      </c>
      <c r="L280" s="243" t="s">
        <v>412</v>
      </c>
      <c r="M280" s="243"/>
      <c r="N280" s="243"/>
      <c r="O280" s="243"/>
      <c r="P280" s="243"/>
      <c r="Q280" s="243"/>
      <c r="R280" s="242">
        <f>IF(L280="nio",0,IF(L280&gt;0,L280*J280/X280,0))*VLOOKUP(B280,'2-Kosten per locatie'!$A$14:$C$21,3,FALSE)</f>
        <v>0</v>
      </c>
      <c r="S280" s="242">
        <f>IF(M280&gt;0,M280*J280/Y280,0)*VLOOKUP(B280,'2-Kosten per locatie'!$A$14:$C$21,3,FALSE)</f>
        <v>0</v>
      </c>
      <c r="T280" s="242">
        <f>IF(N280&gt;0,N280*J280/Z280,0)*VLOOKUP(B280,'2-Kosten per locatie'!$A$14:$C$21,3,FALSE)</f>
        <v>0</v>
      </c>
      <c r="U280" s="242">
        <f>IF(O280&gt;0,O280*J280/AA280,0)*VLOOKUP(B280,'2-Kosten per locatie'!$A$14:$C$21,3,FALSE)</f>
        <v>0</v>
      </c>
      <c r="V280" s="242">
        <f>IF(P280&gt;0,P280*J280/Z280,0)*VLOOKUP(B280,'2-Kosten per locatie'!$A$14:$C$21,3,FALSE)</f>
        <v>0</v>
      </c>
      <c r="W280" s="242">
        <f>IF(Q280&gt;0,Q280*J280/AA280,0)*VLOOKUP(B280,'2-Kosten per locatie'!$A$14:$C$21,3,FALSE)</f>
        <v>0</v>
      </c>
      <c r="X280" s="315">
        <f>IF(L280="nio",0,IF(L280&gt;0,VLOOKUP(H280,'3-Productie normen'!A:K,VLOOKUP(L280,'3-Productie normen'!$B$36:$C$42,2,FALSE),FALSE)))</f>
        <v>0</v>
      </c>
      <c r="Y280" s="315">
        <f t="shared" si="39"/>
        <v>0</v>
      </c>
      <c r="Z280" s="315">
        <f t="shared" si="40"/>
        <v>0</v>
      </c>
      <c r="AA280" s="315">
        <f t="shared" si="41"/>
        <v>0</v>
      </c>
      <c r="AB280" s="316" t="s">
        <v>662</v>
      </c>
      <c r="AD280" s="317">
        <f t="shared" si="42"/>
        <v>0</v>
      </c>
    </row>
    <row r="281" spans="1:30" ht="14.1" hidden="1" customHeight="1">
      <c r="A281" s="74">
        <v>281</v>
      </c>
      <c r="B281" s="277" t="s">
        <v>457</v>
      </c>
      <c r="C281" s="277" t="s">
        <v>565</v>
      </c>
      <c r="D281" s="277" t="s">
        <v>566</v>
      </c>
      <c r="E281" s="311" t="s">
        <v>419</v>
      </c>
      <c r="F281" s="312" t="s">
        <v>537</v>
      </c>
      <c r="G281" s="86" t="s">
        <v>596</v>
      </c>
      <c r="H281" s="293" t="s">
        <v>411</v>
      </c>
      <c r="I281" s="86"/>
      <c r="J281" s="313">
        <v>30.71</v>
      </c>
      <c r="K281" s="314">
        <f t="shared" si="43"/>
        <v>0</v>
      </c>
      <c r="L281" s="243" t="s">
        <v>412</v>
      </c>
      <c r="M281" s="243"/>
      <c r="N281" s="243"/>
      <c r="O281" s="243"/>
      <c r="P281" s="243"/>
      <c r="Q281" s="243"/>
      <c r="R281" s="242">
        <f>IF(L281="nio",0,IF(L281&gt;0,L281*J281/X281,0))*VLOOKUP(B281,'2-Kosten per locatie'!$A$14:$C$21,3,FALSE)</f>
        <v>0</v>
      </c>
      <c r="S281" s="242">
        <f>IF(M281&gt;0,M281*J281/Y281,0)*VLOOKUP(B281,'2-Kosten per locatie'!$A$14:$C$21,3,FALSE)</f>
        <v>0</v>
      </c>
      <c r="T281" s="242">
        <f>IF(N281&gt;0,N281*J281/Z281,0)*VLOOKUP(B281,'2-Kosten per locatie'!$A$14:$C$21,3,FALSE)</f>
        <v>0</v>
      </c>
      <c r="U281" s="242">
        <f>IF(O281&gt;0,O281*J281/AA281,0)*VLOOKUP(B281,'2-Kosten per locatie'!$A$14:$C$21,3,FALSE)</f>
        <v>0</v>
      </c>
      <c r="V281" s="242">
        <f>IF(P281&gt;0,P281*J281/Z281,0)*VLOOKUP(B281,'2-Kosten per locatie'!$A$14:$C$21,3,FALSE)</f>
        <v>0</v>
      </c>
      <c r="W281" s="242">
        <f>IF(Q281&gt;0,Q281*J281/AA281,0)*VLOOKUP(B281,'2-Kosten per locatie'!$A$14:$C$21,3,FALSE)</f>
        <v>0</v>
      </c>
      <c r="X281" s="315">
        <f>IF(L281="nio",0,IF(L281&gt;0,VLOOKUP(H281,'3-Productie normen'!A:K,VLOOKUP(L281,'3-Productie normen'!$B$36:$C$42,2,FALSE),FALSE)))</f>
        <v>0</v>
      </c>
      <c r="Y281" s="315">
        <f t="shared" ref="Y281:Y312" si="44">IF(M281&gt;0,X281*$Y$8,0)</f>
        <v>0</v>
      </c>
      <c r="Z281" s="315">
        <f t="shared" ref="Z281:Z312" si="45">IF((OR(N281&gt;0,P281&gt;0)),X281*$Z$8,0)</f>
        <v>0</v>
      </c>
      <c r="AA281" s="315">
        <f t="shared" ref="AA281:AA312" si="46">IF((OR(O281&gt;0,Q281&gt;0)),X281*$AA$8,0)</f>
        <v>0</v>
      </c>
      <c r="AB281" s="316" t="s">
        <v>662</v>
      </c>
      <c r="AD281" s="317">
        <f t="shared" ref="AD281:AD302" si="47">K281*J281</f>
        <v>0</v>
      </c>
    </row>
    <row r="282" spans="1:30" ht="14.1" hidden="1" customHeight="1">
      <c r="A282" s="74">
        <v>282</v>
      </c>
      <c r="B282" s="277" t="s">
        <v>457</v>
      </c>
      <c r="C282" s="277" t="s">
        <v>565</v>
      </c>
      <c r="D282" s="277" t="s">
        <v>566</v>
      </c>
      <c r="E282" s="311" t="s">
        <v>419</v>
      </c>
      <c r="F282" s="312" t="s">
        <v>538</v>
      </c>
      <c r="G282" s="86" t="s">
        <v>61</v>
      </c>
      <c r="H282" s="293" t="s">
        <v>239</v>
      </c>
      <c r="I282" s="70" t="s">
        <v>255</v>
      </c>
      <c r="J282" s="313">
        <v>2.66</v>
      </c>
      <c r="K282" s="314">
        <f t="shared" si="43"/>
        <v>40</v>
      </c>
      <c r="L282" s="243">
        <v>40</v>
      </c>
      <c r="M282" s="243"/>
      <c r="N282" s="243"/>
      <c r="O282" s="243"/>
      <c r="P282" s="243"/>
      <c r="Q282" s="243"/>
      <c r="R282" s="242" t="e">
        <f>IF(L282="nio",0,IF(L282&gt;0,L282*J282/X282,0))*VLOOKUP(B282,'2-Kosten per locatie'!$A$14:$C$21,3,FALSE)</f>
        <v>#DIV/0!</v>
      </c>
      <c r="S282" s="242">
        <f>IF(M282&gt;0,M282*J282/Y282,0)*VLOOKUP(B282,'2-Kosten per locatie'!$A$14:$C$21,3,FALSE)</f>
        <v>0</v>
      </c>
      <c r="T282" s="242">
        <f>IF(N282&gt;0,N282*J282/Z282,0)*VLOOKUP(B282,'2-Kosten per locatie'!$A$14:$C$21,3,FALSE)</f>
        <v>0</v>
      </c>
      <c r="U282" s="242">
        <f>IF(O282&gt;0,O282*J282/AA282,0)*VLOOKUP(B282,'2-Kosten per locatie'!$A$14:$C$21,3,FALSE)</f>
        <v>0</v>
      </c>
      <c r="V282" s="242">
        <f>IF(P282&gt;0,P282*J282/Z282,0)*VLOOKUP(B282,'2-Kosten per locatie'!$A$14:$C$21,3,FALSE)</f>
        <v>0</v>
      </c>
      <c r="W282" s="242">
        <f>IF(Q282&gt;0,Q282*J282/AA282,0)*VLOOKUP(B282,'2-Kosten per locatie'!$A$14:$C$21,3,FALSE)</f>
        <v>0</v>
      </c>
      <c r="X282" s="315">
        <f>IF(L282="nio",0,IF(L282&gt;0,VLOOKUP(H282,'3-Productie normen'!A:K,VLOOKUP(L282,'3-Productie normen'!$B$36:$C$42,2,FALSE),FALSE)))</f>
        <v>0</v>
      </c>
      <c r="Y282" s="315">
        <f t="shared" si="44"/>
        <v>0</v>
      </c>
      <c r="Z282" s="315">
        <f t="shared" si="45"/>
        <v>0</v>
      </c>
      <c r="AA282" s="315">
        <f t="shared" si="46"/>
        <v>0</v>
      </c>
      <c r="AB282" s="316" t="s">
        <v>662</v>
      </c>
      <c r="AD282" s="317">
        <f t="shared" si="47"/>
        <v>106.4</v>
      </c>
    </row>
    <row r="283" spans="1:30" ht="14.1" hidden="1" customHeight="1">
      <c r="A283" s="74">
        <v>283</v>
      </c>
      <c r="B283" s="277" t="s">
        <v>457</v>
      </c>
      <c r="C283" s="277" t="s">
        <v>565</v>
      </c>
      <c r="D283" s="277" t="s">
        <v>566</v>
      </c>
      <c r="E283" s="311" t="s">
        <v>419</v>
      </c>
      <c r="F283" s="312" t="s">
        <v>539</v>
      </c>
      <c r="G283" s="86" t="s">
        <v>597</v>
      </c>
      <c r="H283" s="86" t="s">
        <v>60</v>
      </c>
      <c r="I283" s="70" t="s">
        <v>442</v>
      </c>
      <c r="J283" s="313">
        <v>10.97</v>
      </c>
      <c r="K283" s="314">
        <f t="shared" si="43"/>
        <v>205</v>
      </c>
      <c r="L283" s="243">
        <v>205</v>
      </c>
      <c r="M283" s="243"/>
      <c r="N283" s="243"/>
      <c r="O283" s="243"/>
      <c r="P283" s="243"/>
      <c r="Q283" s="243"/>
      <c r="R283" s="242" t="e">
        <f>IF(L283="nio",0,IF(L283&gt;0,L283*J283/X283,0))*VLOOKUP(B283,'2-Kosten per locatie'!$A$14:$C$21,3,FALSE)</f>
        <v>#DIV/0!</v>
      </c>
      <c r="S283" s="242">
        <f>IF(M283&gt;0,M283*J283/Y283,0)*VLOOKUP(B283,'2-Kosten per locatie'!$A$14:$C$21,3,FALSE)</f>
        <v>0</v>
      </c>
      <c r="T283" s="242">
        <f>IF(N283&gt;0,N283*J283/Z283,0)*VLOOKUP(B283,'2-Kosten per locatie'!$A$14:$C$21,3,FALSE)</f>
        <v>0</v>
      </c>
      <c r="U283" s="242">
        <f>IF(O283&gt;0,O283*J283/AA283,0)*VLOOKUP(B283,'2-Kosten per locatie'!$A$14:$C$21,3,FALSE)</f>
        <v>0</v>
      </c>
      <c r="V283" s="242">
        <f>IF(P283&gt;0,P283*J283/Z283,0)*VLOOKUP(B283,'2-Kosten per locatie'!$A$14:$C$21,3,FALSE)</f>
        <v>0</v>
      </c>
      <c r="W283" s="242">
        <f>IF(Q283&gt;0,Q283*J283/AA283,0)*VLOOKUP(B283,'2-Kosten per locatie'!$A$14:$C$21,3,FALSE)</f>
        <v>0</v>
      </c>
      <c r="X283" s="315">
        <f>IF(L283="nio",0,IF(L283&gt;0,VLOOKUP(H283,'3-Productie normen'!A:K,VLOOKUP(L283,'3-Productie normen'!$B$36:$C$42,2,FALSE),FALSE)))</f>
        <v>0</v>
      </c>
      <c r="Y283" s="315">
        <f t="shared" si="44"/>
        <v>0</v>
      </c>
      <c r="Z283" s="315">
        <f t="shared" si="45"/>
        <v>0</v>
      </c>
      <c r="AA283" s="315">
        <f t="shared" si="46"/>
        <v>0</v>
      </c>
      <c r="AB283" s="316" t="s">
        <v>662</v>
      </c>
      <c r="AD283" s="317">
        <f t="shared" si="47"/>
        <v>2248.85</v>
      </c>
    </row>
    <row r="284" spans="1:30" ht="14.1" hidden="1" customHeight="1">
      <c r="A284" s="74">
        <v>284</v>
      </c>
      <c r="B284" s="277" t="s">
        <v>457</v>
      </c>
      <c r="C284" s="277" t="s">
        <v>565</v>
      </c>
      <c r="D284" s="277" t="s">
        <v>566</v>
      </c>
      <c r="E284" s="311" t="s">
        <v>419</v>
      </c>
      <c r="F284" s="312" t="s">
        <v>540</v>
      </c>
      <c r="G284" s="86" t="s">
        <v>598</v>
      </c>
      <c r="H284" s="86" t="s">
        <v>52</v>
      </c>
      <c r="I284" s="70" t="s">
        <v>261</v>
      </c>
      <c r="J284" s="313">
        <v>12.98</v>
      </c>
      <c r="K284" s="314">
        <f t="shared" si="43"/>
        <v>255</v>
      </c>
      <c r="L284" s="243">
        <v>255</v>
      </c>
      <c r="M284" s="243"/>
      <c r="N284" s="243"/>
      <c r="O284" s="243"/>
      <c r="P284" s="243"/>
      <c r="Q284" s="243"/>
      <c r="R284" s="242" t="e">
        <f>IF(L284="nio",0,IF(L284&gt;0,L284*J284/X284,0))*VLOOKUP(B284,'2-Kosten per locatie'!$A$14:$C$21,3,FALSE)</f>
        <v>#DIV/0!</v>
      </c>
      <c r="S284" s="242">
        <f>IF(M284&gt;0,M284*J284/Y284,0)*VLOOKUP(B284,'2-Kosten per locatie'!$A$14:$C$21,3,FALSE)</f>
        <v>0</v>
      </c>
      <c r="T284" s="242">
        <f>IF(N284&gt;0,N284*J284/Z284,0)*VLOOKUP(B284,'2-Kosten per locatie'!$A$14:$C$21,3,FALSE)</f>
        <v>0</v>
      </c>
      <c r="U284" s="242">
        <f>IF(O284&gt;0,O284*J284/AA284,0)*VLOOKUP(B284,'2-Kosten per locatie'!$A$14:$C$21,3,FALSE)</f>
        <v>0</v>
      </c>
      <c r="V284" s="242">
        <f>IF(P284&gt;0,P284*J284/Z284,0)*VLOOKUP(B284,'2-Kosten per locatie'!$A$14:$C$21,3,FALSE)</f>
        <v>0</v>
      </c>
      <c r="W284" s="242">
        <f>IF(Q284&gt;0,Q284*J284/AA284,0)*VLOOKUP(B284,'2-Kosten per locatie'!$A$14:$C$21,3,FALSE)</f>
        <v>0</v>
      </c>
      <c r="X284" s="315">
        <f>IF(L284="nio",0,IF(L284&gt;0,VLOOKUP(H284,'3-Productie normen'!A:K,VLOOKUP(L284,'3-Productie normen'!$B$36:$C$42,2,FALSE),FALSE)))</f>
        <v>0</v>
      </c>
      <c r="Y284" s="315">
        <f t="shared" si="44"/>
        <v>0</v>
      </c>
      <c r="Z284" s="315">
        <f t="shared" si="45"/>
        <v>0</v>
      </c>
      <c r="AA284" s="315">
        <f t="shared" si="46"/>
        <v>0</v>
      </c>
      <c r="AB284" s="316" t="s">
        <v>662</v>
      </c>
      <c r="AD284" s="317">
        <f t="shared" si="47"/>
        <v>3309.9</v>
      </c>
    </row>
    <row r="285" spans="1:30" ht="14.1" hidden="1" customHeight="1">
      <c r="A285" s="74">
        <v>285</v>
      </c>
      <c r="B285" s="277" t="s">
        <v>457</v>
      </c>
      <c r="C285" s="277" t="s">
        <v>565</v>
      </c>
      <c r="D285" s="277" t="s">
        <v>566</v>
      </c>
      <c r="E285" s="311" t="s">
        <v>419</v>
      </c>
      <c r="F285" s="312" t="s">
        <v>541</v>
      </c>
      <c r="G285" s="86" t="s">
        <v>599</v>
      </c>
      <c r="H285" s="86" t="s">
        <v>56</v>
      </c>
      <c r="I285" s="70" t="s">
        <v>255</v>
      </c>
      <c r="J285" s="313">
        <v>18.72</v>
      </c>
      <c r="K285" s="314">
        <f t="shared" si="43"/>
        <v>205</v>
      </c>
      <c r="L285" s="243">
        <v>205</v>
      </c>
      <c r="M285" s="243"/>
      <c r="N285" s="243"/>
      <c r="O285" s="243"/>
      <c r="P285" s="243"/>
      <c r="Q285" s="243"/>
      <c r="R285" s="242" t="e">
        <f>IF(L285="nio",0,IF(L285&gt;0,L285*J285/X285,0))*VLOOKUP(B285,'2-Kosten per locatie'!$A$14:$C$21,3,FALSE)</f>
        <v>#DIV/0!</v>
      </c>
      <c r="S285" s="242">
        <f>IF(M285&gt;0,M285*J285/Y285,0)*VLOOKUP(B285,'2-Kosten per locatie'!$A$14:$C$21,3,FALSE)</f>
        <v>0</v>
      </c>
      <c r="T285" s="242">
        <f>IF(N285&gt;0,N285*J285/Z285,0)*VLOOKUP(B285,'2-Kosten per locatie'!$A$14:$C$21,3,FALSE)</f>
        <v>0</v>
      </c>
      <c r="U285" s="242">
        <f>IF(O285&gt;0,O285*J285/AA285,0)*VLOOKUP(B285,'2-Kosten per locatie'!$A$14:$C$21,3,FALSE)</f>
        <v>0</v>
      </c>
      <c r="V285" s="242">
        <f>IF(P285&gt;0,P285*J285/Z285,0)*VLOOKUP(B285,'2-Kosten per locatie'!$A$14:$C$21,3,FALSE)</f>
        <v>0</v>
      </c>
      <c r="W285" s="242">
        <f>IF(Q285&gt;0,Q285*J285/AA285,0)*VLOOKUP(B285,'2-Kosten per locatie'!$A$14:$C$21,3,FALSE)</f>
        <v>0</v>
      </c>
      <c r="X285" s="315">
        <f>IF(L285="nio",0,IF(L285&gt;0,VLOOKUP(H285,'3-Productie normen'!A:K,VLOOKUP(L285,'3-Productie normen'!$B$36:$C$42,2,FALSE),FALSE)))</f>
        <v>0</v>
      </c>
      <c r="Y285" s="315">
        <f t="shared" si="44"/>
        <v>0</v>
      </c>
      <c r="Z285" s="315">
        <f t="shared" si="45"/>
        <v>0</v>
      </c>
      <c r="AA285" s="315">
        <f t="shared" si="46"/>
        <v>0</v>
      </c>
      <c r="AB285" s="316" t="s">
        <v>662</v>
      </c>
      <c r="AD285" s="317">
        <f t="shared" si="47"/>
        <v>3837.6</v>
      </c>
    </row>
    <row r="286" spans="1:30" ht="14.1" hidden="1" customHeight="1">
      <c r="A286" s="74">
        <v>286</v>
      </c>
      <c r="B286" s="277" t="s">
        <v>457</v>
      </c>
      <c r="C286" s="277" t="s">
        <v>565</v>
      </c>
      <c r="D286" s="277" t="s">
        <v>566</v>
      </c>
      <c r="E286" s="311" t="s">
        <v>419</v>
      </c>
      <c r="F286" s="312" t="s">
        <v>542</v>
      </c>
      <c r="G286" s="86" t="s">
        <v>600</v>
      </c>
      <c r="H286" s="86" t="s">
        <v>392</v>
      </c>
      <c r="I286" s="70" t="s">
        <v>255</v>
      </c>
      <c r="J286" s="313">
        <v>4.63</v>
      </c>
      <c r="K286" s="314">
        <f t="shared" si="43"/>
        <v>205</v>
      </c>
      <c r="L286" s="243">
        <v>205</v>
      </c>
      <c r="M286" s="243"/>
      <c r="N286" s="243"/>
      <c r="O286" s="243"/>
      <c r="P286" s="243"/>
      <c r="Q286" s="243"/>
      <c r="R286" s="242" t="e">
        <f>IF(L286="nio",0,IF(L286&gt;0,L286*J286/X286,0))*VLOOKUP(B286,'2-Kosten per locatie'!$A$14:$C$21,3,FALSE)</f>
        <v>#DIV/0!</v>
      </c>
      <c r="S286" s="242">
        <f>IF(M286&gt;0,M286*J286/Y286,0)*VLOOKUP(B286,'2-Kosten per locatie'!$A$14:$C$21,3,FALSE)</f>
        <v>0</v>
      </c>
      <c r="T286" s="242">
        <f>IF(N286&gt;0,N286*J286/Z286,0)*VLOOKUP(B286,'2-Kosten per locatie'!$A$14:$C$21,3,FALSE)</f>
        <v>0</v>
      </c>
      <c r="U286" s="242">
        <f>IF(O286&gt;0,O286*J286/AA286,0)*VLOOKUP(B286,'2-Kosten per locatie'!$A$14:$C$21,3,FALSE)</f>
        <v>0</v>
      </c>
      <c r="V286" s="242">
        <f>IF(P286&gt;0,P286*J286/Z286,0)*VLOOKUP(B286,'2-Kosten per locatie'!$A$14:$C$21,3,FALSE)</f>
        <v>0</v>
      </c>
      <c r="W286" s="242">
        <f>IF(Q286&gt;0,Q286*J286/AA286,0)*VLOOKUP(B286,'2-Kosten per locatie'!$A$14:$C$21,3,FALSE)</f>
        <v>0</v>
      </c>
      <c r="X286" s="315">
        <f>IF(L286="nio",0,IF(L286&gt;0,VLOOKUP(H286,'3-Productie normen'!A:K,VLOOKUP(L286,'3-Productie normen'!$B$36:$C$42,2,FALSE),FALSE)))</f>
        <v>0</v>
      </c>
      <c r="Y286" s="315">
        <f t="shared" si="44"/>
        <v>0</v>
      </c>
      <c r="Z286" s="315">
        <f t="shared" si="45"/>
        <v>0</v>
      </c>
      <c r="AA286" s="315">
        <f t="shared" si="46"/>
        <v>0</v>
      </c>
      <c r="AB286" s="316" t="s">
        <v>662</v>
      </c>
      <c r="AD286" s="317">
        <f t="shared" si="47"/>
        <v>949.15</v>
      </c>
    </row>
    <row r="287" spans="1:30" ht="14.1" hidden="1" customHeight="1">
      <c r="A287" s="74">
        <v>287</v>
      </c>
      <c r="B287" s="277" t="s">
        <v>457</v>
      </c>
      <c r="C287" s="277" t="s">
        <v>565</v>
      </c>
      <c r="D287" s="277" t="s">
        <v>566</v>
      </c>
      <c r="E287" s="311" t="s">
        <v>419</v>
      </c>
      <c r="F287" s="312" t="s">
        <v>543</v>
      </c>
      <c r="G287" s="86" t="s">
        <v>600</v>
      </c>
      <c r="H287" s="86" t="s">
        <v>392</v>
      </c>
      <c r="I287" s="70" t="s">
        <v>255</v>
      </c>
      <c r="J287" s="313">
        <v>4.67</v>
      </c>
      <c r="K287" s="314">
        <f t="shared" si="43"/>
        <v>205</v>
      </c>
      <c r="L287" s="243">
        <v>205</v>
      </c>
      <c r="M287" s="243"/>
      <c r="N287" s="243"/>
      <c r="O287" s="243"/>
      <c r="P287" s="243"/>
      <c r="Q287" s="243"/>
      <c r="R287" s="242" t="e">
        <f>IF(L287="nio",0,IF(L287&gt;0,L287*J287/X287,0))*VLOOKUP(B287,'2-Kosten per locatie'!$A$14:$C$21,3,FALSE)</f>
        <v>#DIV/0!</v>
      </c>
      <c r="S287" s="242">
        <f>IF(M287&gt;0,M287*J287/Y287,0)*VLOOKUP(B287,'2-Kosten per locatie'!$A$14:$C$21,3,FALSE)</f>
        <v>0</v>
      </c>
      <c r="T287" s="242">
        <f>IF(N287&gt;0,N287*J287/Z287,0)*VLOOKUP(B287,'2-Kosten per locatie'!$A$14:$C$21,3,FALSE)</f>
        <v>0</v>
      </c>
      <c r="U287" s="242">
        <f>IF(O287&gt;0,O287*J287/AA287,0)*VLOOKUP(B287,'2-Kosten per locatie'!$A$14:$C$21,3,FALSE)</f>
        <v>0</v>
      </c>
      <c r="V287" s="242">
        <f>IF(P287&gt;0,P287*J287/Z287,0)*VLOOKUP(B287,'2-Kosten per locatie'!$A$14:$C$21,3,FALSE)</f>
        <v>0</v>
      </c>
      <c r="W287" s="242">
        <f>IF(Q287&gt;0,Q287*J287/AA287,0)*VLOOKUP(B287,'2-Kosten per locatie'!$A$14:$C$21,3,FALSE)</f>
        <v>0</v>
      </c>
      <c r="X287" s="315">
        <f>IF(L287="nio",0,IF(L287&gt;0,VLOOKUP(H287,'3-Productie normen'!A:K,VLOOKUP(L287,'3-Productie normen'!$B$36:$C$42,2,FALSE),FALSE)))</f>
        <v>0</v>
      </c>
      <c r="Y287" s="315">
        <f t="shared" si="44"/>
        <v>0</v>
      </c>
      <c r="Z287" s="315">
        <f t="shared" si="45"/>
        <v>0</v>
      </c>
      <c r="AA287" s="315">
        <f t="shared" si="46"/>
        <v>0</v>
      </c>
      <c r="AB287" s="316" t="s">
        <v>662</v>
      </c>
      <c r="AD287" s="317">
        <f t="shared" si="47"/>
        <v>957.35</v>
      </c>
    </row>
    <row r="288" spans="1:30" ht="14.1" hidden="1" customHeight="1">
      <c r="A288" s="74">
        <v>288</v>
      </c>
      <c r="B288" s="277" t="s">
        <v>457</v>
      </c>
      <c r="C288" s="277" t="s">
        <v>565</v>
      </c>
      <c r="D288" s="277" t="s">
        <v>566</v>
      </c>
      <c r="E288" s="311" t="s">
        <v>419</v>
      </c>
      <c r="F288" s="312" t="s">
        <v>544</v>
      </c>
      <c r="G288" s="86" t="s">
        <v>601</v>
      </c>
      <c r="H288" s="86" t="s">
        <v>56</v>
      </c>
      <c r="I288" s="70" t="s">
        <v>255</v>
      </c>
      <c r="J288" s="313">
        <v>19.09</v>
      </c>
      <c r="K288" s="314">
        <f t="shared" si="43"/>
        <v>205</v>
      </c>
      <c r="L288" s="243">
        <v>205</v>
      </c>
      <c r="M288" s="243"/>
      <c r="N288" s="243"/>
      <c r="O288" s="243"/>
      <c r="P288" s="243"/>
      <c r="Q288" s="243"/>
      <c r="R288" s="242" t="e">
        <f>IF(L288="nio",0,IF(L288&gt;0,L288*J288/X288,0))*VLOOKUP(B288,'2-Kosten per locatie'!$A$14:$C$21,3,FALSE)</f>
        <v>#DIV/0!</v>
      </c>
      <c r="S288" s="242">
        <f>IF(M288&gt;0,M288*J288/Y288,0)*VLOOKUP(B288,'2-Kosten per locatie'!$A$14:$C$21,3,FALSE)</f>
        <v>0</v>
      </c>
      <c r="T288" s="242">
        <f>IF(N288&gt;0,N288*J288/Z288,0)*VLOOKUP(B288,'2-Kosten per locatie'!$A$14:$C$21,3,FALSE)</f>
        <v>0</v>
      </c>
      <c r="U288" s="242">
        <f>IF(O288&gt;0,O288*J288/AA288,0)*VLOOKUP(B288,'2-Kosten per locatie'!$A$14:$C$21,3,FALSE)</f>
        <v>0</v>
      </c>
      <c r="V288" s="242">
        <f>IF(P288&gt;0,P288*J288/Z288,0)*VLOOKUP(B288,'2-Kosten per locatie'!$A$14:$C$21,3,FALSE)</f>
        <v>0</v>
      </c>
      <c r="W288" s="242">
        <f>IF(Q288&gt;0,Q288*J288/AA288,0)*VLOOKUP(B288,'2-Kosten per locatie'!$A$14:$C$21,3,FALSE)</f>
        <v>0</v>
      </c>
      <c r="X288" s="315">
        <f>IF(L288="nio",0,IF(L288&gt;0,VLOOKUP(H288,'3-Productie normen'!A:K,VLOOKUP(L288,'3-Productie normen'!$B$36:$C$42,2,FALSE),FALSE)))</f>
        <v>0</v>
      </c>
      <c r="Y288" s="315">
        <f t="shared" si="44"/>
        <v>0</v>
      </c>
      <c r="Z288" s="315">
        <f t="shared" si="45"/>
        <v>0</v>
      </c>
      <c r="AA288" s="315">
        <f t="shared" si="46"/>
        <v>0</v>
      </c>
      <c r="AB288" s="316" t="s">
        <v>662</v>
      </c>
      <c r="AD288" s="317">
        <f t="shared" si="47"/>
        <v>3913.45</v>
      </c>
    </row>
    <row r="289" spans="1:30" ht="14.1" hidden="1" customHeight="1">
      <c r="A289" s="74">
        <v>289</v>
      </c>
      <c r="B289" s="277" t="s">
        <v>457</v>
      </c>
      <c r="C289" s="277" t="s">
        <v>565</v>
      </c>
      <c r="D289" s="277" t="s">
        <v>566</v>
      </c>
      <c r="E289" s="311" t="s">
        <v>419</v>
      </c>
      <c r="F289" s="312" t="s">
        <v>545</v>
      </c>
      <c r="G289" s="86" t="s">
        <v>601</v>
      </c>
      <c r="H289" s="86" t="s">
        <v>56</v>
      </c>
      <c r="I289" s="70" t="s">
        <v>255</v>
      </c>
      <c r="J289" s="313">
        <v>19.09</v>
      </c>
      <c r="K289" s="314">
        <f t="shared" si="43"/>
        <v>205</v>
      </c>
      <c r="L289" s="243">
        <v>205</v>
      </c>
      <c r="M289" s="243"/>
      <c r="N289" s="243"/>
      <c r="O289" s="243"/>
      <c r="P289" s="243"/>
      <c r="Q289" s="243"/>
      <c r="R289" s="242" t="e">
        <f>IF(L289="nio",0,IF(L289&gt;0,L289*J289/X289,0))*VLOOKUP(B289,'2-Kosten per locatie'!$A$14:$C$21,3,FALSE)</f>
        <v>#DIV/0!</v>
      </c>
      <c r="S289" s="242">
        <f>IF(M289&gt;0,M289*J289/Y289,0)*VLOOKUP(B289,'2-Kosten per locatie'!$A$14:$C$21,3,FALSE)</f>
        <v>0</v>
      </c>
      <c r="T289" s="242">
        <f>IF(N289&gt;0,N289*J289/Z289,0)*VLOOKUP(B289,'2-Kosten per locatie'!$A$14:$C$21,3,FALSE)</f>
        <v>0</v>
      </c>
      <c r="U289" s="242">
        <f>IF(O289&gt;0,O289*J289/AA289,0)*VLOOKUP(B289,'2-Kosten per locatie'!$A$14:$C$21,3,FALSE)</f>
        <v>0</v>
      </c>
      <c r="V289" s="242">
        <f>IF(P289&gt;0,P289*J289/Z289,0)*VLOOKUP(B289,'2-Kosten per locatie'!$A$14:$C$21,3,FALSE)</f>
        <v>0</v>
      </c>
      <c r="W289" s="242">
        <f>IF(Q289&gt;0,Q289*J289/AA289,0)*VLOOKUP(B289,'2-Kosten per locatie'!$A$14:$C$21,3,FALSE)</f>
        <v>0</v>
      </c>
      <c r="X289" s="315">
        <f>IF(L289="nio",0,IF(L289&gt;0,VLOOKUP(H289,'3-Productie normen'!A:K,VLOOKUP(L289,'3-Productie normen'!$B$36:$C$42,2,FALSE),FALSE)))</f>
        <v>0</v>
      </c>
      <c r="Y289" s="315">
        <f t="shared" si="44"/>
        <v>0</v>
      </c>
      <c r="Z289" s="315">
        <f t="shared" si="45"/>
        <v>0</v>
      </c>
      <c r="AA289" s="315">
        <f t="shared" si="46"/>
        <v>0</v>
      </c>
      <c r="AB289" s="316" t="s">
        <v>662</v>
      </c>
      <c r="AD289" s="317">
        <f t="shared" si="47"/>
        <v>3913.45</v>
      </c>
    </row>
    <row r="290" spans="1:30" ht="14.1" hidden="1" customHeight="1">
      <c r="A290" s="74">
        <v>290</v>
      </c>
      <c r="B290" s="277" t="s">
        <v>457</v>
      </c>
      <c r="C290" s="277" t="s">
        <v>565</v>
      </c>
      <c r="D290" s="277" t="s">
        <v>566</v>
      </c>
      <c r="E290" s="311" t="s">
        <v>419</v>
      </c>
      <c r="F290" s="312" t="s">
        <v>546</v>
      </c>
      <c r="G290" s="86" t="s">
        <v>600</v>
      </c>
      <c r="H290" s="86" t="s">
        <v>392</v>
      </c>
      <c r="I290" s="70" t="s">
        <v>255</v>
      </c>
      <c r="J290" s="313">
        <v>14.67</v>
      </c>
      <c r="K290" s="314">
        <f t="shared" si="43"/>
        <v>205</v>
      </c>
      <c r="L290" s="243">
        <v>205</v>
      </c>
      <c r="M290" s="243"/>
      <c r="N290" s="243"/>
      <c r="O290" s="243"/>
      <c r="P290" s="243"/>
      <c r="Q290" s="243"/>
      <c r="R290" s="242" t="e">
        <f>IF(L290="nio",0,IF(L290&gt;0,L290*J290/X290,0))*VLOOKUP(B290,'2-Kosten per locatie'!$A$14:$C$21,3,FALSE)</f>
        <v>#DIV/0!</v>
      </c>
      <c r="S290" s="242">
        <f>IF(M290&gt;0,M290*J290/Y290,0)*VLOOKUP(B290,'2-Kosten per locatie'!$A$14:$C$21,3,FALSE)</f>
        <v>0</v>
      </c>
      <c r="T290" s="242">
        <f>IF(N290&gt;0,N290*J290/Z290,0)*VLOOKUP(B290,'2-Kosten per locatie'!$A$14:$C$21,3,FALSE)</f>
        <v>0</v>
      </c>
      <c r="U290" s="242">
        <f>IF(O290&gt;0,O290*J290/AA290,0)*VLOOKUP(B290,'2-Kosten per locatie'!$A$14:$C$21,3,FALSE)</f>
        <v>0</v>
      </c>
      <c r="V290" s="242">
        <f>IF(P290&gt;0,P290*J290/Z290,0)*VLOOKUP(B290,'2-Kosten per locatie'!$A$14:$C$21,3,FALSE)</f>
        <v>0</v>
      </c>
      <c r="W290" s="242">
        <f>IF(Q290&gt;0,Q290*J290/AA290,0)*VLOOKUP(B290,'2-Kosten per locatie'!$A$14:$C$21,3,FALSE)</f>
        <v>0</v>
      </c>
      <c r="X290" s="315">
        <f>IF(L290="nio",0,IF(L290&gt;0,VLOOKUP(H290,'3-Productie normen'!A:K,VLOOKUP(L290,'3-Productie normen'!$B$36:$C$42,2,FALSE),FALSE)))</f>
        <v>0</v>
      </c>
      <c r="Y290" s="315">
        <f t="shared" si="44"/>
        <v>0</v>
      </c>
      <c r="Z290" s="315">
        <f t="shared" si="45"/>
        <v>0</v>
      </c>
      <c r="AA290" s="315">
        <f t="shared" si="46"/>
        <v>0</v>
      </c>
      <c r="AB290" s="316" t="s">
        <v>662</v>
      </c>
      <c r="AD290" s="317">
        <f t="shared" si="47"/>
        <v>3007.35</v>
      </c>
    </row>
    <row r="291" spans="1:30" ht="14.1" hidden="1" customHeight="1">
      <c r="A291" s="74">
        <v>291</v>
      </c>
      <c r="B291" s="277" t="s">
        <v>457</v>
      </c>
      <c r="C291" s="277" t="s">
        <v>565</v>
      </c>
      <c r="D291" s="277" t="s">
        <v>566</v>
      </c>
      <c r="E291" s="311" t="s">
        <v>419</v>
      </c>
      <c r="F291" s="312" t="s">
        <v>547</v>
      </c>
      <c r="G291" s="86" t="s">
        <v>600</v>
      </c>
      <c r="H291" s="86" t="s">
        <v>392</v>
      </c>
      <c r="I291" s="70" t="s">
        <v>255</v>
      </c>
      <c r="J291" s="313">
        <v>14.67</v>
      </c>
      <c r="K291" s="314">
        <f t="shared" si="43"/>
        <v>205</v>
      </c>
      <c r="L291" s="243">
        <v>205</v>
      </c>
      <c r="M291" s="243"/>
      <c r="N291" s="243"/>
      <c r="O291" s="243"/>
      <c r="P291" s="243"/>
      <c r="Q291" s="243"/>
      <c r="R291" s="242" t="e">
        <f>IF(L291="nio",0,IF(L291&gt;0,L291*J291/X291,0))*VLOOKUP(B291,'2-Kosten per locatie'!$A$14:$C$21,3,FALSE)</f>
        <v>#DIV/0!</v>
      </c>
      <c r="S291" s="242">
        <f>IF(M291&gt;0,M291*J291/Y291,0)*VLOOKUP(B291,'2-Kosten per locatie'!$A$14:$C$21,3,FALSE)</f>
        <v>0</v>
      </c>
      <c r="T291" s="242">
        <f>IF(N291&gt;0,N291*J291/Z291,0)*VLOOKUP(B291,'2-Kosten per locatie'!$A$14:$C$21,3,FALSE)</f>
        <v>0</v>
      </c>
      <c r="U291" s="242">
        <f>IF(O291&gt;0,O291*J291/AA291,0)*VLOOKUP(B291,'2-Kosten per locatie'!$A$14:$C$21,3,FALSE)</f>
        <v>0</v>
      </c>
      <c r="V291" s="242">
        <f>IF(P291&gt;0,P291*J291/Z291,0)*VLOOKUP(B291,'2-Kosten per locatie'!$A$14:$C$21,3,FALSE)</f>
        <v>0</v>
      </c>
      <c r="W291" s="242">
        <f>IF(Q291&gt;0,Q291*J291/AA291,0)*VLOOKUP(B291,'2-Kosten per locatie'!$A$14:$C$21,3,FALSE)</f>
        <v>0</v>
      </c>
      <c r="X291" s="315">
        <f>IF(L291="nio",0,IF(L291&gt;0,VLOOKUP(H291,'3-Productie normen'!A:K,VLOOKUP(L291,'3-Productie normen'!$B$36:$C$42,2,FALSE),FALSE)))</f>
        <v>0</v>
      </c>
      <c r="Y291" s="315">
        <f t="shared" si="44"/>
        <v>0</v>
      </c>
      <c r="Z291" s="315">
        <f t="shared" si="45"/>
        <v>0</v>
      </c>
      <c r="AA291" s="315">
        <f t="shared" si="46"/>
        <v>0</v>
      </c>
      <c r="AB291" s="316" t="s">
        <v>662</v>
      </c>
      <c r="AD291" s="317">
        <f t="shared" si="47"/>
        <v>3007.35</v>
      </c>
    </row>
    <row r="292" spans="1:30" ht="14.1" hidden="1" customHeight="1">
      <c r="A292" s="74">
        <v>292</v>
      </c>
      <c r="B292" s="277" t="s">
        <v>457</v>
      </c>
      <c r="C292" s="277" t="s">
        <v>565</v>
      </c>
      <c r="D292" s="277" t="s">
        <v>566</v>
      </c>
      <c r="E292" s="311" t="s">
        <v>419</v>
      </c>
      <c r="F292" s="312" t="s">
        <v>548</v>
      </c>
      <c r="G292" s="86" t="s">
        <v>601</v>
      </c>
      <c r="H292" s="86" t="s">
        <v>56</v>
      </c>
      <c r="I292" s="70" t="s">
        <v>255</v>
      </c>
      <c r="J292" s="313">
        <v>19.09</v>
      </c>
      <c r="K292" s="314">
        <f t="shared" si="43"/>
        <v>205</v>
      </c>
      <c r="L292" s="243">
        <v>205</v>
      </c>
      <c r="M292" s="243"/>
      <c r="N292" s="243"/>
      <c r="O292" s="243"/>
      <c r="P292" s="243"/>
      <c r="Q292" s="243"/>
      <c r="R292" s="242" t="e">
        <f>IF(L292="nio",0,IF(L292&gt;0,L292*J292/X292,0))*VLOOKUP(B292,'2-Kosten per locatie'!$A$14:$C$21,3,FALSE)</f>
        <v>#DIV/0!</v>
      </c>
      <c r="S292" s="242">
        <f>IF(M292&gt;0,M292*J292/Y292,0)*VLOOKUP(B292,'2-Kosten per locatie'!$A$14:$C$21,3,FALSE)</f>
        <v>0</v>
      </c>
      <c r="T292" s="242">
        <f>IF(N292&gt;0,N292*J292/Z292,0)*VLOOKUP(B292,'2-Kosten per locatie'!$A$14:$C$21,3,FALSE)</f>
        <v>0</v>
      </c>
      <c r="U292" s="242">
        <f>IF(O292&gt;0,O292*J292/AA292,0)*VLOOKUP(B292,'2-Kosten per locatie'!$A$14:$C$21,3,FALSE)</f>
        <v>0</v>
      </c>
      <c r="V292" s="242">
        <f>IF(P292&gt;0,P292*J292/Z292,0)*VLOOKUP(B292,'2-Kosten per locatie'!$A$14:$C$21,3,FALSE)</f>
        <v>0</v>
      </c>
      <c r="W292" s="242">
        <f>IF(Q292&gt;0,Q292*J292/AA292,0)*VLOOKUP(B292,'2-Kosten per locatie'!$A$14:$C$21,3,FALSE)</f>
        <v>0</v>
      </c>
      <c r="X292" s="315">
        <f>IF(L292="nio",0,IF(L292&gt;0,VLOOKUP(H292,'3-Productie normen'!A:K,VLOOKUP(L292,'3-Productie normen'!$B$36:$C$42,2,FALSE),FALSE)))</f>
        <v>0</v>
      </c>
      <c r="Y292" s="315">
        <f t="shared" si="44"/>
        <v>0</v>
      </c>
      <c r="Z292" s="315">
        <f t="shared" si="45"/>
        <v>0</v>
      </c>
      <c r="AA292" s="315">
        <f t="shared" si="46"/>
        <v>0</v>
      </c>
      <c r="AB292" s="316" t="s">
        <v>662</v>
      </c>
      <c r="AD292" s="317">
        <f t="shared" si="47"/>
        <v>3913.45</v>
      </c>
    </row>
    <row r="293" spans="1:30" ht="14.1" hidden="1" customHeight="1">
      <c r="A293" s="74">
        <v>293</v>
      </c>
      <c r="B293" s="277" t="s">
        <v>457</v>
      </c>
      <c r="C293" s="277" t="s">
        <v>565</v>
      </c>
      <c r="D293" s="277" t="s">
        <v>566</v>
      </c>
      <c r="E293" s="311" t="s">
        <v>419</v>
      </c>
      <c r="F293" s="312" t="s">
        <v>549</v>
      </c>
      <c r="G293" s="86" t="s">
        <v>602</v>
      </c>
      <c r="H293" s="86" t="s">
        <v>411</v>
      </c>
      <c r="I293" s="86"/>
      <c r="J293" s="313">
        <v>12.84</v>
      </c>
      <c r="K293" s="314">
        <f t="shared" si="43"/>
        <v>0</v>
      </c>
      <c r="L293" s="243" t="s">
        <v>412</v>
      </c>
      <c r="M293" s="243"/>
      <c r="N293" s="243"/>
      <c r="O293" s="243"/>
      <c r="P293" s="243"/>
      <c r="Q293" s="243"/>
      <c r="R293" s="242">
        <f>IF(L293="nio",0,IF(L293&gt;0,L293*J293/X293,0))*VLOOKUP(B293,'2-Kosten per locatie'!$A$14:$C$21,3,FALSE)</f>
        <v>0</v>
      </c>
      <c r="S293" s="242">
        <f>IF(M293&gt;0,M293*J293/Y293,0)*VLOOKUP(B293,'2-Kosten per locatie'!$A$14:$C$21,3,FALSE)</f>
        <v>0</v>
      </c>
      <c r="T293" s="242">
        <f>IF(N293&gt;0,N293*J293/Z293,0)*VLOOKUP(B293,'2-Kosten per locatie'!$A$14:$C$21,3,FALSE)</f>
        <v>0</v>
      </c>
      <c r="U293" s="242">
        <f>IF(O293&gt;0,O293*J293/AA293,0)*VLOOKUP(B293,'2-Kosten per locatie'!$A$14:$C$21,3,FALSE)</f>
        <v>0</v>
      </c>
      <c r="V293" s="242">
        <f>IF(P293&gt;0,P293*J293/Z293,0)*VLOOKUP(B293,'2-Kosten per locatie'!$A$14:$C$21,3,FALSE)</f>
        <v>0</v>
      </c>
      <c r="W293" s="242">
        <f>IF(Q293&gt;0,Q293*J293/AA293,0)*VLOOKUP(B293,'2-Kosten per locatie'!$A$14:$C$21,3,FALSE)</f>
        <v>0</v>
      </c>
      <c r="X293" s="315">
        <f>IF(L293="nio",0,IF(L293&gt;0,VLOOKUP(H293,'3-Productie normen'!A:K,VLOOKUP(L293,'3-Productie normen'!$B$36:$C$42,2,FALSE),FALSE)))</f>
        <v>0</v>
      </c>
      <c r="Y293" s="315">
        <f t="shared" si="44"/>
        <v>0</v>
      </c>
      <c r="Z293" s="315">
        <f t="shared" si="45"/>
        <v>0</v>
      </c>
      <c r="AA293" s="315">
        <f t="shared" si="46"/>
        <v>0</v>
      </c>
      <c r="AB293" s="316" t="s">
        <v>662</v>
      </c>
      <c r="AD293" s="317">
        <f t="shared" si="47"/>
        <v>0</v>
      </c>
    </row>
    <row r="294" spans="1:30" ht="14.1" hidden="1" customHeight="1">
      <c r="A294" s="74">
        <v>294</v>
      </c>
      <c r="B294" s="277" t="s">
        <v>457</v>
      </c>
      <c r="C294" s="277" t="s">
        <v>565</v>
      </c>
      <c r="D294" s="277" t="s">
        <v>566</v>
      </c>
      <c r="E294" s="311" t="s">
        <v>419</v>
      </c>
      <c r="F294" s="312" t="s">
        <v>550</v>
      </c>
      <c r="G294" s="86" t="s">
        <v>59</v>
      </c>
      <c r="H294" s="86" t="s">
        <v>59</v>
      </c>
      <c r="I294" s="86" t="s">
        <v>292</v>
      </c>
      <c r="J294" s="313">
        <v>312.08999999999997</v>
      </c>
      <c r="K294" s="314">
        <f t="shared" si="43"/>
        <v>205</v>
      </c>
      <c r="L294" s="243">
        <v>205</v>
      </c>
      <c r="M294" s="243"/>
      <c r="N294" s="243"/>
      <c r="O294" s="243"/>
      <c r="P294" s="243"/>
      <c r="Q294" s="243"/>
      <c r="R294" s="242" t="e">
        <f>IF(L294="nio",0,IF(L294&gt;0,L294*J294/X294,0))*VLOOKUP(B294,'2-Kosten per locatie'!$A$14:$C$21,3,FALSE)</f>
        <v>#DIV/0!</v>
      </c>
      <c r="S294" s="242">
        <f>IF(M294&gt;0,M294*J294/Y294,0)*VLOOKUP(B294,'2-Kosten per locatie'!$A$14:$C$21,3,FALSE)</f>
        <v>0</v>
      </c>
      <c r="T294" s="242">
        <f>IF(N294&gt;0,N294*J294/Z294,0)*VLOOKUP(B294,'2-Kosten per locatie'!$A$14:$C$21,3,FALSE)</f>
        <v>0</v>
      </c>
      <c r="U294" s="242">
        <f>IF(O294&gt;0,O294*J294/AA294,0)*VLOOKUP(B294,'2-Kosten per locatie'!$A$14:$C$21,3,FALSE)</f>
        <v>0</v>
      </c>
      <c r="V294" s="242">
        <f>IF(P294&gt;0,P294*J294/Z294,0)*VLOOKUP(B294,'2-Kosten per locatie'!$A$14:$C$21,3,FALSE)</f>
        <v>0</v>
      </c>
      <c r="W294" s="242">
        <f>IF(Q294&gt;0,Q294*J294/AA294,0)*VLOOKUP(B294,'2-Kosten per locatie'!$A$14:$C$21,3,FALSE)</f>
        <v>0</v>
      </c>
      <c r="X294" s="315">
        <f>IF(L294="nio",0,IF(L294&gt;0,VLOOKUP(H294,'3-Productie normen'!A:K,VLOOKUP(L294,'3-Productie normen'!$B$36:$C$42,2,FALSE),FALSE)))</f>
        <v>0</v>
      </c>
      <c r="Y294" s="315">
        <f t="shared" si="44"/>
        <v>0</v>
      </c>
      <c r="Z294" s="315">
        <f t="shared" si="45"/>
        <v>0</v>
      </c>
      <c r="AA294" s="315">
        <f t="shared" si="46"/>
        <v>0</v>
      </c>
      <c r="AB294" s="316" t="s">
        <v>662</v>
      </c>
      <c r="AD294" s="317">
        <f t="shared" si="47"/>
        <v>63978.45</v>
      </c>
    </row>
    <row r="295" spans="1:30" ht="14.1" hidden="1" customHeight="1">
      <c r="A295" s="74">
        <v>295</v>
      </c>
      <c r="B295" s="277" t="s">
        <v>457</v>
      </c>
      <c r="C295" s="277" t="s">
        <v>565</v>
      </c>
      <c r="D295" s="277" t="s">
        <v>566</v>
      </c>
      <c r="E295" s="311" t="s">
        <v>419</v>
      </c>
      <c r="F295" s="312" t="s">
        <v>551</v>
      </c>
      <c r="G295" s="88" t="s">
        <v>59</v>
      </c>
      <c r="H295" s="86" t="s">
        <v>59</v>
      </c>
      <c r="I295" s="86" t="s">
        <v>292</v>
      </c>
      <c r="J295" s="313">
        <v>314.42</v>
      </c>
      <c r="K295" s="314">
        <f t="shared" si="43"/>
        <v>205</v>
      </c>
      <c r="L295" s="243">
        <v>205</v>
      </c>
      <c r="M295" s="243"/>
      <c r="N295" s="243"/>
      <c r="O295" s="243"/>
      <c r="P295" s="243"/>
      <c r="Q295" s="243"/>
      <c r="R295" s="242" t="e">
        <f>IF(L295="nio",0,IF(L295&gt;0,L295*J295/X295,0))*VLOOKUP(B295,'2-Kosten per locatie'!$A$14:$C$21,3,FALSE)</f>
        <v>#DIV/0!</v>
      </c>
      <c r="S295" s="242">
        <f>IF(M295&gt;0,M295*J295/Y295,0)*VLOOKUP(B295,'2-Kosten per locatie'!$A$14:$C$21,3,FALSE)</f>
        <v>0</v>
      </c>
      <c r="T295" s="242">
        <f>IF(N295&gt;0,N295*J295/Z295,0)*VLOOKUP(B295,'2-Kosten per locatie'!$A$14:$C$21,3,FALSE)</f>
        <v>0</v>
      </c>
      <c r="U295" s="242">
        <f>IF(O295&gt;0,O295*J295/AA295,0)*VLOOKUP(B295,'2-Kosten per locatie'!$A$14:$C$21,3,FALSE)</f>
        <v>0</v>
      </c>
      <c r="V295" s="242">
        <f>IF(P295&gt;0,P295*J295/Z295,0)*VLOOKUP(B295,'2-Kosten per locatie'!$A$14:$C$21,3,FALSE)</f>
        <v>0</v>
      </c>
      <c r="W295" s="242">
        <f>IF(Q295&gt;0,Q295*J295/AA295,0)*VLOOKUP(B295,'2-Kosten per locatie'!$A$14:$C$21,3,FALSE)</f>
        <v>0</v>
      </c>
      <c r="X295" s="315">
        <f>IF(L295="nio",0,IF(L295&gt;0,VLOOKUP(H295,'3-Productie normen'!A:K,VLOOKUP(L295,'3-Productie normen'!$B$36:$C$42,2,FALSE),FALSE)))</f>
        <v>0</v>
      </c>
      <c r="Y295" s="315">
        <f t="shared" si="44"/>
        <v>0</v>
      </c>
      <c r="Z295" s="315">
        <f t="shared" si="45"/>
        <v>0</v>
      </c>
      <c r="AA295" s="315">
        <f t="shared" si="46"/>
        <v>0</v>
      </c>
      <c r="AB295" s="316" t="s">
        <v>662</v>
      </c>
      <c r="AD295" s="317">
        <f t="shared" si="47"/>
        <v>64456.100000000006</v>
      </c>
    </row>
    <row r="296" spans="1:30" ht="14.1" hidden="1" customHeight="1">
      <c r="A296" s="74">
        <v>296</v>
      </c>
      <c r="B296" s="277" t="s">
        <v>457</v>
      </c>
      <c r="C296" s="277" t="s">
        <v>565</v>
      </c>
      <c r="D296" s="277" t="s">
        <v>566</v>
      </c>
      <c r="E296" s="311" t="s">
        <v>419</v>
      </c>
      <c r="F296" s="312" t="s">
        <v>552</v>
      </c>
      <c r="G296" s="86" t="s">
        <v>603</v>
      </c>
      <c r="H296" s="86" t="s">
        <v>411</v>
      </c>
      <c r="I296" s="86"/>
      <c r="J296" s="313">
        <v>51.83</v>
      </c>
      <c r="K296" s="314">
        <f t="shared" si="43"/>
        <v>0</v>
      </c>
      <c r="L296" s="243" t="s">
        <v>412</v>
      </c>
      <c r="M296" s="243"/>
      <c r="N296" s="243"/>
      <c r="O296" s="243"/>
      <c r="P296" s="243"/>
      <c r="Q296" s="243"/>
      <c r="R296" s="242">
        <f>IF(L296="nio",0,IF(L296&gt;0,L296*J296/X296,0))*VLOOKUP(B296,'2-Kosten per locatie'!$A$14:$C$21,3,FALSE)</f>
        <v>0</v>
      </c>
      <c r="S296" s="242">
        <f>IF(M296&gt;0,M296*J296/Y296,0)*VLOOKUP(B296,'2-Kosten per locatie'!$A$14:$C$21,3,FALSE)</f>
        <v>0</v>
      </c>
      <c r="T296" s="242">
        <f>IF(N296&gt;0,N296*J296/Z296,0)*VLOOKUP(B296,'2-Kosten per locatie'!$A$14:$C$21,3,FALSE)</f>
        <v>0</v>
      </c>
      <c r="U296" s="242">
        <f>IF(O296&gt;0,O296*J296/AA296,0)*VLOOKUP(B296,'2-Kosten per locatie'!$A$14:$C$21,3,FALSE)</f>
        <v>0</v>
      </c>
      <c r="V296" s="242">
        <f>IF(P296&gt;0,P296*J296/Z296,0)*VLOOKUP(B296,'2-Kosten per locatie'!$A$14:$C$21,3,FALSE)</f>
        <v>0</v>
      </c>
      <c r="W296" s="242">
        <f>IF(Q296&gt;0,Q296*J296/AA296,0)*VLOOKUP(B296,'2-Kosten per locatie'!$A$14:$C$21,3,FALSE)</f>
        <v>0</v>
      </c>
      <c r="X296" s="315">
        <f>IF(L296="nio",0,IF(L296&gt;0,VLOOKUP(H296,'3-Productie normen'!A:K,VLOOKUP(L296,'3-Productie normen'!$B$36:$C$42,2,FALSE),FALSE)))</f>
        <v>0</v>
      </c>
      <c r="Y296" s="315">
        <f t="shared" si="44"/>
        <v>0</v>
      </c>
      <c r="Z296" s="315">
        <f t="shared" si="45"/>
        <v>0</v>
      </c>
      <c r="AA296" s="315">
        <f t="shared" si="46"/>
        <v>0</v>
      </c>
      <c r="AB296" s="316" t="s">
        <v>662</v>
      </c>
      <c r="AD296" s="317">
        <f t="shared" si="47"/>
        <v>0</v>
      </c>
    </row>
    <row r="297" spans="1:30" ht="14.1" hidden="1" customHeight="1">
      <c r="A297" s="74">
        <v>297</v>
      </c>
      <c r="B297" s="277" t="s">
        <v>457</v>
      </c>
      <c r="C297" s="277" t="s">
        <v>565</v>
      </c>
      <c r="D297" s="277" t="s">
        <v>566</v>
      </c>
      <c r="E297" s="311" t="s">
        <v>419</v>
      </c>
      <c r="F297" s="312" t="s">
        <v>553</v>
      </c>
      <c r="G297" s="86" t="s">
        <v>604</v>
      </c>
      <c r="H297" s="86" t="s">
        <v>52</v>
      </c>
      <c r="I297" s="70" t="s">
        <v>261</v>
      </c>
      <c r="J297" s="313">
        <v>6.35</v>
      </c>
      <c r="K297" s="314">
        <f t="shared" si="43"/>
        <v>205</v>
      </c>
      <c r="L297" s="243">
        <v>205</v>
      </c>
      <c r="M297" s="243"/>
      <c r="N297" s="243"/>
      <c r="O297" s="243"/>
      <c r="P297" s="243"/>
      <c r="Q297" s="243"/>
      <c r="R297" s="242" t="e">
        <f>IF(L297="nio",0,IF(L297&gt;0,L297*J297/X297,0))*VLOOKUP(B297,'2-Kosten per locatie'!$A$14:$C$21,3,FALSE)</f>
        <v>#DIV/0!</v>
      </c>
      <c r="S297" s="242">
        <f>IF(M297&gt;0,M297*J297/Y297,0)*VLOOKUP(B297,'2-Kosten per locatie'!$A$14:$C$21,3,FALSE)</f>
        <v>0</v>
      </c>
      <c r="T297" s="242">
        <f>IF(N297&gt;0,N297*J297/Z297,0)*VLOOKUP(B297,'2-Kosten per locatie'!$A$14:$C$21,3,FALSE)</f>
        <v>0</v>
      </c>
      <c r="U297" s="242">
        <f>IF(O297&gt;0,O297*J297/AA297,0)*VLOOKUP(B297,'2-Kosten per locatie'!$A$14:$C$21,3,FALSE)</f>
        <v>0</v>
      </c>
      <c r="V297" s="242">
        <f>IF(P297&gt;0,P297*J297/Z297,0)*VLOOKUP(B297,'2-Kosten per locatie'!$A$14:$C$21,3,FALSE)</f>
        <v>0</v>
      </c>
      <c r="W297" s="242">
        <f>IF(Q297&gt;0,Q297*J297/AA297,0)*VLOOKUP(B297,'2-Kosten per locatie'!$A$14:$C$21,3,FALSE)</f>
        <v>0</v>
      </c>
      <c r="X297" s="315">
        <f>IF(L297="nio",0,IF(L297&gt;0,VLOOKUP(H297,'3-Productie normen'!A:K,VLOOKUP(L297,'3-Productie normen'!$B$36:$C$42,2,FALSE),FALSE)))</f>
        <v>0</v>
      </c>
      <c r="Y297" s="315">
        <f t="shared" si="44"/>
        <v>0</v>
      </c>
      <c r="Z297" s="315">
        <f t="shared" si="45"/>
        <v>0</v>
      </c>
      <c r="AA297" s="315">
        <f t="shared" si="46"/>
        <v>0</v>
      </c>
      <c r="AB297" s="316" t="s">
        <v>662</v>
      </c>
      <c r="AD297" s="317">
        <f t="shared" si="47"/>
        <v>1301.75</v>
      </c>
    </row>
    <row r="298" spans="1:30" ht="14.1" hidden="1" customHeight="1">
      <c r="A298" s="74">
        <v>298</v>
      </c>
      <c r="B298" s="277" t="s">
        <v>457</v>
      </c>
      <c r="C298" s="277" t="s">
        <v>565</v>
      </c>
      <c r="D298" s="277" t="s">
        <v>566</v>
      </c>
      <c r="E298" s="311" t="s">
        <v>419</v>
      </c>
      <c r="F298" s="312" t="s">
        <v>554</v>
      </c>
      <c r="G298" s="86" t="s">
        <v>605</v>
      </c>
      <c r="H298" s="86" t="s">
        <v>411</v>
      </c>
      <c r="I298" s="86"/>
      <c r="J298" s="313">
        <v>43.39</v>
      </c>
      <c r="K298" s="314">
        <f t="shared" si="43"/>
        <v>0</v>
      </c>
      <c r="L298" s="243" t="s">
        <v>412</v>
      </c>
      <c r="M298" s="243"/>
      <c r="N298" s="243"/>
      <c r="O298" s="243"/>
      <c r="P298" s="243"/>
      <c r="Q298" s="243"/>
      <c r="R298" s="242">
        <f>IF(L298="nio",0,IF(L298&gt;0,L298*J298/X298,0))*VLOOKUP(B298,'2-Kosten per locatie'!$A$14:$C$21,3,FALSE)</f>
        <v>0</v>
      </c>
      <c r="S298" s="242">
        <f>IF(M298&gt;0,M298*J298/Y298,0)*VLOOKUP(B298,'2-Kosten per locatie'!$A$14:$C$21,3,FALSE)</f>
        <v>0</v>
      </c>
      <c r="T298" s="242">
        <f>IF(N298&gt;0,N298*J298/Z298,0)*VLOOKUP(B298,'2-Kosten per locatie'!$A$14:$C$21,3,FALSE)</f>
        <v>0</v>
      </c>
      <c r="U298" s="242">
        <f>IF(O298&gt;0,O298*J298/AA298,0)*VLOOKUP(B298,'2-Kosten per locatie'!$A$14:$C$21,3,FALSE)</f>
        <v>0</v>
      </c>
      <c r="V298" s="242">
        <f>IF(P298&gt;0,P298*J298/Z298,0)*VLOOKUP(B298,'2-Kosten per locatie'!$A$14:$C$21,3,FALSE)</f>
        <v>0</v>
      </c>
      <c r="W298" s="242">
        <f>IF(Q298&gt;0,Q298*J298/AA298,0)*VLOOKUP(B298,'2-Kosten per locatie'!$A$14:$C$21,3,FALSE)</f>
        <v>0</v>
      </c>
      <c r="X298" s="315">
        <f>IF(L298="nio",0,IF(L298&gt;0,VLOOKUP(H298,'3-Productie normen'!A:K,VLOOKUP(L298,'3-Productie normen'!$B$36:$C$42,2,FALSE),FALSE)))</f>
        <v>0</v>
      </c>
      <c r="Y298" s="315">
        <f t="shared" si="44"/>
        <v>0</v>
      </c>
      <c r="Z298" s="315">
        <f t="shared" si="45"/>
        <v>0</v>
      </c>
      <c r="AA298" s="315">
        <f t="shared" si="46"/>
        <v>0</v>
      </c>
      <c r="AB298" s="316"/>
      <c r="AD298" s="317">
        <f t="shared" si="47"/>
        <v>0</v>
      </c>
    </row>
    <row r="299" spans="1:30" ht="14.1" hidden="1" customHeight="1">
      <c r="A299" s="74">
        <v>299</v>
      </c>
      <c r="B299" s="277" t="s">
        <v>457</v>
      </c>
      <c r="C299" s="277" t="s">
        <v>565</v>
      </c>
      <c r="D299" s="277" t="s">
        <v>566</v>
      </c>
      <c r="E299" s="311" t="s">
        <v>419</v>
      </c>
      <c r="F299" s="312" t="s">
        <v>555</v>
      </c>
      <c r="G299" s="86" t="s">
        <v>605</v>
      </c>
      <c r="H299" s="86" t="s">
        <v>411</v>
      </c>
      <c r="I299" s="86"/>
      <c r="J299" s="313">
        <v>44</v>
      </c>
      <c r="K299" s="314">
        <f t="shared" si="43"/>
        <v>0</v>
      </c>
      <c r="L299" s="243" t="s">
        <v>412</v>
      </c>
      <c r="M299" s="243"/>
      <c r="N299" s="243"/>
      <c r="O299" s="243"/>
      <c r="P299" s="243"/>
      <c r="Q299" s="243"/>
      <c r="R299" s="242">
        <f>IF(L299="nio",0,IF(L299&gt;0,L299*J299/X299,0))*VLOOKUP(B299,'2-Kosten per locatie'!$A$14:$C$21,3,FALSE)</f>
        <v>0</v>
      </c>
      <c r="S299" s="242">
        <f>IF(M299&gt;0,M299*J299/Y299,0)*VLOOKUP(B299,'2-Kosten per locatie'!$A$14:$C$21,3,FALSE)</f>
        <v>0</v>
      </c>
      <c r="T299" s="242">
        <f>IF(N299&gt;0,N299*J299/Z299,0)*VLOOKUP(B299,'2-Kosten per locatie'!$A$14:$C$21,3,FALSE)</f>
        <v>0</v>
      </c>
      <c r="U299" s="242">
        <f>IF(O299&gt;0,O299*J299/AA299,0)*VLOOKUP(B299,'2-Kosten per locatie'!$A$14:$C$21,3,FALSE)</f>
        <v>0</v>
      </c>
      <c r="V299" s="242">
        <f>IF(P299&gt;0,P299*J299/Z299,0)*VLOOKUP(B299,'2-Kosten per locatie'!$A$14:$C$21,3,FALSE)</f>
        <v>0</v>
      </c>
      <c r="W299" s="242">
        <f>IF(Q299&gt;0,Q299*J299/AA299,0)*VLOOKUP(B299,'2-Kosten per locatie'!$A$14:$C$21,3,FALSE)</f>
        <v>0</v>
      </c>
      <c r="X299" s="315">
        <f>IF(L299="nio",0,IF(L299&gt;0,VLOOKUP(H299,'3-Productie normen'!A:K,VLOOKUP(L299,'3-Productie normen'!$B$36:$C$42,2,FALSE),FALSE)))</f>
        <v>0</v>
      </c>
      <c r="Y299" s="315">
        <f t="shared" si="44"/>
        <v>0</v>
      </c>
      <c r="Z299" s="315">
        <f t="shared" si="45"/>
        <v>0</v>
      </c>
      <c r="AA299" s="315">
        <f t="shared" si="46"/>
        <v>0</v>
      </c>
      <c r="AB299" s="316"/>
      <c r="AD299" s="317">
        <f t="shared" si="47"/>
        <v>0</v>
      </c>
    </row>
    <row r="300" spans="1:30" ht="14.1" hidden="1" customHeight="1">
      <c r="A300" s="74">
        <v>300</v>
      </c>
      <c r="B300" s="277" t="s">
        <v>457</v>
      </c>
      <c r="C300" s="277" t="s">
        <v>565</v>
      </c>
      <c r="D300" s="277" t="s">
        <v>566</v>
      </c>
      <c r="E300" s="311" t="s">
        <v>419</v>
      </c>
      <c r="F300" s="312" t="s">
        <v>556</v>
      </c>
      <c r="G300" s="86" t="s">
        <v>606</v>
      </c>
      <c r="H300" s="86" t="s">
        <v>52</v>
      </c>
      <c r="I300" s="70" t="s">
        <v>261</v>
      </c>
      <c r="J300" s="313">
        <v>1.59</v>
      </c>
      <c r="K300" s="314">
        <f t="shared" si="43"/>
        <v>205</v>
      </c>
      <c r="L300" s="243">
        <v>205</v>
      </c>
      <c r="M300" s="243"/>
      <c r="N300" s="243"/>
      <c r="O300" s="243"/>
      <c r="P300" s="243"/>
      <c r="Q300" s="243"/>
      <c r="R300" s="242" t="e">
        <f>IF(L300="nio",0,IF(L300&gt;0,L300*J300/X300,0))*VLOOKUP(B300,'2-Kosten per locatie'!$A$14:$C$21,3,FALSE)</f>
        <v>#DIV/0!</v>
      </c>
      <c r="S300" s="242">
        <f>IF(M300&gt;0,M300*J300/Y300,0)*VLOOKUP(B300,'2-Kosten per locatie'!$A$14:$C$21,3,FALSE)</f>
        <v>0</v>
      </c>
      <c r="T300" s="242">
        <f>IF(N300&gt;0,N300*J300/Z300,0)*VLOOKUP(B300,'2-Kosten per locatie'!$A$14:$C$21,3,FALSE)</f>
        <v>0</v>
      </c>
      <c r="U300" s="242">
        <f>IF(O300&gt;0,O300*J300/AA300,0)*VLOOKUP(B300,'2-Kosten per locatie'!$A$14:$C$21,3,FALSE)</f>
        <v>0</v>
      </c>
      <c r="V300" s="242">
        <f>IF(P300&gt;0,P300*J300/Z300,0)*VLOOKUP(B300,'2-Kosten per locatie'!$A$14:$C$21,3,FALSE)</f>
        <v>0</v>
      </c>
      <c r="W300" s="242">
        <f>IF(Q300&gt;0,Q300*J300/AA300,0)*VLOOKUP(B300,'2-Kosten per locatie'!$A$14:$C$21,3,FALSE)</f>
        <v>0</v>
      </c>
      <c r="X300" s="315">
        <f>IF(L300="nio",0,IF(L300&gt;0,VLOOKUP(H300,'3-Productie normen'!A:K,VLOOKUP(L300,'3-Productie normen'!$B$36:$C$42,2,FALSE),FALSE)))</f>
        <v>0</v>
      </c>
      <c r="Y300" s="315">
        <f t="shared" si="44"/>
        <v>0</v>
      </c>
      <c r="Z300" s="315">
        <f t="shared" si="45"/>
        <v>0</v>
      </c>
      <c r="AA300" s="315">
        <f t="shared" si="46"/>
        <v>0</v>
      </c>
      <c r="AB300" s="316" t="s">
        <v>660</v>
      </c>
      <c r="AD300" s="317">
        <f t="shared" si="47"/>
        <v>325.95</v>
      </c>
    </row>
    <row r="301" spans="1:30" ht="14.1" hidden="1" customHeight="1">
      <c r="A301" s="74">
        <v>301</v>
      </c>
      <c r="B301" s="277" t="s">
        <v>457</v>
      </c>
      <c r="C301" s="277" t="s">
        <v>565</v>
      </c>
      <c r="D301" s="277" t="s">
        <v>566</v>
      </c>
      <c r="E301" s="311" t="s">
        <v>419</v>
      </c>
      <c r="F301" s="312" t="s">
        <v>557</v>
      </c>
      <c r="G301" s="86" t="s">
        <v>607</v>
      </c>
      <c r="H301" s="86" t="s">
        <v>52</v>
      </c>
      <c r="I301" s="70" t="s">
        <v>261</v>
      </c>
      <c r="J301" s="313">
        <v>1.19</v>
      </c>
      <c r="K301" s="314">
        <f t="shared" si="43"/>
        <v>205</v>
      </c>
      <c r="L301" s="243">
        <v>205</v>
      </c>
      <c r="M301" s="243"/>
      <c r="N301" s="243"/>
      <c r="O301" s="243"/>
      <c r="P301" s="243"/>
      <c r="Q301" s="243"/>
      <c r="R301" s="242" t="e">
        <f>IF(L301="nio",0,IF(L301&gt;0,L301*J301/X301,0))*VLOOKUP(B301,'2-Kosten per locatie'!$A$14:$C$21,3,FALSE)</f>
        <v>#DIV/0!</v>
      </c>
      <c r="S301" s="242">
        <f>IF(M301&gt;0,M301*J301/Y301,0)*VLOOKUP(B301,'2-Kosten per locatie'!$A$14:$C$21,3,FALSE)</f>
        <v>0</v>
      </c>
      <c r="T301" s="242">
        <f>IF(N301&gt;0,N301*J301/Z301,0)*VLOOKUP(B301,'2-Kosten per locatie'!$A$14:$C$21,3,FALSE)</f>
        <v>0</v>
      </c>
      <c r="U301" s="242">
        <f>IF(O301&gt;0,O301*J301/AA301,0)*VLOOKUP(B301,'2-Kosten per locatie'!$A$14:$C$21,3,FALSE)</f>
        <v>0</v>
      </c>
      <c r="V301" s="242">
        <f>IF(P301&gt;0,P301*J301/Z301,0)*VLOOKUP(B301,'2-Kosten per locatie'!$A$14:$C$21,3,FALSE)</f>
        <v>0</v>
      </c>
      <c r="W301" s="242">
        <f>IF(Q301&gt;0,Q301*J301/AA301,0)*VLOOKUP(B301,'2-Kosten per locatie'!$A$14:$C$21,3,FALSE)</f>
        <v>0</v>
      </c>
      <c r="X301" s="315">
        <f>IF(L301="nio",0,IF(L301&gt;0,VLOOKUP(H301,'3-Productie normen'!A:K,VLOOKUP(L301,'3-Productie normen'!$B$36:$C$42,2,FALSE),FALSE)))</f>
        <v>0</v>
      </c>
      <c r="Y301" s="315">
        <f t="shared" si="44"/>
        <v>0</v>
      </c>
      <c r="Z301" s="315">
        <f t="shared" si="45"/>
        <v>0</v>
      </c>
      <c r="AA301" s="315">
        <f t="shared" si="46"/>
        <v>0</v>
      </c>
      <c r="AB301" s="316" t="s">
        <v>662</v>
      </c>
      <c r="AD301" s="317">
        <f t="shared" si="47"/>
        <v>243.95</v>
      </c>
    </row>
    <row r="302" spans="1:30" ht="14.1" hidden="1" customHeight="1">
      <c r="A302" s="74">
        <v>302</v>
      </c>
      <c r="B302" s="277" t="s">
        <v>457</v>
      </c>
      <c r="C302" s="277" t="s">
        <v>565</v>
      </c>
      <c r="D302" s="277" t="s">
        <v>566</v>
      </c>
      <c r="E302" s="311" t="s">
        <v>419</v>
      </c>
      <c r="F302" s="312" t="s">
        <v>558</v>
      </c>
      <c r="G302" s="86" t="s">
        <v>607</v>
      </c>
      <c r="H302" s="86" t="s">
        <v>52</v>
      </c>
      <c r="I302" s="70" t="s">
        <v>261</v>
      </c>
      <c r="J302" s="313">
        <v>1.19</v>
      </c>
      <c r="K302" s="314">
        <f t="shared" si="43"/>
        <v>205</v>
      </c>
      <c r="L302" s="243">
        <v>205</v>
      </c>
      <c r="M302" s="243"/>
      <c r="N302" s="243"/>
      <c r="O302" s="243"/>
      <c r="P302" s="243"/>
      <c r="Q302" s="243"/>
      <c r="R302" s="242" t="e">
        <f>IF(L302="nio",0,IF(L302&gt;0,L302*J302/X302,0))*VLOOKUP(B302,'2-Kosten per locatie'!$A$14:$C$21,3,FALSE)</f>
        <v>#DIV/0!</v>
      </c>
      <c r="S302" s="242">
        <f>IF(M302&gt;0,M302*J302/Y302,0)*VLOOKUP(B302,'2-Kosten per locatie'!$A$14:$C$21,3,FALSE)</f>
        <v>0</v>
      </c>
      <c r="T302" s="242">
        <f>IF(N302&gt;0,N302*J302/Z302,0)*VLOOKUP(B302,'2-Kosten per locatie'!$A$14:$C$21,3,FALSE)</f>
        <v>0</v>
      </c>
      <c r="U302" s="242">
        <f>IF(O302&gt;0,O302*J302/AA302,0)*VLOOKUP(B302,'2-Kosten per locatie'!$A$14:$C$21,3,FALSE)</f>
        <v>0</v>
      </c>
      <c r="V302" s="242">
        <f>IF(P302&gt;0,P302*J302/Z302,0)*VLOOKUP(B302,'2-Kosten per locatie'!$A$14:$C$21,3,FALSE)</f>
        <v>0</v>
      </c>
      <c r="W302" s="242">
        <f>IF(Q302&gt;0,Q302*J302/AA302,0)*VLOOKUP(B302,'2-Kosten per locatie'!$A$14:$C$21,3,FALSE)</f>
        <v>0</v>
      </c>
      <c r="X302" s="315">
        <f>IF(L302="nio",0,IF(L302&gt;0,VLOOKUP(H302,'3-Productie normen'!A:K,VLOOKUP(L302,'3-Productie normen'!$B$36:$C$42,2,FALSE),FALSE)))</f>
        <v>0</v>
      </c>
      <c r="Y302" s="315">
        <f t="shared" si="44"/>
        <v>0</v>
      </c>
      <c r="Z302" s="315">
        <f t="shared" si="45"/>
        <v>0</v>
      </c>
      <c r="AA302" s="315">
        <f t="shared" si="46"/>
        <v>0</v>
      </c>
      <c r="AB302" s="316" t="s">
        <v>662</v>
      </c>
      <c r="AD302" s="317">
        <f t="shared" si="47"/>
        <v>243.95</v>
      </c>
    </row>
    <row r="303" spans="1:30" ht="14.1" hidden="1" customHeight="1">
      <c r="A303" s="74">
        <v>303</v>
      </c>
      <c r="B303" s="277" t="s">
        <v>457</v>
      </c>
      <c r="C303" s="277" t="s">
        <v>565</v>
      </c>
      <c r="D303" s="277" t="s">
        <v>566</v>
      </c>
      <c r="E303" s="311" t="s">
        <v>419</v>
      </c>
      <c r="F303" s="312" t="s">
        <v>559</v>
      </c>
      <c r="G303" s="86" t="s">
        <v>607</v>
      </c>
      <c r="H303" s="86" t="s">
        <v>52</v>
      </c>
      <c r="I303" s="70" t="s">
        <v>261</v>
      </c>
      <c r="J303" s="313">
        <v>1.19</v>
      </c>
      <c r="K303" s="314">
        <f t="shared" si="43"/>
        <v>205</v>
      </c>
      <c r="L303" s="243">
        <v>205</v>
      </c>
      <c r="M303" s="243"/>
      <c r="N303" s="243"/>
      <c r="O303" s="243"/>
      <c r="P303" s="243"/>
      <c r="Q303" s="243"/>
      <c r="R303" s="242" t="e">
        <f>IF(L303="nio",0,IF(L303&gt;0,L303*J303/X303,0))*VLOOKUP(B303,'2-Kosten per locatie'!$A$14:$C$21,3,FALSE)</f>
        <v>#DIV/0!</v>
      </c>
      <c r="S303" s="242">
        <f>IF(M303&gt;0,M303*J303/Y303,0)*VLOOKUP(B303,'2-Kosten per locatie'!$A$14:$C$21,3,FALSE)</f>
        <v>0</v>
      </c>
      <c r="T303" s="242">
        <f>IF(N303&gt;0,N303*J303/Z303,0)*VLOOKUP(B303,'2-Kosten per locatie'!$A$14:$C$21,3,FALSE)</f>
        <v>0</v>
      </c>
      <c r="U303" s="242">
        <f>IF(O303&gt;0,O303*J303/AA303,0)*VLOOKUP(B303,'2-Kosten per locatie'!$A$14:$C$21,3,FALSE)</f>
        <v>0</v>
      </c>
      <c r="V303" s="242">
        <f>IF(P303&gt;0,P303*J303/Z303,0)*VLOOKUP(B303,'2-Kosten per locatie'!$A$14:$C$21,3,FALSE)</f>
        <v>0</v>
      </c>
      <c r="W303" s="242">
        <f>IF(Q303&gt;0,Q303*J303/AA303,0)*VLOOKUP(B303,'2-Kosten per locatie'!$A$14:$C$21,3,FALSE)</f>
        <v>0</v>
      </c>
      <c r="X303" s="315">
        <f>IF(L303="nio",0,IF(L303&gt;0,VLOOKUP(H303,'3-Productie normen'!A:K,VLOOKUP(L303,'3-Productie normen'!$B$36:$C$42,2,FALSE),FALSE)))</f>
        <v>0</v>
      </c>
      <c r="Y303" s="315">
        <f t="shared" si="44"/>
        <v>0</v>
      </c>
      <c r="Z303" s="315">
        <f t="shared" si="45"/>
        <v>0</v>
      </c>
      <c r="AA303" s="315">
        <f t="shared" si="46"/>
        <v>0</v>
      </c>
      <c r="AB303" s="316" t="s">
        <v>662</v>
      </c>
      <c r="AD303" s="317">
        <f t="shared" ref="AD303:AD345" si="48">K303*J303</f>
        <v>243.95</v>
      </c>
    </row>
    <row r="304" spans="1:30" ht="14.1" hidden="1" customHeight="1">
      <c r="A304" s="74">
        <v>304</v>
      </c>
      <c r="B304" s="277" t="s">
        <v>457</v>
      </c>
      <c r="C304" s="277" t="s">
        <v>565</v>
      </c>
      <c r="D304" s="277" t="s">
        <v>566</v>
      </c>
      <c r="E304" s="311" t="s">
        <v>419</v>
      </c>
      <c r="F304" s="312" t="s">
        <v>560</v>
      </c>
      <c r="G304" s="86" t="s">
        <v>607</v>
      </c>
      <c r="H304" s="293" t="s">
        <v>52</v>
      </c>
      <c r="I304" s="70" t="s">
        <v>261</v>
      </c>
      <c r="J304" s="313">
        <v>1.19</v>
      </c>
      <c r="K304" s="314">
        <f t="shared" si="43"/>
        <v>205</v>
      </c>
      <c r="L304" s="243">
        <v>205</v>
      </c>
      <c r="M304" s="243"/>
      <c r="N304" s="243"/>
      <c r="O304" s="243"/>
      <c r="P304" s="243"/>
      <c r="Q304" s="243"/>
      <c r="R304" s="242" t="e">
        <f>IF(L304="nio",0,IF(L304&gt;0,L304*J304/X304,0))*VLOOKUP(B304,'2-Kosten per locatie'!$A$14:$C$21,3,FALSE)</f>
        <v>#DIV/0!</v>
      </c>
      <c r="S304" s="242">
        <f>IF(M304&gt;0,M304*J304/Y304,0)*VLOOKUP(B304,'2-Kosten per locatie'!$A$14:$C$21,3,FALSE)</f>
        <v>0</v>
      </c>
      <c r="T304" s="242">
        <f>IF(N304&gt;0,N304*J304/Z304,0)*VLOOKUP(B304,'2-Kosten per locatie'!$A$14:$C$21,3,FALSE)</f>
        <v>0</v>
      </c>
      <c r="U304" s="242">
        <f>IF(O304&gt;0,O304*J304/AA304,0)*VLOOKUP(B304,'2-Kosten per locatie'!$A$14:$C$21,3,FALSE)</f>
        <v>0</v>
      </c>
      <c r="V304" s="242">
        <f>IF(P304&gt;0,P304*J304/Z304,0)*VLOOKUP(B304,'2-Kosten per locatie'!$A$14:$C$21,3,FALSE)</f>
        <v>0</v>
      </c>
      <c r="W304" s="242">
        <f>IF(Q304&gt;0,Q304*J304/AA304,0)*VLOOKUP(B304,'2-Kosten per locatie'!$A$14:$C$21,3,FALSE)</f>
        <v>0</v>
      </c>
      <c r="X304" s="315">
        <f>IF(L304="nio",0,IF(L304&gt;0,VLOOKUP(H304,'3-Productie normen'!A:K,VLOOKUP(L304,'3-Productie normen'!$B$36:$C$42,2,FALSE),FALSE)))</f>
        <v>0</v>
      </c>
      <c r="Y304" s="315">
        <f t="shared" si="44"/>
        <v>0</v>
      </c>
      <c r="Z304" s="315">
        <f t="shared" si="45"/>
        <v>0</v>
      </c>
      <c r="AA304" s="315">
        <f t="shared" si="46"/>
        <v>0</v>
      </c>
      <c r="AB304" s="316" t="s">
        <v>662</v>
      </c>
      <c r="AD304" s="317">
        <f t="shared" si="48"/>
        <v>243.95</v>
      </c>
    </row>
    <row r="305" spans="1:30" ht="14.1" hidden="1" customHeight="1">
      <c r="A305" s="74">
        <v>305</v>
      </c>
      <c r="B305" s="277" t="s">
        <v>457</v>
      </c>
      <c r="C305" s="277" t="s">
        <v>565</v>
      </c>
      <c r="D305" s="277" t="s">
        <v>566</v>
      </c>
      <c r="E305" s="311" t="s">
        <v>419</v>
      </c>
      <c r="F305" s="312" t="s">
        <v>561</v>
      </c>
      <c r="G305" s="86" t="s">
        <v>259</v>
      </c>
      <c r="H305" s="86" t="s">
        <v>411</v>
      </c>
      <c r="I305" s="86"/>
      <c r="J305" s="313">
        <v>1.19</v>
      </c>
      <c r="K305" s="314">
        <f t="shared" si="43"/>
        <v>0</v>
      </c>
      <c r="L305" s="243" t="s">
        <v>412</v>
      </c>
      <c r="M305" s="243"/>
      <c r="N305" s="243"/>
      <c r="O305" s="243"/>
      <c r="P305" s="243"/>
      <c r="Q305" s="243"/>
      <c r="R305" s="242">
        <f>IF(L305="nio",0,IF(L305&gt;0,L305*J305/X305,0))*VLOOKUP(B305,'2-Kosten per locatie'!$A$14:$C$21,3,FALSE)</f>
        <v>0</v>
      </c>
      <c r="S305" s="242">
        <f>IF(M305&gt;0,M305*J305/Y305,0)*VLOOKUP(B305,'2-Kosten per locatie'!$A$14:$C$21,3,FALSE)</f>
        <v>0</v>
      </c>
      <c r="T305" s="242">
        <f>IF(N305&gt;0,N305*J305/Z305,0)*VLOOKUP(B305,'2-Kosten per locatie'!$A$14:$C$21,3,FALSE)</f>
        <v>0</v>
      </c>
      <c r="U305" s="242">
        <f>IF(O305&gt;0,O305*J305/AA305,0)*VLOOKUP(B305,'2-Kosten per locatie'!$A$14:$C$21,3,FALSE)</f>
        <v>0</v>
      </c>
      <c r="V305" s="242">
        <f>IF(P305&gt;0,P305*J305/Z305,0)*VLOOKUP(B305,'2-Kosten per locatie'!$A$14:$C$21,3,FALSE)</f>
        <v>0</v>
      </c>
      <c r="W305" s="242">
        <f>IF(Q305&gt;0,Q305*J305/AA305,0)*VLOOKUP(B305,'2-Kosten per locatie'!$A$14:$C$21,3,FALSE)</f>
        <v>0</v>
      </c>
      <c r="X305" s="315">
        <f>IF(L305="nio",0,IF(L305&gt;0,VLOOKUP(H305,'3-Productie normen'!A:K,VLOOKUP(L305,'3-Productie normen'!$B$36:$C$42,2,FALSE),FALSE)))</f>
        <v>0</v>
      </c>
      <c r="Y305" s="315">
        <f t="shared" si="44"/>
        <v>0</v>
      </c>
      <c r="Z305" s="315">
        <f t="shared" si="45"/>
        <v>0</v>
      </c>
      <c r="AA305" s="315">
        <f t="shared" si="46"/>
        <v>0</v>
      </c>
      <c r="AB305" s="316"/>
      <c r="AD305" s="317">
        <f t="shared" si="48"/>
        <v>0</v>
      </c>
    </row>
    <row r="306" spans="1:30" ht="14.1" hidden="1" customHeight="1">
      <c r="A306" s="74">
        <v>306</v>
      </c>
      <c r="B306" s="277" t="s">
        <v>457</v>
      </c>
      <c r="C306" s="277" t="s">
        <v>565</v>
      </c>
      <c r="D306" s="277" t="s">
        <v>566</v>
      </c>
      <c r="E306" s="311" t="s">
        <v>419</v>
      </c>
      <c r="F306" s="312" t="s">
        <v>562</v>
      </c>
      <c r="G306" s="86" t="s">
        <v>608</v>
      </c>
      <c r="H306" s="86" t="s">
        <v>411</v>
      </c>
      <c r="I306" s="86"/>
      <c r="J306" s="313"/>
      <c r="K306" s="314">
        <f t="shared" si="43"/>
        <v>0</v>
      </c>
      <c r="L306" s="243" t="s">
        <v>412</v>
      </c>
      <c r="M306" s="243"/>
      <c r="N306" s="243"/>
      <c r="O306" s="243"/>
      <c r="P306" s="243"/>
      <c r="Q306" s="243"/>
      <c r="R306" s="242">
        <f>IF(L306="nio",0,IF(L306&gt;0,L306*J306/X306,0))*VLOOKUP(B306,'2-Kosten per locatie'!$A$14:$C$21,3,FALSE)</f>
        <v>0</v>
      </c>
      <c r="S306" s="242">
        <f>IF(M306&gt;0,M306*J306/Y306,0)*VLOOKUP(B306,'2-Kosten per locatie'!$A$14:$C$21,3,FALSE)</f>
        <v>0</v>
      </c>
      <c r="T306" s="242">
        <f>IF(N306&gt;0,N306*J306/Z306,0)*VLOOKUP(B306,'2-Kosten per locatie'!$A$14:$C$21,3,FALSE)</f>
        <v>0</v>
      </c>
      <c r="U306" s="242">
        <f>IF(O306&gt;0,O306*J306/AA306,0)*VLOOKUP(B306,'2-Kosten per locatie'!$A$14:$C$21,3,FALSE)</f>
        <v>0</v>
      </c>
      <c r="V306" s="242">
        <f>IF(P306&gt;0,P306*J306/Z306,0)*VLOOKUP(B306,'2-Kosten per locatie'!$A$14:$C$21,3,FALSE)</f>
        <v>0</v>
      </c>
      <c r="W306" s="242">
        <f>IF(Q306&gt;0,Q306*J306/AA306,0)*VLOOKUP(B306,'2-Kosten per locatie'!$A$14:$C$21,3,FALSE)</f>
        <v>0</v>
      </c>
      <c r="X306" s="315">
        <f>IF(L306="nio",0,IF(L306&gt;0,VLOOKUP(H306,'3-Productie normen'!A:K,VLOOKUP(L306,'3-Productie normen'!$B$36:$C$42,2,FALSE),FALSE)))</f>
        <v>0</v>
      </c>
      <c r="Y306" s="315">
        <f t="shared" si="44"/>
        <v>0</v>
      </c>
      <c r="Z306" s="315">
        <f t="shared" si="45"/>
        <v>0</v>
      </c>
      <c r="AA306" s="315">
        <f t="shared" si="46"/>
        <v>0</v>
      </c>
      <c r="AB306" s="316" t="s">
        <v>662</v>
      </c>
      <c r="AD306" s="317">
        <f t="shared" si="48"/>
        <v>0</v>
      </c>
    </row>
    <row r="307" spans="1:30" ht="14.1" hidden="1" customHeight="1">
      <c r="A307" s="74">
        <v>307</v>
      </c>
      <c r="B307" s="277" t="s">
        <v>457</v>
      </c>
      <c r="C307" s="277" t="s">
        <v>565</v>
      </c>
      <c r="D307" s="277" t="s">
        <v>566</v>
      </c>
      <c r="E307" s="311" t="s">
        <v>419</v>
      </c>
      <c r="F307" s="312" t="s">
        <v>563</v>
      </c>
      <c r="G307" s="86" t="s">
        <v>609</v>
      </c>
      <c r="H307" s="86" t="s">
        <v>411</v>
      </c>
      <c r="I307" s="86"/>
      <c r="J307" s="313"/>
      <c r="K307" s="314">
        <f t="shared" si="43"/>
        <v>0</v>
      </c>
      <c r="L307" s="243" t="s">
        <v>412</v>
      </c>
      <c r="M307" s="243"/>
      <c r="N307" s="243"/>
      <c r="O307" s="243"/>
      <c r="P307" s="243"/>
      <c r="Q307" s="243"/>
      <c r="R307" s="242">
        <f>IF(L307="nio",0,IF(L307&gt;0,L307*J307/X307,0))*VLOOKUP(B307,'2-Kosten per locatie'!$A$14:$C$21,3,FALSE)</f>
        <v>0</v>
      </c>
      <c r="S307" s="242">
        <f>IF(M307&gt;0,M307*J307/Y307,0)*VLOOKUP(B307,'2-Kosten per locatie'!$A$14:$C$21,3,FALSE)</f>
        <v>0</v>
      </c>
      <c r="T307" s="242">
        <f>IF(N307&gt;0,N307*J307/Z307,0)*VLOOKUP(B307,'2-Kosten per locatie'!$A$14:$C$21,3,FALSE)</f>
        <v>0</v>
      </c>
      <c r="U307" s="242">
        <f>IF(O307&gt;0,O307*J307/AA307,0)*VLOOKUP(B307,'2-Kosten per locatie'!$A$14:$C$21,3,FALSE)</f>
        <v>0</v>
      </c>
      <c r="V307" s="242">
        <f>IF(P307&gt;0,P307*J307/Z307,0)*VLOOKUP(B307,'2-Kosten per locatie'!$A$14:$C$21,3,FALSE)</f>
        <v>0</v>
      </c>
      <c r="W307" s="242">
        <f>IF(Q307&gt;0,Q307*J307/AA307,0)*VLOOKUP(B307,'2-Kosten per locatie'!$A$14:$C$21,3,FALSE)</f>
        <v>0</v>
      </c>
      <c r="X307" s="315">
        <f>IF(L307="nio",0,IF(L307&gt;0,VLOOKUP(H307,'3-Productie normen'!A:K,VLOOKUP(L307,'3-Productie normen'!$B$36:$C$42,2,FALSE),FALSE)))</f>
        <v>0</v>
      </c>
      <c r="Y307" s="315">
        <f t="shared" si="44"/>
        <v>0</v>
      </c>
      <c r="Z307" s="315">
        <f t="shared" si="45"/>
        <v>0</v>
      </c>
      <c r="AA307" s="315">
        <f t="shared" si="46"/>
        <v>0</v>
      </c>
      <c r="AB307" s="316"/>
      <c r="AD307" s="317">
        <f t="shared" si="48"/>
        <v>0</v>
      </c>
    </row>
    <row r="308" spans="1:30" ht="14.1" hidden="1" customHeight="1">
      <c r="A308" s="74">
        <v>308</v>
      </c>
      <c r="B308" s="277" t="s">
        <v>457</v>
      </c>
      <c r="C308" s="277" t="s">
        <v>565</v>
      </c>
      <c r="D308" s="277" t="s">
        <v>566</v>
      </c>
      <c r="E308" s="311" t="s">
        <v>419</v>
      </c>
      <c r="F308" s="312" t="s">
        <v>564</v>
      </c>
      <c r="G308" s="86" t="s">
        <v>610</v>
      </c>
      <c r="H308" s="86" t="s">
        <v>411</v>
      </c>
      <c r="I308" s="86"/>
      <c r="J308" s="313"/>
      <c r="K308" s="314">
        <f t="shared" si="43"/>
        <v>0</v>
      </c>
      <c r="L308" s="243" t="s">
        <v>412</v>
      </c>
      <c r="M308" s="243"/>
      <c r="N308" s="243"/>
      <c r="O308" s="243"/>
      <c r="P308" s="243"/>
      <c r="Q308" s="243"/>
      <c r="R308" s="242">
        <f>IF(L308="nio",0,IF(L308&gt;0,L308*J308/X308,0))*VLOOKUP(B308,'2-Kosten per locatie'!$A$14:$C$21,3,FALSE)</f>
        <v>0</v>
      </c>
      <c r="S308" s="242">
        <f>IF(M308&gt;0,M308*J308/Y308,0)*VLOOKUP(B308,'2-Kosten per locatie'!$A$14:$C$21,3,FALSE)</f>
        <v>0</v>
      </c>
      <c r="T308" s="242">
        <f>IF(N308&gt;0,N308*J308/Z308,0)*VLOOKUP(B308,'2-Kosten per locatie'!$A$14:$C$21,3,FALSE)</f>
        <v>0</v>
      </c>
      <c r="U308" s="242">
        <f>IF(O308&gt;0,O308*J308/AA308,0)*VLOOKUP(B308,'2-Kosten per locatie'!$A$14:$C$21,3,FALSE)</f>
        <v>0</v>
      </c>
      <c r="V308" s="242">
        <f>IF(P308&gt;0,P308*J308/Z308,0)*VLOOKUP(B308,'2-Kosten per locatie'!$A$14:$C$21,3,FALSE)</f>
        <v>0</v>
      </c>
      <c r="W308" s="242">
        <f>IF(Q308&gt;0,Q308*J308/AA308,0)*VLOOKUP(B308,'2-Kosten per locatie'!$A$14:$C$21,3,FALSE)</f>
        <v>0</v>
      </c>
      <c r="X308" s="315">
        <f>IF(L308="nio",0,IF(L308&gt;0,VLOOKUP(H308,'3-Productie normen'!A:K,VLOOKUP(L308,'3-Productie normen'!$B$36:$C$42,2,FALSE),FALSE)))</f>
        <v>0</v>
      </c>
      <c r="Y308" s="315">
        <f t="shared" si="44"/>
        <v>0</v>
      </c>
      <c r="Z308" s="315">
        <f t="shared" si="45"/>
        <v>0</v>
      </c>
      <c r="AA308" s="315">
        <f t="shared" si="46"/>
        <v>0</v>
      </c>
      <c r="AB308" s="316" t="s">
        <v>662</v>
      </c>
      <c r="AD308" s="317">
        <f t="shared" si="48"/>
        <v>0</v>
      </c>
    </row>
    <row r="309" spans="1:30" ht="14.1" hidden="1" customHeight="1">
      <c r="A309" s="74">
        <v>309</v>
      </c>
      <c r="B309" s="277" t="s">
        <v>457</v>
      </c>
      <c r="C309" s="277" t="s">
        <v>565</v>
      </c>
      <c r="D309" s="277" t="s">
        <v>566</v>
      </c>
      <c r="E309" s="464">
        <v>1</v>
      </c>
      <c r="F309" s="240" t="s">
        <v>446</v>
      </c>
      <c r="G309" s="86" t="s">
        <v>643</v>
      </c>
      <c r="H309" s="296" t="s">
        <v>657</v>
      </c>
      <c r="I309" s="70" t="s">
        <v>255</v>
      </c>
      <c r="J309" s="313">
        <v>52.81</v>
      </c>
      <c r="K309" s="314">
        <f t="shared" si="43"/>
        <v>205</v>
      </c>
      <c r="L309" s="466">
        <v>205</v>
      </c>
      <c r="M309" s="243"/>
      <c r="N309" s="243"/>
      <c r="O309" s="243"/>
      <c r="P309" s="243"/>
      <c r="Q309" s="243"/>
      <c r="R309" s="242" t="e">
        <f>IF(L309="nio",0,IF(L309&gt;0,L309*J309/X309,0))*VLOOKUP(B309,'2-Kosten per locatie'!$A$14:$C$21,3,FALSE)</f>
        <v>#DIV/0!</v>
      </c>
      <c r="S309" s="242">
        <f>IF(M309&gt;0,M309*J309/Y309,0)*VLOOKUP(B309,'2-Kosten per locatie'!$A$14:$C$21,3,FALSE)</f>
        <v>0</v>
      </c>
      <c r="T309" s="242">
        <f>IF(N309&gt;0,N309*J309/Z309,0)*VLOOKUP(B309,'2-Kosten per locatie'!$A$14:$C$21,3,FALSE)</f>
        <v>0</v>
      </c>
      <c r="U309" s="242">
        <f>IF(O309&gt;0,O309*J309/AA309,0)*VLOOKUP(B309,'2-Kosten per locatie'!$A$14:$C$21,3,FALSE)</f>
        <v>0</v>
      </c>
      <c r="V309" s="242">
        <f>IF(P309&gt;0,P309*J309/Z309,0)*VLOOKUP(B309,'2-Kosten per locatie'!$A$14:$C$21,3,FALSE)</f>
        <v>0</v>
      </c>
      <c r="W309" s="242">
        <f>IF(Q309&gt;0,Q309*J309/AA309,0)*VLOOKUP(B309,'2-Kosten per locatie'!$A$14:$C$21,3,FALSE)</f>
        <v>0</v>
      </c>
      <c r="X309" s="315">
        <f>IF(L309="nio",0,IF(L309&gt;0,VLOOKUP(H309,'3-Productie normen'!A:K,VLOOKUP(L309,'3-Productie normen'!$B$36:$C$42,2,FALSE),FALSE)))</f>
        <v>0</v>
      </c>
      <c r="Y309" s="315">
        <f t="shared" si="44"/>
        <v>0</v>
      </c>
      <c r="Z309" s="315">
        <f t="shared" si="45"/>
        <v>0</v>
      </c>
      <c r="AA309" s="315">
        <f t="shared" si="46"/>
        <v>0</v>
      </c>
      <c r="AB309" s="316" t="s">
        <v>661</v>
      </c>
      <c r="AD309" s="317">
        <f t="shared" si="48"/>
        <v>10826.050000000001</v>
      </c>
    </row>
    <row r="310" spans="1:30" ht="14.1" hidden="1" customHeight="1">
      <c r="A310" s="74">
        <v>310</v>
      </c>
      <c r="B310" s="277" t="s">
        <v>457</v>
      </c>
      <c r="C310" s="277" t="s">
        <v>565</v>
      </c>
      <c r="D310" s="277" t="s">
        <v>566</v>
      </c>
      <c r="E310" s="464">
        <v>1</v>
      </c>
      <c r="F310" s="240" t="s">
        <v>447</v>
      </c>
      <c r="G310" s="86" t="s">
        <v>643</v>
      </c>
      <c r="H310" s="296" t="s">
        <v>657</v>
      </c>
      <c r="I310" s="70" t="s">
        <v>255</v>
      </c>
      <c r="J310" s="313">
        <v>52.52</v>
      </c>
      <c r="K310" s="314">
        <f t="shared" si="43"/>
        <v>205</v>
      </c>
      <c r="L310" s="466">
        <v>205</v>
      </c>
      <c r="M310" s="243"/>
      <c r="N310" s="243"/>
      <c r="O310" s="243"/>
      <c r="P310" s="243"/>
      <c r="Q310" s="243"/>
      <c r="R310" s="242" t="e">
        <f>IF(L310="nio",0,IF(L310&gt;0,L310*J310/X310,0))*VLOOKUP(B310,'2-Kosten per locatie'!$A$14:$C$21,3,FALSE)</f>
        <v>#DIV/0!</v>
      </c>
      <c r="S310" s="242">
        <f>IF(M310&gt;0,M310*J310/Y310,0)*VLOOKUP(B310,'2-Kosten per locatie'!$A$14:$C$21,3,FALSE)</f>
        <v>0</v>
      </c>
      <c r="T310" s="242">
        <f>IF(N310&gt;0,N310*J310/Z310,0)*VLOOKUP(B310,'2-Kosten per locatie'!$A$14:$C$21,3,FALSE)</f>
        <v>0</v>
      </c>
      <c r="U310" s="242">
        <f>IF(O310&gt;0,O310*J310/AA310,0)*VLOOKUP(B310,'2-Kosten per locatie'!$A$14:$C$21,3,FALSE)</f>
        <v>0</v>
      </c>
      <c r="V310" s="242">
        <f>IF(P310&gt;0,P310*J310/Z310,0)*VLOOKUP(B310,'2-Kosten per locatie'!$A$14:$C$21,3,FALSE)</f>
        <v>0</v>
      </c>
      <c r="W310" s="242">
        <f>IF(Q310&gt;0,Q310*J310/AA310,0)*VLOOKUP(B310,'2-Kosten per locatie'!$A$14:$C$21,3,FALSE)</f>
        <v>0</v>
      </c>
      <c r="X310" s="315">
        <f>IF(L310="nio",0,IF(L310&gt;0,VLOOKUP(H310,'3-Productie normen'!A:K,VLOOKUP(L310,'3-Productie normen'!$B$36:$C$42,2,FALSE),FALSE)))</f>
        <v>0</v>
      </c>
      <c r="Y310" s="315">
        <f t="shared" si="44"/>
        <v>0</v>
      </c>
      <c r="Z310" s="315">
        <f t="shared" si="45"/>
        <v>0</v>
      </c>
      <c r="AA310" s="315">
        <f t="shared" si="46"/>
        <v>0</v>
      </c>
      <c r="AB310" s="316" t="s">
        <v>661</v>
      </c>
      <c r="AD310" s="317">
        <f t="shared" si="48"/>
        <v>10766.6</v>
      </c>
    </row>
    <row r="311" spans="1:30" ht="14.1" hidden="1" customHeight="1">
      <c r="A311" s="74">
        <v>311</v>
      </c>
      <c r="B311" s="277" t="s">
        <v>457</v>
      </c>
      <c r="C311" s="277" t="s">
        <v>565</v>
      </c>
      <c r="D311" s="277" t="s">
        <v>566</v>
      </c>
      <c r="E311" s="464">
        <v>1</v>
      </c>
      <c r="F311" s="240" t="s">
        <v>448</v>
      </c>
      <c r="G311" s="86" t="s">
        <v>643</v>
      </c>
      <c r="H311" s="296" t="s">
        <v>657</v>
      </c>
      <c r="I311" s="70" t="s">
        <v>255</v>
      </c>
      <c r="J311" s="313">
        <v>54.74</v>
      </c>
      <c r="K311" s="314">
        <f t="shared" si="43"/>
        <v>205</v>
      </c>
      <c r="L311" s="466">
        <v>205</v>
      </c>
      <c r="M311" s="243"/>
      <c r="N311" s="243"/>
      <c r="O311" s="243"/>
      <c r="P311" s="243"/>
      <c r="Q311" s="243"/>
      <c r="R311" s="242" t="e">
        <f>IF(L311="nio",0,IF(L311&gt;0,L311*J311/X311,0))*VLOOKUP(B311,'2-Kosten per locatie'!$A$14:$C$21,3,FALSE)</f>
        <v>#DIV/0!</v>
      </c>
      <c r="S311" s="242">
        <f>IF(M311&gt;0,M311*J311/Y311,0)*VLOOKUP(B311,'2-Kosten per locatie'!$A$14:$C$21,3,FALSE)</f>
        <v>0</v>
      </c>
      <c r="T311" s="242">
        <f>IF(N311&gt;0,N311*J311/Z311,0)*VLOOKUP(B311,'2-Kosten per locatie'!$A$14:$C$21,3,FALSE)</f>
        <v>0</v>
      </c>
      <c r="U311" s="242">
        <f>IF(O311&gt;0,O311*J311/AA311,0)*VLOOKUP(B311,'2-Kosten per locatie'!$A$14:$C$21,3,FALSE)</f>
        <v>0</v>
      </c>
      <c r="V311" s="242">
        <f>IF(P311&gt;0,P311*J311/Z311,0)*VLOOKUP(B311,'2-Kosten per locatie'!$A$14:$C$21,3,FALSE)</f>
        <v>0</v>
      </c>
      <c r="W311" s="242">
        <f>IF(Q311&gt;0,Q311*J311/AA311,0)*VLOOKUP(B311,'2-Kosten per locatie'!$A$14:$C$21,3,FALSE)</f>
        <v>0</v>
      </c>
      <c r="X311" s="315">
        <f>IF(L311="nio",0,IF(L311&gt;0,VLOOKUP(H311,'3-Productie normen'!A:K,VLOOKUP(L311,'3-Productie normen'!$B$36:$C$42,2,FALSE),FALSE)))</f>
        <v>0</v>
      </c>
      <c r="Y311" s="315">
        <f t="shared" si="44"/>
        <v>0</v>
      </c>
      <c r="Z311" s="315">
        <f t="shared" si="45"/>
        <v>0</v>
      </c>
      <c r="AA311" s="315">
        <f t="shared" si="46"/>
        <v>0</v>
      </c>
      <c r="AB311" s="316" t="s">
        <v>661</v>
      </c>
      <c r="AD311" s="317">
        <f t="shared" si="48"/>
        <v>11221.7</v>
      </c>
    </row>
    <row r="312" spans="1:30" ht="14.1" hidden="1" customHeight="1">
      <c r="A312" s="74">
        <v>312</v>
      </c>
      <c r="B312" s="277" t="s">
        <v>457</v>
      </c>
      <c r="C312" s="277" t="s">
        <v>565</v>
      </c>
      <c r="D312" s="277" t="s">
        <v>566</v>
      </c>
      <c r="E312" s="464">
        <v>1</v>
      </c>
      <c r="F312" s="240" t="s">
        <v>449</v>
      </c>
      <c r="G312" s="86" t="s">
        <v>643</v>
      </c>
      <c r="H312" s="296" t="s">
        <v>657</v>
      </c>
      <c r="I312" s="70" t="s">
        <v>255</v>
      </c>
      <c r="J312" s="313">
        <v>53.91</v>
      </c>
      <c r="K312" s="314">
        <f t="shared" si="43"/>
        <v>205</v>
      </c>
      <c r="L312" s="466">
        <v>205</v>
      </c>
      <c r="M312" s="243"/>
      <c r="N312" s="243"/>
      <c r="O312" s="243"/>
      <c r="P312" s="243"/>
      <c r="Q312" s="243"/>
      <c r="R312" s="242" t="e">
        <f>IF(L312="nio",0,IF(L312&gt;0,L312*J312/X312,0))*VLOOKUP(B312,'2-Kosten per locatie'!$A$14:$C$21,3,FALSE)</f>
        <v>#DIV/0!</v>
      </c>
      <c r="S312" s="242">
        <f>IF(M312&gt;0,M312*J312/Y312,0)*VLOOKUP(B312,'2-Kosten per locatie'!$A$14:$C$21,3,FALSE)</f>
        <v>0</v>
      </c>
      <c r="T312" s="242">
        <f>IF(N312&gt;0,N312*J312/Z312,0)*VLOOKUP(B312,'2-Kosten per locatie'!$A$14:$C$21,3,FALSE)</f>
        <v>0</v>
      </c>
      <c r="U312" s="242">
        <f>IF(O312&gt;0,O312*J312/AA312,0)*VLOOKUP(B312,'2-Kosten per locatie'!$A$14:$C$21,3,FALSE)</f>
        <v>0</v>
      </c>
      <c r="V312" s="242">
        <f>IF(P312&gt;0,P312*J312/Z312,0)*VLOOKUP(B312,'2-Kosten per locatie'!$A$14:$C$21,3,FALSE)</f>
        <v>0</v>
      </c>
      <c r="W312" s="242">
        <f>IF(Q312&gt;0,Q312*J312/AA312,0)*VLOOKUP(B312,'2-Kosten per locatie'!$A$14:$C$21,3,FALSE)</f>
        <v>0</v>
      </c>
      <c r="X312" s="315">
        <f>IF(L312="nio",0,IF(L312&gt;0,VLOOKUP(H312,'3-Productie normen'!A:K,VLOOKUP(L312,'3-Productie normen'!$B$36:$C$42,2,FALSE),FALSE)))</f>
        <v>0</v>
      </c>
      <c r="Y312" s="315">
        <f t="shared" si="44"/>
        <v>0</v>
      </c>
      <c r="Z312" s="315">
        <f t="shared" si="45"/>
        <v>0</v>
      </c>
      <c r="AA312" s="315">
        <f t="shared" si="46"/>
        <v>0</v>
      </c>
      <c r="AB312" s="316" t="s">
        <v>661</v>
      </c>
      <c r="AD312" s="317">
        <f t="shared" si="48"/>
        <v>11051.55</v>
      </c>
    </row>
    <row r="313" spans="1:30" ht="14.1" hidden="1" customHeight="1">
      <c r="A313" s="74">
        <v>313</v>
      </c>
      <c r="B313" s="277" t="s">
        <v>457</v>
      </c>
      <c r="C313" s="277" t="s">
        <v>565</v>
      </c>
      <c r="D313" s="277" t="s">
        <v>566</v>
      </c>
      <c r="E313" s="464">
        <v>1</v>
      </c>
      <c r="F313" s="240" t="s">
        <v>450</v>
      </c>
      <c r="G313" s="86" t="s">
        <v>643</v>
      </c>
      <c r="H313" s="296" t="s">
        <v>657</v>
      </c>
      <c r="I313" s="70" t="s">
        <v>255</v>
      </c>
      <c r="J313" s="313">
        <v>53.91</v>
      </c>
      <c r="K313" s="314">
        <f t="shared" si="43"/>
        <v>205</v>
      </c>
      <c r="L313" s="466">
        <v>205</v>
      </c>
      <c r="M313" s="243"/>
      <c r="N313" s="243"/>
      <c r="O313" s="243"/>
      <c r="P313" s="243"/>
      <c r="Q313" s="243"/>
      <c r="R313" s="242" t="e">
        <f>IF(L313="nio",0,IF(L313&gt;0,L313*J313/X313,0))*VLOOKUP(B313,'2-Kosten per locatie'!$A$14:$C$21,3,FALSE)</f>
        <v>#DIV/0!</v>
      </c>
      <c r="S313" s="242">
        <f>IF(M313&gt;0,M313*J313/Y313,0)*VLOOKUP(B313,'2-Kosten per locatie'!$A$14:$C$21,3,FALSE)</f>
        <v>0</v>
      </c>
      <c r="T313" s="242">
        <f>IF(N313&gt;0,N313*J313/Z313,0)*VLOOKUP(B313,'2-Kosten per locatie'!$A$14:$C$21,3,FALSE)</f>
        <v>0</v>
      </c>
      <c r="U313" s="242">
        <f>IF(O313&gt;0,O313*J313/AA313,0)*VLOOKUP(B313,'2-Kosten per locatie'!$A$14:$C$21,3,FALSE)</f>
        <v>0</v>
      </c>
      <c r="V313" s="242">
        <f>IF(P313&gt;0,P313*J313/Z313,0)*VLOOKUP(B313,'2-Kosten per locatie'!$A$14:$C$21,3,FALSE)</f>
        <v>0</v>
      </c>
      <c r="W313" s="242">
        <f>IF(Q313&gt;0,Q313*J313/AA313,0)*VLOOKUP(B313,'2-Kosten per locatie'!$A$14:$C$21,3,FALSE)</f>
        <v>0</v>
      </c>
      <c r="X313" s="315">
        <f>IF(L313="nio",0,IF(L313&gt;0,VLOOKUP(H313,'3-Productie normen'!A:K,VLOOKUP(L313,'3-Productie normen'!$B$36:$C$42,2,FALSE),FALSE)))</f>
        <v>0</v>
      </c>
      <c r="Y313" s="315">
        <f t="shared" ref="Y313:Y344" si="49">IF(M313&gt;0,X313*$Y$8,0)</f>
        <v>0</v>
      </c>
      <c r="Z313" s="315">
        <f t="shared" ref="Z313:Z345" si="50">IF((OR(N313&gt;0,P313&gt;0)),X313*$Z$8,0)</f>
        <v>0</v>
      </c>
      <c r="AA313" s="315">
        <f t="shared" ref="AA313:AA345" si="51">IF((OR(O313&gt;0,Q313&gt;0)),X313*$AA$8,0)</f>
        <v>0</v>
      </c>
      <c r="AB313" s="316" t="s">
        <v>661</v>
      </c>
      <c r="AD313" s="317">
        <f t="shared" si="48"/>
        <v>11051.55</v>
      </c>
    </row>
    <row r="314" spans="1:30" ht="14.1" hidden="1" customHeight="1">
      <c r="A314" s="74">
        <v>314</v>
      </c>
      <c r="B314" s="277" t="s">
        <v>457</v>
      </c>
      <c r="C314" s="277" t="s">
        <v>565</v>
      </c>
      <c r="D314" s="277" t="s">
        <v>566</v>
      </c>
      <c r="E314" s="464">
        <v>1</v>
      </c>
      <c r="F314" s="240" t="s">
        <v>611</v>
      </c>
      <c r="G314" s="86" t="s">
        <v>643</v>
      </c>
      <c r="H314" s="296" t="s">
        <v>657</v>
      </c>
      <c r="I314" s="70" t="s">
        <v>255</v>
      </c>
      <c r="J314" s="313">
        <v>54.13</v>
      </c>
      <c r="K314" s="314">
        <f t="shared" si="43"/>
        <v>205</v>
      </c>
      <c r="L314" s="466">
        <v>205</v>
      </c>
      <c r="M314" s="243"/>
      <c r="N314" s="243"/>
      <c r="O314" s="243"/>
      <c r="P314" s="243"/>
      <c r="Q314" s="243"/>
      <c r="R314" s="242" t="e">
        <f>IF(L314="nio",0,IF(L314&gt;0,L314*J314/X314,0))*VLOOKUP(B314,'2-Kosten per locatie'!$A$14:$C$21,3,FALSE)</f>
        <v>#DIV/0!</v>
      </c>
      <c r="S314" s="242">
        <f>IF(M314&gt;0,M314*J314/Y314,0)*VLOOKUP(B314,'2-Kosten per locatie'!$A$14:$C$21,3,FALSE)</f>
        <v>0</v>
      </c>
      <c r="T314" s="242">
        <f>IF(N314&gt;0,N314*J314/Z314,0)*VLOOKUP(B314,'2-Kosten per locatie'!$A$14:$C$21,3,FALSE)</f>
        <v>0</v>
      </c>
      <c r="U314" s="242">
        <f>IF(O314&gt;0,O314*J314/AA314,0)*VLOOKUP(B314,'2-Kosten per locatie'!$A$14:$C$21,3,FALSE)</f>
        <v>0</v>
      </c>
      <c r="V314" s="242">
        <f>IF(P314&gt;0,P314*J314/Z314,0)*VLOOKUP(B314,'2-Kosten per locatie'!$A$14:$C$21,3,FALSE)</f>
        <v>0</v>
      </c>
      <c r="W314" s="242">
        <f>IF(Q314&gt;0,Q314*J314/AA314,0)*VLOOKUP(B314,'2-Kosten per locatie'!$A$14:$C$21,3,FALSE)</f>
        <v>0</v>
      </c>
      <c r="X314" s="315">
        <f>IF(L314="nio",0,IF(L314&gt;0,VLOOKUP(H314,'3-Productie normen'!A:K,VLOOKUP(L314,'3-Productie normen'!$B$36:$C$42,2,FALSE),FALSE)))</f>
        <v>0</v>
      </c>
      <c r="Y314" s="315">
        <f t="shared" si="49"/>
        <v>0</v>
      </c>
      <c r="Z314" s="315">
        <f t="shared" si="50"/>
        <v>0</v>
      </c>
      <c r="AA314" s="315">
        <f t="shared" si="51"/>
        <v>0</v>
      </c>
      <c r="AB314" s="316" t="s">
        <v>661</v>
      </c>
      <c r="AD314" s="317">
        <f t="shared" si="48"/>
        <v>11096.65</v>
      </c>
    </row>
    <row r="315" spans="1:30" ht="14.1" hidden="1" customHeight="1">
      <c r="A315" s="74">
        <v>315</v>
      </c>
      <c r="B315" s="277" t="s">
        <v>457</v>
      </c>
      <c r="C315" s="277" t="s">
        <v>565</v>
      </c>
      <c r="D315" s="277" t="s">
        <v>566</v>
      </c>
      <c r="E315" s="464">
        <v>1</v>
      </c>
      <c r="F315" s="240" t="s">
        <v>612</v>
      </c>
      <c r="G315" s="86" t="s">
        <v>643</v>
      </c>
      <c r="H315" s="296" t="s">
        <v>657</v>
      </c>
      <c r="I315" s="70" t="s">
        <v>255</v>
      </c>
      <c r="J315" s="313">
        <v>52.81</v>
      </c>
      <c r="K315" s="314">
        <f t="shared" si="43"/>
        <v>205</v>
      </c>
      <c r="L315" s="466">
        <v>205</v>
      </c>
      <c r="M315" s="243"/>
      <c r="N315" s="243"/>
      <c r="O315" s="243"/>
      <c r="P315" s="243"/>
      <c r="Q315" s="243"/>
      <c r="R315" s="242" t="e">
        <f>IF(L315="nio",0,IF(L315&gt;0,L315*J315/X315,0))*VLOOKUP(B315,'2-Kosten per locatie'!$A$14:$C$21,3,FALSE)</f>
        <v>#DIV/0!</v>
      </c>
      <c r="S315" s="242">
        <f>IF(M315&gt;0,M315*J315/Y315,0)*VLOOKUP(B315,'2-Kosten per locatie'!$A$14:$C$21,3,FALSE)</f>
        <v>0</v>
      </c>
      <c r="T315" s="242">
        <f>IF(N315&gt;0,N315*J315/Z315,0)*VLOOKUP(B315,'2-Kosten per locatie'!$A$14:$C$21,3,FALSE)</f>
        <v>0</v>
      </c>
      <c r="U315" s="242">
        <f>IF(O315&gt;0,O315*J315/AA315,0)*VLOOKUP(B315,'2-Kosten per locatie'!$A$14:$C$21,3,FALSE)</f>
        <v>0</v>
      </c>
      <c r="V315" s="242">
        <f>IF(P315&gt;0,P315*J315/Z315,0)*VLOOKUP(B315,'2-Kosten per locatie'!$A$14:$C$21,3,FALSE)</f>
        <v>0</v>
      </c>
      <c r="W315" s="242">
        <f>IF(Q315&gt;0,Q315*J315/AA315,0)*VLOOKUP(B315,'2-Kosten per locatie'!$A$14:$C$21,3,FALSE)</f>
        <v>0</v>
      </c>
      <c r="X315" s="315">
        <f>IF(L315="nio",0,IF(L315&gt;0,VLOOKUP(H315,'3-Productie normen'!A:K,VLOOKUP(L315,'3-Productie normen'!$B$36:$C$42,2,FALSE),FALSE)))</f>
        <v>0</v>
      </c>
      <c r="Y315" s="315">
        <f t="shared" si="49"/>
        <v>0</v>
      </c>
      <c r="Z315" s="315">
        <f t="shared" si="50"/>
        <v>0</v>
      </c>
      <c r="AA315" s="315">
        <f t="shared" si="51"/>
        <v>0</v>
      </c>
      <c r="AB315" s="316" t="s">
        <v>661</v>
      </c>
      <c r="AD315" s="317">
        <f t="shared" si="48"/>
        <v>10826.050000000001</v>
      </c>
    </row>
    <row r="316" spans="1:30" ht="14.1" hidden="1" customHeight="1">
      <c r="A316" s="74">
        <v>316</v>
      </c>
      <c r="B316" s="277" t="s">
        <v>457</v>
      </c>
      <c r="C316" s="277" t="s">
        <v>565</v>
      </c>
      <c r="D316" s="277" t="s">
        <v>566</v>
      </c>
      <c r="E316" s="464">
        <v>1</v>
      </c>
      <c r="F316" s="240" t="s">
        <v>613</v>
      </c>
      <c r="G316" s="86" t="s">
        <v>643</v>
      </c>
      <c r="H316" s="296" t="s">
        <v>657</v>
      </c>
      <c r="I316" s="70" t="s">
        <v>255</v>
      </c>
      <c r="J316" s="313">
        <v>53.87</v>
      </c>
      <c r="K316" s="314">
        <f t="shared" si="43"/>
        <v>205</v>
      </c>
      <c r="L316" s="466">
        <v>205</v>
      </c>
      <c r="M316" s="243"/>
      <c r="N316" s="243"/>
      <c r="O316" s="243"/>
      <c r="P316" s="243"/>
      <c r="Q316" s="243"/>
      <c r="R316" s="242" t="e">
        <f>IF(L316="nio",0,IF(L316&gt;0,L316*J316/X316,0))*VLOOKUP(B316,'2-Kosten per locatie'!$A$14:$C$21,3,FALSE)</f>
        <v>#DIV/0!</v>
      </c>
      <c r="S316" s="242">
        <f>IF(M316&gt;0,M316*J316/Y316,0)*VLOOKUP(B316,'2-Kosten per locatie'!$A$14:$C$21,3,FALSE)</f>
        <v>0</v>
      </c>
      <c r="T316" s="242">
        <f>IF(N316&gt;0,N316*J316/Z316,0)*VLOOKUP(B316,'2-Kosten per locatie'!$A$14:$C$21,3,FALSE)</f>
        <v>0</v>
      </c>
      <c r="U316" s="242">
        <f>IF(O316&gt;0,O316*J316/AA316,0)*VLOOKUP(B316,'2-Kosten per locatie'!$A$14:$C$21,3,FALSE)</f>
        <v>0</v>
      </c>
      <c r="V316" s="242">
        <f>IF(P316&gt;0,P316*J316/Z316,0)*VLOOKUP(B316,'2-Kosten per locatie'!$A$14:$C$21,3,FALSE)</f>
        <v>0</v>
      </c>
      <c r="W316" s="242">
        <f>IF(Q316&gt;0,Q316*J316/AA316,0)*VLOOKUP(B316,'2-Kosten per locatie'!$A$14:$C$21,3,FALSE)</f>
        <v>0</v>
      </c>
      <c r="X316" s="315">
        <f>IF(L316="nio",0,IF(L316&gt;0,VLOOKUP(H316,'3-Productie normen'!A:K,VLOOKUP(L316,'3-Productie normen'!$B$36:$C$42,2,FALSE),FALSE)))</f>
        <v>0</v>
      </c>
      <c r="Y316" s="315">
        <f t="shared" si="49"/>
        <v>0</v>
      </c>
      <c r="Z316" s="315">
        <f t="shared" si="50"/>
        <v>0</v>
      </c>
      <c r="AA316" s="315">
        <f t="shared" si="51"/>
        <v>0</v>
      </c>
      <c r="AB316" s="316" t="s">
        <v>661</v>
      </c>
      <c r="AD316" s="317">
        <f t="shared" si="48"/>
        <v>11043.35</v>
      </c>
    </row>
    <row r="317" spans="1:30" ht="14.1" hidden="1" customHeight="1">
      <c r="A317" s="74">
        <v>317</v>
      </c>
      <c r="B317" s="277" t="s">
        <v>457</v>
      </c>
      <c r="C317" s="277" t="s">
        <v>565</v>
      </c>
      <c r="D317" s="277" t="s">
        <v>566</v>
      </c>
      <c r="E317" s="464">
        <v>1</v>
      </c>
      <c r="F317" s="240" t="s">
        <v>614</v>
      </c>
      <c r="G317" s="86" t="s">
        <v>644</v>
      </c>
      <c r="H317" s="86" t="s">
        <v>657</v>
      </c>
      <c r="I317" s="70" t="s">
        <v>255</v>
      </c>
      <c r="J317" s="313">
        <v>74.739999999999995</v>
      </c>
      <c r="K317" s="314">
        <f t="shared" si="43"/>
        <v>205</v>
      </c>
      <c r="L317" s="466">
        <v>205</v>
      </c>
      <c r="M317" s="243"/>
      <c r="N317" s="243"/>
      <c r="O317" s="243"/>
      <c r="P317" s="243"/>
      <c r="Q317" s="243"/>
      <c r="R317" s="242" t="e">
        <f>IF(L317="nio",0,IF(L317&gt;0,L317*J317/X317,0))*VLOOKUP(B317,'2-Kosten per locatie'!$A$14:$C$21,3,FALSE)</f>
        <v>#DIV/0!</v>
      </c>
      <c r="S317" s="242">
        <f>IF(M317&gt;0,M317*J317/Y317,0)*VLOOKUP(B317,'2-Kosten per locatie'!$A$14:$C$21,3,FALSE)</f>
        <v>0</v>
      </c>
      <c r="T317" s="242">
        <f>IF(N317&gt;0,N317*J317/Z317,0)*VLOOKUP(B317,'2-Kosten per locatie'!$A$14:$C$21,3,FALSE)</f>
        <v>0</v>
      </c>
      <c r="U317" s="242">
        <f>IF(O317&gt;0,O317*J317/AA317,0)*VLOOKUP(B317,'2-Kosten per locatie'!$A$14:$C$21,3,FALSE)</f>
        <v>0</v>
      </c>
      <c r="V317" s="242">
        <f>IF(P317&gt;0,P317*J317/Z317,0)*VLOOKUP(B317,'2-Kosten per locatie'!$A$14:$C$21,3,FALSE)</f>
        <v>0</v>
      </c>
      <c r="W317" s="242">
        <f>IF(Q317&gt;0,Q317*J317/AA317,0)*VLOOKUP(B317,'2-Kosten per locatie'!$A$14:$C$21,3,FALSE)</f>
        <v>0</v>
      </c>
      <c r="X317" s="315">
        <f>IF(L317="nio",0,IF(L317&gt;0,VLOOKUP(H317,'3-Productie normen'!A:K,VLOOKUP(L317,'3-Productie normen'!$B$36:$C$42,2,FALSE),FALSE)))</f>
        <v>0</v>
      </c>
      <c r="Y317" s="315">
        <f t="shared" si="49"/>
        <v>0</v>
      </c>
      <c r="Z317" s="315">
        <f t="shared" si="50"/>
        <v>0</v>
      </c>
      <c r="AA317" s="315">
        <f t="shared" si="51"/>
        <v>0</v>
      </c>
      <c r="AB317" s="316" t="s">
        <v>661</v>
      </c>
      <c r="AD317" s="317">
        <f t="shared" si="48"/>
        <v>15321.699999999999</v>
      </c>
    </row>
    <row r="318" spans="1:30" ht="14.1" hidden="1" customHeight="1">
      <c r="A318" s="74">
        <v>318</v>
      </c>
      <c r="B318" s="277" t="s">
        <v>457</v>
      </c>
      <c r="C318" s="277" t="s">
        <v>565</v>
      </c>
      <c r="D318" s="277" t="s">
        <v>566</v>
      </c>
      <c r="E318" s="464">
        <v>1</v>
      </c>
      <c r="F318" s="240" t="s">
        <v>615</v>
      </c>
      <c r="G318" s="86" t="s">
        <v>644</v>
      </c>
      <c r="H318" s="86" t="s">
        <v>657</v>
      </c>
      <c r="I318" s="70" t="s">
        <v>255</v>
      </c>
      <c r="J318" s="313">
        <v>88.88</v>
      </c>
      <c r="K318" s="314">
        <f t="shared" si="43"/>
        <v>205</v>
      </c>
      <c r="L318" s="466">
        <v>205</v>
      </c>
      <c r="M318" s="243"/>
      <c r="N318" s="243"/>
      <c r="O318" s="243"/>
      <c r="P318" s="243"/>
      <c r="Q318" s="243"/>
      <c r="R318" s="242" t="e">
        <f>IF(L318="nio",0,IF(L318&gt;0,L318*J318/X318,0))*VLOOKUP(B318,'2-Kosten per locatie'!$A$14:$C$21,3,FALSE)</f>
        <v>#DIV/0!</v>
      </c>
      <c r="S318" s="242">
        <f>IF(M318&gt;0,M318*J318/Y318,0)*VLOOKUP(B318,'2-Kosten per locatie'!$A$14:$C$21,3,FALSE)</f>
        <v>0</v>
      </c>
      <c r="T318" s="242">
        <f>IF(N318&gt;0,N318*J318/Z318,0)*VLOOKUP(B318,'2-Kosten per locatie'!$A$14:$C$21,3,FALSE)</f>
        <v>0</v>
      </c>
      <c r="U318" s="242">
        <f>IF(O318&gt;0,O318*J318/AA318,0)*VLOOKUP(B318,'2-Kosten per locatie'!$A$14:$C$21,3,FALSE)</f>
        <v>0</v>
      </c>
      <c r="V318" s="242">
        <f>IF(P318&gt;0,P318*J318/Z318,0)*VLOOKUP(B318,'2-Kosten per locatie'!$A$14:$C$21,3,FALSE)</f>
        <v>0</v>
      </c>
      <c r="W318" s="242">
        <f>IF(Q318&gt;0,Q318*J318/AA318,0)*VLOOKUP(B318,'2-Kosten per locatie'!$A$14:$C$21,3,FALSE)</f>
        <v>0</v>
      </c>
      <c r="X318" s="315">
        <f>IF(L318="nio",0,IF(L318&gt;0,VLOOKUP(H318,'3-Productie normen'!A:K,VLOOKUP(L318,'3-Productie normen'!$B$36:$C$42,2,FALSE),FALSE)))</f>
        <v>0</v>
      </c>
      <c r="Y318" s="315">
        <f t="shared" si="49"/>
        <v>0</v>
      </c>
      <c r="Z318" s="315">
        <f t="shared" si="50"/>
        <v>0</v>
      </c>
      <c r="AA318" s="315">
        <f t="shared" si="51"/>
        <v>0</v>
      </c>
      <c r="AB318" s="316" t="s">
        <v>661</v>
      </c>
      <c r="AD318" s="317">
        <f t="shared" si="48"/>
        <v>18220.399999999998</v>
      </c>
    </row>
    <row r="319" spans="1:30" ht="14.1" hidden="1" customHeight="1">
      <c r="A319" s="74">
        <v>319</v>
      </c>
      <c r="B319" s="277" t="s">
        <v>457</v>
      </c>
      <c r="C319" s="277" t="s">
        <v>565</v>
      </c>
      <c r="D319" s="277" t="s">
        <v>566</v>
      </c>
      <c r="E319" s="464">
        <v>1</v>
      </c>
      <c r="F319" s="240" t="s">
        <v>616</v>
      </c>
      <c r="G319" s="86" t="s">
        <v>645</v>
      </c>
      <c r="H319" s="86" t="s">
        <v>57</v>
      </c>
      <c r="I319" s="70" t="s">
        <v>255</v>
      </c>
      <c r="J319" s="313">
        <v>20.07</v>
      </c>
      <c r="K319" s="314">
        <f t="shared" si="43"/>
        <v>205</v>
      </c>
      <c r="L319" s="466">
        <v>205</v>
      </c>
      <c r="M319" s="243"/>
      <c r="N319" s="243"/>
      <c r="O319" s="243"/>
      <c r="P319" s="243"/>
      <c r="Q319" s="243"/>
      <c r="R319" s="242" t="e">
        <f>IF(L319="nio",0,IF(L319&gt;0,L319*J319/X319,0))*VLOOKUP(B319,'2-Kosten per locatie'!$A$14:$C$21,3,FALSE)</f>
        <v>#DIV/0!</v>
      </c>
      <c r="S319" s="242">
        <f>IF(M319&gt;0,M319*J319/Y319,0)*VLOOKUP(B319,'2-Kosten per locatie'!$A$14:$C$21,3,FALSE)</f>
        <v>0</v>
      </c>
      <c r="T319" s="242">
        <f>IF(N319&gt;0,N319*J319/Z319,0)*VLOOKUP(B319,'2-Kosten per locatie'!$A$14:$C$21,3,FALSE)</f>
        <v>0</v>
      </c>
      <c r="U319" s="242">
        <f>IF(O319&gt;0,O319*J319/AA319,0)*VLOOKUP(B319,'2-Kosten per locatie'!$A$14:$C$21,3,FALSE)</f>
        <v>0</v>
      </c>
      <c r="V319" s="242">
        <f>IF(P319&gt;0,P319*J319/Z319,0)*VLOOKUP(B319,'2-Kosten per locatie'!$A$14:$C$21,3,FALSE)</f>
        <v>0</v>
      </c>
      <c r="W319" s="242">
        <f>IF(Q319&gt;0,Q319*J319/AA319,0)*VLOOKUP(B319,'2-Kosten per locatie'!$A$14:$C$21,3,FALSE)</f>
        <v>0</v>
      </c>
      <c r="X319" s="315">
        <f>IF(L319="nio",0,IF(L319&gt;0,VLOOKUP(H319,'3-Productie normen'!A:K,VLOOKUP(L319,'3-Productie normen'!$B$36:$C$42,2,FALSE),FALSE)))</f>
        <v>0</v>
      </c>
      <c r="Y319" s="315">
        <f t="shared" si="49"/>
        <v>0</v>
      </c>
      <c r="Z319" s="315">
        <f t="shared" si="50"/>
        <v>0</v>
      </c>
      <c r="AA319" s="315">
        <f t="shared" si="51"/>
        <v>0</v>
      </c>
      <c r="AB319" s="316" t="s">
        <v>661</v>
      </c>
      <c r="AD319" s="317">
        <f t="shared" si="48"/>
        <v>4114.3500000000004</v>
      </c>
    </row>
    <row r="320" spans="1:30" ht="14.1" hidden="1" customHeight="1">
      <c r="A320" s="74">
        <v>320</v>
      </c>
      <c r="B320" s="277" t="s">
        <v>457</v>
      </c>
      <c r="C320" s="277" t="s">
        <v>565</v>
      </c>
      <c r="D320" s="277" t="s">
        <v>566</v>
      </c>
      <c r="E320" s="464">
        <v>1</v>
      </c>
      <c r="F320" s="240" t="s">
        <v>617</v>
      </c>
      <c r="G320" s="86" t="s">
        <v>643</v>
      </c>
      <c r="H320" s="293" t="s">
        <v>657</v>
      </c>
      <c r="I320" s="70" t="s">
        <v>255</v>
      </c>
      <c r="J320" s="313">
        <v>51.96</v>
      </c>
      <c r="K320" s="314">
        <f t="shared" si="43"/>
        <v>205</v>
      </c>
      <c r="L320" s="466">
        <v>205</v>
      </c>
      <c r="M320" s="243"/>
      <c r="N320" s="243"/>
      <c r="O320" s="243"/>
      <c r="P320" s="243"/>
      <c r="Q320" s="243"/>
      <c r="R320" s="242" t="e">
        <f>IF(L320="nio",0,IF(L320&gt;0,L320*J320/X320,0))*VLOOKUP(B320,'2-Kosten per locatie'!$A$14:$C$21,3,FALSE)</f>
        <v>#DIV/0!</v>
      </c>
      <c r="S320" s="242">
        <f>IF(M320&gt;0,M320*J320/Y320,0)*VLOOKUP(B320,'2-Kosten per locatie'!$A$14:$C$21,3,FALSE)</f>
        <v>0</v>
      </c>
      <c r="T320" s="242">
        <f>IF(N320&gt;0,N320*J320/Z320,0)*VLOOKUP(B320,'2-Kosten per locatie'!$A$14:$C$21,3,FALSE)</f>
        <v>0</v>
      </c>
      <c r="U320" s="242">
        <f>IF(O320&gt;0,O320*J320/AA320,0)*VLOOKUP(B320,'2-Kosten per locatie'!$A$14:$C$21,3,FALSE)</f>
        <v>0</v>
      </c>
      <c r="V320" s="242">
        <f>IF(P320&gt;0,P320*J320/Z320,0)*VLOOKUP(B320,'2-Kosten per locatie'!$A$14:$C$21,3,FALSE)</f>
        <v>0</v>
      </c>
      <c r="W320" s="242">
        <f>IF(Q320&gt;0,Q320*J320/AA320,0)*VLOOKUP(B320,'2-Kosten per locatie'!$A$14:$C$21,3,FALSE)</f>
        <v>0</v>
      </c>
      <c r="X320" s="315">
        <f>IF(L320="nio",0,IF(L320&gt;0,VLOOKUP(H320,'3-Productie normen'!A:K,VLOOKUP(L320,'3-Productie normen'!$B$36:$C$42,2,FALSE),FALSE)))</f>
        <v>0</v>
      </c>
      <c r="Y320" s="315">
        <f t="shared" si="49"/>
        <v>0</v>
      </c>
      <c r="Z320" s="315">
        <f t="shared" si="50"/>
        <v>0</v>
      </c>
      <c r="AA320" s="315">
        <f t="shared" si="51"/>
        <v>0</v>
      </c>
      <c r="AB320" s="316" t="s">
        <v>661</v>
      </c>
      <c r="AD320" s="317">
        <f t="shared" si="48"/>
        <v>10651.8</v>
      </c>
    </row>
    <row r="321" spans="1:30" ht="14.1" hidden="1" customHeight="1">
      <c r="A321" s="74">
        <v>321</v>
      </c>
      <c r="B321" s="277" t="s">
        <v>457</v>
      </c>
      <c r="C321" s="277" t="s">
        <v>565</v>
      </c>
      <c r="D321" s="277" t="s">
        <v>566</v>
      </c>
      <c r="E321" s="464">
        <v>1</v>
      </c>
      <c r="F321" s="240" t="s">
        <v>618</v>
      </c>
      <c r="G321" s="86" t="s">
        <v>646</v>
      </c>
      <c r="H321" s="86" t="s">
        <v>51</v>
      </c>
      <c r="I321" s="70" t="s">
        <v>255</v>
      </c>
      <c r="J321" s="313">
        <v>10.97</v>
      </c>
      <c r="K321" s="314">
        <f t="shared" si="43"/>
        <v>80</v>
      </c>
      <c r="L321" s="466">
        <v>80</v>
      </c>
      <c r="M321" s="243"/>
      <c r="N321" s="243"/>
      <c r="O321" s="243"/>
      <c r="P321" s="243"/>
      <c r="Q321" s="243"/>
      <c r="R321" s="242" t="e">
        <f>IF(L321="nio",0,IF(L321&gt;0,L321*J321/X321,0))*VLOOKUP(B321,'2-Kosten per locatie'!$A$14:$C$21,3,FALSE)</f>
        <v>#DIV/0!</v>
      </c>
      <c r="S321" s="242">
        <f>IF(M321&gt;0,M321*J321/Y321,0)*VLOOKUP(B321,'2-Kosten per locatie'!$A$14:$C$21,3,FALSE)</f>
        <v>0</v>
      </c>
      <c r="T321" s="242">
        <f>IF(N321&gt;0,N321*J321/Z321,0)*VLOOKUP(B321,'2-Kosten per locatie'!$A$14:$C$21,3,FALSE)</f>
        <v>0</v>
      </c>
      <c r="U321" s="242">
        <f>IF(O321&gt;0,O321*J321/AA321,0)*VLOOKUP(B321,'2-Kosten per locatie'!$A$14:$C$21,3,FALSE)</f>
        <v>0</v>
      </c>
      <c r="V321" s="242">
        <f>IF(P321&gt;0,P321*J321/Z321,0)*VLOOKUP(B321,'2-Kosten per locatie'!$A$14:$C$21,3,FALSE)</f>
        <v>0</v>
      </c>
      <c r="W321" s="242">
        <f>IF(Q321&gt;0,Q321*J321/AA321,0)*VLOOKUP(B321,'2-Kosten per locatie'!$A$14:$C$21,3,FALSE)</f>
        <v>0</v>
      </c>
      <c r="X321" s="315">
        <f>IF(L321="nio",0,IF(L321&gt;0,VLOOKUP(H321,'3-Productie normen'!A:K,VLOOKUP(L321,'3-Productie normen'!$B$36:$C$42,2,FALSE),FALSE)))</f>
        <v>0</v>
      </c>
      <c r="Y321" s="315">
        <f t="shared" si="49"/>
        <v>0</v>
      </c>
      <c r="Z321" s="315">
        <f t="shared" si="50"/>
        <v>0</v>
      </c>
      <c r="AA321" s="315">
        <f t="shared" si="51"/>
        <v>0</v>
      </c>
      <c r="AB321" s="316" t="s">
        <v>661</v>
      </c>
      <c r="AD321" s="317">
        <f t="shared" si="48"/>
        <v>877.6</v>
      </c>
    </row>
    <row r="322" spans="1:30" ht="14.1" hidden="1" customHeight="1">
      <c r="A322" s="74">
        <v>322</v>
      </c>
      <c r="B322" s="277" t="s">
        <v>457</v>
      </c>
      <c r="C322" s="277" t="s">
        <v>565</v>
      </c>
      <c r="D322" s="277" t="s">
        <v>566</v>
      </c>
      <c r="E322" s="464">
        <v>1</v>
      </c>
      <c r="F322" s="240" t="s">
        <v>619</v>
      </c>
      <c r="G322" s="86" t="s">
        <v>647</v>
      </c>
      <c r="H322" s="86" t="s">
        <v>57</v>
      </c>
      <c r="I322" s="70" t="s">
        <v>255</v>
      </c>
      <c r="J322" s="313">
        <v>22.28</v>
      </c>
      <c r="K322" s="314">
        <f t="shared" si="43"/>
        <v>205</v>
      </c>
      <c r="L322" s="466">
        <v>205</v>
      </c>
      <c r="M322" s="243"/>
      <c r="N322" s="243"/>
      <c r="O322" s="243"/>
      <c r="P322" s="243"/>
      <c r="Q322" s="243"/>
      <c r="R322" s="242" t="e">
        <f>IF(L322="nio",0,IF(L322&gt;0,L322*J322/X322,0))*VLOOKUP(B322,'2-Kosten per locatie'!$A$14:$C$21,3,FALSE)</f>
        <v>#DIV/0!</v>
      </c>
      <c r="S322" s="242">
        <f>IF(M322&gt;0,M322*J322/Y322,0)*VLOOKUP(B322,'2-Kosten per locatie'!$A$14:$C$21,3,FALSE)</f>
        <v>0</v>
      </c>
      <c r="T322" s="242">
        <f>IF(N322&gt;0,N322*J322/Z322,0)*VLOOKUP(B322,'2-Kosten per locatie'!$A$14:$C$21,3,FALSE)</f>
        <v>0</v>
      </c>
      <c r="U322" s="242">
        <f>IF(O322&gt;0,O322*J322/AA322,0)*VLOOKUP(B322,'2-Kosten per locatie'!$A$14:$C$21,3,FALSE)</f>
        <v>0</v>
      </c>
      <c r="V322" s="242">
        <f>IF(P322&gt;0,P322*J322/Z322,0)*VLOOKUP(B322,'2-Kosten per locatie'!$A$14:$C$21,3,FALSE)</f>
        <v>0</v>
      </c>
      <c r="W322" s="242">
        <f>IF(Q322&gt;0,Q322*J322/AA322,0)*VLOOKUP(B322,'2-Kosten per locatie'!$A$14:$C$21,3,FALSE)</f>
        <v>0</v>
      </c>
      <c r="X322" s="315">
        <f>IF(L322="nio",0,IF(L322&gt;0,VLOOKUP(H322,'3-Productie normen'!A:K,VLOOKUP(L322,'3-Productie normen'!$B$36:$C$42,2,FALSE),FALSE)))</f>
        <v>0</v>
      </c>
      <c r="Y322" s="315">
        <f t="shared" si="49"/>
        <v>0</v>
      </c>
      <c r="Z322" s="315">
        <f t="shared" si="50"/>
        <v>0</v>
      </c>
      <c r="AA322" s="315">
        <f t="shared" si="51"/>
        <v>0</v>
      </c>
      <c r="AB322" s="316" t="s">
        <v>661</v>
      </c>
      <c r="AD322" s="317">
        <f t="shared" si="48"/>
        <v>4567.4000000000005</v>
      </c>
    </row>
    <row r="323" spans="1:30" ht="14.1" hidden="1" customHeight="1">
      <c r="A323" s="74">
        <v>323</v>
      </c>
      <c r="B323" s="277" t="s">
        <v>457</v>
      </c>
      <c r="C323" s="277" t="s">
        <v>565</v>
      </c>
      <c r="D323" s="277" t="s">
        <v>566</v>
      </c>
      <c r="E323" s="464">
        <v>1</v>
      </c>
      <c r="F323" s="240" t="s">
        <v>620</v>
      </c>
      <c r="G323" s="86" t="s">
        <v>648</v>
      </c>
      <c r="H323" s="86" t="s">
        <v>657</v>
      </c>
      <c r="I323" s="70" t="s">
        <v>255</v>
      </c>
      <c r="J323" s="313">
        <v>59.57</v>
      </c>
      <c r="K323" s="314">
        <f t="shared" si="43"/>
        <v>205</v>
      </c>
      <c r="L323" s="466">
        <v>205</v>
      </c>
      <c r="M323" s="243"/>
      <c r="N323" s="243"/>
      <c r="O323" s="243"/>
      <c r="P323" s="243"/>
      <c r="Q323" s="243"/>
      <c r="R323" s="242" t="e">
        <f>IF(L323="nio",0,IF(L323&gt;0,L323*J323/X323,0))*VLOOKUP(B323,'2-Kosten per locatie'!$A$14:$C$21,3,FALSE)</f>
        <v>#DIV/0!</v>
      </c>
      <c r="S323" s="242">
        <f>IF(M323&gt;0,M323*J323/Y323,0)*VLOOKUP(B323,'2-Kosten per locatie'!$A$14:$C$21,3,FALSE)</f>
        <v>0</v>
      </c>
      <c r="T323" s="242">
        <f>IF(N323&gt;0,N323*J323/Z323,0)*VLOOKUP(B323,'2-Kosten per locatie'!$A$14:$C$21,3,FALSE)</f>
        <v>0</v>
      </c>
      <c r="U323" s="242">
        <f>IF(O323&gt;0,O323*J323/AA323,0)*VLOOKUP(B323,'2-Kosten per locatie'!$A$14:$C$21,3,FALSE)</f>
        <v>0</v>
      </c>
      <c r="V323" s="242">
        <f>IF(P323&gt;0,P323*J323/Z323,0)*VLOOKUP(B323,'2-Kosten per locatie'!$A$14:$C$21,3,FALSE)</f>
        <v>0</v>
      </c>
      <c r="W323" s="242">
        <f>IF(Q323&gt;0,Q323*J323/AA323,0)*VLOOKUP(B323,'2-Kosten per locatie'!$A$14:$C$21,3,FALSE)</f>
        <v>0</v>
      </c>
      <c r="X323" s="315">
        <f>IF(L323="nio",0,IF(L323&gt;0,VLOOKUP(H323,'3-Productie normen'!A:K,VLOOKUP(L323,'3-Productie normen'!$B$36:$C$42,2,FALSE),FALSE)))</f>
        <v>0</v>
      </c>
      <c r="Y323" s="315">
        <f t="shared" si="49"/>
        <v>0</v>
      </c>
      <c r="Z323" s="315">
        <f t="shared" si="50"/>
        <v>0</v>
      </c>
      <c r="AA323" s="315">
        <f t="shared" si="51"/>
        <v>0</v>
      </c>
      <c r="AB323" s="316" t="s">
        <v>661</v>
      </c>
      <c r="AD323" s="317">
        <f t="shared" si="48"/>
        <v>12211.85</v>
      </c>
    </row>
    <row r="324" spans="1:30" ht="14.1" hidden="1" customHeight="1">
      <c r="A324" s="74">
        <v>324</v>
      </c>
      <c r="B324" s="277" t="s">
        <v>457</v>
      </c>
      <c r="C324" s="277" t="s">
        <v>565</v>
      </c>
      <c r="D324" s="277" t="s">
        <v>566</v>
      </c>
      <c r="E324" s="464">
        <v>1</v>
      </c>
      <c r="F324" s="240" t="s">
        <v>621</v>
      </c>
      <c r="G324" s="86" t="s">
        <v>581</v>
      </c>
      <c r="H324" s="86" t="s">
        <v>251</v>
      </c>
      <c r="I324" s="70" t="s">
        <v>255</v>
      </c>
      <c r="J324" s="313">
        <v>27.88</v>
      </c>
      <c r="K324" s="314">
        <f t="shared" si="43"/>
        <v>80</v>
      </c>
      <c r="L324" s="466">
        <v>80</v>
      </c>
      <c r="M324" s="243"/>
      <c r="N324" s="243"/>
      <c r="O324" s="243"/>
      <c r="P324" s="243"/>
      <c r="Q324" s="243"/>
      <c r="R324" s="242" t="e">
        <f>IF(L324="nio",0,IF(L324&gt;0,L324*J324/X324,0))*VLOOKUP(B324,'2-Kosten per locatie'!$A$14:$C$21,3,FALSE)</f>
        <v>#DIV/0!</v>
      </c>
      <c r="S324" s="242">
        <f>IF(M324&gt;0,M324*J324/Y324,0)*VLOOKUP(B324,'2-Kosten per locatie'!$A$14:$C$21,3,FALSE)</f>
        <v>0</v>
      </c>
      <c r="T324" s="242">
        <f>IF(N324&gt;0,N324*J324/Z324,0)*VLOOKUP(B324,'2-Kosten per locatie'!$A$14:$C$21,3,FALSE)</f>
        <v>0</v>
      </c>
      <c r="U324" s="242">
        <f>IF(O324&gt;0,O324*J324/AA324,0)*VLOOKUP(B324,'2-Kosten per locatie'!$A$14:$C$21,3,FALSE)</f>
        <v>0</v>
      </c>
      <c r="V324" s="242">
        <f>IF(P324&gt;0,P324*J324/Z324,0)*VLOOKUP(B324,'2-Kosten per locatie'!$A$14:$C$21,3,FALSE)</f>
        <v>0</v>
      </c>
      <c r="W324" s="242">
        <f>IF(Q324&gt;0,Q324*J324/AA324,0)*VLOOKUP(B324,'2-Kosten per locatie'!$A$14:$C$21,3,FALSE)</f>
        <v>0</v>
      </c>
      <c r="X324" s="315">
        <f>IF(L324="nio",0,IF(L324&gt;0,VLOOKUP(H324,'3-Productie normen'!A:K,VLOOKUP(L324,'3-Productie normen'!$B$36:$C$42,2,FALSE),FALSE)))</f>
        <v>0</v>
      </c>
      <c r="Y324" s="315">
        <f t="shared" si="49"/>
        <v>0</v>
      </c>
      <c r="Z324" s="315">
        <f t="shared" si="50"/>
        <v>0</v>
      </c>
      <c r="AA324" s="315">
        <f t="shared" si="51"/>
        <v>0</v>
      </c>
      <c r="AB324" s="316" t="s">
        <v>661</v>
      </c>
      <c r="AD324" s="317">
        <f t="shared" si="48"/>
        <v>2230.4</v>
      </c>
    </row>
    <row r="325" spans="1:30" ht="14.1" hidden="1" customHeight="1">
      <c r="A325" s="74">
        <v>325</v>
      </c>
      <c r="B325" s="277" t="s">
        <v>457</v>
      </c>
      <c r="C325" s="277" t="s">
        <v>565</v>
      </c>
      <c r="D325" s="277" t="s">
        <v>566</v>
      </c>
      <c r="E325" s="464">
        <v>1</v>
      </c>
      <c r="F325" s="240" t="s">
        <v>622</v>
      </c>
      <c r="G325" s="86" t="s">
        <v>649</v>
      </c>
      <c r="H325" s="86" t="s">
        <v>320</v>
      </c>
      <c r="I325" s="70" t="s">
        <v>255</v>
      </c>
      <c r="J325" s="313">
        <v>5.33</v>
      </c>
      <c r="K325" s="314">
        <f t="shared" si="43"/>
        <v>205</v>
      </c>
      <c r="L325" s="466">
        <v>205</v>
      </c>
      <c r="M325" s="243"/>
      <c r="N325" s="243"/>
      <c r="O325" s="243"/>
      <c r="P325" s="243"/>
      <c r="Q325" s="243"/>
      <c r="R325" s="242" t="e">
        <f>IF(L325="nio",0,IF(L325&gt;0,L325*J325/X325,0))*VLOOKUP(B325,'2-Kosten per locatie'!$A$14:$C$21,3,FALSE)</f>
        <v>#DIV/0!</v>
      </c>
      <c r="S325" s="242">
        <f>IF(M325&gt;0,M325*J325/Y325,0)*VLOOKUP(B325,'2-Kosten per locatie'!$A$14:$C$21,3,FALSE)</f>
        <v>0</v>
      </c>
      <c r="T325" s="242">
        <f>IF(N325&gt;0,N325*J325/Z325,0)*VLOOKUP(B325,'2-Kosten per locatie'!$A$14:$C$21,3,FALSE)</f>
        <v>0</v>
      </c>
      <c r="U325" s="242">
        <f>IF(O325&gt;0,O325*J325/AA325,0)*VLOOKUP(B325,'2-Kosten per locatie'!$A$14:$C$21,3,FALSE)</f>
        <v>0</v>
      </c>
      <c r="V325" s="242">
        <f>IF(P325&gt;0,P325*J325/Z325,0)*VLOOKUP(B325,'2-Kosten per locatie'!$A$14:$C$21,3,FALSE)</f>
        <v>0</v>
      </c>
      <c r="W325" s="242">
        <f>IF(Q325&gt;0,Q325*J325/AA325,0)*VLOOKUP(B325,'2-Kosten per locatie'!$A$14:$C$21,3,FALSE)</f>
        <v>0</v>
      </c>
      <c r="X325" s="315">
        <f>IF(L325="nio",0,IF(L325&gt;0,VLOOKUP(H325,'3-Productie normen'!A:K,VLOOKUP(L325,'3-Productie normen'!$B$36:$C$42,2,FALSE),FALSE)))</f>
        <v>0</v>
      </c>
      <c r="Y325" s="315">
        <f t="shared" si="49"/>
        <v>0</v>
      </c>
      <c r="Z325" s="315">
        <f t="shared" si="50"/>
        <v>0</v>
      </c>
      <c r="AA325" s="315">
        <f t="shared" si="51"/>
        <v>0</v>
      </c>
      <c r="AB325" s="316" t="s">
        <v>661</v>
      </c>
      <c r="AD325" s="317">
        <f t="shared" si="48"/>
        <v>1092.6500000000001</v>
      </c>
    </row>
    <row r="326" spans="1:30" ht="14.1" hidden="1" customHeight="1">
      <c r="A326" s="74">
        <v>326</v>
      </c>
      <c r="B326" s="277" t="s">
        <v>457</v>
      </c>
      <c r="C326" s="277" t="s">
        <v>565</v>
      </c>
      <c r="D326" s="277" t="s">
        <v>566</v>
      </c>
      <c r="E326" s="464">
        <v>1</v>
      </c>
      <c r="F326" s="240" t="s">
        <v>623</v>
      </c>
      <c r="G326" s="86" t="s">
        <v>650</v>
      </c>
      <c r="H326" s="86" t="s">
        <v>57</v>
      </c>
      <c r="I326" s="70" t="s">
        <v>255</v>
      </c>
      <c r="J326" s="313">
        <v>14.26</v>
      </c>
      <c r="K326" s="314">
        <f t="shared" si="43"/>
        <v>80</v>
      </c>
      <c r="L326" s="466">
        <v>80</v>
      </c>
      <c r="M326" s="243"/>
      <c r="N326" s="243"/>
      <c r="O326" s="243"/>
      <c r="P326" s="243"/>
      <c r="Q326" s="243"/>
      <c r="R326" s="242" t="e">
        <f>IF(L326="nio",0,IF(L326&gt;0,L326*J326/X326,0))*VLOOKUP(B326,'2-Kosten per locatie'!$A$14:$C$21,3,FALSE)</f>
        <v>#DIV/0!</v>
      </c>
      <c r="S326" s="242">
        <f>IF(M326&gt;0,M326*J326/Y326,0)*VLOOKUP(B326,'2-Kosten per locatie'!$A$14:$C$21,3,FALSE)</f>
        <v>0</v>
      </c>
      <c r="T326" s="242">
        <f>IF(N326&gt;0,N326*J326/Z326,0)*VLOOKUP(B326,'2-Kosten per locatie'!$A$14:$C$21,3,FALSE)</f>
        <v>0</v>
      </c>
      <c r="U326" s="242">
        <f>IF(O326&gt;0,O326*J326/AA326,0)*VLOOKUP(B326,'2-Kosten per locatie'!$A$14:$C$21,3,FALSE)</f>
        <v>0</v>
      </c>
      <c r="V326" s="242">
        <f>IF(P326&gt;0,P326*J326/Z326,0)*VLOOKUP(B326,'2-Kosten per locatie'!$A$14:$C$21,3,FALSE)</f>
        <v>0</v>
      </c>
      <c r="W326" s="242">
        <f>IF(Q326&gt;0,Q326*J326/AA326,0)*VLOOKUP(B326,'2-Kosten per locatie'!$A$14:$C$21,3,FALSE)</f>
        <v>0</v>
      </c>
      <c r="X326" s="315">
        <f>IF(L326="nio",0,IF(L326&gt;0,VLOOKUP(H326,'3-Productie normen'!A:K,VLOOKUP(L326,'3-Productie normen'!$B$36:$C$42,2,FALSE),FALSE)))</f>
        <v>0</v>
      </c>
      <c r="Y326" s="315">
        <f t="shared" si="49"/>
        <v>0</v>
      </c>
      <c r="Z326" s="315">
        <f t="shared" si="50"/>
        <v>0</v>
      </c>
      <c r="AA326" s="315">
        <f t="shared" si="51"/>
        <v>0</v>
      </c>
      <c r="AB326" s="316" t="s">
        <v>661</v>
      </c>
      <c r="AD326" s="317">
        <f t="shared" si="48"/>
        <v>1140.8</v>
      </c>
    </row>
    <row r="327" spans="1:30" ht="14.1" hidden="1" customHeight="1">
      <c r="A327" s="74">
        <v>327</v>
      </c>
      <c r="B327" s="277" t="s">
        <v>457</v>
      </c>
      <c r="C327" s="277" t="s">
        <v>565</v>
      </c>
      <c r="D327" s="277" t="s">
        <v>566</v>
      </c>
      <c r="E327" s="464">
        <v>1</v>
      </c>
      <c r="F327" s="240" t="s">
        <v>624</v>
      </c>
      <c r="G327" s="86" t="s">
        <v>651</v>
      </c>
      <c r="H327" s="86" t="s">
        <v>411</v>
      </c>
      <c r="I327" s="86"/>
      <c r="J327" s="313"/>
      <c r="K327" s="314">
        <f t="shared" si="43"/>
        <v>0</v>
      </c>
      <c r="L327" s="466" t="s">
        <v>412</v>
      </c>
      <c r="M327" s="243"/>
      <c r="N327" s="243"/>
      <c r="O327" s="243"/>
      <c r="P327" s="243"/>
      <c r="Q327" s="243"/>
      <c r="R327" s="242">
        <f>IF(L327="nio",0,IF(L327&gt;0,L327*J327/X327,0))*VLOOKUP(B327,'2-Kosten per locatie'!$A$14:$C$21,3,FALSE)</f>
        <v>0</v>
      </c>
      <c r="S327" s="242">
        <f>IF(M327&gt;0,M327*J327/Y327,0)*VLOOKUP(B327,'2-Kosten per locatie'!$A$14:$C$21,3,FALSE)</f>
        <v>0</v>
      </c>
      <c r="T327" s="242">
        <f>IF(N327&gt;0,N327*J327/Z327,0)*VLOOKUP(B327,'2-Kosten per locatie'!$A$14:$C$21,3,FALSE)</f>
        <v>0</v>
      </c>
      <c r="U327" s="242">
        <f>IF(O327&gt;0,O327*J327/AA327,0)*VLOOKUP(B327,'2-Kosten per locatie'!$A$14:$C$21,3,FALSE)</f>
        <v>0</v>
      </c>
      <c r="V327" s="242">
        <f>IF(P327&gt;0,P327*J327/Z327,0)*VLOOKUP(B327,'2-Kosten per locatie'!$A$14:$C$21,3,FALSE)</f>
        <v>0</v>
      </c>
      <c r="W327" s="242">
        <f>IF(Q327&gt;0,Q327*J327/AA327,0)*VLOOKUP(B327,'2-Kosten per locatie'!$A$14:$C$21,3,FALSE)</f>
        <v>0</v>
      </c>
      <c r="X327" s="315">
        <f>IF(L327="nio",0,IF(L327&gt;0,VLOOKUP(H327,'3-Productie normen'!A:K,VLOOKUP(L327,'3-Productie normen'!$B$36:$C$42,2,FALSE),FALSE)))</f>
        <v>0</v>
      </c>
      <c r="Y327" s="315">
        <f t="shared" si="49"/>
        <v>0</v>
      </c>
      <c r="Z327" s="315">
        <f t="shared" si="50"/>
        <v>0</v>
      </c>
      <c r="AA327" s="315">
        <f t="shared" si="51"/>
        <v>0</v>
      </c>
      <c r="AB327" s="316" t="s">
        <v>661</v>
      </c>
      <c r="AD327" s="317">
        <f t="shared" si="48"/>
        <v>0</v>
      </c>
    </row>
    <row r="328" spans="1:30" ht="14.1" hidden="1" customHeight="1">
      <c r="A328" s="74">
        <v>328</v>
      </c>
      <c r="B328" s="277" t="s">
        <v>457</v>
      </c>
      <c r="C328" s="277" t="s">
        <v>565</v>
      </c>
      <c r="D328" s="277" t="s">
        <v>566</v>
      </c>
      <c r="E328" s="464">
        <v>1</v>
      </c>
      <c r="F328" s="240" t="s">
        <v>625</v>
      </c>
      <c r="G328" s="86" t="s">
        <v>652</v>
      </c>
      <c r="H328" s="86" t="s">
        <v>52</v>
      </c>
      <c r="I328" s="70" t="s">
        <v>261</v>
      </c>
      <c r="J328" s="313">
        <v>1.24</v>
      </c>
      <c r="K328" s="314">
        <f t="shared" si="43"/>
        <v>205</v>
      </c>
      <c r="L328" s="466">
        <v>205</v>
      </c>
      <c r="M328" s="243"/>
      <c r="N328" s="243"/>
      <c r="O328" s="243"/>
      <c r="P328" s="243"/>
      <c r="Q328" s="243"/>
      <c r="R328" s="242" t="e">
        <f>IF(L328="nio",0,IF(L328&gt;0,L328*J328/X328,0))*VLOOKUP(B328,'2-Kosten per locatie'!$A$14:$C$21,3,FALSE)</f>
        <v>#DIV/0!</v>
      </c>
      <c r="S328" s="242">
        <f>IF(M328&gt;0,M328*J328/Y328,0)*VLOOKUP(B328,'2-Kosten per locatie'!$A$14:$C$21,3,FALSE)</f>
        <v>0</v>
      </c>
      <c r="T328" s="242">
        <f>IF(N328&gt;0,N328*J328/Z328,0)*VLOOKUP(B328,'2-Kosten per locatie'!$A$14:$C$21,3,FALSE)</f>
        <v>0</v>
      </c>
      <c r="U328" s="242">
        <f>IF(O328&gt;0,O328*J328/AA328,0)*VLOOKUP(B328,'2-Kosten per locatie'!$A$14:$C$21,3,FALSE)</f>
        <v>0</v>
      </c>
      <c r="V328" s="242">
        <f>IF(P328&gt;0,P328*J328/Z328,0)*VLOOKUP(B328,'2-Kosten per locatie'!$A$14:$C$21,3,FALSE)</f>
        <v>0</v>
      </c>
      <c r="W328" s="242">
        <f>IF(Q328&gt;0,Q328*J328/AA328,0)*VLOOKUP(B328,'2-Kosten per locatie'!$A$14:$C$21,3,FALSE)</f>
        <v>0</v>
      </c>
      <c r="X328" s="315">
        <f>IF(L328="nio",0,IF(L328&gt;0,VLOOKUP(H328,'3-Productie normen'!A:K,VLOOKUP(L328,'3-Productie normen'!$B$36:$C$42,2,FALSE),FALSE)))</f>
        <v>0</v>
      </c>
      <c r="Y328" s="315">
        <f t="shared" si="49"/>
        <v>0</v>
      </c>
      <c r="Z328" s="315">
        <f t="shared" si="50"/>
        <v>0</v>
      </c>
      <c r="AA328" s="315">
        <f t="shared" si="51"/>
        <v>0</v>
      </c>
      <c r="AB328" s="316" t="s">
        <v>661</v>
      </c>
      <c r="AD328" s="317">
        <f t="shared" si="48"/>
        <v>254.2</v>
      </c>
    </row>
    <row r="329" spans="1:30" ht="14.1" hidden="1" customHeight="1">
      <c r="A329" s="74">
        <v>329</v>
      </c>
      <c r="B329" s="277" t="s">
        <v>457</v>
      </c>
      <c r="C329" s="277" t="s">
        <v>565</v>
      </c>
      <c r="D329" s="277" t="s">
        <v>566</v>
      </c>
      <c r="E329" s="464">
        <v>1</v>
      </c>
      <c r="F329" s="240" t="s">
        <v>626</v>
      </c>
      <c r="G329" s="86" t="s">
        <v>651</v>
      </c>
      <c r="H329" s="86" t="s">
        <v>411</v>
      </c>
      <c r="I329" s="86"/>
      <c r="J329" s="313"/>
      <c r="K329" s="314">
        <f t="shared" si="43"/>
        <v>0</v>
      </c>
      <c r="L329" s="466" t="s">
        <v>412</v>
      </c>
      <c r="M329" s="243"/>
      <c r="N329" s="243"/>
      <c r="O329" s="243"/>
      <c r="P329" s="243"/>
      <c r="Q329" s="243"/>
      <c r="R329" s="242">
        <f>IF(L329="nio",0,IF(L329&gt;0,L329*J329/X329,0))*VLOOKUP(B329,'2-Kosten per locatie'!$A$14:$C$21,3,FALSE)</f>
        <v>0</v>
      </c>
      <c r="S329" s="242">
        <f>IF(M329&gt;0,M329*J329/Y329,0)*VLOOKUP(B329,'2-Kosten per locatie'!$A$14:$C$21,3,FALSE)</f>
        <v>0</v>
      </c>
      <c r="T329" s="242">
        <f>IF(N329&gt;0,N329*J329/Z329,0)*VLOOKUP(B329,'2-Kosten per locatie'!$A$14:$C$21,3,FALSE)</f>
        <v>0</v>
      </c>
      <c r="U329" s="242">
        <f>IF(O329&gt;0,O329*J329/AA329,0)*VLOOKUP(B329,'2-Kosten per locatie'!$A$14:$C$21,3,FALSE)</f>
        <v>0</v>
      </c>
      <c r="V329" s="242">
        <f>IF(P329&gt;0,P329*J329/Z329,0)*VLOOKUP(B329,'2-Kosten per locatie'!$A$14:$C$21,3,FALSE)</f>
        <v>0</v>
      </c>
      <c r="W329" s="242">
        <f>IF(Q329&gt;0,Q329*J329/AA329,0)*VLOOKUP(B329,'2-Kosten per locatie'!$A$14:$C$21,3,FALSE)</f>
        <v>0</v>
      </c>
      <c r="X329" s="315">
        <f>IF(L329="nio",0,IF(L329&gt;0,VLOOKUP(H329,'3-Productie normen'!A:K,VLOOKUP(L329,'3-Productie normen'!$B$36:$C$42,2,FALSE),FALSE)))</f>
        <v>0</v>
      </c>
      <c r="Y329" s="315">
        <f t="shared" si="49"/>
        <v>0</v>
      </c>
      <c r="Z329" s="315">
        <f t="shared" si="50"/>
        <v>0</v>
      </c>
      <c r="AA329" s="315">
        <f t="shared" si="51"/>
        <v>0</v>
      </c>
      <c r="AB329" s="316" t="s">
        <v>661</v>
      </c>
      <c r="AD329" s="317">
        <f t="shared" si="48"/>
        <v>0</v>
      </c>
    </row>
    <row r="330" spans="1:30" ht="14.1" hidden="1" customHeight="1">
      <c r="A330" s="74">
        <v>330</v>
      </c>
      <c r="B330" s="277" t="s">
        <v>457</v>
      </c>
      <c r="C330" s="277" t="s">
        <v>565</v>
      </c>
      <c r="D330" s="277" t="s">
        <v>566</v>
      </c>
      <c r="E330" s="464">
        <v>1</v>
      </c>
      <c r="F330" s="240" t="s">
        <v>627</v>
      </c>
      <c r="G330" s="86" t="s">
        <v>652</v>
      </c>
      <c r="H330" s="86" t="s">
        <v>52</v>
      </c>
      <c r="I330" s="70" t="s">
        <v>261</v>
      </c>
      <c r="J330" s="313">
        <v>1.24</v>
      </c>
      <c r="K330" s="314">
        <f t="shared" ref="K330:K393" si="52">SUM(L330:Q330)</f>
        <v>205</v>
      </c>
      <c r="L330" s="466">
        <v>205</v>
      </c>
      <c r="M330" s="243"/>
      <c r="N330" s="243"/>
      <c r="O330" s="243"/>
      <c r="P330" s="243"/>
      <c r="Q330" s="243"/>
      <c r="R330" s="242" t="e">
        <f>IF(L330="nio",0,IF(L330&gt;0,L330*J330/X330,0))*VLOOKUP(B330,'2-Kosten per locatie'!$A$14:$C$21,3,FALSE)</f>
        <v>#DIV/0!</v>
      </c>
      <c r="S330" s="242">
        <f>IF(M330&gt;0,M330*J330/Y330,0)*VLOOKUP(B330,'2-Kosten per locatie'!$A$14:$C$21,3,FALSE)</f>
        <v>0</v>
      </c>
      <c r="T330" s="242">
        <f>IF(N330&gt;0,N330*J330/Z330,0)*VLOOKUP(B330,'2-Kosten per locatie'!$A$14:$C$21,3,FALSE)</f>
        <v>0</v>
      </c>
      <c r="U330" s="242">
        <f>IF(O330&gt;0,O330*J330/AA330,0)*VLOOKUP(B330,'2-Kosten per locatie'!$A$14:$C$21,3,FALSE)</f>
        <v>0</v>
      </c>
      <c r="V330" s="242">
        <f>IF(P330&gt;0,P330*J330/Z330,0)*VLOOKUP(B330,'2-Kosten per locatie'!$A$14:$C$21,3,FALSE)</f>
        <v>0</v>
      </c>
      <c r="W330" s="242">
        <f>IF(Q330&gt;0,Q330*J330/AA330,0)*VLOOKUP(B330,'2-Kosten per locatie'!$A$14:$C$21,3,FALSE)</f>
        <v>0</v>
      </c>
      <c r="X330" s="315">
        <f>IF(L330="nio",0,IF(L330&gt;0,VLOOKUP(H330,'3-Productie normen'!A:K,VLOOKUP(L330,'3-Productie normen'!$B$36:$C$42,2,FALSE),FALSE)))</f>
        <v>0</v>
      </c>
      <c r="Y330" s="315">
        <f t="shared" si="49"/>
        <v>0</v>
      </c>
      <c r="Z330" s="315">
        <f t="shared" si="50"/>
        <v>0</v>
      </c>
      <c r="AA330" s="315">
        <f t="shared" si="51"/>
        <v>0</v>
      </c>
      <c r="AB330" s="316" t="s">
        <v>661</v>
      </c>
      <c r="AD330" s="317">
        <f t="shared" si="48"/>
        <v>254.2</v>
      </c>
    </row>
    <row r="331" spans="1:30" ht="14.1" hidden="1" customHeight="1">
      <c r="A331" s="74">
        <v>331</v>
      </c>
      <c r="B331" s="277" t="s">
        <v>457</v>
      </c>
      <c r="C331" s="277" t="s">
        <v>565</v>
      </c>
      <c r="D331" s="277" t="s">
        <v>566</v>
      </c>
      <c r="E331" s="464">
        <v>1</v>
      </c>
      <c r="F331" s="240" t="s">
        <v>628</v>
      </c>
      <c r="G331" s="86" t="s">
        <v>651</v>
      </c>
      <c r="H331" s="86" t="s">
        <v>411</v>
      </c>
      <c r="I331" s="86"/>
      <c r="J331" s="313"/>
      <c r="K331" s="314">
        <f t="shared" si="52"/>
        <v>0</v>
      </c>
      <c r="L331" s="466" t="s">
        <v>412</v>
      </c>
      <c r="M331" s="243"/>
      <c r="N331" s="243"/>
      <c r="O331" s="243"/>
      <c r="P331" s="243"/>
      <c r="Q331" s="243"/>
      <c r="R331" s="242">
        <f>IF(L331="nio",0,IF(L331&gt;0,L331*J331/X331,0))*VLOOKUP(B331,'2-Kosten per locatie'!$A$14:$C$21,3,FALSE)</f>
        <v>0</v>
      </c>
      <c r="S331" s="242">
        <f>IF(M331&gt;0,M331*J331/Y331,0)*VLOOKUP(B331,'2-Kosten per locatie'!$A$14:$C$21,3,FALSE)</f>
        <v>0</v>
      </c>
      <c r="T331" s="242">
        <f>IF(N331&gt;0,N331*J331/Z331,0)*VLOOKUP(B331,'2-Kosten per locatie'!$A$14:$C$21,3,FALSE)</f>
        <v>0</v>
      </c>
      <c r="U331" s="242">
        <f>IF(O331&gt;0,O331*J331/AA331,0)*VLOOKUP(B331,'2-Kosten per locatie'!$A$14:$C$21,3,FALSE)</f>
        <v>0</v>
      </c>
      <c r="V331" s="242">
        <f>IF(P331&gt;0,P331*J331/Z331,0)*VLOOKUP(B331,'2-Kosten per locatie'!$A$14:$C$21,3,FALSE)</f>
        <v>0</v>
      </c>
      <c r="W331" s="242">
        <f>IF(Q331&gt;0,Q331*J331/AA331,0)*VLOOKUP(B331,'2-Kosten per locatie'!$A$14:$C$21,3,FALSE)</f>
        <v>0</v>
      </c>
      <c r="X331" s="315">
        <f>IF(L331="nio",0,IF(L331&gt;0,VLOOKUP(H331,'3-Productie normen'!A:K,VLOOKUP(L331,'3-Productie normen'!$B$36:$C$42,2,FALSE),FALSE)))</f>
        <v>0</v>
      </c>
      <c r="Y331" s="315">
        <f t="shared" si="49"/>
        <v>0</v>
      </c>
      <c r="Z331" s="315">
        <f t="shared" si="50"/>
        <v>0</v>
      </c>
      <c r="AA331" s="315">
        <f t="shared" si="51"/>
        <v>0</v>
      </c>
      <c r="AB331" s="316" t="s">
        <v>661</v>
      </c>
      <c r="AD331" s="317">
        <f t="shared" si="48"/>
        <v>0</v>
      </c>
    </row>
    <row r="332" spans="1:30" ht="14.1" hidden="1" customHeight="1">
      <c r="A332" s="74">
        <v>332</v>
      </c>
      <c r="B332" s="277" t="s">
        <v>457</v>
      </c>
      <c r="C332" s="277" t="s">
        <v>565</v>
      </c>
      <c r="D332" s="277" t="s">
        <v>566</v>
      </c>
      <c r="E332" s="464">
        <v>1</v>
      </c>
      <c r="F332" s="240" t="s">
        <v>629</v>
      </c>
      <c r="G332" s="86" t="s">
        <v>652</v>
      </c>
      <c r="H332" s="293" t="s">
        <v>52</v>
      </c>
      <c r="I332" s="70" t="s">
        <v>261</v>
      </c>
      <c r="J332" s="313">
        <v>1.24</v>
      </c>
      <c r="K332" s="314">
        <f t="shared" si="52"/>
        <v>205</v>
      </c>
      <c r="L332" s="466">
        <v>205</v>
      </c>
      <c r="M332" s="243"/>
      <c r="N332" s="243"/>
      <c r="O332" s="243"/>
      <c r="P332" s="243"/>
      <c r="Q332" s="243"/>
      <c r="R332" s="242" t="e">
        <f>IF(L332="nio",0,IF(L332&gt;0,L332*J332/X332,0))*VLOOKUP(B332,'2-Kosten per locatie'!$A$14:$C$21,3,FALSE)</f>
        <v>#DIV/0!</v>
      </c>
      <c r="S332" s="242">
        <f>IF(M332&gt;0,M332*J332/Y332,0)*VLOOKUP(B332,'2-Kosten per locatie'!$A$14:$C$21,3,FALSE)</f>
        <v>0</v>
      </c>
      <c r="T332" s="242">
        <f>IF(N332&gt;0,N332*J332/Z332,0)*VLOOKUP(B332,'2-Kosten per locatie'!$A$14:$C$21,3,FALSE)</f>
        <v>0</v>
      </c>
      <c r="U332" s="242">
        <f>IF(O332&gt;0,O332*J332/AA332,0)*VLOOKUP(B332,'2-Kosten per locatie'!$A$14:$C$21,3,FALSE)</f>
        <v>0</v>
      </c>
      <c r="V332" s="242">
        <f>IF(P332&gt;0,P332*J332/Z332,0)*VLOOKUP(B332,'2-Kosten per locatie'!$A$14:$C$21,3,FALSE)</f>
        <v>0</v>
      </c>
      <c r="W332" s="242">
        <f>IF(Q332&gt;0,Q332*J332/AA332,0)*VLOOKUP(B332,'2-Kosten per locatie'!$A$14:$C$21,3,FALSE)</f>
        <v>0</v>
      </c>
      <c r="X332" s="315">
        <f>IF(L332="nio",0,IF(L332&gt;0,VLOOKUP(H332,'3-Productie normen'!A:K,VLOOKUP(L332,'3-Productie normen'!$B$36:$C$42,2,FALSE),FALSE)))</f>
        <v>0</v>
      </c>
      <c r="Y332" s="315">
        <f t="shared" si="49"/>
        <v>0</v>
      </c>
      <c r="Z332" s="315">
        <f t="shared" si="50"/>
        <v>0</v>
      </c>
      <c r="AA332" s="315">
        <f t="shared" si="51"/>
        <v>0</v>
      </c>
      <c r="AB332" s="316" t="s">
        <v>661</v>
      </c>
      <c r="AD332" s="317">
        <f t="shared" si="48"/>
        <v>254.2</v>
      </c>
    </row>
    <row r="333" spans="1:30" ht="14.1" hidden="1" customHeight="1">
      <c r="A333" s="74">
        <v>333</v>
      </c>
      <c r="B333" s="277" t="s">
        <v>457</v>
      </c>
      <c r="C333" s="277" t="s">
        <v>565</v>
      </c>
      <c r="D333" s="277" t="s">
        <v>566</v>
      </c>
      <c r="E333" s="464">
        <v>1</v>
      </c>
      <c r="F333" s="240" t="s">
        <v>630</v>
      </c>
      <c r="G333" s="86" t="s">
        <v>651</v>
      </c>
      <c r="H333" s="86" t="s">
        <v>411</v>
      </c>
      <c r="I333" s="86"/>
      <c r="J333" s="313"/>
      <c r="K333" s="314">
        <f t="shared" si="52"/>
        <v>0</v>
      </c>
      <c r="L333" s="466" t="s">
        <v>412</v>
      </c>
      <c r="M333" s="243"/>
      <c r="N333" s="243"/>
      <c r="O333" s="243"/>
      <c r="P333" s="243"/>
      <c r="Q333" s="243"/>
      <c r="R333" s="242">
        <f>IF(L333="nio",0,IF(L333&gt;0,L333*J333/X333,0))*VLOOKUP(B333,'2-Kosten per locatie'!$A$14:$C$21,3,FALSE)</f>
        <v>0</v>
      </c>
      <c r="S333" s="242">
        <f>IF(M333&gt;0,M333*J333/Y333,0)*VLOOKUP(B333,'2-Kosten per locatie'!$A$14:$C$21,3,FALSE)</f>
        <v>0</v>
      </c>
      <c r="T333" s="242">
        <f>IF(N333&gt;0,N333*J333/Z333,0)*VLOOKUP(B333,'2-Kosten per locatie'!$A$14:$C$21,3,FALSE)</f>
        <v>0</v>
      </c>
      <c r="U333" s="242">
        <f>IF(O333&gt;0,O333*J333/AA333,0)*VLOOKUP(B333,'2-Kosten per locatie'!$A$14:$C$21,3,FALSE)</f>
        <v>0</v>
      </c>
      <c r="V333" s="242">
        <f>IF(P333&gt;0,P333*J333/Z333,0)*VLOOKUP(B333,'2-Kosten per locatie'!$A$14:$C$21,3,FALSE)</f>
        <v>0</v>
      </c>
      <c r="W333" s="242">
        <f>IF(Q333&gt;0,Q333*J333/AA333,0)*VLOOKUP(B333,'2-Kosten per locatie'!$A$14:$C$21,3,FALSE)</f>
        <v>0</v>
      </c>
      <c r="X333" s="315">
        <f>IF(L333="nio",0,IF(L333&gt;0,VLOOKUP(H333,'3-Productie normen'!A:K,VLOOKUP(L333,'3-Productie normen'!$B$36:$C$42,2,FALSE),FALSE)))</f>
        <v>0</v>
      </c>
      <c r="Y333" s="315">
        <f t="shared" si="49"/>
        <v>0</v>
      </c>
      <c r="Z333" s="315">
        <f t="shared" si="50"/>
        <v>0</v>
      </c>
      <c r="AA333" s="315">
        <f t="shared" si="51"/>
        <v>0</v>
      </c>
      <c r="AB333" s="316" t="s">
        <v>661</v>
      </c>
      <c r="AD333" s="317">
        <f t="shared" si="48"/>
        <v>0</v>
      </c>
    </row>
    <row r="334" spans="1:30" ht="14.1" hidden="1" customHeight="1">
      <c r="A334" s="74">
        <v>334</v>
      </c>
      <c r="B334" s="277" t="s">
        <v>457</v>
      </c>
      <c r="C334" s="277" t="s">
        <v>565</v>
      </c>
      <c r="D334" s="277" t="s">
        <v>566</v>
      </c>
      <c r="E334" s="464">
        <v>1</v>
      </c>
      <c r="F334" s="240" t="s">
        <v>631</v>
      </c>
      <c r="G334" s="86" t="s">
        <v>652</v>
      </c>
      <c r="H334" s="86" t="s">
        <v>52</v>
      </c>
      <c r="I334" s="70" t="s">
        <v>261</v>
      </c>
      <c r="J334" s="313">
        <v>1.24</v>
      </c>
      <c r="K334" s="314">
        <f t="shared" si="52"/>
        <v>205</v>
      </c>
      <c r="L334" s="466">
        <v>205</v>
      </c>
      <c r="M334" s="243"/>
      <c r="N334" s="243"/>
      <c r="O334" s="243"/>
      <c r="P334" s="243"/>
      <c r="Q334" s="243"/>
      <c r="R334" s="242" t="e">
        <f>IF(L334="nio",0,IF(L334&gt;0,L334*J334/X334,0))*VLOOKUP(B334,'2-Kosten per locatie'!$A$14:$C$21,3,FALSE)</f>
        <v>#DIV/0!</v>
      </c>
      <c r="S334" s="242">
        <f>IF(M334&gt;0,M334*J334/Y334,0)*VLOOKUP(B334,'2-Kosten per locatie'!$A$14:$C$21,3,FALSE)</f>
        <v>0</v>
      </c>
      <c r="T334" s="242">
        <f>IF(N334&gt;0,N334*J334/Z334,0)*VLOOKUP(B334,'2-Kosten per locatie'!$A$14:$C$21,3,FALSE)</f>
        <v>0</v>
      </c>
      <c r="U334" s="242">
        <f>IF(O334&gt;0,O334*J334/AA334,0)*VLOOKUP(B334,'2-Kosten per locatie'!$A$14:$C$21,3,FALSE)</f>
        <v>0</v>
      </c>
      <c r="V334" s="242">
        <f>IF(P334&gt;0,P334*J334/Z334,0)*VLOOKUP(B334,'2-Kosten per locatie'!$A$14:$C$21,3,FALSE)</f>
        <v>0</v>
      </c>
      <c r="W334" s="242">
        <f>IF(Q334&gt;0,Q334*J334/AA334,0)*VLOOKUP(B334,'2-Kosten per locatie'!$A$14:$C$21,3,FALSE)</f>
        <v>0</v>
      </c>
      <c r="X334" s="315">
        <f>IF(L334="nio",0,IF(L334&gt;0,VLOOKUP(H334,'3-Productie normen'!A:K,VLOOKUP(L334,'3-Productie normen'!$B$36:$C$42,2,FALSE),FALSE)))</f>
        <v>0</v>
      </c>
      <c r="Y334" s="315">
        <f t="shared" si="49"/>
        <v>0</v>
      </c>
      <c r="Z334" s="315">
        <f t="shared" si="50"/>
        <v>0</v>
      </c>
      <c r="AA334" s="315">
        <f t="shared" si="51"/>
        <v>0</v>
      </c>
      <c r="AB334" s="316" t="s">
        <v>661</v>
      </c>
      <c r="AD334" s="317">
        <f t="shared" si="48"/>
        <v>254.2</v>
      </c>
    </row>
    <row r="335" spans="1:30" ht="14.1" hidden="1" customHeight="1">
      <c r="A335" s="74">
        <v>335</v>
      </c>
      <c r="B335" s="277" t="s">
        <v>457</v>
      </c>
      <c r="C335" s="277" t="s">
        <v>565</v>
      </c>
      <c r="D335" s="277" t="s">
        <v>566</v>
      </c>
      <c r="E335" s="464">
        <v>1</v>
      </c>
      <c r="F335" s="240" t="s">
        <v>632</v>
      </c>
      <c r="G335" s="86" t="s">
        <v>653</v>
      </c>
      <c r="H335" s="86" t="s">
        <v>411</v>
      </c>
      <c r="I335" s="86"/>
      <c r="J335" s="313"/>
      <c r="K335" s="314">
        <f t="shared" si="52"/>
        <v>0</v>
      </c>
      <c r="L335" s="466" t="s">
        <v>412</v>
      </c>
      <c r="M335" s="243"/>
      <c r="N335" s="243"/>
      <c r="O335" s="243"/>
      <c r="P335" s="243"/>
      <c r="Q335" s="243"/>
      <c r="R335" s="242">
        <f>IF(L335="nio",0,IF(L335&gt;0,L335*J335/X335,0))*VLOOKUP(B335,'2-Kosten per locatie'!$A$14:$C$21,3,FALSE)</f>
        <v>0</v>
      </c>
      <c r="S335" s="242">
        <f>IF(M335&gt;0,M335*J335/Y335,0)*VLOOKUP(B335,'2-Kosten per locatie'!$A$14:$C$21,3,FALSE)</f>
        <v>0</v>
      </c>
      <c r="T335" s="242">
        <f>IF(N335&gt;0,N335*J335/Z335,0)*VLOOKUP(B335,'2-Kosten per locatie'!$A$14:$C$21,3,FALSE)</f>
        <v>0</v>
      </c>
      <c r="U335" s="242">
        <f>IF(O335&gt;0,O335*J335/AA335,0)*VLOOKUP(B335,'2-Kosten per locatie'!$A$14:$C$21,3,FALSE)</f>
        <v>0</v>
      </c>
      <c r="V335" s="242">
        <f>IF(P335&gt;0,P335*J335/Z335,0)*VLOOKUP(B335,'2-Kosten per locatie'!$A$14:$C$21,3,FALSE)</f>
        <v>0</v>
      </c>
      <c r="W335" s="242">
        <f>IF(Q335&gt;0,Q335*J335/AA335,0)*VLOOKUP(B335,'2-Kosten per locatie'!$A$14:$C$21,3,FALSE)</f>
        <v>0</v>
      </c>
      <c r="X335" s="315">
        <f>IF(L335="nio",0,IF(L335&gt;0,VLOOKUP(H335,'3-Productie normen'!A:K,VLOOKUP(L335,'3-Productie normen'!$B$36:$C$42,2,FALSE),FALSE)))</f>
        <v>0</v>
      </c>
      <c r="Y335" s="315">
        <f t="shared" si="49"/>
        <v>0</v>
      </c>
      <c r="Z335" s="315">
        <f t="shared" si="50"/>
        <v>0</v>
      </c>
      <c r="AA335" s="315">
        <f t="shared" si="51"/>
        <v>0</v>
      </c>
      <c r="AB335" s="316" t="s">
        <v>661</v>
      </c>
      <c r="AD335" s="317">
        <f t="shared" si="48"/>
        <v>0</v>
      </c>
    </row>
    <row r="336" spans="1:30" ht="14.1" hidden="1" customHeight="1">
      <c r="A336" s="74">
        <v>336</v>
      </c>
      <c r="B336" s="277" t="s">
        <v>457</v>
      </c>
      <c r="C336" s="277" t="s">
        <v>565</v>
      </c>
      <c r="D336" s="277" t="s">
        <v>566</v>
      </c>
      <c r="E336" s="464">
        <v>1</v>
      </c>
      <c r="F336" s="240" t="s">
        <v>633</v>
      </c>
      <c r="G336" s="86" t="s">
        <v>654</v>
      </c>
      <c r="H336" s="86" t="s">
        <v>52</v>
      </c>
      <c r="I336" s="70" t="s">
        <v>261</v>
      </c>
      <c r="J336" s="313">
        <v>1.24</v>
      </c>
      <c r="K336" s="314">
        <f t="shared" si="52"/>
        <v>205</v>
      </c>
      <c r="L336" s="466">
        <v>205</v>
      </c>
      <c r="M336" s="243"/>
      <c r="N336" s="243"/>
      <c r="O336" s="243"/>
      <c r="P336" s="243"/>
      <c r="Q336" s="243"/>
      <c r="R336" s="242" t="e">
        <f>IF(L336="nio",0,IF(L336&gt;0,L336*J336/X336,0))*VLOOKUP(B336,'2-Kosten per locatie'!$A$14:$C$21,3,FALSE)</f>
        <v>#DIV/0!</v>
      </c>
      <c r="S336" s="242">
        <f>IF(M336&gt;0,M336*J336/Y336,0)*VLOOKUP(B336,'2-Kosten per locatie'!$A$14:$C$21,3,FALSE)</f>
        <v>0</v>
      </c>
      <c r="T336" s="242">
        <f>IF(N336&gt;0,N336*J336/Z336,0)*VLOOKUP(B336,'2-Kosten per locatie'!$A$14:$C$21,3,FALSE)</f>
        <v>0</v>
      </c>
      <c r="U336" s="242">
        <f>IF(O336&gt;0,O336*J336/AA336,0)*VLOOKUP(B336,'2-Kosten per locatie'!$A$14:$C$21,3,FALSE)</f>
        <v>0</v>
      </c>
      <c r="V336" s="242">
        <f>IF(P336&gt;0,P336*J336/Z336,0)*VLOOKUP(B336,'2-Kosten per locatie'!$A$14:$C$21,3,FALSE)</f>
        <v>0</v>
      </c>
      <c r="W336" s="242">
        <f>IF(Q336&gt;0,Q336*J336/AA336,0)*VLOOKUP(B336,'2-Kosten per locatie'!$A$14:$C$21,3,FALSE)</f>
        <v>0</v>
      </c>
      <c r="X336" s="315">
        <f>IF(L336="nio",0,IF(L336&gt;0,VLOOKUP(H336,'3-Productie normen'!A:K,VLOOKUP(L336,'3-Productie normen'!$B$36:$C$42,2,FALSE),FALSE)))</f>
        <v>0</v>
      </c>
      <c r="Y336" s="315">
        <f t="shared" si="49"/>
        <v>0</v>
      </c>
      <c r="Z336" s="315">
        <f t="shared" si="50"/>
        <v>0</v>
      </c>
      <c r="AA336" s="315">
        <f t="shared" si="51"/>
        <v>0</v>
      </c>
      <c r="AB336" s="316" t="s">
        <v>661</v>
      </c>
      <c r="AD336" s="317">
        <f t="shared" si="48"/>
        <v>254.2</v>
      </c>
    </row>
    <row r="337" spans="1:30" ht="14.1" hidden="1" customHeight="1">
      <c r="A337" s="74">
        <v>337</v>
      </c>
      <c r="B337" s="277" t="s">
        <v>457</v>
      </c>
      <c r="C337" s="277" t="s">
        <v>565</v>
      </c>
      <c r="D337" s="277" t="s">
        <v>566</v>
      </c>
      <c r="E337" s="464">
        <v>1</v>
      </c>
      <c r="F337" s="240" t="s">
        <v>634</v>
      </c>
      <c r="G337" s="86" t="s">
        <v>653</v>
      </c>
      <c r="H337" s="86" t="s">
        <v>411</v>
      </c>
      <c r="I337" s="86"/>
      <c r="J337" s="313"/>
      <c r="K337" s="314">
        <f t="shared" si="52"/>
        <v>0</v>
      </c>
      <c r="L337" s="466" t="s">
        <v>412</v>
      </c>
      <c r="M337" s="243"/>
      <c r="N337" s="243"/>
      <c r="O337" s="243"/>
      <c r="P337" s="243"/>
      <c r="Q337" s="243"/>
      <c r="R337" s="242">
        <f>IF(L337="nio",0,IF(L337&gt;0,L337*J337/X337,0))*VLOOKUP(B337,'2-Kosten per locatie'!$A$14:$C$21,3,FALSE)</f>
        <v>0</v>
      </c>
      <c r="S337" s="242">
        <f>IF(M337&gt;0,M337*J337/Y337,0)*VLOOKUP(B337,'2-Kosten per locatie'!$A$14:$C$21,3,FALSE)</f>
        <v>0</v>
      </c>
      <c r="T337" s="242">
        <f>IF(N337&gt;0,N337*J337/Z337,0)*VLOOKUP(B337,'2-Kosten per locatie'!$A$14:$C$21,3,FALSE)</f>
        <v>0</v>
      </c>
      <c r="U337" s="242">
        <f>IF(O337&gt;0,O337*J337/AA337,0)*VLOOKUP(B337,'2-Kosten per locatie'!$A$14:$C$21,3,FALSE)</f>
        <v>0</v>
      </c>
      <c r="V337" s="242">
        <f>IF(P337&gt;0,P337*J337/Z337,0)*VLOOKUP(B337,'2-Kosten per locatie'!$A$14:$C$21,3,FALSE)</f>
        <v>0</v>
      </c>
      <c r="W337" s="242">
        <f>IF(Q337&gt;0,Q337*J337/AA337,0)*VLOOKUP(B337,'2-Kosten per locatie'!$A$14:$C$21,3,FALSE)</f>
        <v>0</v>
      </c>
      <c r="X337" s="315">
        <f>IF(L337="nio",0,IF(L337&gt;0,VLOOKUP(H337,'3-Productie normen'!A:K,VLOOKUP(L337,'3-Productie normen'!$B$36:$C$42,2,FALSE),FALSE)))</f>
        <v>0</v>
      </c>
      <c r="Y337" s="315">
        <f t="shared" si="49"/>
        <v>0</v>
      </c>
      <c r="Z337" s="315">
        <f t="shared" si="50"/>
        <v>0</v>
      </c>
      <c r="AA337" s="315">
        <f t="shared" si="51"/>
        <v>0</v>
      </c>
      <c r="AB337" s="316" t="s">
        <v>661</v>
      </c>
      <c r="AD337" s="317">
        <f t="shared" si="48"/>
        <v>0</v>
      </c>
    </row>
    <row r="338" spans="1:30" ht="14.1" hidden="1" customHeight="1">
      <c r="A338" s="74">
        <v>338</v>
      </c>
      <c r="B338" s="277" t="s">
        <v>457</v>
      </c>
      <c r="C338" s="277" t="s">
        <v>565</v>
      </c>
      <c r="D338" s="277" t="s">
        <v>566</v>
      </c>
      <c r="E338" s="464">
        <v>1</v>
      </c>
      <c r="F338" s="240" t="s">
        <v>635</v>
      </c>
      <c r="G338" s="86" t="s">
        <v>654</v>
      </c>
      <c r="H338" s="86" t="s">
        <v>52</v>
      </c>
      <c r="I338" s="70" t="s">
        <v>261</v>
      </c>
      <c r="J338" s="313">
        <v>1.24</v>
      </c>
      <c r="K338" s="314">
        <f t="shared" si="52"/>
        <v>205</v>
      </c>
      <c r="L338" s="466">
        <v>205</v>
      </c>
      <c r="M338" s="243"/>
      <c r="N338" s="243"/>
      <c r="O338" s="243"/>
      <c r="P338" s="243"/>
      <c r="Q338" s="243"/>
      <c r="R338" s="242" t="e">
        <f>IF(L338="nio",0,IF(L338&gt;0,L338*J338/X338,0))*VLOOKUP(B338,'2-Kosten per locatie'!$A$14:$C$21,3,FALSE)</f>
        <v>#DIV/0!</v>
      </c>
      <c r="S338" s="242">
        <f>IF(M338&gt;0,M338*J338/Y338,0)*VLOOKUP(B338,'2-Kosten per locatie'!$A$14:$C$21,3,FALSE)</f>
        <v>0</v>
      </c>
      <c r="T338" s="242">
        <f>IF(N338&gt;0,N338*J338/Z338,0)*VLOOKUP(B338,'2-Kosten per locatie'!$A$14:$C$21,3,FALSE)</f>
        <v>0</v>
      </c>
      <c r="U338" s="242">
        <f>IF(O338&gt;0,O338*J338/AA338,0)*VLOOKUP(B338,'2-Kosten per locatie'!$A$14:$C$21,3,FALSE)</f>
        <v>0</v>
      </c>
      <c r="V338" s="242">
        <f>IF(P338&gt;0,P338*J338/Z338,0)*VLOOKUP(B338,'2-Kosten per locatie'!$A$14:$C$21,3,FALSE)</f>
        <v>0</v>
      </c>
      <c r="W338" s="242">
        <f>IF(Q338&gt;0,Q338*J338/AA338,0)*VLOOKUP(B338,'2-Kosten per locatie'!$A$14:$C$21,3,FALSE)</f>
        <v>0</v>
      </c>
      <c r="X338" s="315">
        <f>IF(L338="nio",0,IF(L338&gt;0,VLOOKUP(H338,'3-Productie normen'!A:K,VLOOKUP(L338,'3-Productie normen'!$B$36:$C$42,2,FALSE),FALSE)))</f>
        <v>0</v>
      </c>
      <c r="Y338" s="315">
        <f t="shared" si="49"/>
        <v>0</v>
      </c>
      <c r="Z338" s="315">
        <f t="shared" si="50"/>
        <v>0</v>
      </c>
      <c r="AA338" s="315">
        <f t="shared" si="51"/>
        <v>0</v>
      </c>
      <c r="AB338" s="316" t="s">
        <v>661</v>
      </c>
      <c r="AD338" s="317">
        <f t="shared" si="48"/>
        <v>254.2</v>
      </c>
    </row>
    <row r="339" spans="1:30" ht="14.1" hidden="1" customHeight="1">
      <c r="A339" s="74">
        <v>339</v>
      </c>
      <c r="B339" s="277" t="s">
        <v>457</v>
      </c>
      <c r="C339" s="277" t="s">
        <v>565</v>
      </c>
      <c r="D339" s="277" t="s">
        <v>566</v>
      </c>
      <c r="E339" s="464">
        <v>1</v>
      </c>
      <c r="F339" s="240" t="s">
        <v>636</v>
      </c>
      <c r="G339" s="86" t="s">
        <v>290</v>
      </c>
      <c r="H339" s="293" t="s">
        <v>52</v>
      </c>
      <c r="I339" s="70" t="s">
        <v>261</v>
      </c>
      <c r="J339" s="313">
        <v>4.8099999999999996</v>
      </c>
      <c r="K339" s="314">
        <f t="shared" si="52"/>
        <v>205</v>
      </c>
      <c r="L339" s="466">
        <v>205</v>
      </c>
      <c r="M339" s="243"/>
      <c r="N339" s="243"/>
      <c r="O339" s="243"/>
      <c r="P339" s="243"/>
      <c r="Q339" s="243"/>
      <c r="R339" s="242" t="e">
        <f>IF(L339="nio",0,IF(L339&gt;0,L339*J339/X339,0))*VLOOKUP(B339,'2-Kosten per locatie'!$A$14:$C$21,3,FALSE)</f>
        <v>#DIV/0!</v>
      </c>
      <c r="S339" s="242">
        <f>IF(M339&gt;0,M339*J339/Y339,0)*VLOOKUP(B339,'2-Kosten per locatie'!$A$14:$C$21,3,FALSE)</f>
        <v>0</v>
      </c>
      <c r="T339" s="242">
        <f>IF(N339&gt;0,N339*J339/Z339,0)*VLOOKUP(B339,'2-Kosten per locatie'!$A$14:$C$21,3,FALSE)</f>
        <v>0</v>
      </c>
      <c r="U339" s="242">
        <f>IF(O339&gt;0,O339*J339/AA339,0)*VLOOKUP(B339,'2-Kosten per locatie'!$A$14:$C$21,3,FALSE)</f>
        <v>0</v>
      </c>
      <c r="V339" s="242">
        <f>IF(P339&gt;0,P339*J339/Z339,0)*VLOOKUP(B339,'2-Kosten per locatie'!$A$14:$C$21,3,FALSE)</f>
        <v>0</v>
      </c>
      <c r="W339" s="242">
        <f>IF(Q339&gt;0,Q339*J339/AA339,0)*VLOOKUP(B339,'2-Kosten per locatie'!$A$14:$C$21,3,FALSE)</f>
        <v>0</v>
      </c>
      <c r="X339" s="315">
        <f>IF(L339="nio",0,IF(L339&gt;0,VLOOKUP(H339,'3-Productie normen'!A:K,VLOOKUP(L339,'3-Productie normen'!$B$36:$C$42,2,FALSE),FALSE)))</f>
        <v>0</v>
      </c>
      <c r="Y339" s="315">
        <f t="shared" si="49"/>
        <v>0</v>
      </c>
      <c r="Z339" s="315">
        <f t="shared" si="50"/>
        <v>0</v>
      </c>
      <c r="AA339" s="315">
        <f t="shared" si="51"/>
        <v>0</v>
      </c>
      <c r="AB339" s="316" t="s">
        <v>661</v>
      </c>
      <c r="AD339" s="317">
        <f t="shared" si="48"/>
        <v>986.05</v>
      </c>
    </row>
    <row r="340" spans="1:30" ht="14.1" hidden="1" customHeight="1">
      <c r="A340" s="74">
        <v>340</v>
      </c>
      <c r="B340" s="277" t="s">
        <v>457</v>
      </c>
      <c r="C340" s="277" t="s">
        <v>565</v>
      </c>
      <c r="D340" s="277" t="s">
        <v>566</v>
      </c>
      <c r="E340" s="464">
        <v>1</v>
      </c>
      <c r="F340" s="240" t="s">
        <v>637</v>
      </c>
      <c r="G340" s="86" t="s">
        <v>473</v>
      </c>
      <c r="H340" s="86" t="s">
        <v>58</v>
      </c>
      <c r="I340" s="70" t="s">
        <v>255</v>
      </c>
      <c r="J340" s="313">
        <v>21.8</v>
      </c>
      <c r="K340" s="314">
        <f t="shared" si="52"/>
        <v>40</v>
      </c>
      <c r="L340" s="466">
        <v>40</v>
      </c>
      <c r="M340" s="243"/>
      <c r="N340" s="243"/>
      <c r="O340" s="243"/>
      <c r="P340" s="243"/>
      <c r="Q340" s="243"/>
      <c r="R340" s="242" t="e">
        <f>IF(L340="nio",0,IF(L340&gt;0,L340*J340/X340,0))*VLOOKUP(B340,'2-Kosten per locatie'!$A$14:$C$21,3,FALSE)</f>
        <v>#DIV/0!</v>
      </c>
      <c r="S340" s="242">
        <f>IF(M340&gt;0,M340*J340/Y340,0)*VLOOKUP(B340,'2-Kosten per locatie'!$A$14:$C$21,3,FALSE)</f>
        <v>0</v>
      </c>
      <c r="T340" s="242">
        <f>IF(N340&gt;0,N340*J340/Z340,0)*VLOOKUP(B340,'2-Kosten per locatie'!$A$14:$C$21,3,FALSE)</f>
        <v>0</v>
      </c>
      <c r="U340" s="242">
        <f>IF(O340&gt;0,O340*J340/AA340,0)*VLOOKUP(B340,'2-Kosten per locatie'!$A$14:$C$21,3,FALSE)</f>
        <v>0</v>
      </c>
      <c r="V340" s="242">
        <f>IF(P340&gt;0,P340*J340/Z340,0)*VLOOKUP(B340,'2-Kosten per locatie'!$A$14:$C$21,3,FALSE)</f>
        <v>0</v>
      </c>
      <c r="W340" s="242">
        <f>IF(Q340&gt;0,Q340*J340/AA340,0)*VLOOKUP(B340,'2-Kosten per locatie'!$A$14:$C$21,3,FALSE)</f>
        <v>0</v>
      </c>
      <c r="X340" s="315">
        <f>IF(L340="nio",0,IF(L340&gt;0,VLOOKUP(H340,'3-Productie normen'!A:K,VLOOKUP(L340,'3-Productie normen'!$B$36:$C$42,2,FALSE),FALSE)))</f>
        <v>0</v>
      </c>
      <c r="Y340" s="315">
        <f t="shared" si="49"/>
        <v>0</v>
      </c>
      <c r="Z340" s="315">
        <f t="shared" si="50"/>
        <v>0</v>
      </c>
      <c r="AA340" s="315">
        <f t="shared" si="51"/>
        <v>0</v>
      </c>
      <c r="AB340" s="316" t="s">
        <v>661</v>
      </c>
      <c r="AD340" s="317">
        <f t="shared" si="48"/>
        <v>872</v>
      </c>
    </row>
    <row r="341" spans="1:30" ht="14.1" hidden="1" customHeight="1">
      <c r="A341" s="74">
        <v>341</v>
      </c>
      <c r="B341" s="277" t="s">
        <v>457</v>
      </c>
      <c r="C341" s="277" t="s">
        <v>565</v>
      </c>
      <c r="D341" s="277" t="s">
        <v>566</v>
      </c>
      <c r="E341" s="464">
        <v>1</v>
      </c>
      <c r="F341" s="240" t="s">
        <v>638</v>
      </c>
      <c r="G341" s="86" t="s">
        <v>473</v>
      </c>
      <c r="H341" s="86" t="s">
        <v>411</v>
      </c>
      <c r="I341" s="86"/>
      <c r="J341" s="313"/>
      <c r="K341" s="314">
        <f t="shared" si="52"/>
        <v>0</v>
      </c>
      <c r="L341" s="466" t="s">
        <v>412</v>
      </c>
      <c r="M341" s="243"/>
      <c r="N341" s="243"/>
      <c r="O341" s="243"/>
      <c r="P341" s="243"/>
      <c r="Q341" s="243"/>
      <c r="R341" s="242">
        <f>IF(L341="nio",0,IF(L341&gt;0,L341*J341/X341,0))*VLOOKUP(B341,'2-Kosten per locatie'!$A$14:$C$21,3,FALSE)</f>
        <v>0</v>
      </c>
      <c r="S341" s="242">
        <f>IF(M341&gt;0,M341*J341/Y341,0)*VLOOKUP(B341,'2-Kosten per locatie'!$A$14:$C$21,3,FALSE)</f>
        <v>0</v>
      </c>
      <c r="T341" s="242">
        <f>IF(N341&gt;0,N341*J341/Z341,0)*VLOOKUP(B341,'2-Kosten per locatie'!$A$14:$C$21,3,FALSE)</f>
        <v>0</v>
      </c>
      <c r="U341" s="242">
        <f>IF(O341&gt;0,O341*J341/AA341,0)*VLOOKUP(B341,'2-Kosten per locatie'!$A$14:$C$21,3,FALSE)</f>
        <v>0</v>
      </c>
      <c r="V341" s="242">
        <f>IF(P341&gt;0,P341*J341/Z341,0)*VLOOKUP(B341,'2-Kosten per locatie'!$A$14:$C$21,3,FALSE)</f>
        <v>0</v>
      </c>
      <c r="W341" s="242">
        <f>IF(Q341&gt;0,Q341*J341/AA341,0)*VLOOKUP(B341,'2-Kosten per locatie'!$A$14:$C$21,3,FALSE)</f>
        <v>0</v>
      </c>
      <c r="X341" s="315">
        <f>IF(L341="nio",0,IF(L341&gt;0,VLOOKUP(H341,'3-Productie normen'!A:K,VLOOKUP(L341,'3-Productie normen'!$B$36:$C$42,2,FALSE),FALSE)))</f>
        <v>0</v>
      </c>
      <c r="Y341" s="315">
        <f t="shared" si="49"/>
        <v>0</v>
      </c>
      <c r="Z341" s="315">
        <f t="shared" si="50"/>
        <v>0</v>
      </c>
      <c r="AA341" s="315">
        <f t="shared" si="51"/>
        <v>0</v>
      </c>
      <c r="AB341" s="316" t="s">
        <v>661</v>
      </c>
      <c r="AD341" s="317">
        <f t="shared" si="48"/>
        <v>0</v>
      </c>
    </row>
    <row r="342" spans="1:30" ht="14.1" hidden="1" customHeight="1">
      <c r="A342" s="74">
        <v>342</v>
      </c>
      <c r="B342" s="277" t="s">
        <v>457</v>
      </c>
      <c r="C342" s="277" t="s">
        <v>565</v>
      </c>
      <c r="D342" s="277" t="s">
        <v>566</v>
      </c>
      <c r="E342" s="464">
        <v>1</v>
      </c>
      <c r="F342" s="240" t="s">
        <v>639</v>
      </c>
      <c r="G342" s="86" t="s">
        <v>655</v>
      </c>
      <c r="H342" s="86" t="s">
        <v>411</v>
      </c>
      <c r="I342" s="86"/>
      <c r="J342" s="313"/>
      <c r="K342" s="314">
        <f t="shared" si="52"/>
        <v>0</v>
      </c>
      <c r="L342" s="466" t="s">
        <v>412</v>
      </c>
      <c r="M342" s="243"/>
      <c r="N342" s="243"/>
      <c r="O342" s="243"/>
      <c r="P342" s="243"/>
      <c r="Q342" s="243"/>
      <c r="R342" s="242">
        <f>IF(L342="nio",0,IF(L342&gt;0,L342*J342/X342,0))*VLOOKUP(B342,'2-Kosten per locatie'!$A$14:$C$21,3,FALSE)</f>
        <v>0</v>
      </c>
      <c r="S342" s="242">
        <f>IF(M342&gt;0,M342*J342/Y342,0)*VLOOKUP(B342,'2-Kosten per locatie'!$A$14:$C$21,3,FALSE)</f>
        <v>0</v>
      </c>
      <c r="T342" s="242">
        <f>IF(N342&gt;0,N342*J342/Z342,0)*VLOOKUP(B342,'2-Kosten per locatie'!$A$14:$C$21,3,FALSE)</f>
        <v>0</v>
      </c>
      <c r="U342" s="242">
        <f>IF(O342&gt;0,O342*J342/AA342,0)*VLOOKUP(B342,'2-Kosten per locatie'!$A$14:$C$21,3,FALSE)</f>
        <v>0</v>
      </c>
      <c r="V342" s="242">
        <f>IF(P342&gt;0,P342*J342/Z342,0)*VLOOKUP(B342,'2-Kosten per locatie'!$A$14:$C$21,3,FALSE)</f>
        <v>0</v>
      </c>
      <c r="W342" s="242">
        <f>IF(Q342&gt;0,Q342*J342/AA342,0)*VLOOKUP(B342,'2-Kosten per locatie'!$A$14:$C$21,3,FALSE)</f>
        <v>0</v>
      </c>
      <c r="X342" s="315">
        <f>IF(L342="nio",0,IF(L342&gt;0,VLOOKUP(H342,'3-Productie normen'!A:K,VLOOKUP(L342,'3-Productie normen'!$B$36:$C$42,2,FALSE),FALSE)))</f>
        <v>0</v>
      </c>
      <c r="Y342" s="315">
        <f t="shared" si="49"/>
        <v>0</v>
      </c>
      <c r="Z342" s="315">
        <f t="shared" si="50"/>
        <v>0</v>
      </c>
      <c r="AA342" s="315">
        <f t="shared" si="51"/>
        <v>0</v>
      </c>
      <c r="AB342" s="316" t="s">
        <v>661</v>
      </c>
      <c r="AD342" s="317">
        <f t="shared" si="48"/>
        <v>0</v>
      </c>
    </row>
    <row r="343" spans="1:30" ht="14.1" hidden="1" customHeight="1">
      <c r="A343" s="74">
        <v>343</v>
      </c>
      <c r="B343" s="277" t="s">
        <v>457</v>
      </c>
      <c r="C343" s="277" t="s">
        <v>565</v>
      </c>
      <c r="D343" s="277" t="s">
        <v>566</v>
      </c>
      <c r="E343" s="464">
        <v>1</v>
      </c>
      <c r="F343" s="240" t="s">
        <v>640</v>
      </c>
      <c r="G343" s="86" t="s">
        <v>649</v>
      </c>
      <c r="H343" s="86" t="s">
        <v>320</v>
      </c>
      <c r="I343" s="70" t="s">
        <v>255</v>
      </c>
      <c r="J343" s="313">
        <v>21.7</v>
      </c>
      <c r="K343" s="314">
        <f t="shared" si="52"/>
        <v>205</v>
      </c>
      <c r="L343" s="466">
        <v>205</v>
      </c>
      <c r="M343" s="243"/>
      <c r="N343" s="243"/>
      <c r="O343" s="243"/>
      <c r="P343" s="243"/>
      <c r="Q343" s="243"/>
      <c r="R343" s="242" t="e">
        <f>IF(L343="nio",0,IF(L343&gt;0,L343*J343/X343,0))*VLOOKUP(B343,'2-Kosten per locatie'!$A$14:$C$21,3,FALSE)</f>
        <v>#DIV/0!</v>
      </c>
      <c r="S343" s="242">
        <f>IF(M343&gt;0,M343*J343/Y343,0)*VLOOKUP(B343,'2-Kosten per locatie'!$A$14:$C$21,3,FALSE)</f>
        <v>0</v>
      </c>
      <c r="T343" s="242">
        <f>IF(N343&gt;0,N343*J343/Z343,0)*VLOOKUP(B343,'2-Kosten per locatie'!$A$14:$C$21,3,FALSE)</f>
        <v>0</v>
      </c>
      <c r="U343" s="242">
        <f>IF(O343&gt;0,O343*J343/AA343,0)*VLOOKUP(B343,'2-Kosten per locatie'!$A$14:$C$21,3,FALSE)</f>
        <v>0</v>
      </c>
      <c r="V343" s="242">
        <f>IF(P343&gt;0,P343*J343/Z343,0)*VLOOKUP(B343,'2-Kosten per locatie'!$A$14:$C$21,3,FALSE)</f>
        <v>0</v>
      </c>
      <c r="W343" s="242">
        <f>IF(Q343&gt;0,Q343*J343/AA343,0)*VLOOKUP(B343,'2-Kosten per locatie'!$A$14:$C$21,3,FALSE)</f>
        <v>0</v>
      </c>
      <c r="X343" s="315">
        <f>IF(L343="nio",0,IF(L343&gt;0,VLOOKUP(H343,'3-Productie normen'!A:K,VLOOKUP(L343,'3-Productie normen'!$B$36:$C$42,2,FALSE),FALSE)))</f>
        <v>0</v>
      </c>
      <c r="Y343" s="315">
        <f t="shared" si="49"/>
        <v>0</v>
      </c>
      <c r="Z343" s="315">
        <f t="shared" si="50"/>
        <v>0</v>
      </c>
      <c r="AA343" s="315">
        <f t="shared" si="51"/>
        <v>0</v>
      </c>
      <c r="AB343" s="316" t="s">
        <v>661</v>
      </c>
      <c r="AD343" s="317">
        <f t="shared" si="48"/>
        <v>4448.5</v>
      </c>
    </row>
    <row r="344" spans="1:30" ht="14.1" hidden="1" customHeight="1">
      <c r="A344" s="74">
        <v>344</v>
      </c>
      <c r="B344" s="277" t="s">
        <v>457</v>
      </c>
      <c r="C344" s="277" t="s">
        <v>565</v>
      </c>
      <c r="D344" s="277" t="s">
        <v>566</v>
      </c>
      <c r="E344" s="464">
        <v>1</v>
      </c>
      <c r="F344" s="240" t="s">
        <v>641</v>
      </c>
      <c r="G344" s="86" t="s">
        <v>656</v>
      </c>
      <c r="H344" s="293" t="s">
        <v>411</v>
      </c>
      <c r="I344" s="86"/>
      <c r="J344" s="313"/>
      <c r="K344" s="314">
        <f t="shared" si="52"/>
        <v>0</v>
      </c>
      <c r="L344" s="466" t="s">
        <v>412</v>
      </c>
      <c r="M344" s="243"/>
      <c r="N344" s="243"/>
      <c r="O344" s="243"/>
      <c r="P344" s="243"/>
      <c r="Q344" s="243"/>
      <c r="R344" s="242">
        <f>IF(L344="nio",0,IF(L344&gt;0,L344*J344/X344,0))*VLOOKUP(B344,'2-Kosten per locatie'!$A$14:$C$21,3,FALSE)</f>
        <v>0</v>
      </c>
      <c r="S344" s="242">
        <f>IF(M344&gt;0,M344*J344/Y344,0)*VLOOKUP(B344,'2-Kosten per locatie'!$A$14:$C$21,3,FALSE)</f>
        <v>0</v>
      </c>
      <c r="T344" s="242">
        <f>IF(N344&gt;0,N344*J344/Z344,0)*VLOOKUP(B344,'2-Kosten per locatie'!$A$14:$C$21,3,FALSE)</f>
        <v>0</v>
      </c>
      <c r="U344" s="242">
        <f>IF(O344&gt;0,O344*J344/AA344,0)*VLOOKUP(B344,'2-Kosten per locatie'!$A$14:$C$21,3,FALSE)</f>
        <v>0</v>
      </c>
      <c r="V344" s="242">
        <f>IF(P344&gt;0,P344*J344/Z344,0)*VLOOKUP(B344,'2-Kosten per locatie'!$A$14:$C$21,3,FALSE)</f>
        <v>0</v>
      </c>
      <c r="W344" s="242">
        <f>IF(Q344&gt;0,Q344*J344/AA344,0)*VLOOKUP(B344,'2-Kosten per locatie'!$A$14:$C$21,3,FALSE)</f>
        <v>0</v>
      </c>
      <c r="X344" s="315">
        <f>IF(L344="nio",0,IF(L344&gt;0,VLOOKUP(H344,'3-Productie normen'!A:K,VLOOKUP(L344,'3-Productie normen'!$B$36:$C$42,2,FALSE),FALSE)))</f>
        <v>0</v>
      </c>
      <c r="Y344" s="315">
        <f t="shared" si="49"/>
        <v>0</v>
      </c>
      <c r="Z344" s="315">
        <f t="shared" si="50"/>
        <v>0</v>
      </c>
      <c r="AA344" s="315">
        <f t="shared" si="51"/>
        <v>0</v>
      </c>
      <c r="AB344" s="316"/>
      <c r="AD344" s="317">
        <f t="shared" si="48"/>
        <v>0</v>
      </c>
    </row>
    <row r="345" spans="1:30" ht="13.2" hidden="1">
      <c r="A345" s="74">
        <v>345</v>
      </c>
      <c r="B345" s="277" t="s">
        <v>457</v>
      </c>
      <c r="C345" s="277" t="s">
        <v>565</v>
      </c>
      <c r="D345" s="277" t="s">
        <v>566</v>
      </c>
      <c r="E345" s="464">
        <v>1</v>
      </c>
      <c r="F345" s="240" t="s">
        <v>642</v>
      </c>
      <c r="G345" s="86" t="s">
        <v>61</v>
      </c>
      <c r="H345" s="86" t="s">
        <v>411</v>
      </c>
      <c r="I345" s="86"/>
      <c r="J345" s="313"/>
      <c r="K345" s="314">
        <f t="shared" si="52"/>
        <v>0</v>
      </c>
      <c r="L345" s="466" t="s">
        <v>412</v>
      </c>
      <c r="M345" s="243"/>
      <c r="N345" s="243"/>
      <c r="O345" s="243"/>
      <c r="P345" s="243"/>
      <c r="Q345" s="243"/>
      <c r="R345" s="242">
        <f>IF(L345="nio",0,IF(L345&gt;0,L345*J345/X345,0))*VLOOKUP(B345,'2-Kosten per locatie'!$A$14:$C$21,3,FALSE)</f>
        <v>0</v>
      </c>
      <c r="S345" s="242">
        <f>IF(M345&gt;0,M345*J345/Y345,0)*VLOOKUP(B345,'2-Kosten per locatie'!$A$14:$C$21,3,FALSE)</f>
        <v>0</v>
      </c>
      <c r="T345" s="242">
        <f>IF(N345&gt;0,N345*J345/Z345,0)*VLOOKUP(B345,'2-Kosten per locatie'!$A$14:$C$21,3,FALSE)</f>
        <v>0</v>
      </c>
      <c r="U345" s="242">
        <f>IF(O345&gt;0,O345*J345/AA345,0)*VLOOKUP(B345,'2-Kosten per locatie'!$A$14:$C$21,3,FALSE)</f>
        <v>0</v>
      </c>
      <c r="V345" s="242">
        <f>IF(P345&gt;0,P345*J345/Z345,0)*VLOOKUP(B345,'2-Kosten per locatie'!$A$14:$C$21,3,FALSE)</f>
        <v>0</v>
      </c>
      <c r="W345" s="242">
        <f>IF(Q345&gt;0,Q345*J345/AA345,0)*VLOOKUP(B345,'2-Kosten per locatie'!$A$14:$C$21,3,FALSE)</f>
        <v>0</v>
      </c>
      <c r="X345" s="315">
        <f>IF(L345="nio",0,IF(L345&gt;0,VLOOKUP(H345,'3-Productie normen'!A:K,VLOOKUP(L345,'3-Productie normen'!$B$36:$C$42,2,FALSE),FALSE)))</f>
        <v>0</v>
      </c>
      <c r="Y345" s="315">
        <f t="shared" ref="Y345:Y376" si="53">IF(M345&gt;0,X345*$Y$8,0)</f>
        <v>0</v>
      </c>
      <c r="Z345" s="315">
        <f t="shared" si="50"/>
        <v>0</v>
      </c>
      <c r="AA345" s="315">
        <f t="shared" si="51"/>
        <v>0</v>
      </c>
      <c r="AB345" s="316"/>
      <c r="AD345" s="317">
        <f t="shared" si="48"/>
        <v>0</v>
      </c>
    </row>
    <row r="346" spans="1:30" ht="14.1" customHeight="1">
      <c r="B346" s="91"/>
      <c r="C346" s="91"/>
      <c r="D346" s="91"/>
      <c r="E346" s="92"/>
      <c r="F346" s="241"/>
      <c r="G346" s="93"/>
      <c r="H346" s="93"/>
      <c r="J346" s="94"/>
      <c r="K346" s="95"/>
      <c r="L346" s="96"/>
      <c r="M346" s="96"/>
      <c r="N346" s="96"/>
      <c r="O346" s="96"/>
      <c r="P346" s="96"/>
      <c r="Q346" s="96"/>
      <c r="R346" s="97"/>
      <c r="S346" s="97"/>
      <c r="T346" s="89"/>
      <c r="U346" s="89"/>
      <c r="V346" s="89"/>
      <c r="W346" s="89"/>
      <c r="X346" s="89"/>
      <c r="Y346" s="89"/>
      <c r="Z346" s="89"/>
      <c r="AA346" s="89"/>
      <c r="AB346" s="90"/>
    </row>
    <row r="347" spans="1:30" ht="14.1" customHeight="1">
      <c r="B347" s="91"/>
      <c r="C347" s="91"/>
      <c r="D347" s="91"/>
      <c r="E347" s="92"/>
      <c r="F347" s="241"/>
      <c r="G347" s="93"/>
      <c r="H347" s="93"/>
      <c r="J347" s="94"/>
      <c r="K347" s="95"/>
      <c r="L347" s="96"/>
      <c r="M347" s="96"/>
      <c r="N347" s="96"/>
      <c r="O347" s="96"/>
      <c r="P347" s="96"/>
      <c r="Q347" s="96"/>
      <c r="R347" s="97"/>
      <c r="S347" s="97"/>
      <c r="T347" s="89"/>
      <c r="U347" s="89"/>
      <c r="V347" s="89"/>
      <c r="W347" s="89"/>
      <c r="X347" s="89"/>
      <c r="Y347" s="89"/>
      <c r="Z347" s="89"/>
      <c r="AA347" s="89"/>
      <c r="AB347" s="90"/>
    </row>
    <row r="348" spans="1:30" ht="14.1" customHeight="1">
      <c r="B348" s="91"/>
      <c r="C348" s="91"/>
      <c r="D348" s="91"/>
      <c r="E348" s="92"/>
      <c r="F348" s="241"/>
      <c r="G348" s="93"/>
      <c r="H348" s="93"/>
      <c r="J348" s="94"/>
      <c r="K348" s="95"/>
      <c r="L348" s="96"/>
      <c r="M348" s="96"/>
      <c r="N348" s="96"/>
      <c r="O348" s="96"/>
      <c r="P348" s="96"/>
      <c r="Q348" s="96"/>
      <c r="R348" s="97"/>
      <c r="S348" s="97"/>
      <c r="T348" s="89"/>
      <c r="U348" s="89"/>
      <c r="V348" s="89"/>
      <c r="W348" s="89"/>
      <c r="X348" s="89"/>
      <c r="Y348" s="89"/>
      <c r="Z348" s="89"/>
      <c r="AA348" s="89"/>
      <c r="AB348" s="90"/>
    </row>
    <row r="349" spans="1:30" ht="14.1" customHeight="1">
      <c r="B349" s="91"/>
      <c r="C349" s="91"/>
      <c r="D349" s="91"/>
      <c r="E349" s="92"/>
      <c r="F349" s="241"/>
      <c r="G349" s="93"/>
      <c r="H349" s="93"/>
      <c r="J349" s="94"/>
      <c r="K349" s="95"/>
      <c r="L349" s="96"/>
      <c r="M349" s="96"/>
      <c r="N349" s="96"/>
      <c r="O349" s="96"/>
      <c r="P349" s="96"/>
      <c r="Q349" s="96"/>
      <c r="R349" s="97"/>
      <c r="S349" s="97"/>
      <c r="T349" s="89"/>
      <c r="U349" s="89"/>
      <c r="V349" s="89"/>
      <c r="W349" s="89"/>
      <c r="X349" s="89"/>
      <c r="Y349" s="89"/>
      <c r="Z349" s="89"/>
      <c r="AA349" s="89"/>
      <c r="AB349" s="90"/>
    </row>
    <row r="350" spans="1:30" ht="14.1" customHeight="1">
      <c r="B350" s="91"/>
      <c r="C350" s="91"/>
      <c r="D350" s="91"/>
      <c r="E350" s="92"/>
      <c r="F350" s="241"/>
      <c r="G350" s="93"/>
      <c r="H350" s="93"/>
      <c r="J350" s="94"/>
      <c r="K350" s="95"/>
      <c r="L350" s="96"/>
      <c r="M350" s="96"/>
      <c r="N350" s="96"/>
      <c r="O350" s="96"/>
      <c r="P350" s="96"/>
      <c r="Q350" s="96"/>
      <c r="R350" s="97"/>
      <c r="S350" s="97"/>
      <c r="T350" s="89"/>
      <c r="U350" s="89"/>
      <c r="V350" s="89"/>
      <c r="W350" s="89"/>
      <c r="X350" s="89"/>
      <c r="Y350" s="89"/>
      <c r="Z350" s="89"/>
      <c r="AA350" s="89"/>
      <c r="AB350" s="90"/>
    </row>
    <row r="351" spans="1:30" ht="14.1" customHeight="1">
      <c r="B351" s="91"/>
      <c r="C351" s="91"/>
      <c r="D351" s="91"/>
      <c r="E351" s="92"/>
      <c r="F351" s="241"/>
      <c r="G351" s="93"/>
      <c r="H351" s="93"/>
      <c r="J351" s="94"/>
      <c r="K351" s="95"/>
      <c r="L351" s="96"/>
      <c r="M351" s="96"/>
      <c r="N351" s="96"/>
      <c r="O351" s="96"/>
      <c r="P351" s="96"/>
      <c r="Q351" s="96"/>
      <c r="R351" s="97"/>
      <c r="S351" s="97"/>
      <c r="T351" s="89"/>
      <c r="U351" s="89"/>
      <c r="V351" s="89"/>
      <c r="W351" s="89"/>
      <c r="X351" s="89"/>
      <c r="Y351" s="89"/>
      <c r="Z351" s="89"/>
      <c r="AA351" s="89"/>
      <c r="AB351" s="90"/>
    </row>
    <row r="352" spans="1:30" ht="14.1" customHeight="1">
      <c r="B352" s="91"/>
      <c r="C352" s="91"/>
      <c r="D352" s="91"/>
      <c r="E352" s="92"/>
      <c r="F352" s="241"/>
      <c r="G352" s="93"/>
      <c r="H352" s="93"/>
      <c r="J352" s="94"/>
      <c r="K352" s="95"/>
      <c r="L352" s="96"/>
      <c r="M352" s="96"/>
      <c r="N352" s="96"/>
      <c r="O352" s="96"/>
      <c r="P352" s="96"/>
      <c r="Q352" s="96"/>
      <c r="R352" s="97"/>
      <c r="S352" s="97"/>
      <c r="T352" s="89"/>
      <c r="U352" s="89"/>
      <c r="V352" s="89"/>
      <c r="W352" s="89"/>
      <c r="X352" s="89"/>
      <c r="Y352" s="89"/>
      <c r="Z352" s="89"/>
      <c r="AA352" s="89"/>
      <c r="AB352" s="90"/>
    </row>
    <row r="353" spans="2:28" ht="14.1" customHeight="1">
      <c r="B353" s="91"/>
      <c r="C353" s="91"/>
      <c r="D353" s="91"/>
      <c r="E353" s="92"/>
      <c r="F353" s="241"/>
      <c r="G353" s="93"/>
      <c r="H353" s="93"/>
      <c r="J353" s="94"/>
      <c r="K353" s="95"/>
      <c r="L353" s="96"/>
      <c r="M353" s="96"/>
      <c r="N353" s="96"/>
      <c r="O353" s="96"/>
      <c r="P353" s="96"/>
      <c r="Q353" s="96"/>
      <c r="R353" s="97"/>
      <c r="S353" s="97"/>
      <c r="T353" s="89"/>
      <c r="U353" s="89"/>
      <c r="V353" s="89"/>
      <c r="W353" s="89"/>
      <c r="X353" s="89"/>
      <c r="Y353" s="89"/>
      <c r="Z353" s="89"/>
      <c r="AA353" s="89"/>
      <c r="AB353" s="90"/>
    </row>
    <row r="354" spans="2:28" ht="14.1" customHeight="1">
      <c r="B354" s="91"/>
      <c r="C354" s="91"/>
      <c r="D354" s="91"/>
      <c r="E354" s="92"/>
      <c r="F354" s="241"/>
      <c r="G354" s="93"/>
      <c r="H354" s="93"/>
      <c r="J354" s="94"/>
      <c r="K354" s="95"/>
      <c r="L354" s="96"/>
      <c r="M354" s="96"/>
      <c r="N354" s="96"/>
      <c r="O354" s="96"/>
      <c r="P354" s="96"/>
      <c r="Q354" s="96"/>
      <c r="R354" s="97"/>
      <c r="S354" s="97"/>
      <c r="T354" s="89"/>
      <c r="U354" s="89"/>
      <c r="V354" s="89"/>
      <c r="W354" s="89"/>
      <c r="X354" s="89"/>
      <c r="Y354" s="89"/>
      <c r="Z354" s="89"/>
      <c r="AA354" s="89"/>
      <c r="AB354" s="90"/>
    </row>
  </sheetData>
  <autoFilter ref="B9:AD345" xr:uid="{00000000-0009-0000-0000-000004000000}">
    <filterColumn colId="26">
      <filters>
        <filter val="Zwembad"/>
      </filters>
    </filterColumn>
  </autoFilter>
  <mergeCells count="1">
    <mergeCell ref="Y6:AA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5" manualBreakCount="5">
    <brk id="68" min="1" max="21" man="1"/>
    <brk id="118" min="1" max="21" man="1"/>
    <brk id="179" min="1" max="21" man="1"/>
    <brk id="251" min="1" max="21" man="1"/>
    <brk id="300"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24" activePane="bottomLeft" state="frozen"/>
      <selection activeCell="B1" sqref="B1"/>
      <selection pane="bottomLeft" activeCell="B43" sqref="B43:B45"/>
    </sheetView>
  </sheetViews>
  <sheetFormatPr defaultColWidth="9.33203125" defaultRowHeight="13.2"/>
  <cols>
    <col min="1" max="1" width="45.5546875" style="58" customWidth="1"/>
    <col min="2" max="2" width="18.33203125" style="58" customWidth="1"/>
    <col min="3" max="3" width="18.44140625" style="58"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51" t="s">
        <v>4</v>
      </c>
      <c r="B1" s="99"/>
      <c r="C1" s="100"/>
      <c r="D1" s="1"/>
      <c r="E1" s="1"/>
      <c r="F1" s="1"/>
      <c r="G1" s="1"/>
    </row>
    <row r="2" spans="1:8">
      <c r="A2" s="100"/>
      <c r="B2" s="100"/>
      <c r="C2" s="100"/>
      <c r="D2" s="1"/>
      <c r="E2" s="1"/>
      <c r="F2" s="1"/>
      <c r="G2" s="1"/>
    </row>
    <row r="3" spans="1:8" ht="15.6">
      <c r="A3" s="38" t="str">
        <f>'2-Kosten per locatie'!A3</f>
        <v>Naam opdrachtgever</v>
      </c>
      <c r="B3" s="47" t="str">
        <f>'2-Kosten per locatie'!B3</f>
        <v>Gemeente Voorne aan Zee</v>
      </c>
      <c r="C3" s="100"/>
      <c r="D3" s="1"/>
      <c r="E3" s="31"/>
      <c r="F3" s="1"/>
      <c r="G3" s="1"/>
    </row>
    <row r="4" spans="1:8" ht="15.6">
      <c r="A4" s="38" t="str">
        <f>'2-Kosten per locatie'!A4</f>
        <v>Calculatie onderdeel</v>
      </c>
      <c r="B4" s="47" t="str">
        <f ca="1">MID(CELL("bestandsnaam",$C$9),SEARCH("]",CELL("bestandsnaam",$C$9),1)+1,256)</f>
        <v>5-Premies en opslagen</v>
      </c>
      <c r="C4" s="101"/>
      <c r="D4" s="15"/>
      <c r="E4" s="4"/>
      <c r="F4" s="4"/>
      <c r="G4" s="4"/>
    </row>
    <row r="5" spans="1:8" ht="15.6">
      <c r="A5" s="38" t="str">
        <f>'2-Kosten per locatie'!A5</f>
        <v>Gebouw/plaats</v>
      </c>
      <c r="B5" s="47" t="str">
        <f>'2-Kosten per locatie'!B5</f>
        <v>Perceel 1</v>
      </c>
      <c r="C5" s="38"/>
      <c r="D5" s="8"/>
      <c r="E5" s="16"/>
      <c r="F5" s="5"/>
      <c r="G5" s="4"/>
    </row>
    <row r="6" spans="1:8" ht="15.6">
      <c r="A6" s="38" t="str">
        <f>'2-Kosten per locatie'!A6</f>
        <v>Referentie nummer</v>
      </c>
      <c r="B6" s="47" t="str">
        <f>'2-Kosten per locatie'!B6</f>
        <v>TN521819</v>
      </c>
      <c r="C6" s="76"/>
      <c r="D6" s="8"/>
      <c r="E6" s="33"/>
      <c r="F6" s="32"/>
      <c r="G6" s="34"/>
      <c r="H6" s="35"/>
    </row>
    <row r="7" spans="1:8" ht="15.6">
      <c r="A7" s="38" t="str">
        <f>'2-Kosten per locatie'!A7</f>
        <v>Naam dienstverlener</v>
      </c>
      <c r="B7" s="47">
        <f>'2-Kosten per locatie'!B7</f>
        <v>0</v>
      </c>
      <c r="C7" s="76"/>
      <c r="D7" s="8"/>
      <c r="E7" s="16"/>
      <c r="F7" s="5"/>
      <c r="G7" s="4"/>
    </row>
    <row r="8" spans="1:8" ht="15.6">
      <c r="A8" s="38" t="str">
        <f>'2-Kosten per locatie'!A8</f>
        <v>Prijspeil</v>
      </c>
      <c r="B8" s="244">
        <f>'2-Kosten per locatie'!B8</f>
        <v>46023</v>
      </c>
      <c r="C8" s="102"/>
      <c r="D8" s="16"/>
      <c r="E8" s="16"/>
      <c r="F8" s="5"/>
      <c r="G8" s="4"/>
    </row>
    <row r="9" spans="1:8" ht="18.600000000000001">
      <c r="A9" s="197"/>
      <c r="B9" s="102"/>
      <c r="C9" s="102"/>
      <c r="D9" s="16"/>
      <c r="E9" s="16"/>
      <c r="F9" s="5"/>
      <c r="G9" s="4"/>
    </row>
    <row r="10" spans="1:8" ht="21">
      <c r="A10" s="322" t="s">
        <v>97</v>
      </c>
      <c r="B10" s="323"/>
      <c r="C10" s="324"/>
      <c r="D10" s="16"/>
      <c r="E10" s="16"/>
      <c r="F10" s="5"/>
      <c r="G10" s="4"/>
    </row>
    <row r="11" spans="1:8">
      <c r="A11" s="103"/>
      <c r="B11" s="104"/>
      <c r="C11" s="104"/>
      <c r="D11" s="16"/>
      <c r="E11" s="16"/>
      <c r="F11" s="4"/>
      <c r="G11" s="4"/>
    </row>
    <row r="12" spans="1:8">
      <c r="A12" s="325"/>
      <c r="B12" s="318"/>
      <c r="C12" s="326" t="s">
        <v>98</v>
      </c>
      <c r="D12" s="16"/>
      <c r="E12" s="16"/>
      <c r="F12" s="5"/>
      <c r="G12" s="4"/>
    </row>
    <row r="13" spans="1:8">
      <c r="A13" s="105" t="s">
        <v>99</v>
      </c>
      <c r="B13" s="318"/>
      <c r="C13" s="245"/>
      <c r="D13" s="16"/>
      <c r="E13" s="16"/>
      <c r="F13" s="17"/>
      <c r="G13" s="4"/>
    </row>
    <row r="14" spans="1:8">
      <c r="A14" s="105" t="s">
        <v>100</v>
      </c>
      <c r="B14" s="318"/>
      <c r="C14" s="245"/>
      <c r="D14" s="16"/>
      <c r="E14" s="16"/>
      <c r="F14" s="17"/>
      <c r="G14" s="4"/>
    </row>
    <row r="15" spans="1:8">
      <c r="A15" s="105" t="s">
        <v>101</v>
      </c>
      <c r="B15" s="318"/>
      <c r="C15" s="245"/>
      <c r="D15" s="16"/>
      <c r="E15" s="16"/>
      <c r="F15" s="17"/>
      <c r="G15" s="4"/>
    </row>
    <row r="16" spans="1:8">
      <c r="A16" s="327" t="s">
        <v>31</v>
      </c>
      <c r="B16" s="328"/>
      <c r="C16" s="329">
        <f>SUM(C13:C15)</f>
        <v>0</v>
      </c>
      <c r="D16" s="16"/>
      <c r="E16" s="16"/>
      <c r="F16" s="4"/>
    </row>
    <row r="17" spans="1:7">
      <c r="A17" s="327"/>
      <c r="B17" s="328"/>
      <c r="C17" s="329"/>
      <c r="D17" s="16"/>
      <c r="E17" s="16"/>
      <c r="F17" s="4"/>
    </row>
    <row r="18" spans="1:7">
      <c r="A18" s="485" t="s">
        <v>102</v>
      </c>
      <c r="B18" s="486"/>
      <c r="C18" s="245"/>
      <c r="D18" s="16"/>
      <c r="E18" s="16"/>
      <c r="F18" s="4"/>
    </row>
    <row r="19" spans="1:7">
      <c r="A19" s="105" t="s">
        <v>103</v>
      </c>
      <c r="B19" s="106"/>
      <c r="C19" s="245"/>
      <c r="D19" s="16"/>
      <c r="E19" s="16"/>
      <c r="F19" s="4"/>
    </row>
    <row r="20" spans="1:7">
      <c r="A20" s="485" t="s">
        <v>104</v>
      </c>
      <c r="B20" s="486"/>
      <c r="C20" s="245"/>
      <c r="D20" s="16"/>
      <c r="E20" s="16"/>
      <c r="F20" s="4"/>
    </row>
    <row r="21" spans="1:7">
      <c r="A21" s="485" t="s">
        <v>105</v>
      </c>
      <c r="B21" s="486"/>
      <c r="C21" s="330" t="e">
        <f>C34</f>
        <v>#DIV/0!</v>
      </c>
      <c r="D21" s="16"/>
      <c r="E21" s="16"/>
      <c r="F21" s="4"/>
    </row>
    <row r="22" spans="1:7">
      <c r="A22" s="485" t="s">
        <v>106</v>
      </c>
      <c r="B22" s="486"/>
      <c r="C22" s="245"/>
      <c r="D22" s="16"/>
      <c r="E22" s="16"/>
      <c r="F22" s="4"/>
    </row>
    <row r="23" spans="1:7">
      <c r="A23" s="485" t="s">
        <v>107</v>
      </c>
      <c r="B23" s="486"/>
      <c r="C23" s="245"/>
      <c r="D23" s="16"/>
      <c r="E23" s="16"/>
      <c r="F23" s="4"/>
    </row>
    <row r="24" spans="1:7">
      <c r="A24" s="487" t="s">
        <v>108</v>
      </c>
      <c r="B24" s="488"/>
      <c r="C24" s="331" t="e">
        <f>SUM(C16:C23)</f>
        <v>#DIV/0!</v>
      </c>
      <c r="D24" s="16"/>
      <c r="E24" s="16"/>
      <c r="F24" s="4"/>
    </row>
    <row r="25" spans="1:7">
      <c r="A25" s="107"/>
      <c r="B25" s="108"/>
      <c r="C25" s="109"/>
      <c r="D25" s="16"/>
      <c r="E25" s="16"/>
      <c r="F25" s="7"/>
      <c r="G25" s="4"/>
    </row>
    <row r="26" spans="1:7" ht="21">
      <c r="A26" s="322" t="s">
        <v>109</v>
      </c>
      <c r="B26" s="323"/>
      <c r="C26" s="324"/>
      <c r="D26" s="16"/>
      <c r="E26" s="16"/>
      <c r="F26" s="5"/>
      <c r="G26" s="4"/>
    </row>
    <row r="27" spans="1:7">
      <c r="A27" s="103"/>
      <c r="B27" s="104"/>
      <c r="C27" s="104"/>
      <c r="D27" s="16"/>
      <c r="E27" s="16"/>
      <c r="F27" s="4"/>
      <c r="G27" s="4"/>
    </row>
    <row r="28" spans="1:7">
      <c r="A28" s="104"/>
      <c r="B28" s="104"/>
      <c r="C28" s="332" t="s">
        <v>110</v>
      </c>
      <c r="D28" s="16"/>
      <c r="E28" s="16"/>
      <c r="F28" s="4"/>
      <c r="G28" s="4"/>
    </row>
    <row r="29" spans="1:7">
      <c r="A29" s="105" t="s">
        <v>111</v>
      </c>
      <c r="B29" s="318"/>
      <c r="C29" s="333">
        <f>'6-Opbouw uurtarief productie'!E21</f>
        <v>0</v>
      </c>
      <c r="D29" s="16"/>
      <c r="E29" s="16"/>
      <c r="G29" s="4"/>
    </row>
    <row r="30" spans="1:7">
      <c r="A30" s="105" t="s">
        <v>112</v>
      </c>
      <c r="B30" s="110" t="s">
        <v>113</v>
      </c>
      <c r="C30" s="334"/>
      <c r="D30" s="16"/>
      <c r="E30" s="16"/>
      <c r="F30" s="5"/>
      <c r="G30" s="4"/>
    </row>
    <row r="31" spans="1:7">
      <c r="A31" s="105" t="s">
        <v>114</v>
      </c>
      <c r="B31" s="318"/>
      <c r="C31" s="246">
        <f>C29+C30</f>
        <v>0</v>
      </c>
      <c r="D31" s="16"/>
      <c r="E31" s="16"/>
      <c r="F31" s="5"/>
      <c r="G31" s="4"/>
    </row>
    <row r="32" spans="1:7">
      <c r="A32" s="335" t="s">
        <v>115</v>
      </c>
      <c r="B32" s="111"/>
      <c r="C32" s="336"/>
      <c r="E32" s="18"/>
      <c r="F32" s="5"/>
      <c r="G32" s="4"/>
    </row>
    <row r="33" spans="1:7">
      <c r="A33" s="103"/>
      <c r="B33" s="337"/>
      <c r="C33" s="247"/>
      <c r="E33" s="3"/>
      <c r="F33" s="4"/>
      <c r="G33" s="4"/>
    </row>
    <row r="34" spans="1:7">
      <c r="A34" s="338" t="s">
        <v>116</v>
      </c>
      <c r="B34" s="339"/>
      <c r="C34" s="340" t="e">
        <f>(C31/C29)*C32</f>
        <v>#DIV/0!</v>
      </c>
      <c r="E34" s="19"/>
      <c r="F34" s="5"/>
      <c r="G34" s="20"/>
    </row>
    <row r="35" spans="1:7">
      <c r="A35" s="103"/>
      <c r="B35" s="104"/>
      <c r="C35" s="104"/>
      <c r="E35" s="19"/>
      <c r="F35" s="5"/>
      <c r="G35" s="4"/>
    </row>
    <row r="36" spans="1:7" ht="21">
      <c r="A36" s="341" t="s">
        <v>117</v>
      </c>
      <c r="B36" s="342"/>
      <c r="C36" s="343"/>
      <c r="E36" s="19"/>
      <c r="F36" s="5"/>
      <c r="G36" s="4"/>
    </row>
    <row r="37" spans="1:7">
      <c r="A37" s="107"/>
      <c r="B37" s="108"/>
      <c r="C37" s="109"/>
      <c r="E37" s="19"/>
      <c r="F37" s="5"/>
      <c r="G37" s="4"/>
    </row>
    <row r="38" spans="1:7" ht="16.2">
      <c r="A38" s="107"/>
      <c r="B38" s="344" t="s">
        <v>118</v>
      </c>
      <c r="C38" s="109"/>
      <c r="E38" s="19"/>
      <c r="F38" s="5"/>
      <c r="G38" s="4"/>
    </row>
    <row r="39" spans="1:7">
      <c r="A39" s="345" t="s">
        <v>119</v>
      </c>
      <c r="B39" s="346">
        <v>365</v>
      </c>
      <c r="C39" s="109"/>
      <c r="E39" s="19"/>
      <c r="F39" s="5"/>
      <c r="G39" s="9"/>
    </row>
    <row r="40" spans="1:7">
      <c r="A40" s="345" t="s">
        <v>120</v>
      </c>
      <c r="B40" s="346">
        <v>104</v>
      </c>
      <c r="C40" s="109"/>
      <c r="E40" s="19"/>
      <c r="F40" s="5"/>
      <c r="G40" s="9"/>
    </row>
    <row r="41" spans="1:7">
      <c r="A41" s="347" t="s">
        <v>121</v>
      </c>
      <c r="B41" s="348">
        <f>B39-B40</f>
        <v>261</v>
      </c>
      <c r="C41" s="109"/>
      <c r="E41" s="19"/>
      <c r="F41" s="5"/>
      <c r="G41" s="6"/>
    </row>
    <row r="42" spans="1:7">
      <c r="A42" s="349"/>
      <c r="B42" s="350"/>
      <c r="C42" s="109"/>
      <c r="E42" s="19"/>
      <c r="F42" s="5"/>
      <c r="G42" s="6"/>
    </row>
    <row r="43" spans="1:7">
      <c r="A43" s="345" t="s">
        <v>122</v>
      </c>
      <c r="B43" s="351"/>
      <c r="C43" s="109"/>
      <c r="E43" s="19"/>
      <c r="F43" s="5"/>
      <c r="G43" s="6"/>
    </row>
    <row r="44" spans="1:7">
      <c r="A44" s="345" t="s">
        <v>123</v>
      </c>
      <c r="B44" s="351"/>
      <c r="C44" s="109"/>
      <c r="E44" s="19"/>
      <c r="F44" s="5"/>
      <c r="G44" s="6"/>
    </row>
    <row r="45" spans="1:7">
      <c r="A45" s="345" t="s">
        <v>124</v>
      </c>
      <c r="B45" s="351"/>
      <c r="C45" s="109"/>
      <c r="E45" s="19"/>
      <c r="F45" s="5"/>
      <c r="G45" s="6"/>
    </row>
    <row r="46" spans="1:7">
      <c r="A46" s="345" t="s">
        <v>125</v>
      </c>
      <c r="B46" s="351"/>
      <c r="C46" s="109"/>
      <c r="E46" s="19"/>
      <c r="F46" s="5"/>
      <c r="G46" s="6"/>
    </row>
    <row r="47" spans="1:7">
      <c r="A47" s="347" t="s">
        <v>126</v>
      </c>
      <c r="B47" s="348">
        <f>B41-SUM(B43:B46)</f>
        <v>261</v>
      </c>
      <c r="C47" s="109"/>
      <c r="E47" s="19"/>
      <c r="F47" s="5"/>
      <c r="G47" s="6"/>
    </row>
    <row r="48" spans="1:7">
      <c r="A48" s="352"/>
      <c r="B48" s="350"/>
      <c r="C48" s="109"/>
      <c r="E48" s="19"/>
      <c r="F48" s="5"/>
      <c r="G48" s="6"/>
    </row>
    <row r="49" spans="1:7">
      <c r="A49" s="353" t="s">
        <v>127</v>
      </c>
      <c r="B49" s="354">
        <f>IF(B43=0,0,B43/$B$47)</f>
        <v>0</v>
      </c>
      <c r="C49" s="109"/>
      <c r="E49" s="19"/>
      <c r="F49" s="5"/>
      <c r="G49" s="6"/>
    </row>
    <row r="50" spans="1:7">
      <c r="A50" s="353" t="s">
        <v>123</v>
      </c>
      <c r="B50" s="354">
        <f>IF(B44=0,0,B44/$B$47)</f>
        <v>0</v>
      </c>
      <c r="C50" s="109"/>
      <c r="E50" s="19"/>
      <c r="F50" s="5"/>
      <c r="G50" s="6"/>
    </row>
    <row r="51" spans="1:7">
      <c r="A51" s="345" t="s">
        <v>124</v>
      </c>
      <c r="B51" s="354">
        <f>IF(B45=0,0,B45/$B$47)</f>
        <v>0</v>
      </c>
      <c r="C51" s="109"/>
      <c r="E51" s="19"/>
      <c r="F51" s="5"/>
      <c r="G51" s="6"/>
    </row>
    <row r="52" spans="1:7">
      <c r="A52" s="353" t="s">
        <v>125</v>
      </c>
      <c r="B52" s="354">
        <f>IF(B46=0,0,B46/$B$47)</f>
        <v>0</v>
      </c>
      <c r="C52" s="109"/>
      <c r="E52" s="19"/>
      <c r="F52" s="5"/>
      <c r="G52" s="10"/>
    </row>
    <row r="53" spans="1:7">
      <c r="A53" s="347" t="s">
        <v>128</v>
      </c>
      <c r="B53" s="355">
        <f>SUM(B49:B52)</f>
        <v>0</v>
      </c>
      <c r="C53" s="109"/>
      <c r="E53" s="19"/>
      <c r="F53" s="5"/>
      <c r="G53" s="11"/>
    </row>
    <row r="54" spans="1:7">
      <c r="A54" s="112"/>
      <c r="B54" s="112"/>
      <c r="C54" s="112"/>
      <c r="E54" s="19"/>
      <c r="F54" s="5"/>
      <c r="G54" s="1"/>
    </row>
    <row r="55" spans="1:7" ht="31.2" customHeight="1">
      <c r="A55" s="482" t="s">
        <v>129</v>
      </c>
      <c r="B55" s="483"/>
      <c r="C55" s="484"/>
      <c r="E55" s="19"/>
      <c r="F55" s="5"/>
      <c r="G55" s="1"/>
    </row>
    <row r="58" spans="1:7" ht="13.8">
      <c r="A58" s="113"/>
      <c r="B58" s="114"/>
    </row>
    <row r="59" spans="1:7" ht="13.8">
      <c r="A59" s="113"/>
      <c r="B59" s="114"/>
    </row>
    <row r="60" spans="1:7" ht="13.8">
      <c r="A60" s="113"/>
      <c r="B60" s="114"/>
    </row>
    <row r="61" spans="1:7" ht="13.8">
      <c r="A61" s="113"/>
      <c r="B61" s="114"/>
    </row>
    <row r="62" spans="1:7" ht="13.8">
      <c r="A62" s="115"/>
      <c r="B62" s="114"/>
    </row>
    <row r="63" spans="1:7" ht="13.8">
      <c r="A63" s="114"/>
      <c r="B63" s="114"/>
    </row>
    <row r="64" spans="1:7" ht="13.8">
      <c r="A64" s="114"/>
      <c r="B64" s="114"/>
    </row>
    <row r="65" spans="1:3" ht="13.8">
      <c r="A65" s="114"/>
      <c r="B65" s="114"/>
    </row>
    <row r="66" spans="1:3" ht="13.8">
      <c r="A66" s="114"/>
      <c r="B66" s="114"/>
    </row>
    <row r="67" spans="1:3" ht="13.8">
      <c r="A67" s="114"/>
      <c r="B67" s="114"/>
    </row>
    <row r="68" spans="1:3" ht="13.8">
      <c r="A68" s="114"/>
      <c r="B68" s="114"/>
    </row>
    <row r="69" spans="1:3" ht="13.8">
      <c r="A69" s="114"/>
      <c r="B69" s="114"/>
    </row>
    <row r="70" spans="1:3" ht="13.8">
      <c r="A70" s="114"/>
      <c r="B70" s="116"/>
    </row>
    <row r="71" spans="1:3" ht="13.8">
      <c r="A71" s="114"/>
      <c r="B71" s="114"/>
    </row>
    <row r="72" spans="1:3" ht="13.8">
      <c r="B72" s="114"/>
    </row>
    <row r="73" spans="1:3" ht="13.8">
      <c r="A73" s="114"/>
      <c r="B73" s="114"/>
      <c r="C73" s="114"/>
    </row>
    <row r="74" spans="1:3" ht="13.8">
      <c r="A74" s="117"/>
      <c r="B74" s="114"/>
      <c r="C74" s="117"/>
    </row>
    <row r="75" spans="1:3" ht="13.8">
      <c r="A75" s="114"/>
      <c r="B75" s="114"/>
      <c r="C75" s="114"/>
    </row>
    <row r="76" spans="1:3" ht="13.8">
      <c r="A76" s="114"/>
      <c r="B76" s="114"/>
      <c r="C76" s="114"/>
    </row>
    <row r="77" spans="1:3" ht="13.8">
      <c r="A77" s="114"/>
      <c r="B77" s="114"/>
      <c r="C77" s="114"/>
    </row>
    <row r="78" spans="1:3" ht="13.8">
      <c r="A78" s="117"/>
      <c r="B78" s="114"/>
      <c r="C78" s="117"/>
    </row>
    <row r="79" spans="1:3" ht="13.8">
      <c r="A79" s="117"/>
      <c r="B79" s="114"/>
      <c r="C79" s="117"/>
    </row>
    <row r="80" spans="1:3" ht="13.8">
      <c r="A80" s="117"/>
      <c r="B80" s="114"/>
      <c r="C80" s="117"/>
    </row>
    <row r="81" spans="1:2" ht="13.8">
      <c r="A81" s="114"/>
      <c r="B81" s="114"/>
    </row>
    <row r="82" spans="1:2" ht="13.8">
      <c r="A82" s="114"/>
      <c r="B82" s="114"/>
    </row>
    <row r="83" spans="1:2" ht="13.8">
      <c r="A83" s="114"/>
      <c r="B83" s="114"/>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activeCell="I22" sqref="I22:N28"/>
    </sheetView>
  </sheetViews>
  <sheetFormatPr defaultColWidth="11.44140625" defaultRowHeight="13.2"/>
  <cols>
    <col min="1" max="1" width="35.88671875" style="58" customWidth="1"/>
    <col min="2" max="2" width="21.6640625" style="58" customWidth="1"/>
    <col min="3" max="3" width="19.33203125" style="58" bestFit="1" customWidth="1"/>
    <col min="4" max="4" width="2" style="58" customWidth="1"/>
    <col min="5" max="5" width="14.44140625" style="58" customWidth="1"/>
    <col min="6" max="6" width="12.33203125" style="58" customWidth="1"/>
    <col min="7" max="7" width="6" style="58" customWidth="1"/>
    <col min="8" max="8" width="27.5546875" style="58" customWidth="1"/>
    <col min="9" max="15" width="11.44140625" style="58"/>
    <col min="16" max="16" width="14" style="58" customWidth="1"/>
    <col min="17" max="17" width="11.44140625" style="58"/>
    <col min="18" max="18" width="13.44140625" style="58" customWidth="1"/>
    <col min="19" max="21" width="11.44140625" style="58"/>
    <col min="22" max="16384" width="11.44140625" style="2"/>
  </cols>
  <sheetData>
    <row r="1" spans="1:30" ht="12.75" customHeight="1">
      <c r="A1" s="451" t="s">
        <v>4</v>
      </c>
      <c r="B1" s="99"/>
      <c r="C1" s="100"/>
      <c r="D1" s="100"/>
      <c r="E1" s="100"/>
      <c r="F1" s="100"/>
      <c r="H1" s="493"/>
      <c r="I1" s="493"/>
      <c r="J1" s="493"/>
      <c r="K1" s="493"/>
      <c r="L1" s="493"/>
      <c r="M1" s="493"/>
      <c r="N1" s="493"/>
      <c r="P1" s="446"/>
    </row>
    <row r="2" spans="1:30">
      <c r="A2" s="100"/>
      <c r="B2" s="118"/>
      <c r="C2" s="119"/>
      <c r="D2" s="118"/>
      <c r="E2" s="120"/>
      <c r="F2" s="121"/>
      <c r="H2" s="493"/>
      <c r="I2" s="493"/>
      <c r="J2" s="493"/>
      <c r="K2" s="493"/>
      <c r="L2" s="493"/>
      <c r="M2" s="493"/>
      <c r="N2" s="493"/>
      <c r="P2" s="446"/>
    </row>
    <row r="3" spans="1:30" ht="14.25" customHeight="1">
      <c r="A3" s="38" t="str">
        <f>'2-Kosten per locatie'!A3</f>
        <v>Naam opdrachtgever</v>
      </c>
      <c r="B3" s="122" t="str">
        <f>'2-Kosten per locatie'!B3</f>
        <v>Gemeente Voorne aan Zee</v>
      </c>
      <c r="C3" s="123"/>
      <c r="D3" s="118"/>
      <c r="E3" s="124"/>
      <c r="F3" s="125"/>
      <c r="H3" s="493"/>
      <c r="I3" s="493"/>
      <c r="J3" s="493"/>
      <c r="K3" s="493"/>
      <c r="L3" s="493"/>
      <c r="M3" s="493"/>
      <c r="N3" s="493"/>
      <c r="P3" s="446"/>
    </row>
    <row r="4" spans="1:30" ht="15.75" customHeight="1">
      <c r="A4" s="38" t="str">
        <f>'2-Kosten per locatie'!A4</f>
        <v>Calculatie onderdeel</v>
      </c>
      <c r="B4" s="126" t="str">
        <f ca="1">MID(CELL("bestandsnaam",$C$9),SEARCH("]",CELL("bestandsnaam",$C$9),1)+1,256)</f>
        <v>6-Opbouw uurtarief productie</v>
      </c>
      <c r="C4" s="127"/>
      <c r="D4" s="128"/>
      <c r="H4" s="493"/>
      <c r="I4" s="493"/>
      <c r="J4" s="493"/>
      <c r="K4" s="493"/>
      <c r="L4" s="493"/>
      <c r="M4" s="493"/>
      <c r="N4" s="493"/>
      <c r="P4" s="446"/>
    </row>
    <row r="5" spans="1:30" ht="15.6">
      <c r="A5" s="38" t="str">
        <f>'2-Kosten per locatie'!A5</f>
        <v>Gebouw/plaats</v>
      </c>
      <c r="B5" s="122" t="str">
        <f>'2-Kosten per locatie'!B5</f>
        <v>Perceel 1</v>
      </c>
      <c r="C5" s="127"/>
      <c r="D5" s="128"/>
      <c r="H5" s="493"/>
      <c r="I5" s="493"/>
      <c r="J5" s="493"/>
      <c r="K5" s="493"/>
      <c r="L5" s="493"/>
      <c r="M5" s="493"/>
      <c r="N5" s="493"/>
      <c r="P5" s="446"/>
    </row>
    <row r="6" spans="1:30" ht="15.6">
      <c r="A6" s="38" t="str">
        <f>'2-Kosten per locatie'!A6</f>
        <v>Referentie nummer</v>
      </c>
      <c r="B6" s="122" t="str">
        <f>'2-Kosten per locatie'!B6</f>
        <v>TN521819</v>
      </c>
      <c r="C6" s="127"/>
      <c r="D6" s="128"/>
      <c r="H6" s="129"/>
      <c r="I6" s="129"/>
      <c r="J6" s="129"/>
      <c r="K6" s="129"/>
      <c r="L6" s="129"/>
      <c r="M6" s="129"/>
      <c r="N6" s="129"/>
      <c r="P6" s="446"/>
    </row>
    <row r="7" spans="1:30" ht="15.6">
      <c r="A7" s="38" t="str">
        <f>'2-Kosten per locatie'!A7</f>
        <v>Naam dienstverlener</v>
      </c>
      <c r="B7" s="122">
        <f>'2-Kosten per locatie'!B7</f>
        <v>0</v>
      </c>
      <c r="C7" s="127"/>
      <c r="D7" s="128"/>
      <c r="H7" s="129"/>
      <c r="I7" s="129"/>
      <c r="J7" s="129"/>
      <c r="K7" s="129"/>
      <c r="L7" s="129"/>
      <c r="M7" s="129"/>
      <c r="N7" s="129"/>
      <c r="P7" s="446"/>
    </row>
    <row r="8" spans="1:30" ht="15.6">
      <c r="A8" s="38" t="str">
        <f>'2-Kosten per locatie'!A8</f>
        <v>Prijspeil</v>
      </c>
      <c r="B8" s="266">
        <f>'2-Kosten per locatie'!B8</f>
        <v>46023</v>
      </c>
      <c r="C8" s="127"/>
      <c r="D8" s="128"/>
      <c r="J8" s="129"/>
      <c r="K8" s="129"/>
      <c r="L8" s="129"/>
      <c r="M8" s="129"/>
      <c r="N8" s="129"/>
      <c r="O8" s="130"/>
      <c r="P8" s="446"/>
    </row>
    <row r="9" spans="1:30" ht="15.6">
      <c r="A9" s="131"/>
      <c r="B9" s="132"/>
      <c r="C9" s="133"/>
      <c r="D9" s="128"/>
      <c r="E9" s="134"/>
      <c r="F9" s="135"/>
      <c r="P9" s="446"/>
    </row>
    <row r="10" spans="1:30" s="21" customFormat="1" ht="30.75" customHeight="1">
      <c r="A10" s="200" t="s">
        <v>130</v>
      </c>
      <c r="B10" s="356"/>
      <c r="C10" s="357"/>
      <c r="D10" s="198"/>
      <c r="E10" s="491" t="s">
        <v>131</v>
      </c>
      <c r="F10" s="492"/>
      <c r="G10" s="199"/>
      <c r="H10" s="200" t="s">
        <v>132</v>
      </c>
      <c r="I10" s="489" t="s">
        <v>133</v>
      </c>
      <c r="J10" s="490"/>
      <c r="K10" s="490"/>
      <c r="L10" s="490"/>
      <c r="M10" s="490"/>
      <c r="N10" s="490"/>
      <c r="O10" s="130"/>
      <c r="P10" s="446"/>
      <c r="Q10" s="58"/>
      <c r="R10" s="58"/>
      <c r="S10" s="58"/>
      <c r="T10" s="58"/>
      <c r="U10" s="58"/>
      <c r="V10" s="2"/>
    </row>
    <row r="11" spans="1:30" ht="30" customHeight="1">
      <c r="A11" s="143"/>
      <c r="B11" s="358" t="s">
        <v>134</v>
      </c>
      <c r="C11" s="359" t="s">
        <v>134</v>
      </c>
      <c r="D11" s="128"/>
      <c r="E11" s="248"/>
      <c r="F11" s="360"/>
      <c r="H11" s="143"/>
      <c r="I11" s="269">
        <v>1</v>
      </c>
      <c r="J11" s="269">
        <v>2</v>
      </c>
      <c r="K11" s="269">
        <v>3</v>
      </c>
      <c r="L11" s="269">
        <v>4</v>
      </c>
      <c r="M11" s="269">
        <v>5</v>
      </c>
      <c r="N11" s="269">
        <v>6</v>
      </c>
      <c r="P11" s="447"/>
    </row>
    <row r="12" spans="1:30">
      <c r="A12" s="143" t="s">
        <v>135</v>
      </c>
      <c r="B12" s="361" t="s">
        <v>136</v>
      </c>
      <c r="C12" s="362"/>
      <c r="D12" s="128"/>
      <c r="E12" s="249">
        <f>SUM(I40:N40)</f>
        <v>0</v>
      </c>
      <c r="F12" s="250"/>
      <c r="H12" s="143" t="s">
        <v>137</v>
      </c>
      <c r="I12" s="270"/>
      <c r="J12" s="270"/>
      <c r="K12" s="270"/>
      <c r="L12" s="270"/>
      <c r="M12" s="270"/>
      <c r="N12" s="270"/>
      <c r="P12" s="448"/>
      <c r="W12" s="445"/>
      <c r="X12" s="445"/>
      <c r="Y12" s="445"/>
      <c r="Z12" s="445"/>
      <c r="AA12" s="445"/>
      <c r="AB12" s="445"/>
      <c r="AC12" s="445"/>
      <c r="AD12" s="445"/>
    </row>
    <row r="13" spans="1:30">
      <c r="A13" s="143" t="s">
        <v>138</v>
      </c>
      <c r="B13" s="361" t="s">
        <v>136</v>
      </c>
      <c r="C13" s="363"/>
      <c r="D13" s="128"/>
      <c r="E13" s="251"/>
      <c r="F13" s="250"/>
      <c r="H13" s="143" t="s">
        <v>139</v>
      </c>
      <c r="I13" s="270"/>
      <c r="J13" s="270"/>
      <c r="K13" s="270"/>
      <c r="L13" s="270"/>
      <c r="M13" s="270"/>
      <c r="N13" s="270"/>
      <c r="P13" s="449"/>
      <c r="W13" s="445"/>
      <c r="X13" s="445"/>
      <c r="Y13" s="445"/>
      <c r="Z13" s="445"/>
      <c r="AA13" s="445"/>
      <c r="AB13" s="445"/>
      <c r="AC13" s="445"/>
      <c r="AD13" s="445"/>
    </row>
    <row r="14" spans="1:30">
      <c r="A14" s="138" t="s">
        <v>140</v>
      </c>
      <c r="B14" s="361" t="s">
        <v>136</v>
      </c>
      <c r="C14" s="139"/>
      <c r="D14" s="128"/>
      <c r="E14" s="251"/>
      <c r="F14" s="250"/>
      <c r="H14" s="143" t="s">
        <v>141</v>
      </c>
      <c r="I14" s="270"/>
      <c r="J14" s="270"/>
      <c r="K14" s="270"/>
      <c r="L14" s="270"/>
      <c r="M14" s="270"/>
      <c r="N14" s="270"/>
      <c r="W14" s="445"/>
      <c r="X14" s="445"/>
      <c r="Y14" s="445"/>
      <c r="Z14" s="445"/>
      <c r="AA14" s="445"/>
      <c r="AB14" s="445"/>
      <c r="AC14" s="445"/>
      <c r="AD14" s="445"/>
    </row>
    <row r="15" spans="1:30">
      <c r="A15" s="364" t="s">
        <v>142</v>
      </c>
      <c r="B15" s="365"/>
      <c r="C15" s="366"/>
      <c r="D15" s="140"/>
      <c r="E15" s="252">
        <f>SUM(E12:E14)</f>
        <v>0</v>
      </c>
      <c r="F15" s="250"/>
      <c r="H15" s="143" t="s">
        <v>143</v>
      </c>
      <c r="I15" s="270"/>
      <c r="J15" s="270"/>
      <c r="K15" s="270"/>
      <c r="L15" s="270"/>
      <c r="M15" s="270"/>
      <c r="N15" s="270"/>
      <c r="W15" s="445"/>
      <c r="X15" s="445"/>
      <c r="Y15" s="445"/>
      <c r="Z15" s="445"/>
      <c r="AA15" s="445"/>
      <c r="AB15" s="445"/>
      <c r="AC15" s="445"/>
      <c r="AD15" s="445"/>
    </row>
    <row r="16" spans="1:30">
      <c r="A16" s="138"/>
      <c r="B16" s="367"/>
      <c r="C16" s="368"/>
      <c r="D16" s="128"/>
      <c r="E16" s="253"/>
      <c r="F16" s="250"/>
      <c r="H16" s="143" t="s">
        <v>144</v>
      </c>
      <c r="I16" s="270"/>
      <c r="J16" s="270"/>
      <c r="K16" s="270"/>
      <c r="L16" s="270"/>
      <c r="M16" s="270"/>
      <c r="N16" s="270"/>
      <c r="W16" s="445"/>
      <c r="X16" s="445"/>
      <c r="Y16" s="445"/>
      <c r="Z16" s="445"/>
      <c r="AA16" s="445"/>
      <c r="AB16" s="445"/>
      <c r="AC16" s="445"/>
      <c r="AD16" s="445"/>
    </row>
    <row r="17" spans="1:30">
      <c r="A17" s="369" t="s">
        <v>145</v>
      </c>
      <c r="B17" s="361" t="s">
        <v>136</v>
      </c>
      <c r="C17" s="370"/>
      <c r="D17" s="128"/>
      <c r="E17" s="254">
        <f>$C17*E15</f>
        <v>0</v>
      </c>
      <c r="F17" s="250"/>
      <c r="H17" s="143" t="s">
        <v>146</v>
      </c>
      <c r="I17" s="270"/>
      <c r="J17" s="270"/>
      <c r="K17" s="270"/>
      <c r="L17" s="270"/>
      <c r="M17" s="270"/>
      <c r="N17" s="270"/>
      <c r="W17" s="445"/>
      <c r="X17" s="445"/>
      <c r="Y17" s="445"/>
      <c r="Z17" s="445"/>
      <c r="AA17" s="445"/>
      <c r="AB17" s="445"/>
      <c r="AC17" s="445"/>
      <c r="AD17" s="445"/>
    </row>
    <row r="18" spans="1:30">
      <c r="A18" s="369" t="s">
        <v>147</v>
      </c>
      <c r="B18" s="361" t="s">
        <v>136</v>
      </c>
      <c r="C18" s="370"/>
      <c r="D18" s="128"/>
      <c r="E18" s="255">
        <f>$C18*E15</f>
        <v>0</v>
      </c>
      <c r="F18" s="250"/>
      <c r="H18" s="143" t="s">
        <v>148</v>
      </c>
      <c r="I18" s="270"/>
      <c r="J18" s="270"/>
      <c r="K18" s="270"/>
      <c r="L18" s="270"/>
      <c r="M18" s="270"/>
      <c r="N18" s="270"/>
      <c r="W18" s="445"/>
      <c r="X18" s="445"/>
      <c r="Y18" s="445"/>
      <c r="Z18" s="445"/>
      <c r="AA18" s="445"/>
      <c r="AB18" s="445"/>
      <c r="AC18" s="445"/>
      <c r="AD18" s="445"/>
    </row>
    <row r="19" spans="1:30">
      <c r="A19" s="364" t="s">
        <v>149</v>
      </c>
      <c r="B19" s="371"/>
      <c r="C19" s="139"/>
      <c r="D19" s="128"/>
      <c r="E19" s="252">
        <f>SUM(E15:E18)</f>
        <v>0</v>
      </c>
      <c r="F19" s="372">
        <f>IF(E19=0,0,E19/E$47)</f>
        <v>0</v>
      </c>
      <c r="W19" s="445"/>
      <c r="X19" s="445"/>
      <c r="Y19" s="445"/>
      <c r="Z19" s="445"/>
      <c r="AA19" s="445"/>
      <c r="AB19" s="445"/>
      <c r="AC19" s="445"/>
      <c r="AD19" s="445"/>
    </row>
    <row r="20" spans="1:30" ht="15">
      <c r="A20" s="138"/>
      <c r="B20" s="367"/>
      <c r="C20" s="368"/>
      <c r="D20" s="128"/>
      <c r="E20" s="253"/>
      <c r="F20" s="250"/>
      <c r="H20" s="200" t="s">
        <v>132</v>
      </c>
      <c r="I20" s="494" t="s">
        <v>150</v>
      </c>
      <c r="J20" s="495"/>
      <c r="K20" s="495"/>
      <c r="L20" s="495"/>
      <c r="M20" s="495"/>
      <c r="N20" s="496"/>
      <c r="W20" s="445"/>
      <c r="X20" s="445"/>
      <c r="Y20" s="445"/>
      <c r="Z20" s="445"/>
      <c r="AA20" s="445"/>
      <c r="AB20" s="445"/>
      <c r="AC20" s="445"/>
      <c r="AD20" s="445"/>
    </row>
    <row r="21" spans="1:30">
      <c r="A21" s="373" t="s">
        <v>151</v>
      </c>
      <c r="B21" s="374"/>
      <c r="C21" s="368"/>
      <c r="D21" s="141"/>
      <c r="E21" s="256">
        <f>E19*0.96</f>
        <v>0</v>
      </c>
      <c r="F21" s="257"/>
      <c r="G21" s="142"/>
      <c r="H21" s="143"/>
      <c r="I21" s="269">
        <v>1</v>
      </c>
      <c r="J21" s="269">
        <v>2</v>
      </c>
      <c r="K21" s="269">
        <v>3</v>
      </c>
      <c r="L21" s="269">
        <v>4</v>
      </c>
      <c r="M21" s="269">
        <v>5</v>
      </c>
      <c r="N21" s="269">
        <v>6</v>
      </c>
      <c r="O21" s="265"/>
      <c r="W21" s="445"/>
      <c r="X21" s="445"/>
      <c r="Y21" s="445"/>
      <c r="Z21" s="445"/>
      <c r="AA21" s="445"/>
      <c r="AB21" s="445"/>
      <c r="AC21" s="445"/>
      <c r="AD21" s="445"/>
    </row>
    <row r="22" spans="1:30" s="14" customFormat="1">
      <c r="A22" s="369" t="s">
        <v>152</v>
      </c>
      <c r="B22" s="374"/>
      <c r="C22" s="375" t="s">
        <v>153</v>
      </c>
      <c r="D22" s="128"/>
      <c r="E22" s="254" t="e">
        <f>E21*'5-Premies en opslagen'!$C24</f>
        <v>#DIV/0!</v>
      </c>
      <c r="F22" s="250"/>
      <c r="G22" s="58"/>
      <c r="H22" s="143" t="s">
        <v>137</v>
      </c>
      <c r="I22" s="454"/>
      <c r="J22" s="454"/>
      <c r="K22" s="454"/>
      <c r="L22" s="454"/>
      <c r="M22" s="454"/>
      <c r="N22" s="454"/>
      <c r="O22" s="234"/>
      <c r="P22" s="58"/>
      <c r="Q22" s="58"/>
      <c r="R22" s="58"/>
      <c r="S22" s="58"/>
      <c r="T22" s="58"/>
      <c r="U22" s="58"/>
      <c r="V22" s="2"/>
      <c r="W22" s="445"/>
      <c r="X22" s="445"/>
      <c r="Y22" s="445"/>
      <c r="Z22" s="445"/>
      <c r="AA22" s="445"/>
      <c r="AB22" s="445"/>
      <c r="AC22" s="445"/>
      <c r="AD22" s="445"/>
    </row>
    <row r="23" spans="1:30" ht="14.25" customHeight="1">
      <c r="A23" s="364" t="s">
        <v>154</v>
      </c>
      <c r="B23" s="377"/>
      <c r="C23" s="139"/>
      <c r="D23" s="128"/>
      <c r="E23" s="252" t="e">
        <f>E22+E19</f>
        <v>#DIV/0!</v>
      </c>
      <c r="F23" s="372" t="e">
        <f>IF(E23=0,0,E23/E$47)</f>
        <v>#DIV/0!</v>
      </c>
      <c r="H23" s="143" t="s">
        <v>139</v>
      </c>
      <c r="I23" s="455"/>
      <c r="J23" s="455"/>
      <c r="K23" s="455"/>
      <c r="L23" s="454"/>
      <c r="M23" s="454"/>
      <c r="N23" s="454"/>
      <c r="O23" s="234"/>
      <c r="W23" s="445"/>
      <c r="X23" s="445"/>
      <c r="Y23" s="445"/>
      <c r="Z23" s="445"/>
      <c r="AA23" s="445"/>
      <c r="AB23" s="445"/>
      <c r="AC23" s="445"/>
      <c r="AD23" s="445"/>
    </row>
    <row r="24" spans="1:30" ht="12.75" customHeight="1">
      <c r="A24" s="138"/>
      <c r="B24" s="371"/>
      <c r="C24" s="139"/>
      <c r="D24" s="128"/>
      <c r="E24" s="248"/>
      <c r="F24" s="250"/>
      <c r="H24" s="143" t="s">
        <v>141</v>
      </c>
      <c r="I24" s="455"/>
      <c r="J24" s="455"/>
      <c r="K24" s="455"/>
      <c r="L24" s="454"/>
      <c r="M24" s="454"/>
      <c r="N24" s="454"/>
      <c r="O24" s="234"/>
      <c r="W24" s="445"/>
      <c r="X24" s="445"/>
      <c r="Y24" s="445"/>
      <c r="Z24" s="445"/>
      <c r="AA24" s="445"/>
      <c r="AB24" s="445"/>
      <c r="AC24" s="445"/>
      <c r="AD24" s="445"/>
    </row>
    <row r="25" spans="1:30" ht="12.75" customHeight="1">
      <c r="A25" s="369" t="s">
        <v>155</v>
      </c>
      <c r="B25" s="374"/>
      <c r="C25" s="375" t="s">
        <v>153</v>
      </c>
      <c r="D25" s="128"/>
      <c r="E25" s="254" t="e">
        <f>E23*'5-Premies en opslagen'!$B53</f>
        <v>#DIV/0!</v>
      </c>
      <c r="F25" s="250"/>
      <c r="H25" s="143" t="s">
        <v>143</v>
      </c>
      <c r="I25" s="455"/>
      <c r="J25" s="455"/>
      <c r="K25" s="455"/>
      <c r="L25" s="454"/>
      <c r="M25" s="454"/>
      <c r="N25" s="454"/>
      <c r="O25" s="234"/>
    </row>
    <row r="26" spans="1:30">
      <c r="A26" s="364" t="s">
        <v>156</v>
      </c>
      <c r="B26" s="371"/>
      <c r="C26" s="139"/>
      <c r="D26" s="128"/>
      <c r="E26" s="252" t="e">
        <f>SUM(E23:E25)</f>
        <v>#DIV/0!</v>
      </c>
      <c r="F26" s="372" t="e">
        <f>IF(E26=0,0,E26/E$47)</f>
        <v>#DIV/0!</v>
      </c>
      <c r="H26" s="143" t="s">
        <v>144</v>
      </c>
      <c r="I26" s="455"/>
      <c r="J26" s="455"/>
      <c r="K26" s="455"/>
      <c r="L26" s="454"/>
      <c r="M26" s="454"/>
      <c r="N26" s="454"/>
      <c r="O26" s="234"/>
    </row>
    <row r="27" spans="1:30">
      <c r="A27" s="138"/>
      <c r="B27" s="371"/>
      <c r="C27" s="139"/>
      <c r="D27" s="128"/>
      <c r="E27" s="248"/>
      <c r="F27" s="250"/>
      <c r="H27" s="143" t="s">
        <v>146</v>
      </c>
      <c r="I27" s="455"/>
      <c r="J27" s="455"/>
      <c r="K27" s="455"/>
      <c r="L27" s="454"/>
      <c r="M27" s="454"/>
      <c r="N27" s="454"/>
      <c r="O27" s="234"/>
    </row>
    <row r="28" spans="1:30">
      <c r="A28" s="138" t="s">
        <v>157</v>
      </c>
      <c r="B28" s="378"/>
      <c r="C28" s="363" t="s">
        <v>158</v>
      </c>
      <c r="D28" s="128"/>
      <c r="E28" s="251"/>
      <c r="F28" s="250">
        <v>0</v>
      </c>
      <c r="H28" s="143" t="s">
        <v>148</v>
      </c>
      <c r="I28" s="455"/>
      <c r="J28" s="455"/>
      <c r="K28" s="455"/>
      <c r="L28" s="454"/>
      <c r="M28" s="454"/>
      <c r="N28" s="454"/>
      <c r="O28" s="234"/>
    </row>
    <row r="29" spans="1:30">
      <c r="A29" s="138" t="s">
        <v>159</v>
      </c>
      <c r="B29" s="379"/>
      <c r="C29" s="363" t="s">
        <v>158</v>
      </c>
      <c r="D29" s="128"/>
      <c r="E29" s="251"/>
      <c r="F29" s="250">
        <v>0</v>
      </c>
      <c r="H29" s="144" t="s">
        <v>160</v>
      </c>
      <c r="I29" s="380">
        <f t="shared" ref="I29:N29" si="0">SUM(I22:I28)</f>
        <v>0</v>
      </c>
      <c r="J29" s="380">
        <f t="shared" si="0"/>
        <v>0</v>
      </c>
      <c r="K29" s="380">
        <f t="shared" si="0"/>
        <v>0</v>
      </c>
      <c r="L29" s="380">
        <f t="shared" si="0"/>
        <v>0</v>
      </c>
      <c r="M29" s="380">
        <f t="shared" si="0"/>
        <v>0</v>
      </c>
      <c r="N29" s="380">
        <f t="shared" si="0"/>
        <v>0</v>
      </c>
      <c r="O29" s="381">
        <f>SUM(I29:N29)</f>
        <v>0</v>
      </c>
    </row>
    <row r="30" spans="1:30">
      <c r="A30" s="138" t="s">
        <v>161</v>
      </c>
      <c r="B30" s="371"/>
      <c r="C30" s="139" t="s">
        <v>134</v>
      </c>
      <c r="D30" s="128"/>
      <c r="E30" s="251"/>
      <c r="F30" s="250"/>
      <c r="H30" s="142"/>
      <c r="I30" s="142"/>
      <c r="J30" s="142"/>
      <c r="K30" s="142"/>
      <c r="L30" s="142"/>
      <c r="M30" s="142"/>
      <c r="N30" s="142"/>
    </row>
    <row r="31" spans="1:30" ht="12.75" customHeight="1">
      <c r="A31" s="382"/>
      <c r="B31" s="383"/>
      <c r="C31" s="384" t="s">
        <v>134</v>
      </c>
      <c r="D31" s="128"/>
      <c r="E31" s="251"/>
      <c r="F31" s="250"/>
      <c r="H31" s="200" t="s">
        <v>132</v>
      </c>
      <c r="I31" s="489" t="s">
        <v>162</v>
      </c>
      <c r="J31" s="490"/>
      <c r="K31" s="490"/>
      <c r="L31" s="490"/>
      <c r="M31" s="490"/>
      <c r="N31" s="490"/>
    </row>
    <row r="32" spans="1:30" ht="12.75" customHeight="1">
      <c r="A32" s="364" t="s">
        <v>163</v>
      </c>
      <c r="B32" s="371"/>
      <c r="C32" s="139"/>
      <c r="D32" s="128"/>
      <c r="E32" s="252" t="e">
        <f>SUM(E26:E31)</f>
        <v>#DIV/0!</v>
      </c>
      <c r="F32" s="372" t="e">
        <f>IF(E32=0,0,E32/E$47)</f>
        <v>#DIV/0!</v>
      </c>
      <c r="H32" s="143"/>
      <c r="I32" s="137">
        <v>1</v>
      </c>
      <c r="J32" s="137">
        <v>2</v>
      </c>
      <c r="K32" s="137">
        <v>3</v>
      </c>
      <c r="L32" s="137">
        <v>4</v>
      </c>
      <c r="M32" s="137">
        <v>5</v>
      </c>
      <c r="N32" s="137">
        <v>6</v>
      </c>
    </row>
    <row r="33" spans="1:15" ht="12.75" customHeight="1">
      <c r="A33" s="138"/>
      <c r="B33" s="371"/>
      <c r="C33" s="139"/>
      <c r="D33" s="128"/>
      <c r="E33" s="248"/>
      <c r="F33" s="250"/>
      <c r="H33" s="143" t="s">
        <v>137</v>
      </c>
      <c r="I33" s="267">
        <f>I22*I12</f>
        <v>0</v>
      </c>
      <c r="J33" s="267">
        <f t="shared" ref="J33:N33" si="1">J22*J12</f>
        <v>0</v>
      </c>
      <c r="K33" s="267">
        <f t="shared" si="1"/>
        <v>0</v>
      </c>
      <c r="L33" s="267">
        <f t="shared" si="1"/>
        <v>0</v>
      </c>
      <c r="M33" s="267">
        <f t="shared" si="1"/>
        <v>0</v>
      </c>
      <c r="N33" s="452">
        <f t="shared" si="1"/>
        <v>0</v>
      </c>
    </row>
    <row r="34" spans="1:15" ht="12.75" customHeight="1">
      <c r="A34" s="138" t="s">
        <v>164</v>
      </c>
      <c r="B34" s="371"/>
      <c r="C34" s="385"/>
      <c r="D34" s="128"/>
      <c r="E34" s="251"/>
      <c r="F34" s="258" t="e">
        <f t="shared" ref="F34:F42" si="2">E34/$E$47</f>
        <v>#DIV/0!</v>
      </c>
      <c r="H34" s="143" t="s">
        <v>139</v>
      </c>
      <c r="I34" s="267">
        <f t="shared" ref="I34:N34" si="3">I23*I13</f>
        <v>0</v>
      </c>
      <c r="J34" s="267">
        <f t="shared" si="3"/>
        <v>0</v>
      </c>
      <c r="K34" s="267">
        <f t="shared" si="3"/>
        <v>0</v>
      </c>
      <c r="L34" s="267">
        <f t="shared" si="3"/>
        <v>0</v>
      </c>
      <c r="M34" s="267">
        <f t="shared" si="3"/>
        <v>0</v>
      </c>
      <c r="N34" s="452">
        <f t="shared" si="3"/>
        <v>0</v>
      </c>
    </row>
    <row r="35" spans="1:15" ht="12.75" customHeight="1">
      <c r="A35" s="138" t="s">
        <v>165</v>
      </c>
      <c r="B35" s="371"/>
      <c r="C35" s="385"/>
      <c r="D35" s="128"/>
      <c r="E35" s="251"/>
      <c r="F35" s="258" t="e">
        <f t="shared" si="2"/>
        <v>#DIV/0!</v>
      </c>
      <c r="H35" s="143" t="s">
        <v>141</v>
      </c>
      <c r="I35" s="267">
        <f t="shared" ref="I35:N35" si="4">I24*I14</f>
        <v>0</v>
      </c>
      <c r="J35" s="267">
        <f t="shared" si="4"/>
        <v>0</v>
      </c>
      <c r="K35" s="267">
        <f t="shared" si="4"/>
        <v>0</v>
      </c>
      <c r="L35" s="267">
        <f t="shared" si="4"/>
        <v>0</v>
      </c>
      <c r="M35" s="267">
        <f t="shared" si="4"/>
        <v>0</v>
      </c>
      <c r="N35" s="452">
        <f t="shared" si="4"/>
        <v>0</v>
      </c>
      <c r="O35" s="142"/>
    </row>
    <row r="36" spans="1:15" ht="14.25" customHeight="1">
      <c r="A36" s="138" t="s">
        <v>166</v>
      </c>
      <c r="B36" s="371"/>
      <c r="C36" s="385"/>
      <c r="D36" s="128"/>
      <c r="E36" s="251"/>
      <c r="F36" s="258" t="e">
        <f t="shared" si="2"/>
        <v>#DIV/0!</v>
      </c>
      <c r="H36" s="143" t="s">
        <v>143</v>
      </c>
      <c r="I36" s="267">
        <f t="shared" ref="I36:N36" si="5">I25*I15</f>
        <v>0</v>
      </c>
      <c r="J36" s="267">
        <f t="shared" si="5"/>
        <v>0</v>
      </c>
      <c r="K36" s="267">
        <f t="shared" si="5"/>
        <v>0</v>
      </c>
      <c r="L36" s="267">
        <f t="shared" si="5"/>
        <v>0</v>
      </c>
      <c r="M36" s="267">
        <f t="shared" si="5"/>
        <v>0</v>
      </c>
      <c r="N36" s="452">
        <f t="shared" si="5"/>
        <v>0</v>
      </c>
      <c r="O36" s="142"/>
    </row>
    <row r="37" spans="1:15">
      <c r="A37" s="138" t="s">
        <v>167</v>
      </c>
      <c r="B37" s="371"/>
      <c r="C37" s="386"/>
      <c r="D37" s="128"/>
      <c r="E37" s="251"/>
      <c r="F37" s="258" t="e">
        <f t="shared" si="2"/>
        <v>#DIV/0!</v>
      </c>
      <c r="H37" s="143" t="s">
        <v>144</v>
      </c>
      <c r="I37" s="267">
        <f t="shared" ref="I37:N37" si="6">I26*I16</f>
        <v>0</v>
      </c>
      <c r="J37" s="267">
        <f t="shared" si="6"/>
        <v>0</v>
      </c>
      <c r="K37" s="267">
        <f t="shared" si="6"/>
        <v>0</v>
      </c>
      <c r="L37" s="267">
        <f t="shared" si="6"/>
        <v>0</v>
      </c>
      <c r="M37" s="267">
        <f t="shared" si="6"/>
        <v>0</v>
      </c>
      <c r="N37" s="452">
        <f t="shared" si="6"/>
        <v>0</v>
      </c>
      <c r="O37" s="142"/>
    </row>
    <row r="38" spans="1:15">
      <c r="A38" s="138" t="s">
        <v>168</v>
      </c>
      <c r="B38" s="371"/>
      <c r="C38" s="385"/>
      <c r="D38" s="128"/>
      <c r="E38" s="251"/>
      <c r="F38" s="258" t="e">
        <f t="shared" si="2"/>
        <v>#DIV/0!</v>
      </c>
      <c r="H38" s="143" t="s">
        <v>146</v>
      </c>
      <c r="I38" s="267">
        <f t="shared" ref="I38:N38" si="7">I27*I17</f>
        <v>0</v>
      </c>
      <c r="J38" s="267">
        <f t="shared" si="7"/>
        <v>0</v>
      </c>
      <c r="K38" s="267">
        <f t="shared" si="7"/>
        <v>0</v>
      </c>
      <c r="L38" s="267">
        <f t="shared" si="7"/>
        <v>0</v>
      </c>
      <c r="M38" s="267">
        <f t="shared" si="7"/>
        <v>0</v>
      </c>
      <c r="N38" s="452">
        <f t="shared" si="7"/>
        <v>0</v>
      </c>
      <c r="O38" s="142"/>
    </row>
    <row r="39" spans="1:15">
      <c r="A39" s="138" t="s">
        <v>169</v>
      </c>
      <c r="B39" s="371"/>
      <c r="C39" s="386"/>
      <c r="D39" s="128"/>
      <c r="E39" s="251"/>
      <c r="F39" s="258" t="e">
        <f t="shared" si="2"/>
        <v>#DIV/0!</v>
      </c>
      <c r="H39" s="143" t="s">
        <v>148</v>
      </c>
      <c r="I39" s="267">
        <f t="shared" ref="I39:N39" si="8">I28*I18</f>
        <v>0</v>
      </c>
      <c r="J39" s="267">
        <f t="shared" si="8"/>
        <v>0</v>
      </c>
      <c r="K39" s="267">
        <f t="shared" si="8"/>
        <v>0</v>
      </c>
      <c r="L39" s="267">
        <f t="shared" si="8"/>
        <v>0</v>
      </c>
      <c r="M39" s="267">
        <f t="shared" si="8"/>
        <v>0</v>
      </c>
      <c r="N39" s="452">
        <f t="shared" si="8"/>
        <v>0</v>
      </c>
      <c r="O39" s="142"/>
    </row>
    <row r="40" spans="1:15">
      <c r="A40" s="138" t="s">
        <v>170</v>
      </c>
      <c r="B40" s="371"/>
      <c r="C40" s="363" t="s">
        <v>158</v>
      </c>
      <c r="D40" s="128"/>
      <c r="E40" s="251"/>
      <c r="F40" s="258" t="e">
        <f t="shared" si="2"/>
        <v>#DIV/0!</v>
      </c>
      <c r="H40" s="144" t="s">
        <v>160</v>
      </c>
      <c r="I40" s="268">
        <f t="shared" ref="I40:N40" si="9">SUM(I33:I39)</f>
        <v>0</v>
      </c>
      <c r="J40" s="268">
        <f t="shared" si="9"/>
        <v>0</v>
      </c>
      <c r="K40" s="268">
        <f t="shared" si="9"/>
        <v>0</v>
      </c>
      <c r="L40" s="268">
        <f t="shared" si="9"/>
        <v>0</v>
      </c>
      <c r="M40" s="268">
        <f t="shared" si="9"/>
        <v>0</v>
      </c>
      <c r="N40" s="268">
        <f t="shared" si="9"/>
        <v>0</v>
      </c>
      <c r="O40" s="142"/>
    </row>
    <row r="41" spans="1:15">
      <c r="A41" s="138" t="s">
        <v>171</v>
      </c>
      <c r="B41" s="371"/>
      <c r="C41" s="363"/>
      <c r="D41" s="128"/>
      <c r="E41" s="251"/>
      <c r="F41" s="258" t="e">
        <f t="shared" si="2"/>
        <v>#DIV/0!</v>
      </c>
      <c r="H41" s="142"/>
      <c r="I41" s="142"/>
      <c r="J41" s="142"/>
      <c r="K41" s="142"/>
      <c r="L41" s="142"/>
      <c r="M41" s="142"/>
      <c r="N41" s="142"/>
      <c r="O41" s="142"/>
    </row>
    <row r="42" spans="1:15">
      <c r="A42" s="382"/>
      <c r="B42" s="383"/>
      <c r="C42" s="387"/>
      <c r="D42" s="128"/>
      <c r="E42" s="251"/>
      <c r="F42" s="250" t="e">
        <f t="shared" si="2"/>
        <v>#DIV/0!</v>
      </c>
      <c r="H42" s="142"/>
      <c r="I42" s="142"/>
      <c r="J42" s="142"/>
      <c r="K42" s="142"/>
      <c r="L42" s="142"/>
      <c r="M42" s="142"/>
      <c r="N42" s="142"/>
      <c r="O42" s="142"/>
    </row>
    <row r="43" spans="1:15" ht="45">
      <c r="A43" s="364" t="s">
        <v>172</v>
      </c>
      <c r="B43" s="371"/>
      <c r="C43" s="139"/>
      <c r="D43" s="128"/>
      <c r="E43" s="252" t="e">
        <f>SUM(E32:E42)</f>
        <v>#DIV/0!</v>
      </c>
      <c r="F43" s="372" t="e">
        <f>IF(E43=0,0,E43/E$47)</f>
        <v>#DIV/0!</v>
      </c>
      <c r="H43" s="200" t="s">
        <v>173</v>
      </c>
      <c r="I43" s="356"/>
      <c r="J43" s="357"/>
      <c r="K43" s="201" t="s">
        <v>131</v>
      </c>
      <c r="L43" s="142"/>
      <c r="M43" s="142"/>
      <c r="N43" s="142"/>
    </row>
    <row r="44" spans="1:15">
      <c r="A44" s="138"/>
      <c r="B44" s="371"/>
      <c r="C44" s="139"/>
      <c r="D44" s="128"/>
      <c r="E44" s="248"/>
      <c r="F44" s="259"/>
      <c r="H44" s="143"/>
      <c r="I44" s="358" t="s">
        <v>134</v>
      </c>
      <c r="J44" s="359" t="s">
        <v>134</v>
      </c>
      <c r="K44" s="248"/>
      <c r="L44" s="142"/>
      <c r="M44" s="142"/>
      <c r="N44" s="142"/>
    </row>
    <row r="45" spans="1:15">
      <c r="A45" s="138" t="s">
        <v>174</v>
      </c>
      <c r="B45" s="371"/>
      <c r="C45" s="386"/>
      <c r="D45" s="128"/>
      <c r="E45" s="251"/>
      <c r="F45" s="372">
        <f>(IF(E45=0,0,E45/E$47))</f>
        <v>0</v>
      </c>
      <c r="H45" s="146" t="s">
        <v>142</v>
      </c>
      <c r="I45" s="147"/>
      <c r="J45" s="148"/>
      <c r="K45" s="252">
        <f>E15</f>
        <v>0</v>
      </c>
      <c r="L45" s="142"/>
      <c r="M45" s="142"/>
      <c r="N45" s="142"/>
    </row>
    <row r="46" spans="1:15" ht="30" customHeight="1">
      <c r="A46" s="138"/>
      <c r="B46" s="388"/>
      <c r="C46" s="139"/>
      <c r="D46" s="128"/>
      <c r="E46" s="248"/>
      <c r="F46" s="250"/>
      <c r="H46" s="149" t="s">
        <v>145</v>
      </c>
      <c r="I46" s="150"/>
      <c r="J46" s="151"/>
      <c r="K46" s="254">
        <f>E17</f>
        <v>0</v>
      </c>
      <c r="L46" s="142"/>
      <c r="M46" s="142"/>
      <c r="N46" s="142"/>
    </row>
    <row r="47" spans="1:15">
      <c r="A47" s="364" t="s">
        <v>175</v>
      </c>
      <c r="B47" s="389"/>
      <c r="C47" s="390"/>
      <c r="D47" s="128"/>
      <c r="E47" s="260" t="e">
        <f>SUM(E43:E46)</f>
        <v>#DIV/0!</v>
      </c>
      <c r="F47" s="261" t="e">
        <f>SUM(F43:F46)</f>
        <v>#DIV/0!</v>
      </c>
      <c r="H47" s="369" t="s">
        <v>147</v>
      </c>
      <c r="I47" s="150"/>
      <c r="J47" s="151"/>
      <c r="K47" s="255">
        <f>E18</f>
        <v>0</v>
      </c>
      <c r="L47" s="142"/>
      <c r="M47" s="142"/>
      <c r="N47" s="142"/>
      <c r="O47" s="142"/>
    </row>
    <row r="48" spans="1:15">
      <c r="B48" s="145"/>
      <c r="C48" s="391"/>
      <c r="D48" s="128"/>
      <c r="E48" s="234"/>
      <c r="F48" s="262"/>
      <c r="H48" s="369" t="s">
        <v>152</v>
      </c>
      <c r="I48" s="150"/>
      <c r="J48" s="151"/>
      <c r="K48" s="254" t="e">
        <f>E22</f>
        <v>#DIV/0!</v>
      </c>
      <c r="L48" s="142"/>
      <c r="M48" s="142"/>
      <c r="N48" s="142"/>
      <c r="O48" s="142"/>
    </row>
    <row r="49" spans="1:26">
      <c r="A49" s="392" t="s">
        <v>176</v>
      </c>
      <c r="B49" s="393"/>
      <c r="C49" s="394"/>
      <c r="D49" s="142"/>
      <c r="E49" s="263" t="e">
        <f>(E$26*1.3)+($E$47-$E$26)</f>
        <v>#DIV/0!</v>
      </c>
      <c r="F49" s="264"/>
      <c r="G49" s="142"/>
      <c r="H49" s="369" t="s">
        <v>155</v>
      </c>
      <c r="I49" s="374"/>
      <c r="J49" s="375"/>
      <c r="K49" s="254" t="e">
        <f>E25</f>
        <v>#DIV/0!</v>
      </c>
      <c r="L49" s="142"/>
      <c r="M49" s="142"/>
      <c r="N49" s="142"/>
      <c r="O49" s="142"/>
    </row>
    <row r="50" spans="1:26" s="14" customFormat="1">
      <c r="A50" s="142"/>
      <c r="B50" s="152"/>
      <c r="C50" s="153"/>
      <c r="D50" s="142"/>
      <c r="E50" s="265"/>
      <c r="F50" s="265"/>
      <c r="G50" s="142"/>
      <c r="H50" s="138" t="s">
        <v>157</v>
      </c>
      <c r="I50" s="378"/>
      <c r="J50" s="363"/>
      <c r="K50" s="249">
        <f>E28</f>
        <v>0</v>
      </c>
      <c r="L50" s="142"/>
      <c r="M50" s="142"/>
      <c r="N50" s="142"/>
      <c r="O50" s="142"/>
      <c r="P50" s="58"/>
      <c r="Q50" s="58"/>
      <c r="R50" s="58"/>
      <c r="S50" s="58"/>
      <c r="T50" s="58"/>
      <c r="U50" s="58"/>
      <c r="V50" s="2"/>
      <c r="W50" s="2"/>
      <c r="X50" s="2"/>
      <c r="Y50" s="2"/>
      <c r="Z50" s="2"/>
    </row>
    <row r="51" spans="1:26" s="14" customFormat="1">
      <c r="A51" s="392" t="s">
        <v>177</v>
      </c>
      <c r="B51" s="393"/>
      <c r="C51" s="394"/>
      <c r="D51" s="142"/>
      <c r="E51" s="263" t="e">
        <f>(E$26*1.5)+($E$47-$E$26)</f>
        <v>#DIV/0!</v>
      </c>
      <c r="F51" s="264"/>
      <c r="G51" s="142"/>
      <c r="H51" s="138" t="s">
        <v>159</v>
      </c>
      <c r="I51" s="379"/>
      <c r="J51" s="363"/>
      <c r="K51" s="249">
        <f t="shared" ref="K51:K52" si="10">E29</f>
        <v>0</v>
      </c>
      <c r="L51" s="142"/>
      <c r="M51" s="58"/>
      <c r="N51" s="142"/>
      <c r="O51" s="142"/>
      <c r="P51" s="142"/>
      <c r="Q51" s="142"/>
      <c r="R51" s="142"/>
      <c r="S51" s="142"/>
      <c r="T51" s="142"/>
      <c r="U51" s="142"/>
    </row>
    <row r="52" spans="1:26" s="14" customFormat="1">
      <c r="A52" s="142"/>
      <c r="B52" s="152"/>
      <c r="C52" s="153"/>
      <c r="D52" s="142"/>
      <c r="E52" s="265"/>
      <c r="F52" s="265"/>
      <c r="G52" s="142"/>
      <c r="H52" s="138" t="s">
        <v>161</v>
      </c>
      <c r="I52" s="371"/>
      <c r="J52" s="139" t="s">
        <v>134</v>
      </c>
      <c r="K52" s="249">
        <f t="shared" si="10"/>
        <v>0</v>
      </c>
      <c r="L52" s="142"/>
      <c r="M52" s="58"/>
      <c r="N52" s="142"/>
      <c r="O52" s="142"/>
      <c r="P52" s="142"/>
      <c r="Q52" s="142"/>
      <c r="R52" s="142"/>
      <c r="S52" s="142"/>
      <c r="T52" s="142"/>
      <c r="U52" s="142"/>
    </row>
    <row r="53" spans="1:26" s="14" customFormat="1">
      <c r="A53" s="392" t="s">
        <v>178</v>
      </c>
      <c r="B53" s="393"/>
      <c r="C53" s="394"/>
      <c r="D53" s="142"/>
      <c r="E53" s="263" t="e">
        <f>(E$26*2.5)+($E$47-$E$26)</f>
        <v>#DIV/0!</v>
      </c>
      <c r="F53" s="265"/>
      <c r="G53" s="142"/>
      <c r="H53" s="138" t="s">
        <v>164</v>
      </c>
      <c r="I53" s="371"/>
      <c r="J53" s="385"/>
      <c r="K53" s="249">
        <f>E34</f>
        <v>0</v>
      </c>
      <c r="L53" s="142"/>
      <c r="M53" s="58"/>
      <c r="N53" s="142"/>
      <c r="O53" s="142"/>
      <c r="P53" s="142"/>
      <c r="Q53" s="142"/>
      <c r="R53" s="142"/>
      <c r="S53" s="142"/>
      <c r="T53" s="142"/>
      <c r="U53" s="142"/>
    </row>
    <row r="54" spans="1:26" s="14" customFormat="1">
      <c r="A54" s="142"/>
      <c r="B54" s="152"/>
      <c r="C54" s="154"/>
      <c r="D54" s="142"/>
      <c r="E54" s="142"/>
      <c r="F54" s="155"/>
      <c r="G54" s="142"/>
      <c r="H54" s="138" t="s">
        <v>165</v>
      </c>
      <c r="I54" s="371"/>
      <c r="J54" s="385"/>
      <c r="K54" s="249">
        <f t="shared" ref="K54:K60" si="11">E35</f>
        <v>0</v>
      </c>
      <c r="L54" s="142"/>
      <c r="M54" s="58"/>
      <c r="N54" s="142"/>
      <c r="O54" s="142"/>
      <c r="P54" s="142"/>
      <c r="Q54" s="142"/>
      <c r="R54" s="142"/>
      <c r="S54" s="142"/>
      <c r="T54" s="142"/>
      <c r="U54" s="142"/>
    </row>
    <row r="55" spans="1:26" s="14" customFormat="1">
      <c r="A55" s="142"/>
      <c r="B55" s="152"/>
      <c r="C55" s="154"/>
      <c r="D55" s="142"/>
      <c r="E55" s="142"/>
      <c r="F55" s="155"/>
      <c r="G55" s="142"/>
      <c r="H55" s="138" t="s">
        <v>166</v>
      </c>
      <c r="I55" s="371"/>
      <c r="J55" s="385"/>
      <c r="K55" s="249">
        <f t="shared" si="11"/>
        <v>0</v>
      </c>
      <c r="L55" s="142"/>
      <c r="M55" s="58"/>
      <c r="N55" s="142"/>
      <c r="O55" s="142"/>
      <c r="P55" s="142"/>
      <c r="Q55" s="142"/>
      <c r="R55" s="142"/>
      <c r="S55" s="142"/>
      <c r="T55" s="142"/>
      <c r="U55" s="142"/>
    </row>
    <row r="56" spans="1:26" s="14" customFormat="1">
      <c r="A56" s="142"/>
      <c r="B56" s="142"/>
      <c r="C56" s="156"/>
      <c r="D56" s="142"/>
      <c r="E56" s="142"/>
      <c r="F56" s="155"/>
      <c r="G56" s="142"/>
      <c r="H56" s="138" t="s">
        <v>167</v>
      </c>
      <c r="I56" s="371"/>
      <c r="J56" s="386"/>
      <c r="K56" s="249">
        <f t="shared" si="11"/>
        <v>0</v>
      </c>
      <c r="L56" s="142"/>
      <c r="M56" s="58"/>
      <c r="N56" s="142"/>
      <c r="O56" s="142"/>
      <c r="P56" s="142"/>
      <c r="Q56" s="142"/>
      <c r="R56" s="142"/>
      <c r="S56" s="142"/>
      <c r="T56" s="142"/>
      <c r="U56" s="142"/>
    </row>
    <row r="57" spans="1:26" s="14" customFormat="1">
      <c r="A57" s="142"/>
      <c r="B57" s="142"/>
      <c r="C57" s="156"/>
      <c r="D57" s="142"/>
      <c r="E57" s="142"/>
      <c r="F57" s="155"/>
      <c r="G57" s="142"/>
      <c r="H57" s="138" t="s">
        <v>168</v>
      </c>
      <c r="I57" s="371"/>
      <c r="J57" s="385"/>
      <c r="K57" s="249">
        <f t="shared" si="11"/>
        <v>0</v>
      </c>
      <c r="L57" s="142"/>
      <c r="M57" s="58"/>
      <c r="N57" s="142"/>
      <c r="O57" s="142"/>
      <c r="P57" s="142"/>
      <c r="Q57" s="142"/>
      <c r="R57" s="142"/>
      <c r="S57" s="142"/>
      <c r="T57" s="142"/>
      <c r="U57" s="142"/>
    </row>
    <row r="58" spans="1:26" s="14" customFormat="1">
      <c r="A58" s="58"/>
      <c r="B58" s="142"/>
      <c r="C58" s="156"/>
      <c r="D58" s="142"/>
      <c r="E58" s="142"/>
      <c r="F58" s="155"/>
      <c r="G58" s="142"/>
      <c r="H58" s="138" t="s">
        <v>169</v>
      </c>
      <c r="I58" s="371"/>
      <c r="J58" s="386"/>
      <c r="K58" s="249">
        <f t="shared" si="11"/>
        <v>0</v>
      </c>
      <c r="L58" s="142"/>
      <c r="M58" s="58"/>
      <c r="N58" s="58"/>
      <c r="O58" s="142"/>
      <c r="P58" s="142"/>
      <c r="Q58" s="142"/>
      <c r="R58" s="142"/>
      <c r="S58" s="142"/>
      <c r="T58" s="142"/>
      <c r="U58" s="142"/>
    </row>
    <row r="59" spans="1:26" s="14" customFormat="1">
      <c r="A59" s="142"/>
      <c r="B59" s="142"/>
      <c r="C59" s="156"/>
      <c r="D59" s="156"/>
      <c r="E59" s="156"/>
      <c r="F59" s="156"/>
      <c r="G59" s="142"/>
      <c r="H59" s="138" t="s">
        <v>170</v>
      </c>
      <c r="I59" s="371"/>
      <c r="J59" s="363"/>
      <c r="K59" s="249">
        <f t="shared" si="11"/>
        <v>0</v>
      </c>
      <c r="L59" s="142"/>
      <c r="M59" s="58"/>
      <c r="N59" s="58"/>
      <c r="O59" s="142"/>
      <c r="P59" s="142"/>
      <c r="Q59" s="142"/>
      <c r="R59" s="142"/>
      <c r="S59" s="142"/>
      <c r="T59" s="142"/>
      <c r="U59" s="142"/>
    </row>
    <row r="60" spans="1:26" s="14" customFormat="1">
      <c r="A60" s="142"/>
      <c r="B60" s="142"/>
      <c r="C60" s="156"/>
      <c r="D60" s="142"/>
      <c r="E60" s="142"/>
      <c r="F60" s="155"/>
      <c r="G60" s="142"/>
      <c r="H60" s="138" t="s">
        <v>171</v>
      </c>
      <c r="I60" s="371"/>
      <c r="J60" s="363"/>
      <c r="K60" s="249">
        <f t="shared" si="11"/>
        <v>0</v>
      </c>
      <c r="L60" s="142"/>
      <c r="M60" s="58"/>
      <c r="N60" s="58"/>
      <c r="O60" s="142"/>
      <c r="P60" s="142"/>
      <c r="Q60" s="142"/>
      <c r="R60" s="142"/>
      <c r="S60" s="142"/>
      <c r="T60" s="142"/>
      <c r="U60" s="142"/>
    </row>
    <row r="61" spans="1:26" s="14" customFormat="1">
      <c r="A61" s="142"/>
      <c r="B61" s="142"/>
      <c r="C61" s="156"/>
      <c r="D61" s="142"/>
      <c r="E61" s="142"/>
      <c r="F61" s="155"/>
      <c r="G61" s="142"/>
      <c r="H61" s="138" t="s">
        <v>174</v>
      </c>
      <c r="I61" s="371"/>
      <c r="J61" s="386"/>
      <c r="K61" s="249">
        <f>E45</f>
        <v>0</v>
      </c>
      <c r="L61" s="142"/>
      <c r="M61" s="58"/>
      <c r="N61" s="58"/>
      <c r="O61" s="142"/>
      <c r="P61" s="142"/>
      <c r="Q61" s="142"/>
      <c r="R61" s="142"/>
      <c r="S61" s="142"/>
      <c r="T61" s="142"/>
      <c r="U61" s="142"/>
    </row>
    <row r="62" spans="1:26" s="14" customFormat="1">
      <c r="A62" s="142"/>
      <c r="B62" s="142"/>
      <c r="C62" s="156"/>
      <c r="D62" s="142"/>
      <c r="E62" s="142"/>
      <c r="F62" s="155"/>
      <c r="G62" s="142"/>
      <c r="H62" s="138"/>
      <c r="I62" s="388"/>
      <c r="J62" s="139"/>
      <c r="K62" s="248"/>
      <c r="L62" s="142"/>
      <c r="M62" s="58"/>
      <c r="N62" s="58"/>
      <c r="O62" s="142"/>
      <c r="P62" s="142"/>
      <c r="Q62" s="142"/>
      <c r="R62" s="142"/>
      <c r="S62" s="142"/>
      <c r="T62" s="142"/>
      <c r="U62" s="142"/>
    </row>
    <row r="63" spans="1:26" s="14" customFormat="1">
      <c r="A63" s="142"/>
      <c r="B63" s="142"/>
      <c r="C63" s="156"/>
      <c r="D63" s="142"/>
      <c r="E63" s="142"/>
      <c r="F63" s="155"/>
      <c r="G63" s="142"/>
      <c r="H63" s="364" t="s">
        <v>175</v>
      </c>
      <c r="I63" s="389"/>
      <c r="J63" s="390"/>
      <c r="K63" s="260" t="e">
        <f>SUM(K45:K62)</f>
        <v>#DIV/0!</v>
      </c>
      <c r="L63" s="142"/>
      <c r="M63" s="58"/>
      <c r="N63" s="58"/>
      <c r="O63" s="142"/>
      <c r="P63" s="142"/>
      <c r="Q63" s="142"/>
      <c r="R63" s="142"/>
      <c r="S63" s="142"/>
      <c r="T63" s="142"/>
      <c r="U63" s="142"/>
    </row>
    <row r="64" spans="1:26" s="14" customFormat="1">
      <c r="A64" s="142"/>
      <c r="B64" s="142"/>
      <c r="C64" s="156"/>
      <c r="D64" s="142"/>
      <c r="E64" s="142"/>
      <c r="F64" s="155"/>
      <c r="G64" s="142"/>
      <c r="H64" s="58"/>
      <c r="I64" s="145"/>
      <c r="J64" s="391"/>
      <c r="K64" s="234"/>
      <c r="L64" s="142"/>
      <c r="M64" s="58"/>
      <c r="N64" s="58"/>
      <c r="O64" s="58"/>
      <c r="P64" s="142"/>
      <c r="Q64" s="142"/>
      <c r="R64" s="142"/>
      <c r="S64" s="142"/>
      <c r="T64" s="142"/>
      <c r="U64" s="142"/>
    </row>
    <row r="65" spans="1:22" s="14" customFormat="1">
      <c r="A65" s="142"/>
      <c r="B65" s="142"/>
      <c r="C65" s="156"/>
      <c r="D65" s="142"/>
      <c r="E65" s="58"/>
      <c r="F65" s="155"/>
      <c r="G65" s="142"/>
      <c r="H65" s="392" t="s">
        <v>176</v>
      </c>
      <c r="I65" s="393"/>
      <c r="J65" s="394"/>
      <c r="K65" s="263" t="e">
        <f>E49</f>
        <v>#DIV/0!</v>
      </c>
      <c r="L65" s="142"/>
      <c r="M65" s="58"/>
      <c r="N65" s="58"/>
      <c r="O65" s="58"/>
      <c r="P65" s="58"/>
      <c r="Q65" s="142"/>
      <c r="R65" s="142"/>
      <c r="S65" s="142"/>
      <c r="T65" s="142"/>
      <c r="U65" s="142"/>
    </row>
    <row r="66" spans="1:22" s="14" customFormat="1">
      <c r="A66" s="58"/>
      <c r="B66" s="58"/>
      <c r="C66" s="58"/>
      <c r="D66" s="58"/>
      <c r="E66" s="58"/>
      <c r="F66" s="58"/>
      <c r="G66" s="58"/>
      <c r="H66" s="142"/>
      <c r="I66" s="152"/>
      <c r="J66" s="153"/>
      <c r="K66" s="265"/>
      <c r="L66" s="142"/>
      <c r="M66" s="58"/>
      <c r="N66" s="58"/>
      <c r="O66" s="58"/>
      <c r="P66" s="58"/>
      <c r="Q66" s="58"/>
      <c r="R66" s="58"/>
      <c r="S66" s="58"/>
      <c r="T66" s="58"/>
      <c r="U66" s="58"/>
      <c r="V66" s="2"/>
    </row>
    <row r="67" spans="1:22">
      <c r="H67" s="392" t="s">
        <v>177</v>
      </c>
      <c r="I67" s="393"/>
      <c r="J67" s="394"/>
      <c r="K67" s="263" t="e">
        <f>E51</f>
        <v>#DIV/0!</v>
      </c>
      <c r="L67" s="142"/>
    </row>
    <row r="68" spans="1:22">
      <c r="H68" s="142"/>
      <c r="I68" s="152"/>
      <c r="J68" s="153"/>
      <c r="K68" s="265"/>
      <c r="L68" s="142"/>
    </row>
    <row r="69" spans="1:22">
      <c r="H69" s="392" t="s">
        <v>178</v>
      </c>
      <c r="I69" s="393"/>
      <c r="J69" s="394"/>
      <c r="K69" s="263" t="e">
        <f>E53</f>
        <v>#DIV/0!</v>
      </c>
      <c r="L69" s="142"/>
    </row>
    <row r="70" spans="1:22">
      <c r="L70" s="142"/>
    </row>
    <row r="71" spans="1:22">
      <c r="L71" s="142"/>
    </row>
    <row r="72" spans="1:22">
      <c r="L72" s="142"/>
    </row>
  </sheetData>
  <dataConsolidate/>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42" activePane="bottomLeft" state="frozen"/>
      <selection activeCell="B1" sqref="B1"/>
      <selection pane="bottomLeft" activeCell="C18" sqref="C17:C18"/>
    </sheetView>
  </sheetViews>
  <sheetFormatPr defaultColWidth="11.44140625" defaultRowHeight="13.2"/>
  <cols>
    <col min="1" max="1" width="35.88671875" style="58" customWidth="1"/>
    <col min="2" max="2" width="21.33203125" style="58" customWidth="1"/>
    <col min="3" max="3" width="19.33203125" style="58" bestFit="1" customWidth="1"/>
    <col min="4" max="4" width="2" style="58" customWidth="1"/>
    <col min="5" max="5" width="14.44140625" style="58" customWidth="1"/>
    <col min="6" max="6" width="11.6640625" style="58" customWidth="1"/>
    <col min="7" max="7" width="6" style="58" customWidth="1"/>
    <col min="8" max="8" width="27.88671875" style="58" customWidth="1"/>
    <col min="9" max="15" width="11.44140625" style="58"/>
    <col min="16" max="16384" width="11.44140625" style="2"/>
  </cols>
  <sheetData>
    <row r="1" spans="1:15" ht="12.75" customHeight="1">
      <c r="A1" s="451" t="s">
        <v>4</v>
      </c>
      <c r="B1" s="99"/>
      <c r="C1" s="100"/>
      <c r="D1" s="100"/>
      <c r="E1" s="100"/>
      <c r="F1" s="100"/>
      <c r="H1" s="493"/>
      <c r="I1" s="493"/>
      <c r="J1" s="493"/>
      <c r="K1" s="493"/>
      <c r="L1" s="493"/>
      <c r="M1" s="493"/>
      <c r="N1" s="493"/>
    </row>
    <row r="2" spans="1:15">
      <c r="A2" s="100"/>
      <c r="B2" s="118"/>
      <c r="C2" s="119"/>
      <c r="D2" s="118"/>
      <c r="E2" s="120"/>
      <c r="F2" s="121"/>
      <c r="H2" s="493"/>
      <c r="I2" s="493"/>
      <c r="J2" s="493"/>
      <c r="K2" s="493"/>
      <c r="L2" s="493"/>
      <c r="M2" s="493"/>
      <c r="N2" s="493"/>
    </row>
    <row r="3" spans="1:15" ht="14.25" customHeight="1">
      <c r="A3" s="38" t="str">
        <f>'2-Kosten per locatie'!A3</f>
        <v>Naam opdrachtgever</v>
      </c>
      <c r="B3" s="122" t="str">
        <f>'2-Kosten per locatie'!B3</f>
        <v>Gemeente Voorne aan Zee</v>
      </c>
      <c r="C3" s="123"/>
      <c r="D3" s="118"/>
      <c r="E3" s="124"/>
      <c r="F3" s="125"/>
      <c r="H3" s="493"/>
      <c r="I3" s="493"/>
      <c r="J3" s="493"/>
      <c r="K3" s="493"/>
      <c r="L3" s="493"/>
      <c r="M3" s="493"/>
      <c r="N3" s="493"/>
    </row>
    <row r="4" spans="1:15" ht="15.75" customHeight="1">
      <c r="A4" s="38" t="str">
        <f>'2-Kosten per locatie'!A4</f>
        <v>Calculatie onderdeel</v>
      </c>
      <c r="B4" s="126" t="str">
        <f ca="1">MID(CELL("bestandsnaam",$C$9),SEARCH("]",CELL("bestandsnaam",$C$9),1)+1,256)</f>
        <v>7-Opbouw uurtarief toezicht</v>
      </c>
      <c r="C4" s="127"/>
      <c r="D4" s="128"/>
      <c r="H4" s="493"/>
      <c r="I4" s="493"/>
      <c r="J4" s="493"/>
      <c r="K4" s="493"/>
      <c r="L4" s="493"/>
      <c r="M4" s="493"/>
      <c r="N4" s="493"/>
    </row>
    <row r="5" spans="1:15" ht="15.6">
      <c r="A5" s="38" t="str">
        <f>'2-Kosten per locatie'!A5</f>
        <v>Gebouw/plaats</v>
      </c>
      <c r="B5" s="122" t="str">
        <f>'2-Kosten per locatie'!B5</f>
        <v>Perceel 1</v>
      </c>
      <c r="C5" s="127"/>
      <c r="D5" s="128"/>
      <c r="H5" s="493"/>
      <c r="I5" s="493"/>
      <c r="J5" s="493"/>
      <c r="K5" s="493"/>
      <c r="L5" s="493"/>
      <c r="M5" s="493"/>
      <c r="N5" s="493"/>
    </row>
    <row r="6" spans="1:15" ht="15.6">
      <c r="A6" s="38" t="str">
        <f>'2-Kosten per locatie'!A6</f>
        <v>Referentie nummer</v>
      </c>
      <c r="B6" s="122" t="str">
        <f>'2-Kosten per locatie'!B6</f>
        <v>TN521819</v>
      </c>
      <c r="C6" s="127"/>
      <c r="D6" s="128"/>
      <c r="H6" s="129"/>
      <c r="I6" s="129"/>
      <c r="J6" s="129"/>
      <c r="K6" s="129"/>
      <c r="L6" s="129"/>
      <c r="M6" s="129"/>
      <c r="N6" s="129"/>
    </row>
    <row r="7" spans="1:15" ht="15.6">
      <c r="A7" s="38" t="str">
        <f>'2-Kosten per locatie'!A7</f>
        <v>Naam dienstverlener</v>
      </c>
      <c r="B7" s="122">
        <f>'2-Kosten per locatie'!B7</f>
        <v>0</v>
      </c>
      <c r="C7" s="127"/>
      <c r="D7" s="128"/>
      <c r="H7" s="129"/>
      <c r="I7" s="129"/>
      <c r="J7" s="129"/>
      <c r="K7" s="129"/>
      <c r="L7" s="129"/>
      <c r="M7" s="129"/>
      <c r="N7" s="129"/>
    </row>
    <row r="8" spans="1:15" ht="15.6">
      <c r="A8" s="38" t="str">
        <f>'2-Kosten per locatie'!A8</f>
        <v>Prijspeil</v>
      </c>
      <c r="B8" s="266">
        <f>'2-Kosten per locatie'!B8</f>
        <v>46023</v>
      </c>
      <c r="C8" s="127"/>
      <c r="D8" s="128"/>
      <c r="J8" s="129"/>
      <c r="K8" s="129"/>
      <c r="L8" s="129"/>
      <c r="M8" s="129"/>
      <c r="N8" s="129"/>
      <c r="O8" s="130"/>
    </row>
    <row r="9" spans="1:15" ht="15.6">
      <c r="A9" s="131"/>
      <c r="B9" s="132"/>
      <c r="C9" s="133"/>
      <c r="D9" s="128"/>
      <c r="E9" s="134"/>
      <c r="F9" s="135"/>
    </row>
    <row r="10" spans="1:15" s="21" customFormat="1" ht="30.75" customHeight="1">
      <c r="A10" s="395" t="s">
        <v>179</v>
      </c>
      <c r="B10" s="356"/>
      <c r="C10" s="357"/>
      <c r="D10" s="198"/>
      <c r="E10" s="491" t="s">
        <v>180</v>
      </c>
      <c r="F10" s="492"/>
      <c r="G10" s="130"/>
      <c r="H10" s="200" t="s">
        <v>132</v>
      </c>
      <c r="I10" s="489" t="s">
        <v>133</v>
      </c>
      <c r="J10" s="490"/>
      <c r="K10" s="490"/>
      <c r="L10" s="490"/>
      <c r="M10" s="490"/>
      <c r="N10" s="490"/>
      <c r="O10" s="130"/>
    </row>
    <row r="11" spans="1:15" ht="14.4" customHeight="1">
      <c r="A11" s="143"/>
      <c r="B11" s="358" t="s">
        <v>134</v>
      </c>
      <c r="C11" s="359" t="s">
        <v>134</v>
      </c>
      <c r="D11" s="128"/>
      <c r="E11" s="136"/>
      <c r="F11" s="396"/>
      <c r="H11" s="143"/>
      <c r="I11" s="269">
        <v>1</v>
      </c>
      <c r="J11" s="269">
        <v>2</v>
      </c>
      <c r="K11" s="269">
        <v>3</v>
      </c>
      <c r="L11" s="269">
        <v>4</v>
      </c>
      <c r="M11" s="269">
        <v>5</v>
      </c>
      <c r="N11" s="269">
        <v>6</v>
      </c>
    </row>
    <row r="12" spans="1:15" ht="12.75" customHeight="1">
      <c r="A12" s="143" t="s">
        <v>135</v>
      </c>
      <c r="B12" s="361" t="s">
        <v>136</v>
      </c>
      <c r="C12" s="362"/>
      <c r="D12" s="128"/>
      <c r="E12" s="249">
        <f>SUM(I31:N31)</f>
        <v>0</v>
      </c>
      <c r="F12" s="250"/>
      <c r="H12" s="143" t="s">
        <v>143</v>
      </c>
      <c r="I12" s="270"/>
      <c r="J12" s="270"/>
      <c r="K12" s="270"/>
      <c r="L12" s="270"/>
      <c r="M12" s="270"/>
      <c r="N12" s="270"/>
    </row>
    <row r="13" spans="1:15">
      <c r="A13" s="143" t="s">
        <v>138</v>
      </c>
      <c r="B13" s="361" t="s">
        <v>136</v>
      </c>
      <c r="C13" s="363"/>
      <c r="D13" s="128"/>
      <c r="E13" s="251"/>
      <c r="F13" s="250"/>
      <c r="H13" s="143" t="s">
        <v>144</v>
      </c>
      <c r="I13" s="270"/>
      <c r="J13" s="270"/>
      <c r="K13" s="270"/>
      <c r="L13" s="270"/>
      <c r="M13" s="270"/>
      <c r="N13" s="270"/>
    </row>
    <row r="14" spans="1:15">
      <c r="A14" s="138" t="s">
        <v>140</v>
      </c>
      <c r="B14" s="361" t="s">
        <v>136</v>
      </c>
      <c r="C14" s="139"/>
      <c r="D14" s="128"/>
      <c r="E14" s="251"/>
      <c r="F14" s="250"/>
      <c r="H14" s="143" t="s">
        <v>146</v>
      </c>
      <c r="I14" s="270"/>
      <c r="J14" s="270"/>
      <c r="K14" s="270"/>
      <c r="L14" s="270"/>
      <c r="M14" s="270"/>
      <c r="N14" s="270"/>
    </row>
    <row r="15" spans="1:15">
      <c r="A15" s="364" t="s">
        <v>142</v>
      </c>
      <c r="B15" s="365"/>
      <c r="C15" s="366"/>
      <c r="D15" s="140"/>
      <c r="E15" s="252">
        <f>SUM(E12:E14)</f>
        <v>0</v>
      </c>
      <c r="F15" s="250"/>
      <c r="H15" s="143" t="s">
        <v>148</v>
      </c>
      <c r="I15" s="270"/>
      <c r="J15" s="270"/>
      <c r="K15" s="270"/>
      <c r="L15" s="270"/>
      <c r="M15" s="270"/>
      <c r="N15" s="270"/>
    </row>
    <row r="16" spans="1:15">
      <c r="A16" s="138"/>
      <c r="B16" s="367"/>
      <c r="C16" s="368"/>
      <c r="D16" s="128"/>
      <c r="E16" s="253"/>
      <c r="F16" s="250"/>
    </row>
    <row r="17" spans="1:15" ht="14.4" customHeight="1">
      <c r="A17" s="369" t="s">
        <v>145</v>
      </c>
      <c r="B17" s="361" t="s">
        <v>136</v>
      </c>
      <c r="C17" s="370"/>
      <c r="D17" s="128"/>
      <c r="E17" s="254">
        <f>$C17*E15</f>
        <v>0</v>
      </c>
      <c r="F17" s="250"/>
      <c r="H17" s="200" t="s">
        <v>132</v>
      </c>
      <c r="I17" s="494" t="s">
        <v>150</v>
      </c>
      <c r="J17" s="497"/>
      <c r="K17" s="497"/>
      <c r="L17" s="497"/>
      <c r="M17" s="497"/>
      <c r="N17" s="498"/>
    </row>
    <row r="18" spans="1:15" ht="13.2" customHeight="1">
      <c r="A18" s="369" t="s">
        <v>147</v>
      </c>
      <c r="B18" s="361" t="s">
        <v>136</v>
      </c>
      <c r="C18" s="370"/>
      <c r="D18" s="128"/>
      <c r="E18" s="255">
        <f>$C18*E15</f>
        <v>0</v>
      </c>
      <c r="F18" s="250"/>
      <c r="H18" s="143"/>
      <c r="I18" s="269">
        <v>1</v>
      </c>
      <c r="J18" s="269">
        <v>2</v>
      </c>
      <c r="K18" s="269">
        <v>3</v>
      </c>
      <c r="L18" s="269">
        <v>4</v>
      </c>
      <c r="M18" s="269">
        <v>5</v>
      </c>
      <c r="N18" s="269">
        <v>6</v>
      </c>
      <c r="O18" s="234"/>
    </row>
    <row r="19" spans="1:15">
      <c r="A19" s="364" t="s">
        <v>149</v>
      </c>
      <c r="B19" s="371"/>
      <c r="C19" s="139"/>
      <c r="D19" s="128"/>
      <c r="E19" s="252">
        <f>SUM(E15:E18)</f>
        <v>0</v>
      </c>
      <c r="F19" s="372">
        <f>IF(E19=0,0,E19/E$47)</f>
        <v>0</v>
      </c>
      <c r="H19" s="143" t="s">
        <v>143</v>
      </c>
      <c r="I19" s="376"/>
      <c r="J19" s="376"/>
      <c r="K19" s="376"/>
      <c r="L19" s="376"/>
      <c r="M19" s="376"/>
      <c r="N19" s="376"/>
      <c r="O19" s="234"/>
    </row>
    <row r="20" spans="1:15">
      <c r="A20" s="138"/>
      <c r="B20" s="367"/>
      <c r="C20" s="368"/>
      <c r="D20" s="128"/>
      <c r="E20" s="253"/>
      <c r="F20" s="250"/>
      <c r="H20" s="143" t="s">
        <v>144</v>
      </c>
      <c r="I20" s="376"/>
      <c r="J20" s="376"/>
      <c r="K20" s="376"/>
      <c r="L20" s="376"/>
      <c r="M20" s="376"/>
      <c r="N20" s="376"/>
      <c r="O20" s="265"/>
    </row>
    <row r="21" spans="1:15">
      <c r="A21" s="373" t="s">
        <v>151</v>
      </c>
      <c r="B21" s="374"/>
      <c r="C21" s="368"/>
      <c r="D21" s="141"/>
      <c r="E21" s="256">
        <f>E19*0.96</f>
        <v>0</v>
      </c>
      <c r="F21" s="257"/>
      <c r="G21" s="142"/>
      <c r="H21" s="143" t="s">
        <v>146</v>
      </c>
      <c r="I21" s="376"/>
      <c r="J21" s="376"/>
      <c r="K21" s="376"/>
      <c r="L21" s="376"/>
      <c r="M21" s="376"/>
      <c r="N21" s="376"/>
      <c r="O21" s="234"/>
    </row>
    <row r="22" spans="1:15" s="14" customFormat="1">
      <c r="A22" s="369" t="s">
        <v>152</v>
      </c>
      <c r="B22" s="374"/>
      <c r="C22" s="375" t="s">
        <v>153</v>
      </c>
      <c r="D22" s="128"/>
      <c r="E22" s="254" t="e">
        <f>E21*'5-Premies en opslagen'!$C24</f>
        <v>#DIV/0!</v>
      </c>
      <c r="F22" s="250"/>
      <c r="G22" s="58"/>
      <c r="H22" s="143" t="s">
        <v>148</v>
      </c>
      <c r="I22" s="376"/>
      <c r="J22" s="376"/>
      <c r="K22" s="376"/>
      <c r="L22" s="376"/>
      <c r="M22" s="376"/>
      <c r="N22" s="376"/>
      <c r="O22" s="234"/>
    </row>
    <row r="23" spans="1:15" ht="14.25" customHeight="1">
      <c r="A23" s="364" t="s">
        <v>154</v>
      </c>
      <c r="B23" s="377"/>
      <c r="C23" s="139"/>
      <c r="D23" s="128"/>
      <c r="E23" s="252" t="e">
        <f>E22+E19</f>
        <v>#DIV/0!</v>
      </c>
      <c r="F23" s="372" t="e">
        <f>IF(E23=0,0,E23/E$47)</f>
        <v>#DIV/0!</v>
      </c>
      <c r="H23" s="144" t="s">
        <v>160</v>
      </c>
      <c r="I23" s="380">
        <f t="shared" ref="I23:N23" si="0">SUM(I19:I22)</f>
        <v>0</v>
      </c>
      <c r="J23" s="380">
        <f t="shared" si="0"/>
        <v>0</v>
      </c>
      <c r="K23" s="380">
        <f t="shared" si="0"/>
        <v>0</v>
      </c>
      <c r="L23" s="380">
        <f t="shared" si="0"/>
        <v>0</v>
      </c>
      <c r="M23" s="380">
        <f t="shared" si="0"/>
        <v>0</v>
      </c>
      <c r="N23" s="380">
        <f t="shared" si="0"/>
        <v>0</v>
      </c>
      <c r="O23" s="381">
        <f>SUM(I23:N23)</f>
        <v>0</v>
      </c>
    </row>
    <row r="24" spans="1:15" ht="12.75" customHeight="1">
      <c r="A24" s="138"/>
      <c r="B24" s="371"/>
      <c r="C24" s="139"/>
      <c r="D24" s="128"/>
      <c r="E24" s="248"/>
      <c r="F24" s="250"/>
    </row>
    <row r="25" spans="1:15" ht="12.75" customHeight="1">
      <c r="A25" s="369" t="s">
        <v>155</v>
      </c>
      <c r="B25" s="374"/>
      <c r="C25" s="375" t="s">
        <v>153</v>
      </c>
      <c r="D25" s="128"/>
      <c r="E25" s="254" t="e">
        <f>E23*'5-Premies en opslagen'!$B53</f>
        <v>#DIV/0!</v>
      </c>
      <c r="F25" s="250"/>
      <c r="H25" s="200" t="s">
        <v>132</v>
      </c>
      <c r="I25" s="489" t="s">
        <v>162</v>
      </c>
      <c r="J25" s="490"/>
      <c r="K25" s="490"/>
      <c r="L25" s="490"/>
      <c r="M25" s="490"/>
      <c r="N25" s="490"/>
    </row>
    <row r="26" spans="1:15">
      <c r="A26" s="364" t="s">
        <v>156</v>
      </c>
      <c r="B26" s="371"/>
      <c r="C26" s="139"/>
      <c r="D26" s="128"/>
      <c r="E26" s="252" t="e">
        <f>SUM(E23:E25)</f>
        <v>#DIV/0!</v>
      </c>
      <c r="F26" s="372" t="e">
        <f>IF(E26=0,0,E26/E$47)</f>
        <v>#DIV/0!</v>
      </c>
      <c r="H26" s="271"/>
      <c r="I26" s="269">
        <v>1</v>
      </c>
      <c r="J26" s="269">
        <v>2</v>
      </c>
      <c r="K26" s="269">
        <v>3</v>
      </c>
      <c r="L26" s="269">
        <v>4</v>
      </c>
      <c r="M26" s="269">
        <v>5</v>
      </c>
      <c r="N26" s="269">
        <v>6</v>
      </c>
    </row>
    <row r="27" spans="1:15" ht="13.2" customHeight="1">
      <c r="A27" s="138"/>
      <c r="B27" s="371"/>
      <c r="C27" s="139"/>
      <c r="D27" s="128"/>
      <c r="E27" s="248"/>
      <c r="F27" s="250"/>
      <c r="H27" s="143" t="s">
        <v>143</v>
      </c>
      <c r="I27" s="453">
        <f t="shared" ref="I27:N30" si="1">I19*I12</f>
        <v>0</v>
      </c>
      <c r="J27" s="453">
        <f t="shared" si="1"/>
        <v>0</v>
      </c>
      <c r="K27" s="453">
        <f t="shared" si="1"/>
        <v>0</v>
      </c>
      <c r="L27" s="453">
        <f t="shared" si="1"/>
        <v>0</v>
      </c>
      <c r="M27" s="453">
        <f t="shared" si="1"/>
        <v>0</v>
      </c>
      <c r="N27" s="453">
        <f t="shared" si="1"/>
        <v>0</v>
      </c>
    </row>
    <row r="28" spans="1:15">
      <c r="A28" s="138" t="s">
        <v>157</v>
      </c>
      <c r="B28" s="378"/>
      <c r="C28" s="363" t="s">
        <v>158</v>
      </c>
      <c r="D28" s="128"/>
      <c r="E28" s="251"/>
      <c r="F28" s="250">
        <v>0</v>
      </c>
      <c r="H28" s="143" t="s">
        <v>144</v>
      </c>
      <c r="I28" s="453">
        <f t="shared" si="1"/>
        <v>0</v>
      </c>
      <c r="J28" s="453">
        <f t="shared" si="1"/>
        <v>0</v>
      </c>
      <c r="K28" s="453">
        <f t="shared" si="1"/>
        <v>0</v>
      </c>
      <c r="L28" s="453">
        <f t="shared" si="1"/>
        <v>0</v>
      </c>
      <c r="M28" s="453">
        <f t="shared" si="1"/>
        <v>0</v>
      </c>
      <c r="N28" s="453">
        <f t="shared" si="1"/>
        <v>0</v>
      </c>
    </row>
    <row r="29" spans="1:15">
      <c r="A29" s="138" t="s">
        <v>159</v>
      </c>
      <c r="B29" s="379"/>
      <c r="C29" s="363" t="s">
        <v>158</v>
      </c>
      <c r="D29" s="128"/>
      <c r="E29" s="251"/>
      <c r="F29" s="250">
        <v>0</v>
      </c>
      <c r="H29" s="143" t="s">
        <v>146</v>
      </c>
      <c r="I29" s="453">
        <f t="shared" si="1"/>
        <v>0</v>
      </c>
      <c r="J29" s="453">
        <f t="shared" si="1"/>
        <v>0</v>
      </c>
      <c r="K29" s="453">
        <f t="shared" si="1"/>
        <v>0</v>
      </c>
      <c r="L29" s="453">
        <f t="shared" si="1"/>
        <v>0</v>
      </c>
      <c r="M29" s="453">
        <f t="shared" si="1"/>
        <v>0</v>
      </c>
      <c r="N29" s="453">
        <f t="shared" si="1"/>
        <v>0</v>
      </c>
    </row>
    <row r="30" spans="1:15">
      <c r="A30" s="138"/>
      <c r="B30" s="371"/>
      <c r="C30" s="139"/>
      <c r="D30" s="128"/>
      <c r="E30" s="251"/>
      <c r="F30" s="250"/>
      <c r="H30" s="143" t="s">
        <v>148</v>
      </c>
      <c r="I30" s="453">
        <f t="shared" si="1"/>
        <v>0</v>
      </c>
      <c r="J30" s="453">
        <f t="shared" si="1"/>
        <v>0</v>
      </c>
      <c r="K30" s="453">
        <f t="shared" si="1"/>
        <v>0</v>
      </c>
      <c r="L30" s="453">
        <f t="shared" si="1"/>
        <v>0</v>
      </c>
      <c r="M30" s="453">
        <f t="shared" si="1"/>
        <v>0</v>
      </c>
      <c r="N30" s="453">
        <f t="shared" si="1"/>
        <v>0</v>
      </c>
    </row>
    <row r="31" spans="1:15" ht="12.75" customHeight="1">
      <c r="A31" s="382"/>
      <c r="B31" s="383"/>
      <c r="C31" s="384" t="s">
        <v>134</v>
      </c>
      <c r="D31" s="128"/>
      <c r="E31" s="251"/>
      <c r="F31" s="250"/>
      <c r="H31" s="144" t="s">
        <v>160</v>
      </c>
      <c r="I31" s="397">
        <f t="shared" ref="I31:N31" si="2">SUM(I27:I30)</f>
        <v>0</v>
      </c>
      <c r="J31" s="397">
        <f t="shared" si="2"/>
        <v>0</v>
      </c>
      <c r="K31" s="397">
        <f t="shared" si="2"/>
        <v>0</v>
      </c>
      <c r="L31" s="397">
        <f t="shared" si="2"/>
        <v>0</v>
      </c>
      <c r="M31" s="397">
        <f t="shared" si="2"/>
        <v>0</v>
      </c>
      <c r="N31" s="397">
        <f t="shared" si="2"/>
        <v>0</v>
      </c>
    </row>
    <row r="32" spans="1:15" ht="12.75" customHeight="1">
      <c r="A32" s="364" t="s">
        <v>163</v>
      </c>
      <c r="B32" s="371"/>
      <c r="C32" s="139"/>
      <c r="D32" s="128"/>
      <c r="E32" s="252" t="e">
        <f>SUM(E26:E31)</f>
        <v>#DIV/0!</v>
      </c>
      <c r="F32" s="372" t="e">
        <f>IF(E32=0,0,E32/E$47)</f>
        <v>#DIV/0!</v>
      </c>
    </row>
    <row r="33" spans="1:15" ht="12.75" customHeight="1">
      <c r="A33" s="138"/>
      <c r="B33" s="371"/>
      <c r="C33" s="139"/>
      <c r="D33" s="128"/>
      <c r="E33" s="248"/>
      <c r="F33" s="250"/>
    </row>
    <row r="34" spans="1:15" ht="12.75" customHeight="1">
      <c r="A34" s="138" t="s">
        <v>164</v>
      </c>
      <c r="B34" s="371"/>
      <c r="C34" s="385"/>
      <c r="D34" s="128"/>
      <c r="E34" s="251"/>
      <c r="F34" s="258" t="e">
        <f>E34/$E$47</f>
        <v>#DIV/0!</v>
      </c>
    </row>
    <row r="35" spans="1:15" ht="12.75" customHeight="1">
      <c r="A35" s="138" t="s">
        <v>165</v>
      </c>
      <c r="B35" s="371"/>
      <c r="C35" s="385"/>
      <c r="D35" s="128"/>
      <c r="E35" s="251"/>
      <c r="F35" s="258" t="e">
        <f t="shared" ref="F35:F41" si="3">E35/$E$47</f>
        <v>#DIV/0!</v>
      </c>
    </row>
    <row r="36" spans="1:15" ht="14.25" customHeight="1">
      <c r="A36" s="138" t="s">
        <v>166</v>
      </c>
      <c r="B36" s="371"/>
      <c r="C36" s="385"/>
      <c r="D36" s="128"/>
      <c r="E36" s="251"/>
      <c r="F36" s="258" t="e">
        <f t="shared" si="3"/>
        <v>#DIV/0!</v>
      </c>
    </row>
    <row r="37" spans="1:15">
      <c r="A37" s="138" t="s">
        <v>167</v>
      </c>
      <c r="B37" s="371"/>
      <c r="C37" s="386"/>
      <c r="D37" s="128"/>
      <c r="E37" s="251"/>
      <c r="F37" s="258" t="e">
        <f t="shared" si="3"/>
        <v>#DIV/0!</v>
      </c>
    </row>
    <row r="38" spans="1:15">
      <c r="A38" s="138" t="s">
        <v>168</v>
      </c>
      <c r="B38" s="371"/>
      <c r="C38" s="385"/>
      <c r="D38" s="128"/>
      <c r="E38" s="251"/>
      <c r="F38" s="258" t="e">
        <f t="shared" si="3"/>
        <v>#DIV/0!</v>
      </c>
    </row>
    <row r="39" spans="1:15">
      <c r="A39" s="138" t="s">
        <v>169</v>
      </c>
      <c r="B39" s="371"/>
      <c r="C39" s="386"/>
      <c r="D39" s="128"/>
      <c r="E39" s="251"/>
      <c r="F39" s="258" t="e">
        <f t="shared" si="3"/>
        <v>#DIV/0!</v>
      </c>
    </row>
    <row r="40" spans="1:15">
      <c r="A40" s="138" t="s">
        <v>170</v>
      </c>
      <c r="B40" s="371"/>
      <c r="C40" s="363" t="s">
        <v>158</v>
      </c>
      <c r="D40" s="128"/>
      <c r="E40" s="251"/>
      <c r="F40" s="258" t="e">
        <f t="shared" si="3"/>
        <v>#DIV/0!</v>
      </c>
    </row>
    <row r="41" spans="1:15">
      <c r="A41" s="138" t="s">
        <v>171</v>
      </c>
      <c r="B41" s="371"/>
      <c r="C41" s="363"/>
      <c r="D41" s="128"/>
      <c r="E41" s="251"/>
      <c r="F41" s="258" t="e">
        <f t="shared" si="3"/>
        <v>#DIV/0!</v>
      </c>
      <c r="H41" s="142"/>
      <c r="I41" s="142"/>
      <c r="J41" s="142"/>
      <c r="K41" s="142"/>
      <c r="L41" s="142"/>
      <c r="M41" s="142"/>
      <c r="N41" s="142"/>
      <c r="O41" s="142"/>
    </row>
    <row r="42" spans="1:15">
      <c r="A42" s="382"/>
      <c r="B42" s="383"/>
      <c r="C42" s="387"/>
      <c r="D42" s="128"/>
      <c r="E42" s="251"/>
      <c r="F42" s="250"/>
      <c r="H42" s="142"/>
      <c r="I42" s="142"/>
      <c r="J42" s="142"/>
      <c r="K42" s="142"/>
      <c r="L42" s="142"/>
      <c r="M42" s="142"/>
      <c r="N42" s="142"/>
      <c r="O42" s="142"/>
    </row>
    <row r="43" spans="1:15" ht="45">
      <c r="A43" s="364" t="s">
        <v>172</v>
      </c>
      <c r="B43" s="371"/>
      <c r="C43" s="139"/>
      <c r="D43" s="128"/>
      <c r="E43" s="252" t="e">
        <f>SUM(E32:E42)</f>
        <v>#DIV/0!</v>
      </c>
      <c r="F43" s="372" t="e">
        <f>IF(E43=0,0,E43/E$47)</f>
        <v>#DIV/0!</v>
      </c>
      <c r="H43" s="395" t="s">
        <v>173</v>
      </c>
      <c r="I43" s="356"/>
      <c r="J43" s="357"/>
      <c r="K43" s="201" t="s">
        <v>131</v>
      </c>
      <c r="L43" s="142"/>
      <c r="M43" s="142"/>
      <c r="N43" s="142"/>
    </row>
    <row r="44" spans="1:15">
      <c r="A44" s="138"/>
      <c r="B44" s="371"/>
      <c r="C44" s="139"/>
      <c r="D44" s="128"/>
      <c r="E44" s="248"/>
      <c r="F44" s="259"/>
      <c r="H44" s="143"/>
      <c r="I44" s="358" t="s">
        <v>134</v>
      </c>
      <c r="J44" s="359" t="s">
        <v>134</v>
      </c>
      <c r="K44" s="248"/>
      <c r="L44" s="142"/>
      <c r="M44" s="142"/>
      <c r="N44" s="142"/>
    </row>
    <row r="45" spans="1:15">
      <c r="A45" s="138" t="s">
        <v>174</v>
      </c>
      <c r="B45" s="371"/>
      <c r="C45" s="386"/>
      <c r="D45" s="128"/>
      <c r="E45" s="251"/>
      <c r="F45" s="372">
        <f>(IF(E45=0,0,E45/E$47))</f>
        <v>0</v>
      </c>
      <c r="H45" s="146" t="s">
        <v>142</v>
      </c>
      <c r="I45" s="147"/>
      <c r="J45" s="148"/>
      <c r="K45" s="252">
        <f>E15</f>
        <v>0</v>
      </c>
      <c r="L45" s="142"/>
      <c r="M45" s="142"/>
      <c r="N45" s="142"/>
    </row>
    <row r="46" spans="1:15">
      <c r="A46" s="138"/>
      <c r="B46" s="388"/>
      <c r="C46" s="139"/>
      <c r="D46" s="128"/>
      <c r="E46" s="248"/>
      <c r="F46" s="250"/>
      <c r="H46" s="149" t="s">
        <v>145</v>
      </c>
      <c r="I46" s="150"/>
      <c r="J46" s="151"/>
      <c r="K46" s="254">
        <f>E17</f>
        <v>0</v>
      </c>
      <c r="L46" s="142"/>
      <c r="M46" s="142"/>
      <c r="N46" s="142"/>
    </row>
    <row r="47" spans="1:15">
      <c r="A47" s="364" t="s">
        <v>175</v>
      </c>
      <c r="B47" s="389"/>
      <c r="C47" s="390"/>
      <c r="D47" s="128"/>
      <c r="E47" s="260" t="e">
        <f>SUM(E43:E46)</f>
        <v>#DIV/0!</v>
      </c>
      <c r="F47" s="261" t="e">
        <f>SUM(F43:F46)</f>
        <v>#DIV/0!</v>
      </c>
      <c r="H47" s="369" t="s">
        <v>147</v>
      </c>
      <c r="I47" s="150"/>
      <c r="J47" s="151"/>
      <c r="K47" s="255">
        <f>E18</f>
        <v>0</v>
      </c>
      <c r="L47" s="142"/>
      <c r="M47" s="142"/>
      <c r="N47" s="142"/>
      <c r="O47" s="142"/>
    </row>
    <row r="48" spans="1:15">
      <c r="B48" s="145"/>
      <c r="C48" s="391"/>
      <c r="D48" s="128"/>
      <c r="E48" s="234"/>
      <c r="F48" s="262"/>
      <c r="H48" s="369" t="s">
        <v>152</v>
      </c>
      <c r="I48" s="150"/>
      <c r="J48" s="151"/>
      <c r="K48" s="254" t="e">
        <f>E22</f>
        <v>#DIV/0!</v>
      </c>
      <c r="L48" s="142"/>
      <c r="M48" s="142"/>
      <c r="N48" s="142"/>
      <c r="O48" s="142"/>
    </row>
    <row r="49" spans="1:15">
      <c r="A49" s="392" t="s">
        <v>176</v>
      </c>
      <c r="B49" s="393"/>
      <c r="C49" s="394"/>
      <c r="D49" s="142"/>
      <c r="E49" s="263" t="e">
        <f>(E$26*1.3)+($E$47-$E$26)</f>
        <v>#DIV/0!</v>
      </c>
      <c r="F49" s="264"/>
      <c r="G49" s="142"/>
      <c r="H49" s="369" t="s">
        <v>155</v>
      </c>
      <c r="I49" s="374"/>
      <c r="J49" s="375"/>
      <c r="K49" s="254" t="e">
        <f>E25</f>
        <v>#DIV/0!</v>
      </c>
      <c r="L49" s="142"/>
      <c r="M49" s="142"/>
      <c r="N49" s="142"/>
      <c r="O49" s="142"/>
    </row>
    <row r="50" spans="1:15" s="14" customFormat="1">
      <c r="A50" s="142"/>
      <c r="B50" s="152"/>
      <c r="C50" s="153"/>
      <c r="D50" s="142"/>
      <c r="E50" s="265"/>
      <c r="F50" s="265"/>
      <c r="G50" s="142"/>
      <c r="H50" s="138" t="s">
        <v>157</v>
      </c>
      <c r="I50" s="378"/>
      <c r="J50" s="363"/>
      <c r="K50" s="249">
        <f>E28</f>
        <v>0</v>
      </c>
      <c r="L50" s="142"/>
      <c r="M50" s="142"/>
      <c r="N50" s="142"/>
      <c r="O50" s="142"/>
    </row>
    <row r="51" spans="1:15" s="14" customFormat="1">
      <c r="A51" s="392" t="s">
        <v>177</v>
      </c>
      <c r="B51" s="393"/>
      <c r="C51" s="394"/>
      <c r="D51" s="142"/>
      <c r="E51" s="263" t="e">
        <f>(E$26*1.5)+($E$47-$E$26)</f>
        <v>#DIV/0!</v>
      </c>
      <c r="F51" s="264"/>
      <c r="G51" s="142"/>
      <c r="H51" s="138" t="s">
        <v>159</v>
      </c>
      <c r="I51" s="379"/>
      <c r="J51" s="363"/>
      <c r="K51" s="249">
        <f t="shared" ref="K51:K52" si="4">E29</f>
        <v>0</v>
      </c>
      <c r="L51" s="142"/>
      <c r="M51" s="58"/>
      <c r="N51" s="142"/>
      <c r="O51" s="142"/>
    </row>
    <row r="52" spans="1:15" s="14" customFormat="1">
      <c r="A52" s="142"/>
      <c r="B52" s="152"/>
      <c r="C52" s="153"/>
      <c r="D52" s="142"/>
      <c r="E52" s="265"/>
      <c r="F52" s="265"/>
      <c r="G52" s="142"/>
      <c r="H52" s="138" t="s">
        <v>161</v>
      </c>
      <c r="I52" s="371"/>
      <c r="J52" s="139" t="s">
        <v>134</v>
      </c>
      <c r="K52" s="249">
        <f t="shared" si="4"/>
        <v>0</v>
      </c>
      <c r="L52" s="142"/>
      <c r="M52" s="58"/>
      <c r="N52" s="142"/>
      <c r="O52" s="142"/>
    </row>
    <row r="53" spans="1:15" s="14" customFormat="1">
      <c r="A53" s="392" t="s">
        <v>178</v>
      </c>
      <c r="B53" s="393"/>
      <c r="C53" s="394"/>
      <c r="D53" s="142"/>
      <c r="E53" s="263" t="e">
        <f>(E$26*2.5)+($E$47-$E$26)</f>
        <v>#DIV/0!</v>
      </c>
      <c r="F53" s="265"/>
      <c r="G53" s="142"/>
      <c r="H53" s="138" t="s">
        <v>164</v>
      </c>
      <c r="I53" s="371"/>
      <c r="J53" s="385"/>
      <c r="K53" s="249">
        <f>E34</f>
        <v>0</v>
      </c>
      <c r="L53" s="142"/>
      <c r="M53" s="58"/>
      <c r="N53" s="142"/>
      <c r="O53" s="142"/>
    </row>
    <row r="54" spans="1:15" s="14" customFormat="1">
      <c r="A54" s="142"/>
      <c r="B54" s="152"/>
      <c r="C54" s="154"/>
      <c r="D54" s="142"/>
      <c r="E54" s="142"/>
      <c r="F54" s="155"/>
      <c r="G54" s="142"/>
      <c r="H54" s="138" t="s">
        <v>165</v>
      </c>
      <c r="I54" s="371"/>
      <c r="J54" s="385"/>
      <c r="K54" s="249">
        <f t="shared" ref="K54:K60" si="5">E35</f>
        <v>0</v>
      </c>
      <c r="L54" s="142"/>
      <c r="M54" s="58"/>
      <c r="N54" s="142"/>
      <c r="O54" s="142"/>
    </row>
    <row r="55" spans="1:15" s="14" customFormat="1">
      <c r="A55" s="142"/>
      <c r="B55" s="152"/>
      <c r="C55" s="154"/>
      <c r="D55" s="142"/>
      <c r="E55" s="142"/>
      <c r="F55" s="155"/>
      <c r="G55" s="142"/>
      <c r="H55" s="138" t="s">
        <v>166</v>
      </c>
      <c r="I55" s="371"/>
      <c r="J55" s="385"/>
      <c r="K55" s="249">
        <f t="shared" si="5"/>
        <v>0</v>
      </c>
      <c r="L55" s="142"/>
      <c r="M55" s="58"/>
      <c r="N55" s="142"/>
      <c r="O55" s="142"/>
    </row>
    <row r="56" spans="1:15" s="14" customFormat="1">
      <c r="A56" s="142"/>
      <c r="B56" s="142"/>
      <c r="C56" s="156"/>
      <c r="D56" s="142"/>
      <c r="E56" s="142"/>
      <c r="F56" s="155"/>
      <c r="G56" s="142"/>
      <c r="H56" s="138" t="s">
        <v>167</v>
      </c>
      <c r="I56" s="371"/>
      <c r="J56" s="386"/>
      <c r="K56" s="249">
        <f t="shared" si="5"/>
        <v>0</v>
      </c>
      <c r="L56" s="142"/>
      <c r="M56" s="58"/>
      <c r="N56" s="142"/>
      <c r="O56" s="142"/>
    </row>
    <row r="57" spans="1:15" s="14" customFormat="1">
      <c r="A57" s="142"/>
      <c r="B57" s="142"/>
      <c r="C57" s="156"/>
      <c r="D57" s="142"/>
      <c r="E57" s="142"/>
      <c r="F57" s="155"/>
      <c r="G57" s="142"/>
      <c r="H57" s="138" t="s">
        <v>168</v>
      </c>
      <c r="I57" s="371"/>
      <c r="J57" s="385"/>
      <c r="K57" s="249">
        <f t="shared" si="5"/>
        <v>0</v>
      </c>
      <c r="L57" s="142"/>
      <c r="M57" s="58"/>
      <c r="N57" s="142"/>
      <c r="O57" s="142"/>
    </row>
    <row r="58" spans="1:15" s="14" customFormat="1">
      <c r="A58" s="58"/>
      <c r="B58" s="142"/>
      <c r="C58" s="156"/>
      <c r="D58" s="142"/>
      <c r="E58" s="142"/>
      <c r="F58" s="155"/>
      <c r="G58" s="142"/>
      <c r="H58" s="138" t="s">
        <v>169</v>
      </c>
      <c r="I58" s="371"/>
      <c r="J58" s="386"/>
      <c r="K58" s="249">
        <f t="shared" si="5"/>
        <v>0</v>
      </c>
      <c r="L58" s="142"/>
      <c r="M58" s="58"/>
      <c r="N58" s="58"/>
      <c r="O58" s="142"/>
    </row>
    <row r="59" spans="1:15" s="14" customFormat="1">
      <c r="A59" s="142"/>
      <c r="B59" s="142"/>
      <c r="C59" s="156"/>
      <c r="D59" s="142"/>
      <c r="E59" s="142"/>
      <c r="F59" s="155"/>
      <c r="G59" s="142"/>
      <c r="H59" s="138" t="s">
        <v>170</v>
      </c>
      <c r="I59" s="371"/>
      <c r="J59" s="363"/>
      <c r="K59" s="249">
        <f t="shared" si="5"/>
        <v>0</v>
      </c>
      <c r="L59" s="142"/>
      <c r="M59" s="58"/>
      <c r="N59" s="58"/>
      <c r="O59" s="142"/>
    </row>
    <row r="60" spans="1:15" s="14" customFormat="1">
      <c r="A60" s="142"/>
      <c r="B60" s="142"/>
      <c r="C60" s="156"/>
      <c r="D60" s="142"/>
      <c r="E60" s="142"/>
      <c r="F60" s="155"/>
      <c r="G60" s="142"/>
      <c r="H60" s="138" t="s">
        <v>171</v>
      </c>
      <c r="I60" s="371"/>
      <c r="J60" s="363"/>
      <c r="K60" s="249">
        <f t="shared" si="5"/>
        <v>0</v>
      </c>
      <c r="L60" s="142"/>
      <c r="M60" s="58"/>
      <c r="N60" s="58"/>
      <c r="O60" s="142"/>
    </row>
    <row r="61" spans="1:15" s="14" customFormat="1">
      <c r="A61" s="142"/>
      <c r="B61" s="142"/>
      <c r="C61" s="156"/>
      <c r="D61" s="142"/>
      <c r="E61" s="142"/>
      <c r="F61" s="155"/>
      <c r="G61" s="142"/>
      <c r="H61" s="138" t="s">
        <v>174</v>
      </c>
      <c r="I61" s="371"/>
      <c r="J61" s="386"/>
      <c r="K61" s="249">
        <f>E45</f>
        <v>0</v>
      </c>
      <c r="L61" s="142"/>
      <c r="M61" s="58"/>
      <c r="N61" s="58"/>
      <c r="O61" s="142"/>
    </row>
    <row r="62" spans="1:15" s="14" customFormat="1">
      <c r="A62" s="142"/>
      <c r="B62" s="142"/>
      <c r="C62" s="156"/>
      <c r="D62" s="142"/>
      <c r="E62" s="142"/>
      <c r="F62" s="155"/>
      <c r="G62" s="142"/>
      <c r="H62" s="138"/>
      <c r="I62" s="388"/>
      <c r="J62" s="139"/>
      <c r="K62" s="248"/>
      <c r="L62" s="142"/>
      <c r="M62" s="58"/>
      <c r="N62" s="58"/>
      <c r="O62" s="142"/>
    </row>
    <row r="63" spans="1:15" s="14" customFormat="1">
      <c r="A63" s="142"/>
      <c r="B63" s="142"/>
      <c r="C63" s="156"/>
      <c r="D63" s="142"/>
      <c r="E63" s="142"/>
      <c r="F63" s="155"/>
      <c r="G63" s="142"/>
      <c r="H63" s="364" t="s">
        <v>175</v>
      </c>
      <c r="I63" s="389"/>
      <c r="J63" s="390"/>
      <c r="K63" s="260" t="e">
        <f>SUM(K45:K62)</f>
        <v>#DIV/0!</v>
      </c>
      <c r="L63" s="142"/>
      <c r="M63" s="58"/>
      <c r="N63" s="58"/>
      <c r="O63" s="142"/>
    </row>
    <row r="64" spans="1:15" s="14" customFormat="1">
      <c r="A64" s="142"/>
      <c r="B64" s="142"/>
      <c r="C64" s="156"/>
      <c r="D64" s="142"/>
      <c r="E64" s="142"/>
      <c r="F64" s="155"/>
      <c r="G64" s="142"/>
      <c r="H64" s="58"/>
      <c r="I64" s="145"/>
      <c r="J64" s="391"/>
      <c r="K64" s="234"/>
      <c r="L64" s="142"/>
      <c r="M64" s="58"/>
      <c r="N64" s="58"/>
      <c r="O64" s="58"/>
    </row>
    <row r="65" spans="1:15" s="14" customFormat="1">
      <c r="A65" s="142"/>
      <c r="B65" s="142"/>
      <c r="C65" s="156"/>
      <c r="D65" s="142"/>
      <c r="E65" s="58"/>
      <c r="F65" s="155"/>
      <c r="G65" s="142"/>
      <c r="H65" s="392" t="s">
        <v>176</v>
      </c>
      <c r="I65" s="393"/>
      <c r="J65" s="394"/>
      <c r="K65" s="263" t="e">
        <f>E49</f>
        <v>#DIV/0!</v>
      </c>
      <c r="L65" s="142"/>
      <c r="M65" s="58"/>
      <c r="N65" s="58"/>
      <c r="O65" s="58"/>
    </row>
    <row r="66" spans="1:15">
      <c r="H66" s="142"/>
      <c r="I66" s="152"/>
      <c r="J66" s="153"/>
      <c r="K66" s="265"/>
      <c r="L66" s="142"/>
    </row>
    <row r="67" spans="1:15">
      <c r="H67" s="392" t="s">
        <v>177</v>
      </c>
      <c r="I67" s="393"/>
      <c r="J67" s="394"/>
      <c r="K67" s="263" t="e">
        <f>E51</f>
        <v>#DIV/0!</v>
      </c>
      <c r="L67" s="142"/>
    </row>
    <row r="68" spans="1:15">
      <c r="H68" s="142"/>
      <c r="I68" s="152"/>
      <c r="J68" s="153"/>
      <c r="K68" s="265"/>
      <c r="L68" s="142"/>
    </row>
    <row r="69" spans="1:15">
      <c r="H69" s="392" t="s">
        <v>178</v>
      </c>
      <c r="I69" s="393"/>
      <c r="J69" s="394"/>
      <c r="K69" s="263" t="e">
        <f>E53</f>
        <v>#DIV/0!</v>
      </c>
      <c r="L69" s="142"/>
    </row>
    <row r="70" spans="1:15">
      <c r="L70" s="142"/>
      <c r="O70" s="142"/>
    </row>
    <row r="71" spans="1:15">
      <c r="O71" s="142"/>
    </row>
    <row r="72" spans="1:15">
      <c r="O72" s="142"/>
    </row>
    <row r="73" spans="1:15">
      <c r="O73" s="142"/>
    </row>
    <row r="74" spans="1:15">
      <c r="O74" s="142"/>
    </row>
    <row r="75" spans="1:15">
      <c r="O75" s="142"/>
    </row>
    <row r="76" spans="1:15">
      <c r="O76" s="142"/>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3"/>
  <sheetViews>
    <sheetView showGridLines="0" zoomScaleNormal="100" workbookViewId="0">
      <pane ySplit="10" topLeftCell="A11" activePane="bottomLeft" state="frozen"/>
      <selection activeCell="B1" sqref="B1"/>
      <selection pane="bottomLeft" activeCell="I17" sqref="I17"/>
    </sheetView>
  </sheetViews>
  <sheetFormatPr defaultColWidth="9.109375" defaultRowHeight="13.2"/>
  <cols>
    <col min="1" max="1" width="28.109375" style="58" customWidth="1"/>
    <col min="2" max="2" width="49.6640625" style="58" bestFit="1" customWidth="1"/>
    <col min="3" max="3" width="12.88671875" style="58" customWidth="1"/>
    <col min="4" max="4" width="20.77734375" style="58" customWidth="1"/>
    <col min="5" max="5" width="15.33203125" style="58" customWidth="1"/>
    <col min="6" max="6" width="12.88671875" style="58" customWidth="1"/>
    <col min="7" max="7" width="12.33203125" style="58" bestFit="1" customWidth="1"/>
    <col min="8" max="8" width="13.6640625" style="58" bestFit="1" customWidth="1"/>
    <col min="9" max="9" width="19.88671875" style="2" customWidth="1"/>
    <col min="10" max="16384" width="9.109375" style="2"/>
  </cols>
  <sheetData>
    <row r="1" spans="1:9" ht="16.2">
      <c r="A1" s="451" t="s">
        <v>4</v>
      </c>
      <c r="D1" s="202" t="s">
        <v>181</v>
      </c>
      <c r="E1" s="203"/>
      <c r="F1" s="203"/>
      <c r="G1" s="204"/>
      <c r="H1" s="205" t="s">
        <v>182</v>
      </c>
    </row>
    <row r="2" spans="1:9">
      <c r="A2" s="100"/>
      <c r="D2" s="157" t="s">
        <v>183</v>
      </c>
      <c r="E2" s="158"/>
      <c r="F2" s="158"/>
      <c r="G2" s="159"/>
      <c r="H2" s="272" t="e">
        <f>'6-Opbouw uurtarief productie'!E47</f>
        <v>#DIV/0!</v>
      </c>
    </row>
    <row r="3" spans="1:9" ht="15.6">
      <c r="A3" s="38" t="str">
        <f>'2-Kosten per locatie'!A3</f>
        <v>Naam opdrachtgever</v>
      </c>
      <c r="B3" s="160" t="str">
        <f>'2-Kosten per locatie'!B3</f>
        <v>Gemeente Voorne aan Zee</v>
      </c>
      <c r="D3" s="157" t="s">
        <v>184</v>
      </c>
      <c r="E3" s="158"/>
      <c r="F3" s="158"/>
      <c r="G3" s="159"/>
      <c r="H3" s="272" t="e">
        <f>'6-Opbouw uurtarief productie'!E51</f>
        <v>#DIV/0!</v>
      </c>
    </row>
    <row r="4" spans="1:9" ht="15.6">
      <c r="A4" s="38" t="str">
        <f>'2-Kosten per locatie'!A4</f>
        <v>Calculatie onderdeel</v>
      </c>
      <c r="B4" s="47" t="str">
        <f ca="1">MID(CELL("bestandsnaam",$C$9),SEARCH("]",CELL("bestandsnaam",$C$9),1)+1,256)</f>
        <v>8-Additionele kosten</v>
      </c>
      <c r="D4" s="157" t="s">
        <v>185</v>
      </c>
      <c r="E4" s="158"/>
      <c r="F4" s="158"/>
      <c r="G4" s="159"/>
      <c r="H4" s="272" t="e">
        <f>'6-Opbouw uurtarief productie'!E53</f>
        <v>#DIV/0!</v>
      </c>
    </row>
    <row r="5" spans="1:9" ht="15.6">
      <c r="A5" s="38" t="str">
        <f>'2-Kosten per locatie'!A5</f>
        <v>Gebouw/plaats</v>
      </c>
      <c r="B5" s="160" t="str">
        <f>'2-Kosten per locatie'!B5</f>
        <v>Perceel 1</v>
      </c>
      <c r="D5" s="157" t="s">
        <v>186</v>
      </c>
      <c r="E5" s="158"/>
      <c r="F5" s="158"/>
      <c r="G5" s="159"/>
      <c r="H5" s="272">
        <v>0</v>
      </c>
    </row>
    <row r="6" spans="1:9" ht="15.6">
      <c r="A6" s="38" t="str">
        <f>'2-Kosten per locatie'!A6</f>
        <v>Referentie nummer</v>
      </c>
      <c r="B6" s="160" t="str">
        <f>'2-Kosten per locatie'!B6</f>
        <v>TN521819</v>
      </c>
      <c r="D6" s="157" t="s">
        <v>186</v>
      </c>
      <c r="E6" s="158"/>
      <c r="F6" s="158"/>
      <c r="G6" s="159"/>
      <c r="H6" s="272">
        <v>0</v>
      </c>
    </row>
    <row r="7" spans="1:9" ht="15" customHeight="1">
      <c r="A7" s="38" t="str">
        <f>'2-Kosten per locatie'!A7</f>
        <v>Naam dienstverlener</v>
      </c>
      <c r="B7" s="160">
        <f>'2-Kosten per locatie'!B7</f>
        <v>0</v>
      </c>
      <c r="D7" s="157" t="s">
        <v>186</v>
      </c>
      <c r="E7" s="158"/>
      <c r="F7" s="158"/>
      <c r="G7" s="159"/>
      <c r="H7" s="272">
        <v>0</v>
      </c>
      <c r="I7" s="22"/>
    </row>
    <row r="8" spans="1:9" ht="15.6">
      <c r="A8" s="38" t="str">
        <f>'2-Kosten per locatie'!A8</f>
        <v>Prijspeil</v>
      </c>
      <c r="B8" s="273">
        <f>'2-Kosten per locatie'!B8</f>
        <v>46023</v>
      </c>
      <c r="D8" s="157" t="s">
        <v>186</v>
      </c>
      <c r="E8" s="158"/>
      <c r="F8" s="158"/>
      <c r="G8" s="159"/>
      <c r="H8" s="272">
        <v>0</v>
      </c>
      <c r="I8" s="22"/>
    </row>
    <row r="10" spans="1:9" ht="32.4">
      <c r="A10" s="398" t="s">
        <v>20</v>
      </c>
      <c r="B10" s="398" t="s">
        <v>187</v>
      </c>
      <c r="C10" s="398" t="s">
        <v>188</v>
      </c>
      <c r="D10" s="398" t="s">
        <v>189</v>
      </c>
      <c r="E10" s="398" t="s">
        <v>190</v>
      </c>
      <c r="F10" s="398" t="s">
        <v>191</v>
      </c>
      <c r="G10" s="398" t="s">
        <v>192</v>
      </c>
      <c r="H10" s="398" t="s">
        <v>193</v>
      </c>
    </row>
    <row r="11" spans="1:9">
      <c r="A11" s="278"/>
      <c r="B11" s="70"/>
      <c r="C11" s="399"/>
      <c r="D11" s="399"/>
      <c r="E11" s="462"/>
      <c r="F11" s="400">
        <f>E11*D11</f>
        <v>0</v>
      </c>
      <c r="G11" s="401">
        <v>0</v>
      </c>
      <c r="H11" s="218">
        <f>G11*F11</f>
        <v>0</v>
      </c>
    </row>
    <row r="12" spans="1:9">
      <c r="A12" s="279"/>
      <c r="B12" s="70"/>
      <c r="C12" s="399"/>
      <c r="D12" s="399"/>
      <c r="E12" s="462"/>
      <c r="F12" s="400">
        <f t="shared" ref="F12:F20" si="0">E12*D12</f>
        <v>0</v>
      </c>
      <c r="G12" s="401">
        <v>0</v>
      </c>
      <c r="H12" s="218">
        <f t="shared" ref="H12:H20" si="1">G12*F12</f>
        <v>0</v>
      </c>
    </row>
    <row r="13" spans="1:9">
      <c r="A13" s="279"/>
      <c r="B13" s="70"/>
      <c r="C13" s="399"/>
      <c r="D13" s="399"/>
      <c r="E13" s="462"/>
      <c r="F13" s="400">
        <f t="shared" ref="F13" si="2">E13*D13</f>
        <v>0</v>
      </c>
      <c r="G13" s="401">
        <v>0</v>
      </c>
      <c r="H13" s="218">
        <f t="shared" si="1"/>
        <v>0</v>
      </c>
    </row>
    <row r="14" spans="1:9">
      <c r="A14" s="279"/>
      <c r="B14" s="70"/>
      <c r="C14" s="399"/>
      <c r="D14" s="399"/>
      <c r="E14" s="462"/>
      <c r="F14" s="400">
        <f t="shared" si="0"/>
        <v>0</v>
      </c>
      <c r="G14" s="401">
        <v>0</v>
      </c>
      <c r="H14" s="218">
        <f t="shared" si="1"/>
        <v>0</v>
      </c>
    </row>
    <row r="15" spans="1:9">
      <c r="A15" s="279"/>
      <c r="B15" s="70"/>
      <c r="C15" s="399"/>
      <c r="D15" s="399"/>
      <c r="E15" s="462"/>
      <c r="F15" s="400">
        <f t="shared" ref="F15" si="3">E15*D15</f>
        <v>0</v>
      </c>
      <c r="G15" s="401">
        <v>0</v>
      </c>
      <c r="H15" s="218">
        <f t="shared" ref="H15" si="4">G15*F15</f>
        <v>0</v>
      </c>
      <c r="I15" s="36"/>
    </row>
    <row r="16" spans="1:9">
      <c r="A16" s="279"/>
      <c r="B16" s="70"/>
      <c r="C16" s="399"/>
      <c r="D16" s="399"/>
      <c r="E16" s="462"/>
      <c r="F16" s="400">
        <f t="shared" si="0"/>
        <v>0</v>
      </c>
      <c r="G16" s="401">
        <v>0</v>
      </c>
      <c r="H16" s="218">
        <f t="shared" si="1"/>
        <v>0</v>
      </c>
    </row>
    <row r="17" spans="1:8">
      <c r="A17" s="279"/>
      <c r="B17" s="70"/>
      <c r="C17" s="399"/>
      <c r="D17" s="399"/>
      <c r="E17" s="462"/>
      <c r="F17" s="400">
        <f t="shared" si="0"/>
        <v>0</v>
      </c>
      <c r="G17" s="401">
        <v>0</v>
      </c>
      <c r="H17" s="218">
        <f t="shared" si="1"/>
        <v>0</v>
      </c>
    </row>
    <row r="18" spans="1:8">
      <c r="A18" s="279"/>
      <c r="B18" s="70"/>
      <c r="C18" s="399"/>
      <c r="D18" s="399"/>
      <c r="E18" s="462"/>
      <c r="F18" s="400">
        <f t="shared" si="0"/>
        <v>0</v>
      </c>
      <c r="G18" s="401">
        <v>0</v>
      </c>
      <c r="H18" s="218">
        <f t="shared" si="1"/>
        <v>0</v>
      </c>
    </row>
    <row r="19" spans="1:8">
      <c r="A19" s="279"/>
      <c r="B19" s="70"/>
      <c r="C19" s="399"/>
      <c r="D19" s="399"/>
      <c r="E19" s="462"/>
      <c r="F19" s="400">
        <f t="shared" si="0"/>
        <v>0</v>
      </c>
      <c r="G19" s="401">
        <v>0</v>
      </c>
      <c r="H19" s="218">
        <f t="shared" si="1"/>
        <v>0</v>
      </c>
    </row>
    <row r="20" spans="1:8">
      <c r="A20" s="279"/>
      <c r="B20" s="70"/>
      <c r="C20" s="399"/>
      <c r="D20" s="399"/>
      <c r="E20" s="462"/>
      <c r="F20" s="400">
        <f t="shared" si="0"/>
        <v>0</v>
      </c>
      <c r="G20" s="401">
        <v>0</v>
      </c>
      <c r="H20" s="218">
        <f t="shared" si="1"/>
        <v>0</v>
      </c>
    </row>
    <row r="21" spans="1:8">
      <c r="A21" s="98"/>
      <c r="C21" s="83"/>
      <c r="D21" s="83"/>
      <c r="E21" s="83"/>
      <c r="F21" s="83"/>
      <c r="G21" s="83"/>
      <c r="H21" s="83"/>
    </row>
    <row r="22" spans="1:8">
      <c r="H22" s="234"/>
    </row>
    <row r="23" spans="1:8" s="13" customFormat="1">
      <c r="A23" s="327" t="s">
        <v>31</v>
      </c>
      <c r="B23" s="339"/>
      <c r="C23" s="339"/>
      <c r="D23" s="339"/>
      <c r="E23" s="339"/>
      <c r="F23" s="402">
        <f>SUM(F11:F20)</f>
        <v>0</v>
      </c>
      <c r="G23" s="339"/>
      <c r="H23" s="268">
        <f>SUM(H11:H22)</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8"/>
  <sheetViews>
    <sheetView showGridLines="0" showZeros="0" zoomScaleNormal="100" zoomScaleSheetLayoutView="75" zoomScalePageLayoutView="50" workbookViewId="0">
      <pane ySplit="10" topLeftCell="A25" activePane="bottomLeft" state="frozen"/>
      <selection activeCell="B1" sqref="B1"/>
      <selection pane="bottomLeft" activeCell="B46" sqref="B46"/>
    </sheetView>
  </sheetViews>
  <sheetFormatPr defaultColWidth="11.44140625" defaultRowHeight="13.2"/>
  <cols>
    <col min="1" max="1" width="39" style="58" customWidth="1"/>
    <col min="2" max="2" width="20.33203125" style="58" customWidth="1"/>
    <col min="3" max="6" width="17.5546875" style="58" customWidth="1"/>
    <col min="7" max="16384" width="11.44140625" style="2"/>
  </cols>
  <sheetData>
    <row r="1" spans="1:6">
      <c r="A1" s="451" t="s">
        <v>4</v>
      </c>
      <c r="B1" s="161"/>
      <c r="C1" s="161"/>
      <c r="D1" s="162"/>
    </row>
    <row r="2" spans="1:6">
      <c r="A2" s="100"/>
    </row>
    <row r="3" spans="1:6" ht="15.6">
      <c r="A3" s="38" t="str">
        <f>'2-Kosten per locatie'!A3</f>
        <v>Naam opdrachtgever</v>
      </c>
      <c r="B3" s="47" t="str">
        <f>'2-Kosten per locatie'!B3</f>
        <v>Gemeente Voorne aan Zee</v>
      </c>
      <c r="C3" s="163"/>
      <c r="D3" s="163"/>
    </row>
    <row r="4" spans="1:6" ht="15.6">
      <c r="A4" s="38" t="str">
        <f>'2-Kosten per locatie'!A4</f>
        <v>Calculatie onderdeel</v>
      </c>
      <c r="B4" s="47" t="str">
        <f ca="1">MID(CELL("bestandsnaam",$C$9),SEARCH("]",CELL("bestandsnaam",$C$9),1)+1,256)</f>
        <v>9-Afroepprijs</v>
      </c>
      <c r="C4" s="164"/>
      <c r="D4" s="165"/>
    </row>
    <row r="5" spans="1:6" ht="15.6">
      <c r="A5" s="38" t="str">
        <f>'2-Kosten per locatie'!A5</f>
        <v>Gebouw/plaats</v>
      </c>
      <c r="B5" s="47" t="str">
        <f>'2-Kosten per locatie'!B5</f>
        <v>Perceel 1</v>
      </c>
      <c r="C5" s="164"/>
      <c r="D5" s="165"/>
    </row>
    <row r="6" spans="1:6" ht="15.6">
      <c r="A6" s="38" t="str">
        <f>'2-Kosten per locatie'!A6</f>
        <v>Referentie nummer</v>
      </c>
      <c r="B6" s="47" t="str">
        <f>'2-Kosten per locatie'!B6</f>
        <v>TN521819</v>
      </c>
      <c r="C6" s="164"/>
      <c r="D6" s="165"/>
    </row>
    <row r="7" spans="1:6" ht="15.6">
      <c r="A7" s="38" t="str">
        <f>'2-Kosten per locatie'!A7</f>
        <v>Naam dienstverlener</v>
      </c>
      <c r="B7" s="47">
        <f>'2-Kosten per locatie'!B7</f>
        <v>0</v>
      </c>
      <c r="C7" s="164"/>
      <c r="D7" s="165"/>
    </row>
    <row r="8" spans="1:6" ht="15.6">
      <c r="A8" s="38" t="str">
        <f>'2-Kosten per locatie'!A8</f>
        <v>Prijspeil</v>
      </c>
      <c r="B8" s="244">
        <f>'2-Kosten per locatie'!B8</f>
        <v>46023</v>
      </c>
      <c r="C8" s="164"/>
      <c r="D8" s="165"/>
    </row>
    <row r="9" spans="1:6" ht="15.6">
      <c r="A9" s="166"/>
      <c r="B9" s="167"/>
      <c r="C9" s="164"/>
      <c r="D9" s="165"/>
    </row>
    <row r="10" spans="1:6">
      <c r="A10" s="168"/>
      <c r="B10" s="169"/>
      <c r="C10" s="169"/>
      <c r="D10" s="169"/>
    </row>
    <row r="11" spans="1:6" ht="18.600000000000001">
      <c r="A11" s="403" t="s">
        <v>194</v>
      </c>
      <c r="B11" s="404"/>
      <c r="C11" s="404"/>
      <c r="D11" s="405"/>
      <c r="E11" s="405"/>
      <c r="F11" s="406"/>
    </row>
    <row r="13" spans="1:6">
      <c r="A13" s="407"/>
      <c r="B13" s="408"/>
      <c r="C13" s="499" t="s">
        <v>195</v>
      </c>
      <c r="D13" s="500"/>
      <c r="E13" s="500"/>
      <c r="F13" s="501"/>
    </row>
    <row r="14" spans="1:6">
      <c r="A14" s="409" t="s">
        <v>196</v>
      </c>
      <c r="B14" s="409" t="s">
        <v>197</v>
      </c>
      <c r="C14" s="410" t="s">
        <v>198</v>
      </c>
      <c r="D14" s="399" t="s">
        <v>199</v>
      </c>
      <c r="E14" s="399" t="s">
        <v>200</v>
      </c>
      <c r="F14" s="399" t="s">
        <v>201</v>
      </c>
    </row>
    <row r="15" spans="1:6">
      <c r="A15" s="411" t="s">
        <v>202</v>
      </c>
      <c r="B15" s="411" t="s">
        <v>203</v>
      </c>
      <c r="C15" s="412">
        <v>0</v>
      </c>
      <c r="D15" s="412">
        <v>0</v>
      </c>
      <c r="E15" s="412">
        <v>0</v>
      </c>
      <c r="F15" s="412">
        <v>0</v>
      </c>
    </row>
    <row r="16" spans="1:6">
      <c r="A16" s="411" t="s">
        <v>204</v>
      </c>
      <c r="B16" s="411" t="s">
        <v>203</v>
      </c>
      <c r="C16" s="412">
        <v>0</v>
      </c>
      <c r="D16" s="412">
        <v>0</v>
      </c>
      <c r="E16" s="412">
        <v>0</v>
      </c>
      <c r="F16" s="412">
        <v>0</v>
      </c>
    </row>
    <row r="17" spans="1:6">
      <c r="A17" s="411" t="s">
        <v>205</v>
      </c>
      <c r="B17" s="411" t="s">
        <v>206</v>
      </c>
      <c r="C17" s="412">
        <v>0</v>
      </c>
      <c r="D17" s="412">
        <v>0</v>
      </c>
      <c r="E17" s="412">
        <v>0</v>
      </c>
      <c r="F17" s="412">
        <v>0</v>
      </c>
    </row>
    <row r="18" spans="1:6">
      <c r="A18" s="409" t="s">
        <v>207</v>
      </c>
      <c r="B18" s="413"/>
      <c r="C18" s="412">
        <v>0</v>
      </c>
      <c r="D18" s="412">
        <v>0</v>
      </c>
      <c r="E18" s="412">
        <v>0</v>
      </c>
      <c r="F18" s="412">
        <v>0</v>
      </c>
    </row>
    <row r="19" spans="1:6">
      <c r="A19" s="409" t="s">
        <v>208</v>
      </c>
      <c r="B19" s="413"/>
      <c r="C19" s="412">
        <v>0</v>
      </c>
      <c r="D19" s="412">
        <v>0</v>
      </c>
      <c r="E19" s="412">
        <v>0</v>
      </c>
      <c r="F19" s="412">
        <v>0</v>
      </c>
    </row>
    <row r="20" spans="1:6">
      <c r="A20" s="170"/>
      <c r="B20" s="170"/>
      <c r="C20" s="170"/>
      <c r="D20" s="161"/>
    </row>
    <row r="21" spans="1:6" ht="18.600000000000001">
      <c r="A21" s="403" t="s">
        <v>209</v>
      </c>
      <c r="B21" s="414"/>
      <c r="C21" s="414"/>
      <c r="D21" s="414"/>
      <c r="E21" s="414"/>
      <c r="F21" s="415"/>
    </row>
    <row r="22" spans="1:6">
      <c r="A22" s="171"/>
      <c r="B22" s="170"/>
      <c r="C22" s="170"/>
      <c r="D22" s="161"/>
      <c r="E22" s="499" t="s">
        <v>210</v>
      </c>
      <c r="F22" s="501"/>
    </row>
    <row r="23" spans="1:6">
      <c r="A23" s="409" t="s">
        <v>211</v>
      </c>
      <c r="B23" s="416" t="s">
        <v>197</v>
      </c>
      <c r="C23" s="417"/>
      <c r="D23" s="418"/>
      <c r="E23" s="419" t="s">
        <v>212</v>
      </c>
      <c r="F23" s="419" t="s">
        <v>213</v>
      </c>
    </row>
    <row r="24" spans="1:6">
      <c r="A24" s="411" t="s">
        <v>214</v>
      </c>
      <c r="B24" s="413" t="s">
        <v>215</v>
      </c>
      <c r="C24" s="189"/>
      <c r="D24" s="189"/>
      <c r="E24" s="412">
        <v>0</v>
      </c>
      <c r="F24" s="412">
        <v>0</v>
      </c>
    </row>
    <row r="25" spans="1:6">
      <c r="A25" s="411" t="s">
        <v>216</v>
      </c>
      <c r="B25" s="413" t="s">
        <v>215</v>
      </c>
      <c r="C25" s="420"/>
      <c r="D25" s="420"/>
      <c r="E25" s="412">
        <v>0</v>
      </c>
      <c r="F25" s="412">
        <v>0</v>
      </c>
    </row>
    <row r="26" spans="1:6">
      <c r="A26" s="411" t="s">
        <v>217</v>
      </c>
      <c r="B26" s="413" t="s">
        <v>215</v>
      </c>
      <c r="C26" s="420"/>
      <c r="D26" s="420"/>
      <c r="E26" s="412">
        <v>0</v>
      </c>
      <c r="F26" s="412">
        <v>0</v>
      </c>
    </row>
    <row r="27" spans="1:6">
      <c r="A27" s="411" t="s">
        <v>218</v>
      </c>
      <c r="B27" s="413" t="s">
        <v>215</v>
      </c>
      <c r="C27" s="421"/>
      <c r="D27" s="420"/>
      <c r="E27" s="412">
        <v>0</v>
      </c>
      <c r="F27" s="412">
        <v>0</v>
      </c>
    </row>
    <row r="28" spans="1:6">
      <c r="A28" s="411" t="s">
        <v>219</v>
      </c>
      <c r="B28" s="413" t="s">
        <v>215</v>
      </c>
      <c r="C28" s="421"/>
      <c r="D28" s="420"/>
      <c r="E28" s="412">
        <v>0</v>
      </c>
      <c r="F28" s="412">
        <v>0</v>
      </c>
    </row>
    <row r="30" spans="1:6" ht="18.600000000000001">
      <c r="A30" s="403" t="s">
        <v>220</v>
      </c>
      <c r="B30" s="414"/>
      <c r="C30" s="414"/>
      <c r="D30" s="414"/>
      <c r="E30" s="414"/>
      <c r="F30" s="415"/>
    </row>
    <row r="31" spans="1:6">
      <c r="A31" s="171"/>
      <c r="B31" s="170"/>
      <c r="C31" s="170"/>
      <c r="D31" s="161"/>
    </row>
    <row r="32" spans="1:6">
      <c r="A32" s="409" t="s">
        <v>196</v>
      </c>
      <c r="B32" s="407" t="s">
        <v>197</v>
      </c>
      <c r="C32" s="422"/>
      <c r="D32" s="422"/>
      <c r="E32" s="422"/>
      <c r="F32" s="423" t="s">
        <v>221</v>
      </c>
    </row>
    <row r="33" spans="1:6">
      <c r="A33" s="411" t="s">
        <v>222</v>
      </c>
      <c r="B33" s="172" t="s">
        <v>183</v>
      </c>
      <c r="C33" s="172"/>
      <c r="D33" s="172"/>
      <c r="E33" s="172"/>
      <c r="F33" s="412">
        <v>0</v>
      </c>
    </row>
    <row r="34" spans="1:6">
      <c r="A34" s="411" t="s">
        <v>222</v>
      </c>
      <c r="B34" s="172" t="s">
        <v>184</v>
      </c>
      <c r="C34" s="172"/>
      <c r="D34" s="172"/>
      <c r="E34" s="172"/>
      <c r="F34" s="412">
        <v>0</v>
      </c>
    </row>
    <row r="35" spans="1:6">
      <c r="A35" s="411" t="s">
        <v>222</v>
      </c>
      <c r="B35" s="172" t="s">
        <v>185</v>
      </c>
      <c r="C35" s="172"/>
      <c r="D35" s="172"/>
      <c r="E35" s="172"/>
      <c r="F35" s="412">
        <v>0</v>
      </c>
    </row>
    <row r="36" spans="1:6">
      <c r="A36" s="411" t="s">
        <v>223</v>
      </c>
      <c r="B36" s="172" t="s">
        <v>183</v>
      </c>
      <c r="C36" s="172"/>
      <c r="D36" s="172"/>
      <c r="E36" s="172"/>
      <c r="F36" s="412">
        <v>0</v>
      </c>
    </row>
    <row r="37" spans="1:6" s="12" customFormat="1">
      <c r="A37" s="170"/>
      <c r="B37" s="170"/>
      <c r="C37" s="40"/>
      <c r="D37" s="40"/>
      <c r="E37" s="40"/>
      <c r="F37" s="40"/>
    </row>
    <row r="38" spans="1:6" ht="15.6">
      <c r="A38" s="206" t="s">
        <v>224</v>
      </c>
      <c r="B38" s="161"/>
      <c r="C38" s="161"/>
      <c r="D38" s="170"/>
    </row>
    <row r="39" spans="1:6">
      <c r="A39" s="170" t="s">
        <v>225</v>
      </c>
    </row>
    <row r="40" spans="1:6">
      <c r="A40" s="170" t="s">
        <v>226</v>
      </c>
      <c r="B40" s="161"/>
      <c r="C40" s="161"/>
      <c r="D40" s="170"/>
    </row>
    <row r="41" spans="1:6" ht="12.75" customHeight="1">
      <c r="A41" s="170"/>
      <c r="B41" s="161"/>
      <c r="C41" s="161"/>
      <c r="D41" s="170"/>
    </row>
    <row r="42" spans="1:6">
      <c r="A42" s="170"/>
      <c r="B42" s="161"/>
      <c r="C42" s="161"/>
      <c r="D42" s="170"/>
    </row>
    <row r="43" spans="1:6">
      <c r="A43" s="170"/>
      <c r="B43" s="161"/>
      <c r="C43" s="161"/>
      <c r="D43" s="170"/>
    </row>
    <row r="45" spans="1:6">
      <c r="A45" s="173"/>
      <c r="B45" s="161"/>
      <c r="C45" s="161"/>
      <c r="D45" s="161"/>
    </row>
    <row r="46" spans="1:6">
      <c r="A46" s="173"/>
    </row>
    <row r="47" spans="1:6">
      <c r="A47" s="173"/>
    </row>
    <row r="48" spans="1:6">
      <c r="A48" s="173"/>
    </row>
  </sheetData>
  <mergeCells count="2">
    <mergeCell ref="C13:F13"/>
    <mergeCell ref="E22:F22"/>
  </mergeCells>
  <phoneticPr fontId="12"/>
  <conditionalFormatting sqref="E24:F28">
    <cfRule type="cellIs" dxfId="1" priority="3" stopIfTrue="1" operator="equal">
      <formula>"nvt"</formula>
    </cfRule>
  </conditionalFormatting>
  <conditionalFormatting sqref="F33:F3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3.xml><?xml version="1.0" encoding="utf-8"?>
<ds:datastoreItem xmlns:ds="http://schemas.openxmlformats.org/officeDocument/2006/customXml" ds:itemID="{BD2264B4-2E12-4E26-849D-67AC3AEDD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Steven Wichhart</cp:lastModifiedBy>
  <cp:revision/>
  <dcterms:created xsi:type="dcterms:W3CDTF">1999-10-05T12:28:40Z</dcterms:created>
  <dcterms:modified xsi:type="dcterms:W3CDTF">2025-05-09T07:47:30Z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