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Westerkwartier (leek)/Aanbesteding schoonmaak 2025/calculatie/"/>
    </mc:Choice>
  </mc:AlternateContent>
  <xr:revisionPtr revIDLastSave="86" documentId="8_{80803D87-F3D0-4666-A0A3-C4CCDCC6E788}" xr6:coauthVersionLast="47" xr6:coauthVersionMax="47" xr10:uidLastSave="{63D10CB2-E408-4AB0-ADC2-97AED77C8B94}"/>
  <bookViews>
    <workbookView xWindow="28680" yWindow="-120" windowWidth="29040" windowHeight="15720"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Vloeronderhoud" sheetId="39" r:id="rId11"/>
  </sheets>
  <externalReferences>
    <externalReference r:id="rId12"/>
    <externalReference r:id="rId13"/>
    <externalReference r:id="rId14"/>
    <externalReference r:id="rId15"/>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 hidden="1">'[3]#REF'!#REF!</definedName>
    <definedName name="_Fill" hidden="1">'[3]#REF'!#REF!</definedName>
    <definedName name="_filll" hidden="1">'[4]#REF'!#REF!</definedName>
    <definedName name="_xlnm._FilterDatabase" localSheetId="9" hidden="1">'10-Glasbewassing'!$A$12:$X$35</definedName>
    <definedName name="_xlnm._FilterDatabase" localSheetId="10" hidden="1">'11-Vloeronderhoud'!$A$12:$X$18</definedName>
    <definedName name="_xlnm._FilterDatabase" localSheetId="1" hidden="1">'2-Kosten per locatie'!$A$14:$J$22</definedName>
    <definedName name="_xlnm._FilterDatabase" localSheetId="3" hidden="1">'4-Basis ruimtestaat'!$B$9:$P$192</definedName>
    <definedName name="_Hlk39130726" localSheetId="0">'1-Uitgangspunten'!$A$16</definedName>
    <definedName name="_Key1" localSheetId="9" hidden="1">'[2]#REF'!#REF!</definedName>
    <definedName name="_Key1" localSheetId="10"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locatie'!$A$3:$AB$21</definedName>
    <definedName name="_xlnm.Print_Area" localSheetId="3">'4-Basis ruimtestaat'!$B$3:$P$118</definedName>
    <definedName name="_xlnm.Print_Area" localSheetId="4">'5-Premies en opslagen'!$A$3:$E$55</definedName>
    <definedName name="_xlnm.Print_Area" localSheetId="5">'6-Opbouw uurtarief productie'!$A$1:$R$63</definedName>
    <definedName name="_xlnm.Print_Area" localSheetId="8">'9-Afroepprijs'!$A$3:$F$51</definedName>
    <definedName name="_xlnm.Print_Titles" localSheetId="9">'10-Glasbewassing'!$12:$12</definedName>
    <definedName name="_xlnm.Print_Titles" localSheetId="10">'11-Vloeronderhoud'!$12:$12</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0"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31" l="1"/>
  <c r="G15" i="31"/>
  <c r="G14" i="31"/>
  <c r="G13" i="31"/>
  <c r="G12" i="31"/>
  <c r="G11" i="31"/>
  <c r="M146" i="2"/>
  <c r="L146" i="2"/>
  <c r="E16" i="39"/>
  <c r="F16" i="39" s="1"/>
  <c r="H16" i="39" s="1"/>
  <c r="E14" i="39" l="1"/>
  <c r="F14" i="39" s="1"/>
  <c r="H14" i="39" s="1"/>
  <c r="E15" i="39"/>
  <c r="F15" i="39" s="1"/>
  <c r="H15" i="39" s="1"/>
  <c r="E13" i="39"/>
  <c r="F13" i="39" s="1"/>
  <c r="H13" i="39" s="1"/>
  <c r="E16" i="35" l="1"/>
  <c r="F16" i="35" s="1"/>
  <c r="H16" i="35" s="1"/>
  <c r="J119" i="2" l="1"/>
  <c r="P119" i="2" s="1"/>
  <c r="J120" i="2"/>
  <c r="P120" i="2" s="1"/>
  <c r="L120" i="2"/>
  <c r="M120" i="2"/>
  <c r="J121" i="2"/>
  <c r="P121" i="2" s="1"/>
  <c r="L121" i="2"/>
  <c r="M121" i="2"/>
  <c r="J122" i="2"/>
  <c r="P122" i="2" s="1"/>
  <c r="J123" i="2"/>
  <c r="P123" i="2" s="1"/>
  <c r="J124" i="2"/>
  <c r="P124" i="2" s="1"/>
  <c r="J125" i="2"/>
  <c r="P125" i="2" s="1"/>
  <c r="J126" i="2"/>
  <c r="P126" i="2" s="1"/>
  <c r="J127" i="2"/>
  <c r="P127" i="2" s="1"/>
  <c r="J128" i="2"/>
  <c r="P128" i="2" s="1"/>
  <c r="J129" i="2"/>
  <c r="P129" i="2" s="1"/>
  <c r="J130" i="2"/>
  <c r="P130" i="2" s="1"/>
  <c r="J131" i="2"/>
  <c r="P131" i="2" s="1"/>
  <c r="J132" i="2"/>
  <c r="P132" i="2" s="1"/>
  <c r="J133" i="2"/>
  <c r="P133" i="2" s="1"/>
  <c r="J134" i="2"/>
  <c r="P134" i="2" s="1"/>
  <c r="J135" i="2"/>
  <c r="P135" i="2" s="1"/>
  <c r="J136" i="2"/>
  <c r="P136" i="2" s="1"/>
  <c r="L136" i="2"/>
  <c r="M136" i="2"/>
  <c r="J137" i="2"/>
  <c r="P137" i="2" s="1"/>
  <c r="J138" i="2"/>
  <c r="P138" i="2" s="1"/>
  <c r="J139" i="2"/>
  <c r="P139" i="2" s="1"/>
  <c r="J140" i="2"/>
  <c r="P140" i="2" s="1"/>
  <c r="J141" i="2"/>
  <c r="P141" i="2" s="1"/>
  <c r="J142" i="2"/>
  <c r="P142" i="2" s="1"/>
  <c r="J143" i="2"/>
  <c r="P143" i="2" s="1"/>
  <c r="J144" i="2"/>
  <c r="P144" i="2" s="1"/>
  <c r="J145" i="2"/>
  <c r="P145" i="2" s="1"/>
  <c r="J146" i="2"/>
  <c r="P146" i="2" s="1"/>
  <c r="J147" i="2"/>
  <c r="P147" i="2" s="1"/>
  <c r="J148" i="2"/>
  <c r="P148" i="2" s="1"/>
  <c r="L148" i="2"/>
  <c r="M148" i="2"/>
  <c r="J149" i="2"/>
  <c r="P149" i="2" s="1"/>
  <c r="J150" i="2"/>
  <c r="P150" i="2" s="1"/>
  <c r="J151" i="2"/>
  <c r="P151" i="2" s="1"/>
  <c r="J152" i="2"/>
  <c r="P152" i="2" s="1"/>
  <c r="J153" i="2"/>
  <c r="P153" i="2" s="1"/>
  <c r="J154" i="2"/>
  <c r="P154" i="2" s="1"/>
  <c r="J155" i="2"/>
  <c r="P155" i="2" s="1"/>
  <c r="M155" i="2"/>
  <c r="L155" i="2" s="1"/>
  <c r="J156" i="2"/>
  <c r="P156" i="2" s="1"/>
  <c r="J157" i="2"/>
  <c r="P157" i="2" s="1"/>
  <c r="J158" i="2"/>
  <c r="P158" i="2" s="1"/>
  <c r="J159" i="2"/>
  <c r="P159" i="2" s="1"/>
  <c r="J160" i="2"/>
  <c r="P160" i="2" s="1"/>
  <c r="J161" i="2"/>
  <c r="P161" i="2" s="1"/>
  <c r="J162" i="2"/>
  <c r="P162" i="2" s="1"/>
  <c r="J163" i="2"/>
  <c r="P163" i="2" s="1"/>
  <c r="J164" i="2"/>
  <c r="P164" i="2" s="1"/>
  <c r="J165" i="2"/>
  <c r="P165" i="2" s="1"/>
  <c r="J166" i="2"/>
  <c r="P166" i="2" s="1"/>
  <c r="J167" i="2"/>
  <c r="P167" i="2" s="1"/>
  <c r="J168" i="2"/>
  <c r="P168" i="2" s="1"/>
  <c r="J169" i="2"/>
  <c r="P169" i="2" s="1"/>
  <c r="J170" i="2"/>
  <c r="P170" i="2" s="1"/>
  <c r="J171" i="2"/>
  <c r="P171" i="2" s="1"/>
  <c r="J172" i="2"/>
  <c r="P172" i="2" s="1"/>
  <c r="J173" i="2"/>
  <c r="P173" i="2" s="1"/>
  <c r="J174" i="2"/>
  <c r="P174" i="2" s="1"/>
  <c r="J175" i="2"/>
  <c r="P175" i="2" s="1"/>
  <c r="J176" i="2"/>
  <c r="P176" i="2" s="1"/>
  <c r="J177" i="2"/>
  <c r="P177" i="2" s="1"/>
  <c r="J178" i="2"/>
  <c r="P178" i="2" s="1"/>
  <c r="J179" i="2"/>
  <c r="P179" i="2" s="1"/>
  <c r="J180" i="2"/>
  <c r="P180" i="2" s="1"/>
  <c r="J181" i="2"/>
  <c r="P181" i="2" s="1"/>
  <c r="J182" i="2"/>
  <c r="P182" i="2" s="1"/>
  <c r="J183" i="2"/>
  <c r="P183" i="2" s="1"/>
  <c r="J184" i="2"/>
  <c r="P184" i="2" s="1"/>
  <c r="J185" i="2"/>
  <c r="P185" i="2" s="1"/>
  <c r="J186" i="2"/>
  <c r="P186" i="2" s="1"/>
  <c r="J187" i="2"/>
  <c r="P187" i="2" s="1"/>
  <c r="J188" i="2"/>
  <c r="P188" i="2" s="1"/>
  <c r="J189" i="2"/>
  <c r="P189" i="2" s="1"/>
  <c r="J190" i="2"/>
  <c r="P190" i="2" s="1"/>
  <c r="J191" i="2"/>
  <c r="P191" i="2" s="1"/>
  <c r="L191" i="2"/>
  <c r="M191" i="2"/>
  <c r="J192" i="2"/>
  <c r="P192" i="2" s="1"/>
  <c r="L192" i="2"/>
  <c r="M192" i="2"/>
  <c r="L27" i="2"/>
  <c r="L28" i="2"/>
  <c r="L29" i="2"/>
  <c r="L30" i="2"/>
  <c r="L31" i="2"/>
  <c r="L32" i="2"/>
  <c r="L33" i="2"/>
  <c r="L34" i="2"/>
  <c r="L35" i="2"/>
  <c r="L36" i="2"/>
  <c r="L37" i="2"/>
  <c r="L38" i="2"/>
  <c r="L39" i="2"/>
  <c r="L40" i="2"/>
  <c r="L41" i="2"/>
  <c r="L42" i="2"/>
  <c r="L43" i="2"/>
  <c r="L56" i="2"/>
  <c r="L57" i="2"/>
  <c r="L58" i="2"/>
  <c r="L59" i="2"/>
  <c r="L60" i="2"/>
  <c r="L61" i="2"/>
  <c r="L62" i="2"/>
  <c r="L63" i="2"/>
  <c r="L64" i="2"/>
  <c r="L65" i="2"/>
  <c r="L66" i="2"/>
  <c r="L67" i="2"/>
  <c r="L68" i="2"/>
  <c r="L69" i="2"/>
  <c r="L70" i="2"/>
  <c r="L71" i="2"/>
  <c r="L72" i="2"/>
  <c r="L73" i="2"/>
  <c r="L74" i="2"/>
  <c r="L75" i="2"/>
  <c r="L76" i="2"/>
  <c r="L77" i="2"/>
  <c r="L78" i="2"/>
  <c r="L79" i="2"/>
  <c r="L80" i="2"/>
  <c r="L89" i="2"/>
  <c r="L90" i="2"/>
  <c r="L91" i="2"/>
  <c r="L92" i="2"/>
  <c r="L117" i="2"/>
  <c r="L118" i="2"/>
  <c r="N39" i="18" l="1"/>
  <c r="N38" i="18"/>
  <c r="L38" i="18"/>
  <c r="L37" i="18"/>
  <c r="J37" i="18"/>
  <c r="J36" i="18"/>
  <c r="N35" i="18"/>
  <c r="N34" i="18"/>
  <c r="L34" i="18"/>
  <c r="L33" i="18"/>
  <c r="K33" i="18"/>
  <c r="J33" i="18"/>
  <c r="I33" i="18"/>
  <c r="M33" i="18"/>
  <c r="N33" i="18"/>
  <c r="I34" i="18"/>
  <c r="J34" i="18"/>
  <c r="K34" i="18"/>
  <c r="M34" i="18"/>
  <c r="I35" i="18"/>
  <c r="J35" i="18"/>
  <c r="K35" i="18"/>
  <c r="L35" i="18"/>
  <c r="M35" i="18"/>
  <c r="I36" i="18"/>
  <c r="K36" i="18"/>
  <c r="L36" i="18"/>
  <c r="M36" i="18"/>
  <c r="N36" i="18"/>
  <c r="I37" i="18"/>
  <c r="K37" i="18"/>
  <c r="M37" i="18"/>
  <c r="N37" i="18"/>
  <c r="I38" i="18"/>
  <c r="J38" i="18"/>
  <c r="K38" i="18"/>
  <c r="M38" i="18"/>
  <c r="I39" i="18"/>
  <c r="J39" i="18"/>
  <c r="K39" i="18"/>
  <c r="L39" i="18"/>
  <c r="M39" i="18"/>
  <c r="J27" i="2" l="1"/>
  <c r="P27" i="2" s="1"/>
  <c r="J28" i="2"/>
  <c r="P28" i="2" s="1"/>
  <c r="J29" i="2"/>
  <c r="P29" i="2" s="1"/>
  <c r="J30" i="2"/>
  <c r="P30" i="2" s="1"/>
  <c r="J31" i="2"/>
  <c r="P31" i="2" s="1"/>
  <c r="J32" i="2"/>
  <c r="P32" i="2" s="1"/>
  <c r="J33" i="2"/>
  <c r="P33" i="2" s="1"/>
  <c r="J34" i="2"/>
  <c r="P34" i="2" s="1"/>
  <c r="J35" i="2"/>
  <c r="P35" i="2" s="1"/>
  <c r="J36" i="2"/>
  <c r="P36" i="2" s="1"/>
  <c r="J37" i="2"/>
  <c r="P37" i="2" s="1"/>
  <c r="J38" i="2"/>
  <c r="P38" i="2" s="1"/>
  <c r="J39" i="2"/>
  <c r="P39" i="2" s="1"/>
  <c r="J40" i="2"/>
  <c r="P40" i="2" s="1"/>
  <c r="J41" i="2"/>
  <c r="P41" i="2" s="1"/>
  <c r="J42" i="2"/>
  <c r="P42" i="2" s="1"/>
  <c r="J43" i="2"/>
  <c r="P43" i="2" s="1"/>
  <c r="J44" i="2"/>
  <c r="P44" i="2" s="1"/>
  <c r="J45" i="2"/>
  <c r="P45" i="2" s="1"/>
  <c r="J46" i="2"/>
  <c r="P46" i="2" s="1"/>
  <c r="J47" i="2"/>
  <c r="P47" i="2" s="1"/>
  <c r="J48" i="2"/>
  <c r="P48" i="2" s="1"/>
  <c r="J49" i="2"/>
  <c r="P49" i="2" s="1"/>
  <c r="J50" i="2"/>
  <c r="P50" i="2" s="1"/>
  <c r="J51" i="2"/>
  <c r="P51" i="2" s="1"/>
  <c r="J52" i="2"/>
  <c r="P52" i="2" s="1"/>
  <c r="J53" i="2"/>
  <c r="P53" i="2" s="1"/>
  <c r="J54" i="2"/>
  <c r="P54" i="2" s="1"/>
  <c r="J55" i="2"/>
  <c r="P55" i="2" s="1"/>
  <c r="J56" i="2"/>
  <c r="P56" i="2" s="1"/>
  <c r="J57" i="2"/>
  <c r="P57" i="2" s="1"/>
  <c r="J58" i="2"/>
  <c r="P58" i="2" s="1"/>
  <c r="J59" i="2"/>
  <c r="P59" i="2" s="1"/>
  <c r="J60" i="2"/>
  <c r="P60" i="2" s="1"/>
  <c r="J61" i="2"/>
  <c r="P61" i="2" s="1"/>
  <c r="J62" i="2"/>
  <c r="P62" i="2" s="1"/>
  <c r="J63" i="2"/>
  <c r="P63" i="2" s="1"/>
  <c r="J64" i="2"/>
  <c r="P64" i="2" s="1"/>
  <c r="J65" i="2"/>
  <c r="P65" i="2" s="1"/>
  <c r="J66" i="2"/>
  <c r="P66" i="2" s="1"/>
  <c r="J67" i="2"/>
  <c r="P67" i="2" s="1"/>
  <c r="J68" i="2"/>
  <c r="P68" i="2" s="1"/>
  <c r="J69" i="2"/>
  <c r="P69" i="2" s="1"/>
  <c r="J70" i="2"/>
  <c r="P70" i="2" s="1"/>
  <c r="J71" i="2"/>
  <c r="P71" i="2" s="1"/>
  <c r="J72" i="2"/>
  <c r="P72" i="2" s="1"/>
  <c r="J73" i="2"/>
  <c r="P73" i="2" s="1"/>
  <c r="J74" i="2"/>
  <c r="P74" i="2" s="1"/>
  <c r="J75" i="2"/>
  <c r="P75" i="2" s="1"/>
  <c r="J76" i="2"/>
  <c r="P76" i="2" s="1"/>
  <c r="J77" i="2"/>
  <c r="P77" i="2" s="1"/>
  <c r="J78" i="2"/>
  <c r="P78" i="2" s="1"/>
  <c r="J79" i="2"/>
  <c r="P79" i="2" s="1"/>
  <c r="J80" i="2"/>
  <c r="P80" i="2" s="1"/>
  <c r="J81" i="2"/>
  <c r="P81" i="2" s="1"/>
  <c r="J82" i="2"/>
  <c r="P82" i="2" s="1"/>
  <c r="J83" i="2"/>
  <c r="P83" i="2" s="1"/>
  <c r="J84" i="2"/>
  <c r="P84" i="2" s="1"/>
  <c r="J85" i="2"/>
  <c r="P85" i="2" s="1"/>
  <c r="J86" i="2"/>
  <c r="P86" i="2" s="1"/>
  <c r="J87" i="2"/>
  <c r="P87" i="2" s="1"/>
  <c r="J88" i="2"/>
  <c r="P88" i="2" s="1"/>
  <c r="J89" i="2"/>
  <c r="P89" i="2" s="1"/>
  <c r="J90" i="2"/>
  <c r="P90" i="2" s="1"/>
  <c r="J91" i="2"/>
  <c r="P91" i="2" s="1"/>
  <c r="J92" i="2"/>
  <c r="P92" i="2" s="1"/>
  <c r="J93" i="2"/>
  <c r="P93" i="2" s="1"/>
  <c r="J94" i="2"/>
  <c r="P94" i="2" s="1"/>
  <c r="J95" i="2"/>
  <c r="P95" i="2" s="1"/>
  <c r="J96" i="2"/>
  <c r="P96" i="2" s="1"/>
  <c r="J97" i="2"/>
  <c r="P97" i="2" s="1"/>
  <c r="J98" i="2"/>
  <c r="P98" i="2" s="1"/>
  <c r="J99" i="2"/>
  <c r="P99" i="2" s="1"/>
  <c r="J100" i="2"/>
  <c r="P100" i="2" s="1"/>
  <c r="J101" i="2"/>
  <c r="P101" i="2" s="1"/>
  <c r="J102" i="2"/>
  <c r="P102" i="2" s="1"/>
  <c r="J103" i="2"/>
  <c r="P103" i="2" s="1"/>
  <c r="J104" i="2"/>
  <c r="P104" i="2" s="1"/>
  <c r="J105" i="2"/>
  <c r="P105" i="2" s="1"/>
  <c r="J106" i="2"/>
  <c r="P106" i="2" s="1"/>
  <c r="J107" i="2"/>
  <c r="P107" i="2" s="1"/>
  <c r="J108" i="2"/>
  <c r="P108" i="2" s="1"/>
  <c r="J109" i="2"/>
  <c r="P109" i="2" s="1"/>
  <c r="J110" i="2"/>
  <c r="P110" i="2" s="1"/>
  <c r="J111" i="2"/>
  <c r="P111" i="2" s="1"/>
  <c r="J112" i="2"/>
  <c r="P112" i="2" s="1"/>
  <c r="J113" i="2"/>
  <c r="P113" i="2" s="1"/>
  <c r="J114" i="2"/>
  <c r="P114" i="2" s="1"/>
  <c r="J115" i="2"/>
  <c r="P115" i="2" s="1"/>
  <c r="J116" i="2"/>
  <c r="P116" i="2" s="1"/>
  <c r="J117" i="2"/>
  <c r="P117" i="2" s="1"/>
  <c r="J118" i="2"/>
  <c r="P118" i="2" s="1"/>
  <c r="M27" i="2"/>
  <c r="M28" i="2"/>
  <c r="M29" i="2"/>
  <c r="M30" i="2"/>
  <c r="M31" i="2"/>
  <c r="M32" i="2"/>
  <c r="M33" i="2"/>
  <c r="M34" i="2"/>
  <c r="M35" i="2"/>
  <c r="M36" i="2"/>
  <c r="M37" i="2"/>
  <c r="M38" i="2"/>
  <c r="M39" i="2"/>
  <c r="M40" i="2"/>
  <c r="M41" i="2"/>
  <c r="M42" i="2"/>
  <c r="M43" i="2"/>
  <c r="M56" i="2"/>
  <c r="M57" i="2"/>
  <c r="M58" i="2"/>
  <c r="M59" i="2"/>
  <c r="M60" i="2"/>
  <c r="M61" i="2"/>
  <c r="M62" i="2"/>
  <c r="M63" i="2"/>
  <c r="M64" i="2"/>
  <c r="M65" i="2"/>
  <c r="M66" i="2"/>
  <c r="M67" i="2"/>
  <c r="M68" i="2"/>
  <c r="M69" i="2"/>
  <c r="M70" i="2"/>
  <c r="M71" i="2"/>
  <c r="M72" i="2"/>
  <c r="M73" i="2"/>
  <c r="M74" i="2"/>
  <c r="M75" i="2"/>
  <c r="M76" i="2"/>
  <c r="M77" i="2"/>
  <c r="M78" i="2"/>
  <c r="M79" i="2"/>
  <c r="M80" i="2"/>
  <c r="M89" i="2"/>
  <c r="M90" i="2"/>
  <c r="M91" i="2"/>
  <c r="M92" i="2"/>
  <c r="M117" i="2"/>
  <c r="M118" i="2"/>
  <c r="B4" i="41" l="1"/>
  <c r="B3" i="41"/>
  <c r="B1" i="41" l="1"/>
  <c r="B2" i="41"/>
  <c r="K52" i="38" l="1"/>
  <c r="K60" i="38" l="1"/>
  <c r="K59" i="38"/>
  <c r="K58" i="38"/>
  <c r="K57" i="38"/>
  <c r="K56" i="38"/>
  <c r="K55" i="38"/>
  <c r="K54" i="38"/>
  <c r="K53" i="38"/>
  <c r="K51" i="38"/>
  <c r="K50" i="38"/>
  <c r="B5" i="39" l="1"/>
  <c r="B6" i="39"/>
  <c r="B7" i="39"/>
  <c r="B8" i="39"/>
  <c r="B4" i="39"/>
  <c r="B3" i="39"/>
  <c r="A4" i="39"/>
  <c r="A5" i="39"/>
  <c r="A6" i="39"/>
  <c r="A7" i="39"/>
  <c r="A8" i="39"/>
  <c r="A3" i="39"/>
  <c r="B3" i="35"/>
  <c r="B5" i="35"/>
  <c r="B6" i="35"/>
  <c r="B7" i="35"/>
  <c r="B8" i="35"/>
  <c r="B4" i="35"/>
  <c r="A4" i="35"/>
  <c r="A5" i="35"/>
  <c r="A6" i="35"/>
  <c r="A7" i="35"/>
  <c r="A8" i="35"/>
  <c r="A3" i="35"/>
  <c r="D18" i="39"/>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J11" i="2"/>
  <c r="P11" i="2" s="1"/>
  <c r="J12" i="2"/>
  <c r="P12" i="2" s="1"/>
  <c r="J13" i="2"/>
  <c r="P13" i="2" s="1"/>
  <c r="J14" i="2"/>
  <c r="P14" i="2" s="1"/>
  <c r="J15" i="2"/>
  <c r="P15" i="2" s="1"/>
  <c r="J16" i="2"/>
  <c r="P16" i="2" s="1"/>
  <c r="J17" i="2"/>
  <c r="P17" i="2" s="1"/>
  <c r="J18" i="2"/>
  <c r="P18" i="2" s="1"/>
  <c r="J19" i="2"/>
  <c r="P19" i="2" s="1"/>
  <c r="J20" i="2"/>
  <c r="P20" i="2" s="1"/>
  <c r="J21" i="2"/>
  <c r="P21" i="2" s="1"/>
  <c r="J22" i="2"/>
  <c r="P22" i="2" s="1"/>
  <c r="J23" i="2"/>
  <c r="P23" i="2" s="1"/>
  <c r="J24" i="2"/>
  <c r="P24" i="2" s="1"/>
  <c r="J25" i="2"/>
  <c r="P25" i="2" s="1"/>
  <c r="J26" i="2"/>
  <c r="P26" i="2" s="1"/>
  <c r="J10" i="2"/>
  <c r="P10" i="2" s="1"/>
  <c r="F14" i="31"/>
  <c r="H14" i="31" s="1"/>
  <c r="B6" i="28"/>
  <c r="B5" i="28"/>
  <c r="B3" i="28"/>
  <c r="A4" i="28"/>
  <c r="A5" i="28"/>
  <c r="A6" i="28"/>
  <c r="A3" i="28"/>
  <c r="B7" i="2"/>
  <c r="B6" i="2"/>
  <c r="B5" i="2"/>
  <c r="B4" i="2"/>
  <c r="B3" i="2"/>
  <c r="C7" i="2"/>
  <c r="C6" i="2"/>
  <c r="C5" i="2"/>
  <c r="C3" i="2"/>
  <c r="K54" i="18"/>
  <c r="K55" i="18"/>
  <c r="K56" i="18"/>
  <c r="K57" i="18"/>
  <c r="K58" i="18"/>
  <c r="K59" i="18"/>
  <c r="K60" i="18"/>
  <c r="K53" i="18"/>
  <c r="K51" i="18"/>
  <c r="K50" i="18"/>
  <c r="M20" i="37" l="1"/>
  <c r="K19" i="37"/>
  <c r="K16" i="37"/>
  <c r="K20" i="37"/>
  <c r="K18" i="37"/>
  <c r="K15" i="37"/>
  <c r="K17" i="37"/>
  <c r="L17" i="37"/>
  <c r="M145" i="2"/>
  <c r="L145" i="2" s="1"/>
  <c r="M164" i="2"/>
  <c r="L164" i="2" s="1"/>
  <c r="M169" i="2"/>
  <c r="L169" i="2" s="1"/>
  <c r="M171" i="2"/>
  <c r="L171" i="2" s="1"/>
  <c r="M134" i="2"/>
  <c r="L134" i="2" s="1"/>
  <c r="M147" i="2"/>
  <c r="L147" i="2" s="1"/>
  <c r="M170" i="2"/>
  <c r="L170" i="2" s="1"/>
  <c r="M138" i="2"/>
  <c r="L138" i="2" s="1"/>
  <c r="M141" i="2"/>
  <c r="L141" i="2" s="1"/>
  <c r="M143" i="2"/>
  <c r="L143" i="2" s="1"/>
  <c r="M137" i="2"/>
  <c r="L137" i="2" s="1"/>
  <c r="M187" i="2"/>
  <c r="L187" i="2" s="1"/>
  <c r="M177" i="2"/>
  <c r="L177" i="2" s="1"/>
  <c r="M178" i="2"/>
  <c r="L178" i="2" s="1"/>
  <c r="M179" i="2"/>
  <c r="L179" i="2" s="1"/>
  <c r="M180" i="2"/>
  <c r="L180" i="2" s="1"/>
  <c r="M140" i="2"/>
  <c r="L140" i="2" s="1"/>
  <c r="M142" i="2"/>
  <c r="L142" i="2" s="1"/>
  <c r="M144" i="2"/>
  <c r="L144" i="2" s="1"/>
  <c r="M139" i="2"/>
  <c r="L139" i="2" s="1"/>
  <c r="M123" i="2"/>
  <c r="L123" i="2" s="1"/>
  <c r="M125" i="2"/>
  <c r="L125" i="2" s="1"/>
  <c r="M127" i="2"/>
  <c r="L127" i="2" s="1"/>
  <c r="M129" i="2"/>
  <c r="L129" i="2" s="1"/>
  <c r="M131" i="2"/>
  <c r="L131" i="2" s="1"/>
  <c r="M133" i="2"/>
  <c r="L133" i="2" s="1"/>
  <c r="M150" i="2"/>
  <c r="L150" i="2" s="1"/>
  <c r="M154" i="2"/>
  <c r="L154" i="2" s="1"/>
  <c r="M156" i="2"/>
  <c r="L156" i="2" s="1"/>
  <c r="M189" i="2"/>
  <c r="L189" i="2" s="1"/>
  <c r="M124" i="2"/>
  <c r="L124" i="2" s="1"/>
  <c r="M157" i="2"/>
  <c r="L157" i="2" s="1"/>
  <c r="M190" i="2"/>
  <c r="L190" i="2" s="1"/>
  <c r="M173" i="2"/>
  <c r="L173" i="2" s="1"/>
  <c r="M182" i="2"/>
  <c r="L182" i="2" s="1"/>
  <c r="M186" i="2"/>
  <c r="L186" i="2" s="1"/>
  <c r="M159" i="2"/>
  <c r="L159" i="2" s="1"/>
  <c r="M163" i="2"/>
  <c r="L163" i="2" s="1"/>
  <c r="M167" i="2"/>
  <c r="L167" i="2" s="1"/>
  <c r="M175" i="2"/>
  <c r="L175" i="2" s="1"/>
  <c r="M183" i="2"/>
  <c r="L183" i="2" s="1"/>
  <c r="M128" i="2"/>
  <c r="L128" i="2" s="1"/>
  <c r="M130" i="2"/>
  <c r="L130" i="2" s="1"/>
  <c r="M152" i="2"/>
  <c r="L152" i="2" s="1"/>
  <c r="M161" i="2"/>
  <c r="L161" i="2" s="1"/>
  <c r="M181" i="2"/>
  <c r="L181" i="2" s="1"/>
  <c r="M185" i="2"/>
  <c r="L185" i="2" s="1"/>
  <c r="M135" i="2"/>
  <c r="L135" i="2" s="1"/>
  <c r="M149" i="2"/>
  <c r="L149" i="2" s="1"/>
  <c r="M153" i="2"/>
  <c r="L153" i="2" s="1"/>
  <c r="M158" i="2"/>
  <c r="L158" i="2" s="1"/>
  <c r="M166" i="2"/>
  <c r="L166" i="2" s="1"/>
  <c r="M151" i="2"/>
  <c r="L151" i="2" s="1"/>
  <c r="M126" i="2"/>
  <c r="L126" i="2" s="1"/>
  <c r="M132" i="2"/>
  <c r="L132" i="2" s="1"/>
  <c r="M165" i="2"/>
  <c r="L165" i="2" s="1"/>
  <c r="M174" i="2"/>
  <c r="L174" i="2" s="1"/>
  <c r="M160" i="2"/>
  <c r="L160" i="2" s="1"/>
  <c r="M168" i="2"/>
  <c r="L168" i="2" s="1"/>
  <c r="M172" i="2"/>
  <c r="L172" i="2" s="1"/>
  <c r="M176" i="2"/>
  <c r="L176" i="2" s="1"/>
  <c r="M184" i="2"/>
  <c r="L184" i="2" s="1"/>
  <c r="M122" i="2"/>
  <c r="L122" i="2" s="1"/>
  <c r="M188" i="2"/>
  <c r="L188" i="2" s="1"/>
  <c r="M119" i="2"/>
  <c r="L119" i="2" s="1"/>
  <c r="M162" i="2"/>
  <c r="L162" i="2" s="1"/>
  <c r="M44" i="2"/>
  <c r="L44" i="2" s="1"/>
  <c r="M46" i="2"/>
  <c r="L46" i="2" s="1"/>
  <c r="M48" i="2"/>
  <c r="L48" i="2" s="1"/>
  <c r="M50" i="2"/>
  <c r="L50" i="2" s="1"/>
  <c r="M52" i="2"/>
  <c r="L52" i="2" s="1"/>
  <c r="M54" i="2"/>
  <c r="L54" i="2" s="1"/>
  <c r="M82" i="2"/>
  <c r="L82" i="2" s="1"/>
  <c r="M84" i="2"/>
  <c r="L84" i="2" s="1"/>
  <c r="M86" i="2"/>
  <c r="L86" i="2" s="1"/>
  <c r="M88" i="2"/>
  <c r="L88" i="2" s="1"/>
  <c r="M101" i="2"/>
  <c r="L101" i="2" s="1"/>
  <c r="M103" i="2"/>
  <c r="L103" i="2" s="1"/>
  <c r="M105" i="2"/>
  <c r="L105" i="2" s="1"/>
  <c r="M107" i="2"/>
  <c r="L107" i="2" s="1"/>
  <c r="M109" i="2"/>
  <c r="L109" i="2" s="1"/>
  <c r="M85" i="2"/>
  <c r="L85" i="2" s="1"/>
  <c r="M102" i="2"/>
  <c r="L102" i="2" s="1"/>
  <c r="M108" i="2"/>
  <c r="L108" i="2" s="1"/>
  <c r="M93" i="2"/>
  <c r="L93" i="2" s="1"/>
  <c r="M114" i="2"/>
  <c r="L114" i="2" s="1"/>
  <c r="M99" i="2"/>
  <c r="L99" i="2" s="1"/>
  <c r="M116" i="2"/>
  <c r="L116" i="2" s="1"/>
  <c r="M111" i="2"/>
  <c r="L111" i="2" s="1"/>
  <c r="M113" i="2"/>
  <c r="L113" i="2" s="1"/>
  <c r="M115" i="2"/>
  <c r="L115" i="2" s="1"/>
  <c r="M94" i="2"/>
  <c r="L94" i="2" s="1"/>
  <c r="M98" i="2"/>
  <c r="L98" i="2" s="1"/>
  <c r="M47" i="2"/>
  <c r="L47" i="2" s="1"/>
  <c r="M49" i="2"/>
  <c r="L49" i="2" s="1"/>
  <c r="M53" i="2"/>
  <c r="L53" i="2" s="1"/>
  <c r="M81" i="2"/>
  <c r="L81" i="2" s="1"/>
  <c r="M87" i="2"/>
  <c r="L87" i="2" s="1"/>
  <c r="M106" i="2"/>
  <c r="L106" i="2" s="1"/>
  <c r="M112" i="2"/>
  <c r="L112" i="2" s="1"/>
  <c r="M97" i="2"/>
  <c r="L97" i="2" s="1"/>
  <c r="M96" i="2"/>
  <c r="L96" i="2" s="1"/>
  <c r="M45" i="2"/>
  <c r="L45" i="2" s="1"/>
  <c r="M51" i="2"/>
  <c r="L51" i="2" s="1"/>
  <c r="M55" i="2"/>
  <c r="L55" i="2" s="1"/>
  <c r="M100" i="2"/>
  <c r="L100" i="2" s="1"/>
  <c r="M83" i="2"/>
  <c r="L83" i="2" s="1"/>
  <c r="M104" i="2"/>
  <c r="L104" i="2" s="1"/>
  <c r="M110" i="2"/>
  <c r="L110" i="2" s="1"/>
  <c r="M95" i="2"/>
  <c r="L95" i="2" s="1"/>
  <c r="B19" i="37"/>
  <c r="C11" i="31" s="1"/>
  <c r="D19" i="37"/>
  <c r="B17" i="37"/>
  <c r="B18" i="37"/>
  <c r="B20" i="37"/>
  <c r="D17" i="37"/>
  <c r="D18" i="37"/>
  <c r="D20" i="37"/>
  <c r="M11" i="2"/>
  <c r="M13" i="2"/>
  <c r="M15" i="2"/>
  <c r="M17" i="2"/>
  <c r="M19" i="2"/>
  <c r="M21" i="2"/>
  <c r="M23" i="2"/>
  <c r="M25" i="2"/>
  <c r="M16" i="2"/>
  <c r="M26" i="2"/>
  <c r="M20" i="2"/>
  <c r="M10" i="2"/>
  <c r="L10" i="2" s="1"/>
  <c r="M14" i="2"/>
  <c r="M18" i="2"/>
  <c r="M24" i="2"/>
  <c r="M22" i="2"/>
  <c r="M12" i="2"/>
  <c r="H18" i="39"/>
  <c r="D15" i="37"/>
  <c r="D16" i="37"/>
  <c r="E20" i="37" l="1"/>
  <c r="F20" i="37" s="1"/>
  <c r="E18" i="37"/>
  <c r="F18" i="37" s="1"/>
  <c r="E17" i="37"/>
  <c r="G17" i="37" s="1"/>
  <c r="L18" i="2"/>
  <c r="L20" i="2"/>
  <c r="L26" i="2"/>
  <c r="L13" i="2"/>
  <c r="L12" i="2"/>
  <c r="L15" i="2"/>
  <c r="L11" i="2"/>
  <c r="L14" i="2"/>
  <c r="L25" i="2"/>
  <c r="L23" i="2"/>
  <c r="L24" i="2"/>
  <c r="L16" i="2"/>
  <c r="L21" i="2"/>
  <c r="L22" i="2"/>
  <c r="L19" i="2"/>
  <c r="L17" i="2"/>
  <c r="I30" i="38"/>
  <c r="I27" i="38"/>
  <c r="J27" i="38"/>
  <c r="K27" i="38"/>
  <c r="L27" i="38"/>
  <c r="M27" i="38"/>
  <c r="N27" i="38"/>
  <c r="I28" i="38"/>
  <c r="J28" i="38"/>
  <c r="K28" i="38"/>
  <c r="L28" i="38"/>
  <c r="M28" i="38"/>
  <c r="N28" i="38"/>
  <c r="I29" i="38"/>
  <c r="J29" i="38"/>
  <c r="K29" i="38"/>
  <c r="L29" i="38"/>
  <c r="M29" i="38"/>
  <c r="N29" i="38"/>
  <c r="G20" i="37" l="1"/>
  <c r="G18" i="37"/>
  <c r="F17" i="37"/>
  <c r="E19" i="37"/>
  <c r="G19" i="37" s="1"/>
  <c r="E16" i="37"/>
  <c r="E15" i="37"/>
  <c r="F19" i="37" l="1"/>
  <c r="C16" i="17" l="1"/>
  <c r="K21" i="37" l="1"/>
  <c r="N30" i="38"/>
  <c r="M30" i="38"/>
  <c r="L30" i="38"/>
  <c r="K30" i="38"/>
  <c r="J30" i="38"/>
  <c r="J31" i="38" l="1"/>
  <c r="I31" i="38"/>
  <c r="M31" i="38"/>
  <c r="L31" i="38"/>
  <c r="I40" i="18"/>
  <c r="N40" i="18"/>
  <c r="M40" i="18"/>
  <c r="M18" i="28"/>
  <c r="M11" i="28"/>
  <c r="M12" i="28"/>
  <c r="M13" i="28"/>
  <c r="M14" i="28"/>
  <c r="M15" i="28"/>
  <c r="M16" i="28"/>
  <c r="M17" i="28"/>
  <c r="M10" i="28"/>
  <c r="N23" i="38"/>
  <c r="M23" i="38"/>
  <c r="L23" i="38"/>
  <c r="K23" i="38"/>
  <c r="J23" i="38"/>
  <c r="I23" i="38"/>
  <c r="B4" i="38"/>
  <c r="E14" i="35"/>
  <c r="F14" i="35" s="1"/>
  <c r="E15" i="35"/>
  <c r="F15" i="35" s="1"/>
  <c r="E17" i="35"/>
  <c r="F17" i="35" s="1"/>
  <c r="E18" i="35"/>
  <c r="F18" i="35" s="1"/>
  <c r="E19" i="35"/>
  <c r="F19" i="35" s="1"/>
  <c r="E20" i="35"/>
  <c r="F20" i="35" s="1"/>
  <c r="E21" i="35"/>
  <c r="F21" i="35" s="1"/>
  <c r="E22" i="35"/>
  <c r="F22" i="35" s="1"/>
  <c r="E23" i="35"/>
  <c r="F23" i="35" s="1"/>
  <c r="E24" i="35"/>
  <c r="F24" i="35" s="1"/>
  <c r="E25" i="35"/>
  <c r="F25" i="35" s="1"/>
  <c r="E26" i="35"/>
  <c r="F26" i="35" s="1"/>
  <c r="E27" i="35"/>
  <c r="F27" i="35" s="1"/>
  <c r="E28" i="35"/>
  <c r="F28" i="35" s="1"/>
  <c r="E29" i="35"/>
  <c r="F29" i="35" s="1"/>
  <c r="E30" i="35"/>
  <c r="F30" i="35" s="1"/>
  <c r="E31" i="35"/>
  <c r="F31" i="35" s="1"/>
  <c r="E32" i="35"/>
  <c r="F32" i="35" s="1"/>
  <c r="E33" i="35"/>
  <c r="F33" i="35" s="1"/>
  <c r="E13" i="35"/>
  <c r="F13" i="35" s="1"/>
  <c r="B4" i="37"/>
  <c r="B4" i="5"/>
  <c r="B4" i="31"/>
  <c r="D35" i="35"/>
  <c r="N29" i="18"/>
  <c r="M29" i="18"/>
  <c r="L29" i="18"/>
  <c r="K29" i="18"/>
  <c r="J29" i="18"/>
  <c r="I29" i="18"/>
  <c r="F12" i="31"/>
  <c r="F18" i="31"/>
  <c r="H18" i="31" s="1"/>
  <c r="F11" i="31"/>
  <c r="F13" i="31"/>
  <c r="H13" i="31" s="1"/>
  <c r="L16" i="37" s="1"/>
  <c r="F15" i="31"/>
  <c r="H15" i="31" s="1"/>
  <c r="L18" i="37" s="1"/>
  <c r="F16" i="31"/>
  <c r="H16" i="31" s="1"/>
  <c r="L15" i="37" s="1"/>
  <c r="F17" i="31"/>
  <c r="H17" i="31" s="1"/>
  <c r="B4" i="28"/>
  <c r="C4" i="2"/>
  <c r="B4" i="18"/>
  <c r="B4" i="17"/>
  <c r="B41" i="17"/>
  <c r="B47" i="17" s="1"/>
  <c r="B51" i="17" s="1"/>
  <c r="B52" i="17"/>
  <c r="B15" i="37" l="1"/>
  <c r="B16" i="37"/>
  <c r="H33" i="35"/>
  <c r="H32" i="35"/>
  <c r="M15" i="37" s="1"/>
  <c r="H31" i="35"/>
  <c r="H30" i="35"/>
  <c r="H29" i="35"/>
  <c r="H28" i="35"/>
  <c r="M18" i="37" s="1"/>
  <c r="H26" i="35"/>
  <c r="H25" i="35"/>
  <c r="M17" i="37" s="1"/>
  <c r="H24" i="35"/>
  <c r="H23" i="35"/>
  <c r="H22" i="35"/>
  <c r="H21" i="35"/>
  <c r="H20" i="35"/>
  <c r="H19" i="35"/>
  <c r="H27" i="35"/>
  <c r="H18" i="35"/>
  <c r="H17" i="35"/>
  <c r="H13" i="35"/>
  <c r="M19" i="37" s="1"/>
  <c r="H15" i="35"/>
  <c r="H14" i="35"/>
  <c r="O29" i="18"/>
  <c r="F20" i="31"/>
  <c r="B49" i="17"/>
  <c r="B50" i="17"/>
  <c r="M20" i="28"/>
  <c r="O23" i="38"/>
  <c r="K31" i="38"/>
  <c r="J40" i="18"/>
  <c r="N31" i="38"/>
  <c r="L40" i="18"/>
  <c r="K40" i="18"/>
  <c r="M16" i="37" l="1"/>
  <c r="B21" i="37"/>
  <c r="E12" i="18"/>
  <c r="E15" i="18" s="1"/>
  <c r="H35" i="35"/>
  <c r="B53" i="17"/>
  <c r="E12" i="38"/>
  <c r="E15" i="38" s="1"/>
  <c r="M21" i="37" l="1"/>
  <c r="E17" i="38"/>
  <c r="K46" i="38" s="1"/>
  <c r="K45" i="38"/>
  <c r="F15" i="37"/>
  <c r="G15" i="37"/>
  <c r="E18" i="18"/>
  <c r="K47" i="18" s="1"/>
  <c r="K45" i="18"/>
  <c r="E21" i="37"/>
  <c r="F16" i="37"/>
  <c r="G16" i="37"/>
  <c r="E18" i="38"/>
  <c r="E17" i="18"/>
  <c r="J6" i="28" l="1"/>
  <c r="K52" i="18"/>
  <c r="G21" i="37"/>
  <c r="E19" i="38"/>
  <c r="E21" i="38" s="1"/>
  <c r="K47" i="38"/>
  <c r="F21" i="37"/>
  <c r="E19" i="18"/>
  <c r="E21" i="18" s="1"/>
  <c r="C29" i="17" s="1"/>
  <c r="C31" i="17" s="1"/>
  <c r="C34" i="17" s="1"/>
  <c r="C21" i="17" s="1"/>
  <c r="C24" i="17" s="1"/>
  <c r="K46" i="18"/>
  <c r="E22" i="38" l="1"/>
  <c r="E23" i="38" s="1"/>
  <c r="E25" i="38" s="1"/>
  <c r="E22" i="18"/>
  <c r="K48" i="38" l="1"/>
  <c r="E26" i="38"/>
  <c r="E32" i="38" s="1"/>
  <c r="E43" i="38" s="1"/>
  <c r="K61" i="38" s="1"/>
  <c r="K49" i="38"/>
  <c r="E23" i="18"/>
  <c r="E25" i="18" s="1"/>
  <c r="K48" i="18"/>
  <c r="K63" i="38" l="1"/>
  <c r="E26" i="18"/>
  <c r="E32" i="18" s="1"/>
  <c r="K49" i="18"/>
  <c r="E47" i="38"/>
  <c r="J17" i="37" l="1"/>
  <c r="J18" i="37"/>
  <c r="J20" i="37"/>
  <c r="J19" i="37"/>
  <c r="J16" i="37"/>
  <c r="J15" i="37"/>
  <c r="F35" i="38"/>
  <c r="F36" i="38"/>
  <c r="F37" i="38"/>
  <c r="F38" i="38"/>
  <c r="F39" i="38"/>
  <c r="F40" i="38"/>
  <c r="F41" i="38"/>
  <c r="E49" i="38"/>
  <c r="K65" i="38" s="1"/>
  <c r="F34" i="38"/>
  <c r="E53" i="38"/>
  <c r="F19" i="38"/>
  <c r="F45" i="38"/>
  <c r="F26" i="38"/>
  <c r="E51" i="38"/>
  <c r="F23" i="38"/>
  <c r="F32" i="38"/>
  <c r="F43" i="38"/>
  <c r="E43" i="18"/>
  <c r="K61" i="18" l="1"/>
  <c r="K63" i="18" s="1"/>
  <c r="K69" i="38"/>
  <c r="K67" i="38"/>
  <c r="J21" i="37"/>
  <c r="F47" i="38"/>
  <c r="E47" i="18" l="1"/>
  <c r="F34" i="18" s="1"/>
  <c r="F32" i="18" l="1"/>
  <c r="I20" i="37"/>
  <c r="I18" i="37"/>
  <c r="N18" i="37" s="1"/>
  <c r="O18" i="37" s="1"/>
  <c r="I17" i="37"/>
  <c r="N17" i="37" s="1"/>
  <c r="O17" i="37" s="1"/>
  <c r="I19" i="37"/>
  <c r="E49" i="18"/>
  <c r="K65" i="18" s="1"/>
  <c r="H11" i="31"/>
  <c r="L19" i="37" s="1"/>
  <c r="N19" i="37" s="1"/>
  <c r="F26" i="18"/>
  <c r="F40" i="18"/>
  <c r="F41" i="18"/>
  <c r="F23" i="18"/>
  <c r="F39" i="18"/>
  <c r="F38" i="18"/>
  <c r="F45" i="18"/>
  <c r="F37" i="18"/>
  <c r="F19" i="18"/>
  <c r="F36" i="18"/>
  <c r="I16" i="37"/>
  <c r="N16" i="37" s="1"/>
  <c r="E53" i="18"/>
  <c r="E51" i="18"/>
  <c r="F43" i="18"/>
  <c r="F42" i="18"/>
  <c r="F35" i="18"/>
  <c r="I15" i="37"/>
  <c r="N15" i="37" s="1"/>
  <c r="F47" i="18" l="1"/>
  <c r="K67" i="18"/>
  <c r="O19" i="37"/>
  <c r="I21" i="37"/>
  <c r="K69" i="18"/>
  <c r="H12" i="31"/>
  <c r="L20" i="37" s="1"/>
  <c r="N20" i="37" s="1"/>
  <c r="O20" i="37" l="1"/>
  <c r="O15" i="37"/>
  <c r="H20" i="31"/>
  <c r="O16" i="37" l="1"/>
  <c r="O21" i="37" s="1"/>
  <c r="L21" i="37"/>
  <c r="N21" i="37" l="1"/>
  <c r="P1" i="37" s="1"/>
  <c r="P2" i="37" s="1"/>
  <c r="P3" i="37" s="1"/>
</calcChain>
</file>

<file path=xl/sharedStrings.xml><?xml version="1.0" encoding="utf-8"?>
<sst xmlns="http://schemas.openxmlformats.org/spreadsheetml/2006/main" count="1683" uniqueCount="492">
  <si>
    <t>Naam opdrachtgever</t>
  </si>
  <si>
    <t>Calculatie onderdeel</t>
  </si>
  <si>
    <t>Gebouw/plaats</t>
  </si>
  <si>
    <t>Referentie nummer</t>
  </si>
  <si>
    <t>Invoervelden</t>
  </si>
  <si>
    <t>Minimale taakgrootte</t>
  </si>
  <si>
    <t>EINDTOTAAL KOSTEN PER JAAR  EXCLUSIEF BTW         INSCHRIJVINGSBEDRAG</t>
  </si>
  <si>
    <t>uur per dag</t>
  </si>
  <si>
    <t>B.T.W.</t>
  </si>
  <si>
    <t>Gemeente Westerkwartier</t>
  </si>
  <si>
    <t>Totale kosten per jaar inclusief B.T.W.</t>
  </si>
  <si>
    <t>Toezicht percentage</t>
  </si>
  <si>
    <t>Perceel 2 sportlocaties</t>
  </si>
  <si>
    <t>per prod. Uur</t>
  </si>
  <si>
    <t>MAXIMALE BOVENGRENS PLAFONDBEDRAG INSCHRIJVINGSBEDRAG</t>
  </si>
  <si>
    <t>MAXIMALE ONDERGRENS INSCHRIJVINGSBEDRAG</t>
  </si>
  <si>
    <t>Naam dienstverlener</t>
  </si>
  <si>
    <t>Prijspeil</t>
  </si>
  <si>
    <t>Versie</t>
  </si>
  <si>
    <t>PRODUCTIE UREN PER JAAR</t>
  </si>
  <si>
    <t>UREN OPSLAG MINIMALE TAAKGROOTTE PER JAAR</t>
  </si>
  <si>
    <t>TOEZICHTUREN PER JAAR</t>
  </si>
  <si>
    <t>Locatie</t>
  </si>
  <si>
    <t>Totaal m2</t>
  </si>
  <si>
    <t>Locatie factor</t>
  </si>
  <si>
    <t>Hoogste frequentie ma t/m vr</t>
  </si>
  <si>
    <t>Productie uren ma t/m vr</t>
  </si>
  <si>
    <t>Uren minimale taakgrootte ma t/m vrij</t>
  </si>
  <si>
    <t>Toezicht uren per jaar ma t/m vr</t>
  </si>
  <si>
    <t>Ezinge, gymzaal</t>
  </si>
  <si>
    <t>Grijpskerk, Sporthal de Bokkediek</t>
  </si>
  <si>
    <t>Leek, Sportzaal Oldenoert</t>
  </si>
  <si>
    <t>Noordhorn Sportzaal Oosterweg</t>
  </si>
  <si>
    <t>Oldehove Sporthal de Kooi</t>
  </si>
  <si>
    <t xml:space="preserve">Zuidhorn, Sporthal Quicksilver </t>
  </si>
  <si>
    <t>Totaal</t>
  </si>
  <si>
    <t>Kosten productie per jaar ma t/m vr incl minimale taakgrootte</t>
  </si>
  <si>
    <t xml:space="preserve">Kosten toezicht per jaar ma t/m vr </t>
  </si>
  <si>
    <t>Kosten vloeronderhoud per jaar</t>
  </si>
  <si>
    <t>Kosten Additioneel per jaar</t>
  </si>
  <si>
    <t>Kosten glasbewassing per jaar</t>
  </si>
  <si>
    <t>Totaal kosten per jaar excl. btw</t>
  </si>
  <si>
    <t>Totaal kosten per maand excl. btw</t>
  </si>
  <si>
    <t>Gewogen prestatie</t>
  </si>
  <si>
    <t>m2/uur</t>
  </si>
  <si>
    <t>Frequentie van uitvoering (per jaar):</t>
  </si>
  <si>
    <t>Ruimtecategorie</t>
  </si>
  <si>
    <t>Prestatienorm in aantal m2 per uur</t>
  </si>
  <si>
    <t>M2 Totaal</t>
  </si>
  <si>
    <t>Administratieve ruimten</t>
  </si>
  <si>
    <t>Sanitaire ruimten</t>
  </si>
  <si>
    <t>Verkeersruimten</t>
  </si>
  <si>
    <t>Kleedruimten</t>
  </si>
  <si>
    <t>Opslagruimte</t>
  </si>
  <si>
    <t>Sportzaal</t>
  </si>
  <si>
    <t>Entree</t>
  </si>
  <si>
    <t>Douches</t>
  </si>
  <si>
    <t>Nio</t>
  </si>
  <si>
    <t>Kolom voor matrix</t>
  </si>
  <si>
    <t>Frequentie verklaring</t>
  </si>
  <si>
    <t>Freq</t>
  </si>
  <si>
    <t>Kolom</t>
  </si>
  <si>
    <t>1x per maand</t>
  </si>
  <si>
    <t>1x per week (schoolweken)</t>
  </si>
  <si>
    <t>2x per week (schoolweken)</t>
  </si>
  <si>
    <t>2x per week (52 weken)</t>
  </si>
  <si>
    <t>3x per week (schoolweken)</t>
  </si>
  <si>
    <t>4x per week (schoolweken)</t>
  </si>
  <si>
    <t>5x per week (schoolweken)</t>
  </si>
  <si>
    <t>5 x per week (52 weken)</t>
  </si>
  <si>
    <t>Gebouw</t>
  </si>
  <si>
    <t>Adres</t>
  </si>
  <si>
    <t>Verdieping</t>
  </si>
  <si>
    <t>Ruimte nummer</t>
  </si>
  <si>
    <t>Ruimteomschrijving opdrachtgever</t>
  </si>
  <si>
    <t>Ruimte categorie</t>
  </si>
  <si>
    <t>Vloer soort</t>
  </si>
  <si>
    <t xml:space="preserve">M2 vloer </t>
  </si>
  <si>
    <t>Totaal frequentie</t>
  </si>
  <si>
    <t>Freq. ma-vr</t>
  </si>
  <si>
    <t>Uren p/j ma t/m vrij</t>
  </si>
  <si>
    <t>Norm ma t/m vr</t>
  </si>
  <si>
    <t>Bijzonderheden / opmerkingen</t>
  </si>
  <si>
    <t>M2 per jaar</t>
  </si>
  <si>
    <t>Boventilsterweg 1</t>
  </si>
  <si>
    <t>BG</t>
  </si>
  <si>
    <t>beheerder</t>
  </si>
  <si>
    <t>Bureaukamers</t>
  </si>
  <si>
    <t>tapijt</t>
  </si>
  <si>
    <t>nio</t>
  </si>
  <si>
    <t>bestuurskamer</t>
  </si>
  <si>
    <t>damestoilet hal</t>
  </si>
  <si>
    <t>gietvloer</t>
  </si>
  <si>
    <t>douches kleedkamer 1</t>
  </si>
  <si>
    <t>douches kleedkamer 4</t>
  </si>
  <si>
    <t>pvc</t>
  </si>
  <si>
    <t>douches kleedkamer 3</t>
  </si>
  <si>
    <t>gang</t>
  </si>
  <si>
    <t>gang bij kleedkamer 5_6</t>
  </si>
  <si>
    <t>gang bij sportzalen 1 en 2</t>
  </si>
  <si>
    <t>hal</t>
  </si>
  <si>
    <t>herentoilet hal</t>
  </si>
  <si>
    <t>kantine</t>
  </si>
  <si>
    <t>linoleum</t>
  </si>
  <si>
    <t>kantine bij voetbaltafel</t>
  </si>
  <si>
    <t>kantine verhoging</t>
  </si>
  <si>
    <t>keuken</t>
  </si>
  <si>
    <t>Keukenruimten</t>
  </si>
  <si>
    <t>kleedruimte 1</t>
  </si>
  <si>
    <t>kleedruimte 2</t>
  </si>
  <si>
    <t>kleedruimte 3</t>
  </si>
  <si>
    <t>kleedruimte 4</t>
  </si>
  <si>
    <t>miva toilet hal</t>
  </si>
  <si>
    <t>miva toilet kleedkamer 4</t>
  </si>
  <si>
    <t>opslag keuken</t>
  </si>
  <si>
    <t>Opslagruimten</t>
  </si>
  <si>
    <t>scheidsrechterskantoor</t>
  </si>
  <si>
    <t>sportzaal 1</t>
  </si>
  <si>
    <t>sportzaal 2</t>
  </si>
  <si>
    <t>toestelberging</t>
  </si>
  <si>
    <t>toilet kleedkamer 1</t>
  </si>
  <si>
    <t>toilet kleedkamer 2</t>
  </si>
  <si>
    <t>toilet kleedkamer 3</t>
  </si>
  <si>
    <t>toilet kleedkamer 4</t>
  </si>
  <si>
    <t>tribune 2</t>
  </si>
  <si>
    <t>tribune sportzaal 1</t>
  </si>
  <si>
    <t>voorportaal entree</t>
  </si>
  <si>
    <t>Oosterweg 52</t>
  </si>
  <si>
    <t>docenten ruimte</t>
  </si>
  <si>
    <t>douches heren</t>
  </si>
  <si>
    <t>douches dames</t>
  </si>
  <si>
    <t>gang bij docentenkamer</t>
  </si>
  <si>
    <t>gymzaal</t>
  </si>
  <si>
    <t>steen</t>
  </si>
  <si>
    <t>heren kleedkamer</t>
  </si>
  <si>
    <t>kleedruimte dames</t>
  </si>
  <si>
    <t>sanitair docentenkamer</t>
  </si>
  <si>
    <t>toilet dames</t>
  </si>
  <si>
    <t>toilet heren</t>
  </si>
  <si>
    <t>Sportlaan 5</t>
  </si>
  <si>
    <t>berging toestellen</t>
  </si>
  <si>
    <t>dames kleedkamer</t>
  </si>
  <si>
    <t>dames toilet</t>
  </si>
  <si>
    <t>docent ruimte</t>
  </si>
  <si>
    <t>douches dames kleedkamer</t>
  </si>
  <si>
    <t>douches heren kleedkamer</t>
  </si>
  <si>
    <t>entree</t>
  </si>
  <si>
    <t>hal voor kleedkamer</t>
  </si>
  <si>
    <t>heren kleedkamer 2</t>
  </si>
  <si>
    <t>heren kleedk</t>
  </si>
  <si>
    <t>heren toilet</t>
  </si>
  <si>
    <t>kantoor</t>
  </si>
  <si>
    <t>miva toilet in dames kleedkamer</t>
  </si>
  <si>
    <t>miva toilet in dames kleedruimte</t>
  </si>
  <si>
    <t>opslag achterin</t>
  </si>
  <si>
    <t>scheidsrechter</t>
  </si>
  <si>
    <t>sportzaal 3</t>
  </si>
  <si>
    <t>toilet in herenkleedkamer</t>
  </si>
  <si>
    <t>tribune bij hal</t>
  </si>
  <si>
    <t>Ewesheim 9, Leek</t>
  </si>
  <si>
    <t>R1</t>
  </si>
  <si>
    <t>Tegel/ Steen</t>
  </si>
  <si>
    <t>R2</t>
  </si>
  <si>
    <t>R3</t>
  </si>
  <si>
    <t>Verkeersruimte</t>
  </si>
  <si>
    <t>R4</t>
  </si>
  <si>
    <t>R5</t>
  </si>
  <si>
    <t xml:space="preserve">Toilet </t>
  </si>
  <si>
    <t>R6</t>
  </si>
  <si>
    <t>R7</t>
  </si>
  <si>
    <t>R8</t>
  </si>
  <si>
    <t>R9</t>
  </si>
  <si>
    <t>Werkkast</t>
  </si>
  <si>
    <t>R10</t>
  </si>
  <si>
    <t>R11</t>
  </si>
  <si>
    <t>R12</t>
  </si>
  <si>
    <t>Meterkast</t>
  </si>
  <si>
    <t>R13</t>
  </si>
  <si>
    <t>Gang</t>
  </si>
  <si>
    <t>R14</t>
  </si>
  <si>
    <t>R15</t>
  </si>
  <si>
    <t>Kleedruimte</t>
  </si>
  <si>
    <t>R16</t>
  </si>
  <si>
    <t>R17</t>
  </si>
  <si>
    <t>R18</t>
  </si>
  <si>
    <t>R19</t>
  </si>
  <si>
    <t>Wasruimte</t>
  </si>
  <si>
    <t>R20</t>
  </si>
  <si>
    <t>R21</t>
  </si>
  <si>
    <t>R22</t>
  </si>
  <si>
    <t>R24</t>
  </si>
  <si>
    <t>Portaal</t>
  </si>
  <si>
    <t>R25</t>
  </si>
  <si>
    <t>R26</t>
  </si>
  <si>
    <t>R27</t>
  </si>
  <si>
    <t>R28</t>
  </si>
  <si>
    <t>R29</t>
  </si>
  <si>
    <t>R30</t>
  </si>
  <si>
    <t>R31</t>
  </si>
  <si>
    <t>R32</t>
  </si>
  <si>
    <t>Docent</t>
  </si>
  <si>
    <t>R33</t>
  </si>
  <si>
    <t>R34</t>
  </si>
  <si>
    <t>Douche/ WC</t>
  </si>
  <si>
    <t>R35</t>
  </si>
  <si>
    <t>R36</t>
  </si>
  <si>
    <t>Gymzaal</t>
  </si>
  <si>
    <t>Hout</t>
  </si>
  <si>
    <t>R37</t>
  </si>
  <si>
    <t>Toestellenberging</t>
  </si>
  <si>
    <t>R38</t>
  </si>
  <si>
    <t>CV/ Techniekruimte</t>
  </si>
  <si>
    <t>R39</t>
  </si>
  <si>
    <t>Allersmaweg 35, Ezinge</t>
  </si>
  <si>
    <t>Toilet</t>
  </si>
  <si>
    <t>Kleedkamer 1</t>
  </si>
  <si>
    <t>Kleedkamer 2</t>
  </si>
  <si>
    <t>Doucheruimtee 1</t>
  </si>
  <si>
    <t>Doucheruimte 2</t>
  </si>
  <si>
    <t>Toilet in kleedkamer 1</t>
  </si>
  <si>
    <t>Toilet in kleedkamer 2</t>
  </si>
  <si>
    <t>Toestelberging</t>
  </si>
  <si>
    <t>Docentenkamer</t>
  </si>
  <si>
    <t>Sportlaan 1, Zuidhorn</t>
  </si>
  <si>
    <t>nummer 1</t>
  </si>
  <si>
    <t>Sporthal</t>
  </si>
  <si>
    <t>nummer 2</t>
  </si>
  <si>
    <t>scheidsrechter hok</t>
  </si>
  <si>
    <t>nummer 3</t>
  </si>
  <si>
    <t>Naast scheidsrechterhok</t>
  </si>
  <si>
    <t>nummer 4</t>
  </si>
  <si>
    <t>kleedruimten binnenkleedkamer</t>
  </si>
  <si>
    <t>nummer 5</t>
  </si>
  <si>
    <t>portaal</t>
  </si>
  <si>
    <t>nummer 5A</t>
  </si>
  <si>
    <t>toilet</t>
  </si>
  <si>
    <t>nummer 6</t>
  </si>
  <si>
    <t>wasruimten binnenkleedkamer</t>
  </si>
  <si>
    <t>nummer 7</t>
  </si>
  <si>
    <t>nummer 8</t>
  </si>
  <si>
    <t>nummer 8A</t>
  </si>
  <si>
    <t>Toilet binnenkleedkamer</t>
  </si>
  <si>
    <t>nummer 9</t>
  </si>
  <si>
    <t>nummer 10</t>
  </si>
  <si>
    <t>toetsellenberging</t>
  </si>
  <si>
    <t>nummer 11</t>
  </si>
  <si>
    <t>EHBO</t>
  </si>
  <si>
    <t>nummer 12</t>
  </si>
  <si>
    <t>nummer 13</t>
  </si>
  <si>
    <t>bergruimte</t>
  </si>
  <si>
    <t>nummer 14</t>
  </si>
  <si>
    <t>kleedruimten k.k. 10</t>
  </si>
  <si>
    <t>nummer 15</t>
  </si>
  <si>
    <t>wasruimten k.k. 10</t>
  </si>
  <si>
    <t>nummer 16</t>
  </si>
  <si>
    <t>toilet k.k. 10</t>
  </si>
  <si>
    <t>nummer 17</t>
  </si>
  <si>
    <t>kleedruimten k.k. 9</t>
  </si>
  <si>
    <t>nummer 18</t>
  </si>
  <si>
    <t>wasruimten k.k. 9</t>
  </si>
  <si>
    <t>nummer 19</t>
  </si>
  <si>
    <t>toilet k.k. 9</t>
  </si>
  <si>
    <t>nummer 20</t>
  </si>
  <si>
    <t>toestellenberging</t>
  </si>
  <si>
    <t>nummer 21</t>
  </si>
  <si>
    <t>nummer 22</t>
  </si>
  <si>
    <t>nummer 23</t>
  </si>
  <si>
    <t>kleedruimten k.k.8</t>
  </si>
  <si>
    <t>nummer 24</t>
  </si>
  <si>
    <t>wasruimten k.k. 8</t>
  </si>
  <si>
    <t>nummer 25</t>
  </si>
  <si>
    <t>kleedruimten k.k. 7</t>
  </si>
  <si>
    <t>nummer 26</t>
  </si>
  <si>
    <t>wasruimten k.k. 7</t>
  </si>
  <si>
    <t>nummer 27</t>
  </si>
  <si>
    <t>toilet k.k. 7</t>
  </si>
  <si>
    <t>nummer 28</t>
  </si>
  <si>
    <t>toilet k.k. 8</t>
  </si>
  <si>
    <t>nummer 29</t>
  </si>
  <si>
    <t>kleedruimten k.k. 6</t>
  </si>
  <si>
    <t>nummer 30</t>
  </si>
  <si>
    <t>wasruimten k.k. 6</t>
  </si>
  <si>
    <t>nummer 31</t>
  </si>
  <si>
    <t>toilet k.k. 6</t>
  </si>
  <si>
    <t>nummer 32</t>
  </si>
  <si>
    <t>toilet k.k. 5</t>
  </si>
  <si>
    <t>nummer 33</t>
  </si>
  <si>
    <t>wasruimten k.k. 5</t>
  </si>
  <si>
    <t>nummer 34</t>
  </si>
  <si>
    <t>kleedruimten k.k. 5</t>
  </si>
  <si>
    <t>nummer 35</t>
  </si>
  <si>
    <t>nummer 36</t>
  </si>
  <si>
    <t>kleedruimten k.k. 4</t>
  </si>
  <si>
    <t>nummer 37</t>
  </si>
  <si>
    <t>wasruimten k.k. 4</t>
  </si>
  <si>
    <t>nummer 38</t>
  </si>
  <si>
    <t>wasruimten k.k. 3</t>
  </si>
  <si>
    <t>nummer 39</t>
  </si>
  <si>
    <t>kleedruimten k.k. 3</t>
  </si>
  <si>
    <t>nummer 40</t>
  </si>
  <si>
    <t>toilet k.k. 4</t>
  </si>
  <si>
    <t>nummer 41</t>
  </si>
  <si>
    <t>toilet k.k. 3</t>
  </si>
  <si>
    <t>nummer 42</t>
  </si>
  <si>
    <t>nummer 43</t>
  </si>
  <si>
    <t>nummer 44</t>
  </si>
  <si>
    <t>nummer 45</t>
  </si>
  <si>
    <t>nummer 46</t>
  </si>
  <si>
    <t>kleedruimten k.k. 2</t>
  </si>
  <si>
    <t>nummer 47</t>
  </si>
  <si>
    <t>wasruimten k.k. 2</t>
  </si>
  <si>
    <t>nummer 48</t>
  </si>
  <si>
    <t>wasruimten k.k. 1</t>
  </si>
  <si>
    <t>nummer 49</t>
  </si>
  <si>
    <t>kleedruimten k.k. 1</t>
  </si>
  <si>
    <t>nummer 50</t>
  </si>
  <si>
    <t>toilet k.k. 2</t>
  </si>
  <si>
    <t>nummer 51</t>
  </si>
  <si>
    <t xml:space="preserve">toilet k.k. 1 </t>
  </si>
  <si>
    <t>nummer 52</t>
  </si>
  <si>
    <t>nummer 53</t>
  </si>
  <si>
    <t>nummer 54</t>
  </si>
  <si>
    <t>nummer 55</t>
  </si>
  <si>
    <t>nummer 56</t>
  </si>
  <si>
    <t>nummer 57</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</si>
  <si>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</si>
  <si>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</si>
  <si>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</si>
  <si>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</si>
  <si>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</si>
  <si>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</si>
  <si>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</si>
  <si>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</si>
  <si>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</si>
  <si>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</si>
  <si>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</si>
  <si>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</si>
  <si>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</si>
  <si>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</si>
  <si>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</si>
  <si>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</si>
  <si>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</si>
  <si>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</si>
  <si>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</si>
  <si>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</si>
  <si>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</si>
  <si>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</si>
  <si>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</si>
  <si>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</si>
  <si>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</si>
  <si>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</si>
  <si>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</si>
  <si>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</si>
  <si>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</si>
  <si>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</si>
  <si>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</si>
  <si>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</si>
  <si>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</si>
  <si>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</si>
  <si>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</si>
  <si>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</si>
  <si>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januari 2026</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</si>
  <si>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</si>
  <si>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</si>
  <si>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</si>
  <si>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</si>
  <si>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</si>
  <si>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</si>
  <si>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</si>
  <si>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</si>
  <si>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</si>
  <si>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</si>
  <si>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</si>
  <si>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</si>
  <si>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</si>
  <si>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</si>
  <si>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</si>
  <si>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</si>
  <si>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</si>
  <si>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</si>
  <si>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</si>
  <si>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</si>
  <si>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</si>
  <si>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</si>
  <si>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</si>
  <si>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</si>
  <si>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</si>
  <si>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</si>
  <si>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</si>
  <si>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</si>
  <si>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</si>
  <si>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</si>
  <si>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</si>
  <si>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</si>
  <si>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</si>
  <si>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</si>
  <si>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</si>
  <si>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</si>
  <si>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</si>
  <si>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</si>
  <si>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</si>
  <si>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</si>
  <si>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</si>
  <si>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</si>
  <si>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</si>
  <si>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</si>
  <si>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</si>
  <si>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</si>
  <si>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</si>
  <si>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</si>
  <si>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</si>
  <si>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</si>
  <si>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</si>
  <si>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</si>
  <si>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Omschrijving werkzaamheden</t>
  </si>
  <si>
    <t>Aantal of m2</t>
  </si>
  <si>
    <t>frequentie per jaar</t>
  </si>
  <si>
    <t>uren per m2/ beurt</t>
  </si>
  <si>
    <t>uren per jaar</t>
  </si>
  <si>
    <t>uurtarief</t>
  </si>
  <si>
    <t>kosten per jaar</t>
  </si>
  <si>
    <t>Stofverwijderen alles boven 1,80m ( in combinatie met glaswas)</t>
  </si>
  <si>
    <t>Stofverwijderen alles boven 1,80m ( inclusief klimmateriaal)</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</si>
  <si>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</si>
  <si>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</si>
  <si>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</si>
  <si>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</si>
  <si>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</si>
  <si>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</si>
  <si>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</si>
  <si>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</si>
  <si>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</si>
  <si>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</si>
  <si>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</si>
  <si>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</si>
  <si>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</si>
  <si>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</si>
  <si>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</si>
  <si>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</si>
  <si>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</si>
  <si>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</si>
  <si>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</si>
  <si>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</si>
  <si>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</si>
  <si>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</si>
  <si>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</si>
  <si>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</si>
  <si>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</si>
  <si>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</si>
  <si>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</si>
  <si>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</si>
  <si>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</si>
  <si>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</si>
  <si>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</si>
  <si>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</si>
  <si>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</si>
  <si>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</si>
  <si>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</si>
  <si>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</si>
  <si>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</si>
  <si>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</si>
  <si>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</si>
  <si>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</si>
  <si>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</si>
  <si>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</si>
  <si>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</si>
  <si>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</si>
  <si>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</si>
  <si>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</si>
  <si>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t>
  </si>
  <si>
    <t>Koepelglas</t>
  </si>
  <si>
    <t>Boeidelen</t>
  </si>
  <si>
    <t>Gevelbeplating</t>
  </si>
  <si>
    <t>Aanvullende omschrijving</t>
  </si>
  <si>
    <t>Aantal m2</t>
  </si>
  <si>
    <r>
      <t>Kosten per m</t>
    </r>
    <r>
      <rPr>
        <b/>
        <vertAlign val="superscript"/>
        <sz val="10"/>
        <color theme="0"/>
        <rFont val="Arial Black"/>
        <family val="2"/>
      </rPr>
      <t>2</t>
    </r>
  </si>
  <si>
    <t>Kosten per beurt</t>
  </si>
  <si>
    <t>Frequentie per jaar</t>
  </si>
  <si>
    <t>Totaalkosten per jaar</t>
  </si>
  <si>
    <t>0</t>
  </si>
  <si>
    <t xml:space="preserve">Zevenhuizen, Sportzaal de Til </t>
  </si>
  <si>
    <t>2</t>
  </si>
  <si>
    <t>Handeling</t>
  </si>
  <si>
    <t>M² prijs (incl uit- en inruimen)</t>
  </si>
  <si>
    <t>0-beurt</t>
  </si>
  <si>
    <t>Vloerafwerking</t>
  </si>
  <si>
    <t>sportvloer</t>
  </si>
  <si>
    <t>1</t>
  </si>
  <si>
    <t>5 x per week (45 weken)</t>
  </si>
  <si>
    <t>Aanbesteding</t>
  </si>
  <si>
    <t>Stofverwijderen incl klimmateriaal</t>
  </si>
  <si>
    <t>Stofverwijderen excl klimmateriaal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</si>
</sst>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s>
  <fonts count="143">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u/>
      <sz val="10"/>
      <color rgb="FFFF0000"/>
      <name val="Georgia"/>
      <family val="1"/>
    </font>
    <font>
      <b/>
      <sz val="10"/>
      <color theme="1" tint="0.34998626667073579"/>
      <name val="Georgia"/>
      <family val="1"/>
    </font>
    <font>
      <sz val="10"/>
      <name val="Arial Black"/>
      <family val="2"/>
    </font>
    <font>
      <b/>
      <sz val="10"/>
      <color theme="0"/>
      <name val="Arial Black"/>
      <family val="2"/>
    </font>
    <font>
      <b/>
      <sz val="10"/>
      <color rgb="FFFF0000"/>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494">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70" fillId="0" borderId="0" xfId="0" applyFont="1"/>
    <xf numFmtId="0" fontId="67" fillId="0" borderId="0" xfId="0" applyFont="1"/>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9"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8" fillId="0" borderId="0" xfId="0" applyFont="1" applyAlignment="1">
      <alignment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70" fillId="0" borderId="0" xfId="103"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44" fontId="65" fillId="0" borderId="0" xfId="0" applyNumberFormat="1"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167" fontId="78" fillId="0" borderId="35" xfId="8" applyFont="1" applyBorder="1"/>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0" fontId="82" fillId="0" borderId="0" xfId="89" applyFont="1"/>
    <xf numFmtId="167" fontId="82" fillId="0" borderId="0" xfId="8" applyFont="1"/>
    <xf numFmtId="2" fontId="80" fillId="0" borderId="0" xfId="89" applyNumberFormat="1" applyFont="1"/>
    <xf numFmtId="0" fontId="85" fillId="0" borderId="0" xfId="89" applyFont="1"/>
    <xf numFmtId="166" fontId="78" fillId="2" borderId="37" xfId="18" applyFont="1" applyFill="1" applyBorder="1" applyAlignment="1">
      <alignment horizontal="right"/>
    </xf>
    <xf numFmtId="166" fontId="78" fillId="2" borderId="37" xfId="18" applyFont="1" applyFill="1" applyBorder="1" applyAlignment="1">
      <alignment horizontal="center"/>
    </xf>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0" fontId="78" fillId="0" borderId="37" xfId="0" applyFont="1" applyBorder="1"/>
    <xf numFmtId="1" fontId="78" fillId="0" borderId="37" xfId="61" applyNumberFormat="1" applyFont="1" applyBorder="1" applyAlignment="1">
      <alignment horizontal="center"/>
    </xf>
    <xf numFmtId="1" fontId="88" fillId="0" borderId="37"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0" xfId="0" applyFont="1" applyAlignment="1">
      <alignment horizontal="center"/>
    </xf>
    <xf numFmtId="0" fontId="78" fillId="0" borderId="4" xfId="0" applyFont="1" applyBorder="1"/>
    <xf numFmtId="1" fontId="78" fillId="0" borderId="4" xfId="0" applyNumberFormat="1" applyFont="1" applyBorder="1" applyAlignment="1">
      <alignment horizontal="center"/>
    </xf>
    <xf numFmtId="0" fontId="78" fillId="0" borderId="16" xfId="0" applyFont="1" applyBorder="1" applyAlignment="1">
      <alignment wrapText="1"/>
    </xf>
    <xf numFmtId="0" fontId="78" fillId="0" borderId="16" xfId="0" applyFont="1" applyBorder="1"/>
    <xf numFmtId="0" fontId="78" fillId="2" borderId="16" xfId="0" applyFont="1" applyFill="1" applyBorder="1" applyAlignment="1">
      <alignment wrapText="1"/>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6" xfId="0" applyFont="1" applyBorder="1"/>
    <xf numFmtId="0" fontId="78" fillId="0" borderId="35"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5"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7" xfId="3" applyNumberFormat="1" applyFont="1" applyFill="1" applyBorder="1" applyAlignment="1" applyProtection="1">
      <protection hidden="1"/>
    </xf>
    <xf numFmtId="1" fontId="80" fillId="0" borderId="37" xfId="13" applyNumberFormat="1" applyFont="1" applyBorder="1" applyAlignment="1" applyProtection="1">
      <alignment horizontal="center"/>
      <protection hidden="1"/>
    </xf>
    <xf numFmtId="0" fontId="78" fillId="0" borderId="36" xfId="13" applyFont="1" applyBorder="1" applyProtection="1">
      <protection hidden="1"/>
    </xf>
    <xf numFmtId="0" fontId="103" fillId="0" borderId="35"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6" xfId="13" applyNumberFormat="1" applyFont="1" applyBorder="1" applyProtection="1">
      <protection hidden="1"/>
    </xf>
    <xf numFmtId="0" fontId="80" fillId="0" borderId="37" xfId="0" applyFont="1" applyBorder="1"/>
    <xf numFmtId="0" fontId="104" fillId="0" borderId="0" xfId="0" applyFont="1"/>
    <xf numFmtId="0" fontId="107" fillId="0" borderId="36" xfId="13" applyFont="1" applyBorder="1" applyProtection="1">
      <protection hidden="1"/>
    </xf>
    <xf numFmtId="0" fontId="108" fillId="0" borderId="38" xfId="13" applyFont="1" applyBorder="1" applyProtection="1">
      <protection hidden="1"/>
    </xf>
    <xf numFmtId="0" fontId="108" fillId="0" borderId="35" xfId="13" applyFont="1" applyBorder="1" applyAlignment="1" applyProtection="1">
      <alignment horizontal="right"/>
      <protection hidden="1"/>
    </xf>
    <xf numFmtId="0" fontId="88" fillId="0" borderId="34"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6" xfId="16" applyNumberFormat="1" applyFont="1" applyFill="1" applyBorder="1" applyAlignment="1" applyProtection="1">
      <alignment horizontal="right"/>
      <protection hidden="1"/>
    </xf>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0" fontId="78" fillId="2" borderId="36" xfId="10" applyFont="1" applyFill="1" applyBorder="1"/>
    <xf numFmtId="44" fontId="78" fillId="35" borderId="38" xfId="66" applyFont="1" applyFill="1" applyBorder="1" applyAlignment="1" applyProtection="1">
      <protection locked="0"/>
    </xf>
    <xf numFmtId="44" fontId="78" fillId="35" borderId="35" xfId="66" applyFont="1" applyFill="1" applyBorder="1" applyAlignment="1" applyProtection="1">
      <protection locked="0"/>
    </xf>
    <xf numFmtId="2" fontId="76" fillId="0" borderId="0" xfId="63" applyNumberFormat="1" applyFont="1"/>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0" xfId="9" applyFont="1" applyAlignment="1" applyProtection="1">
      <alignment horizontal="center"/>
      <protection hidden="1"/>
    </xf>
    <xf numFmtId="0" fontId="78" fillId="0" borderId="0" xfId="9" applyFont="1" applyAlignment="1" applyProtection="1">
      <alignment horizontal="left"/>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5" fontId="109" fillId="0" borderId="0" xfId="3" applyNumberFormat="1" applyFont="1" applyFill="1" applyBorder="1" applyAlignment="1" applyProtection="1">
      <alignment horizontal="center"/>
      <protection hidden="1"/>
    </xf>
    <xf numFmtId="2" fontId="90" fillId="0" borderId="0" xfId="84" applyNumberFormat="1" applyFont="1"/>
    <xf numFmtId="169" fontId="109" fillId="0" borderId="0" xfId="3" applyFont="1" applyFill="1" applyBorder="1" applyAlignment="1" applyProtection="1">
      <alignment horizontal="center"/>
      <protection hidden="1"/>
    </xf>
    <xf numFmtId="173" fontId="109"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0" fontId="78" fillId="0" borderId="37" xfId="84" applyFont="1" applyBorder="1"/>
    <xf numFmtId="0" fontId="79" fillId="63" borderId="37" xfId="0" applyFont="1" applyFill="1" applyBorder="1" applyAlignment="1">
      <alignment wrapText="1"/>
    </xf>
    <xf numFmtId="0" fontId="79" fillId="63" borderId="37" xfId="0" applyFont="1" applyFill="1" applyBorder="1"/>
    <xf numFmtId="2" fontId="76" fillId="64" borderId="0" xfId="12" applyNumberFormat="1" applyFont="1" applyFill="1"/>
    <xf numFmtId="2" fontId="75" fillId="64" borderId="0" xfId="12" applyNumberFormat="1" applyFont="1" applyFill="1"/>
    <xf numFmtId="0" fontId="78" fillId="64" borderId="2" xfId="10" applyFont="1" applyFill="1" applyBorder="1"/>
    <xf numFmtId="167" fontId="113" fillId="63" borderId="33" xfId="8" applyFont="1" applyFill="1" applyBorder="1" applyAlignment="1">
      <alignment horizontal="center" vertical="top" wrapText="1"/>
    </xf>
    <xf numFmtId="0" fontId="112" fillId="0" borderId="0" xfId="0" applyFont="1" applyAlignment="1">
      <alignment horizontal="center" vertical="center"/>
    </xf>
    <xf numFmtId="1" fontId="80" fillId="0" borderId="37" xfId="61" applyNumberFormat="1" applyFont="1" applyBorder="1" applyAlignment="1">
      <alignment horizontal="center"/>
    </xf>
    <xf numFmtId="2" fontId="115" fillId="0" borderId="0" xfId="0" applyNumberFormat="1" applyFont="1"/>
    <xf numFmtId="2" fontId="114" fillId="63" borderId="33" xfId="0" applyNumberFormat="1" applyFont="1" applyFill="1" applyBorder="1" applyAlignment="1">
      <alignment horizontal="center" vertical="top" wrapText="1"/>
    </xf>
    <xf numFmtId="0" fontId="112" fillId="0" borderId="0" xfId="0" applyFont="1" applyAlignment="1">
      <alignment horizontal="center"/>
    </xf>
    <xf numFmtId="2" fontId="116" fillId="0" borderId="0" xfId="13" applyNumberFormat="1" applyFont="1" applyAlignment="1" applyProtection="1">
      <alignment vertical="center"/>
      <protection locked="0"/>
    </xf>
    <xf numFmtId="2" fontId="121" fillId="0" borderId="0" xfId="13" applyNumberFormat="1" applyFont="1" applyAlignment="1" applyProtection="1">
      <alignment horizontal="center" wrapText="1"/>
      <protection hidden="1"/>
    </xf>
    <xf numFmtId="0" fontId="112" fillId="0" borderId="0" xfId="0" applyFont="1" applyAlignment="1">
      <alignment horizontal="center" wrapText="1"/>
    </xf>
    <xf numFmtId="2" fontId="120" fillId="63" borderId="36" xfId="13" applyNumberFormat="1" applyFont="1" applyFill="1" applyBorder="1" applyAlignment="1" applyProtection="1">
      <alignment horizontal="left" vertical="center" wrapText="1"/>
      <protection hidden="1"/>
    </xf>
    <xf numFmtId="2" fontId="120" fillId="63" borderId="37" xfId="3" applyNumberFormat="1" applyFont="1" applyFill="1" applyBorder="1" applyAlignment="1" applyProtection="1">
      <alignment vertical="center" wrapText="1"/>
      <protection hidden="1"/>
    </xf>
    <xf numFmtId="173" fontId="113" fillId="63" borderId="36" xfId="8" applyNumberFormat="1" applyFont="1" applyFill="1" applyBorder="1" applyAlignment="1">
      <alignment vertical="top" wrapText="1"/>
    </xf>
    <xf numFmtId="173" fontId="113" fillId="63" borderId="38" xfId="8" applyNumberFormat="1" applyFont="1" applyFill="1" applyBorder="1" applyAlignment="1">
      <alignment vertical="top" wrapText="1"/>
    </xf>
    <xf numFmtId="173" fontId="113" fillId="63" borderId="35" xfId="8" applyNumberFormat="1" applyFont="1" applyFill="1" applyBorder="1" applyAlignment="1">
      <alignment vertical="top" wrapText="1"/>
    </xf>
    <xf numFmtId="173" fontId="113" fillId="63" borderId="39" xfId="8" applyNumberFormat="1" applyFont="1" applyFill="1" applyBorder="1" applyAlignment="1">
      <alignment vertical="top" wrapText="1"/>
    </xf>
    <xf numFmtId="0" fontId="83" fillId="0" borderId="0" xfId="9" applyFont="1" applyAlignment="1" applyProtection="1">
      <alignment horizontal="left" vertical="center"/>
      <protection hidden="1"/>
    </xf>
    <xf numFmtId="2" fontId="113" fillId="63" borderId="33" xfId="0" applyNumberFormat="1" applyFont="1" applyFill="1" applyBorder="1" applyAlignment="1">
      <alignment horizontal="left" vertical="top" wrapText="1"/>
    </xf>
    <xf numFmtId="166" fontId="126" fillId="2" borderId="35" xfId="18" applyFont="1" applyFill="1" applyBorder="1" applyAlignment="1"/>
    <xf numFmtId="167" fontId="35" fillId="64" borderId="37" xfId="8" applyFont="1" applyFill="1" applyBorder="1" applyAlignment="1">
      <alignment horizontal="left"/>
    </xf>
    <xf numFmtId="0" fontId="127" fillId="0" borderId="0" xfId="63" applyFont="1"/>
    <xf numFmtId="178" fontId="127" fillId="0" borderId="2" xfId="6" applyNumberFormat="1" applyFont="1" applyFill="1" applyBorder="1" applyAlignment="1"/>
    <xf numFmtId="44" fontId="127" fillId="0" borderId="0" xfId="63" applyNumberFormat="1" applyFont="1"/>
    <xf numFmtId="9" fontId="35" fillId="64" borderId="37" xfId="16" applyFont="1" applyFill="1" applyBorder="1" applyAlignment="1">
      <alignment horizontal="center"/>
    </xf>
    <xf numFmtId="44" fontId="124" fillId="63" borderId="35" xfId="63" applyNumberFormat="1" applyFont="1" applyFill="1" applyBorder="1"/>
    <xf numFmtId="2" fontId="35" fillId="64" borderId="37" xfId="8" applyNumberFormat="1" applyFont="1" applyFill="1" applyBorder="1" applyAlignment="1">
      <alignment horizontal="center"/>
    </xf>
    <xf numFmtId="1" fontId="125" fillId="2" borderId="37" xfId="8" applyNumberFormat="1" applyFont="1" applyFill="1" applyBorder="1" applyAlignment="1">
      <alignment horizontal="center"/>
    </xf>
    <xf numFmtId="173" fontId="125" fillId="2" borderId="37" xfId="8" applyNumberFormat="1" applyFont="1" applyFill="1" applyBorder="1"/>
    <xf numFmtId="167" fontId="125" fillId="2" borderId="37" xfId="8" applyFont="1" applyFill="1" applyBorder="1"/>
    <xf numFmtId="166" fontId="35" fillId="0" borderId="37" xfId="18" applyFont="1" applyBorder="1"/>
    <xf numFmtId="180" fontId="35" fillId="0" borderId="37" xfId="89" applyNumberFormat="1" applyFont="1" applyBorder="1"/>
    <xf numFmtId="173" fontId="79" fillId="63" borderId="36" xfId="8" applyNumberFormat="1" applyFont="1" applyFill="1" applyBorder="1" applyAlignment="1">
      <alignment horizontal="left"/>
    </xf>
    <xf numFmtId="167" fontId="79" fillId="63" borderId="35" xfId="8" applyFont="1" applyFill="1" applyBorder="1"/>
    <xf numFmtId="49" fontId="81" fillId="0" borderId="36" xfId="63" applyNumberFormat="1" applyFont="1" applyBorder="1" applyAlignment="1">
      <alignment vertical="top"/>
    </xf>
    <xf numFmtId="0" fontId="78" fillId="0" borderId="38" xfId="63" applyFont="1" applyBorder="1"/>
    <xf numFmtId="49" fontId="80" fillId="0" borderId="38" xfId="63" applyNumberFormat="1" applyFont="1" applyBorder="1"/>
    <xf numFmtId="49" fontId="79" fillId="63" borderId="36" xfId="63" applyNumberFormat="1" applyFont="1" applyFill="1" applyBorder="1"/>
    <xf numFmtId="0" fontId="79" fillId="63" borderId="38" xfId="63" applyFont="1" applyFill="1" applyBorder="1"/>
    <xf numFmtId="173" fontId="79" fillId="63" borderId="37" xfId="8" applyNumberFormat="1" applyFont="1" applyFill="1" applyBorder="1" applyAlignment="1">
      <alignment vertical="top" wrapText="1"/>
    </xf>
    <xf numFmtId="173" fontId="79" fillId="63" borderId="37" xfId="8" applyNumberFormat="1" applyFont="1" applyFill="1" applyBorder="1" applyAlignment="1">
      <alignment horizontal="center" vertical="top" wrapText="1"/>
    </xf>
    <xf numFmtId="167" fontId="79" fillId="63" borderId="37" xfId="8" applyFont="1" applyFill="1" applyBorder="1" applyAlignment="1">
      <alignment horizontal="center" vertical="top" wrapText="1"/>
    </xf>
    <xf numFmtId="167" fontId="79" fillId="63" borderId="33" xfId="8" applyFont="1" applyFill="1" applyBorder="1" applyAlignment="1">
      <alignment horizontal="center" vertical="top" wrapText="1"/>
    </xf>
    <xf numFmtId="0" fontId="35" fillId="0" borderId="0" xfId="17" applyFont="1"/>
    <xf numFmtId="0" fontId="125" fillId="0" borderId="0" xfId="17" applyFont="1"/>
    <xf numFmtId="0" fontId="35" fillId="0" borderId="0" xfId="0" applyFont="1"/>
    <xf numFmtId="0" fontId="35" fillId="0" borderId="16" xfId="0" applyFont="1" applyBorder="1" applyAlignment="1">
      <alignment wrapText="1"/>
    </xf>
    <xf numFmtId="0" fontId="35" fillId="0" borderId="0" xfId="0" applyFont="1" applyAlignment="1">
      <alignment horizontal="center"/>
    </xf>
    <xf numFmtId="2" fontId="125" fillId="0" borderId="0" xfId="0" applyNumberFormat="1" applyFont="1" applyAlignment="1">
      <alignment horizontal="center"/>
    </xf>
    <xf numFmtId="2" fontId="128" fillId="0" borderId="0" xfId="0" applyNumberFormat="1" applyFont="1" applyAlignment="1">
      <alignment horizontal="center"/>
    </xf>
    <xf numFmtId="2" fontId="134" fillId="0" borderId="0" xfId="12" applyNumberFormat="1" applyFont="1" applyAlignment="1">
      <alignment horizontal="center"/>
    </xf>
    <xf numFmtId="174" fontId="35" fillId="0" borderId="4" xfId="0" applyNumberFormat="1" applyFont="1" applyBorder="1" applyAlignment="1">
      <alignment horizontal="center"/>
    </xf>
    <xf numFmtId="0" fontId="35" fillId="0" borderId="16" xfId="0" applyFont="1" applyBorder="1" applyAlignment="1">
      <alignment horizontal="center" wrapText="1"/>
    </xf>
    <xf numFmtId="0" fontId="35" fillId="2" borderId="16" xfId="0" applyFont="1" applyFill="1" applyBorder="1" applyAlignment="1">
      <alignment horizontal="center" wrapText="1"/>
    </xf>
    <xf numFmtId="43" fontId="130" fillId="0" borderId="37" xfId="8" applyNumberFormat="1" applyFont="1" applyFill="1" applyBorder="1" applyAlignment="1">
      <alignment horizontal="center"/>
    </xf>
    <xf numFmtId="1" fontId="131" fillId="0" borderId="37" xfId="0" applyNumberFormat="1" applyFont="1" applyBorder="1" applyAlignment="1">
      <alignment horizontal="center"/>
    </xf>
    <xf numFmtId="14" fontId="129" fillId="0" borderId="0" xfId="12" applyNumberFormat="1" applyFont="1" applyAlignment="1">
      <alignment horizontal="left"/>
    </xf>
    <xf numFmtId="177" fontId="35" fillId="64" borderId="37" xfId="11" applyNumberFormat="1" applyFont="1" applyFill="1" applyBorder="1" applyAlignment="1" applyProtection="1">
      <alignment vertical="center"/>
      <protection hidden="1"/>
    </xf>
    <xf numFmtId="179" fontId="135"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5" fillId="0" borderId="37" xfId="3" applyNumberFormat="1" applyFont="1" applyFill="1" applyBorder="1" applyAlignment="1" applyProtection="1">
      <protection hidden="1"/>
    </xf>
    <xf numFmtId="166" fontId="135" fillId="35" borderId="37" xfId="18" applyFont="1" applyFill="1" applyBorder="1" applyAlignment="1" applyProtection="1">
      <protection locked="0"/>
    </xf>
    <xf numFmtId="175" fontId="136" fillId="0" borderId="5" xfId="0" applyNumberFormat="1" applyFont="1" applyBorder="1" applyAlignment="1">
      <alignment horizontal="center" vertical="center"/>
    </xf>
    <xf numFmtId="166" fontId="135" fillId="65" borderId="37" xfId="18" applyFont="1" applyFill="1" applyBorder="1" applyAlignment="1" applyProtection="1">
      <protection locked="0"/>
    </xf>
    <xf numFmtId="179" fontId="125" fillId="0" borderId="37" xfId="3" applyNumberFormat="1" applyFont="1" applyFill="1" applyBorder="1" applyAlignment="1" applyProtection="1">
      <protection hidden="1"/>
    </xf>
    <xf numFmtId="169" fontId="135" fillId="0" borderId="37" xfId="3" applyFont="1" applyFill="1" applyBorder="1" applyAlignment="1" applyProtection="1">
      <protection hidden="1"/>
    </xf>
    <xf numFmtId="166" fontId="135" fillId="0" borderId="37" xfId="18" applyFont="1" applyFill="1" applyBorder="1" applyAlignment="1" applyProtection="1">
      <protection locked="0"/>
    </xf>
    <xf numFmtId="169" fontId="135" fillId="0" borderId="37" xfId="3" applyFont="1" applyFill="1" applyBorder="1" applyAlignment="1" applyProtection="1">
      <protection locked="0"/>
    </xf>
    <xf numFmtId="166" fontId="138" fillId="2" borderId="37" xfId="18" applyFont="1" applyFill="1" applyBorder="1" applyAlignment="1" applyProtection="1">
      <alignment horizontal="right"/>
      <protection locked="0"/>
    </xf>
    <xf numFmtId="175" fontId="130" fillId="0" borderId="5" xfId="0" applyNumberFormat="1" applyFont="1" applyBorder="1" applyAlignment="1">
      <alignment horizontal="center" vertical="center"/>
    </xf>
    <xf numFmtId="175" fontId="139" fillId="0" borderId="5" xfId="0" applyNumberFormat="1" applyFont="1" applyBorder="1" applyAlignment="1">
      <alignment horizontal="center" vertical="center"/>
    </xf>
    <xf numFmtId="175" fontId="35" fillId="0" borderId="5" xfId="0" applyNumberFormat="1" applyFont="1" applyBorder="1"/>
    <xf numFmtId="179" fontId="125"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0" fillId="0" borderId="37" xfId="5" applyNumberFormat="1" applyFont="1" applyFill="1" applyBorder="1" applyAlignment="1" applyProtection="1">
      <protection hidden="1"/>
    </xf>
    <xf numFmtId="179" fontId="130" fillId="0" borderId="0" xfId="0" applyNumberFormat="1" applyFont="1"/>
    <xf numFmtId="0" fontId="130" fillId="0" borderId="0" xfId="0" applyFont="1"/>
    <xf numFmtId="14" fontId="129" fillId="0" borderId="0" xfId="0" applyNumberFormat="1" applyFont="1" applyAlignment="1">
      <alignment horizontal="left"/>
    </xf>
    <xf numFmtId="166" fontId="35" fillId="0" borderId="36" xfId="18" applyFont="1" applyFill="1" applyBorder="1" applyAlignment="1" applyProtection="1">
      <protection hidden="1"/>
    </xf>
    <xf numFmtId="166" fontId="125" fillId="0" borderId="37" xfId="18" applyFont="1" applyBorder="1"/>
    <xf numFmtId="1" fontId="125"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14" fontId="129" fillId="0" borderId="0" xfId="63" applyNumberFormat="1" applyFont="1" applyAlignment="1">
      <alignment horizontal="left"/>
    </xf>
    <xf numFmtId="0" fontId="35" fillId="0" borderId="0" xfId="103" applyFont="1"/>
    <xf numFmtId="3" fontId="135" fillId="64" borderId="37" xfId="62" applyNumberFormat="1" applyFont="1" applyFill="1" applyBorder="1" applyAlignment="1" applyProtection="1">
      <alignment horizontal="center"/>
      <protection hidden="1"/>
    </xf>
    <xf numFmtId="49" fontId="77" fillId="65" borderId="37" xfId="62" applyNumberFormat="1" applyFont="1" applyFill="1" applyBorder="1" applyAlignment="1" applyProtection="1">
      <alignment horizontal="left" vertical="top"/>
      <protection hidden="1"/>
    </xf>
    <xf numFmtId="2" fontId="79" fillId="63" borderId="37" xfId="89" applyNumberFormat="1" applyFont="1" applyFill="1" applyBorder="1" applyAlignment="1">
      <alignment vertical="top" wrapText="1"/>
    </xf>
    <xf numFmtId="2" fontId="78" fillId="0" borderId="37" xfId="0" applyNumberFormat="1" applyFont="1" applyBorder="1"/>
    <xf numFmtId="2" fontId="78" fillId="0" borderId="37" xfId="89" applyNumberFormat="1" applyFont="1" applyBorder="1"/>
    <xf numFmtId="0" fontId="84" fillId="0" borderId="37" xfId="0" applyFont="1" applyBorder="1"/>
    <xf numFmtId="0" fontId="80" fillId="0" borderId="37" xfId="89" applyFont="1" applyBorder="1"/>
    <xf numFmtId="166" fontId="35" fillId="2" borderId="37" xfId="18" applyFont="1" applyFill="1" applyBorder="1" applyAlignment="1">
      <alignment horizontal="center"/>
    </xf>
    <xf numFmtId="166" fontId="80" fillId="2" borderId="37" xfId="18" applyFont="1" applyFill="1" applyBorder="1"/>
    <xf numFmtId="166" fontId="125" fillId="2" borderId="37" xfId="18" applyFont="1" applyFill="1" applyBorder="1"/>
    <xf numFmtId="1" fontId="111" fillId="0" borderId="36" xfId="0" applyNumberFormat="1" applyFont="1" applyBorder="1" applyAlignment="1">
      <alignment horizontal="left" vertical="center"/>
    </xf>
    <xf numFmtId="1" fontId="111" fillId="0" borderId="38" xfId="0" applyNumberFormat="1" applyFont="1" applyBorder="1" applyAlignment="1">
      <alignment horizontal="left" vertical="center"/>
    </xf>
    <xf numFmtId="1" fontId="133" fillId="0" borderId="38" xfId="0" applyNumberFormat="1" applyFont="1" applyBorder="1" applyAlignment="1">
      <alignment horizontal="center" vertical="center" wrapText="1"/>
    </xf>
    <xf numFmtId="1" fontId="111" fillId="0" borderId="35" xfId="0" applyNumberFormat="1" applyFont="1" applyBorder="1" applyAlignment="1">
      <alignment horizontal="center" vertical="center" wrapText="1"/>
    </xf>
    <xf numFmtId="2" fontId="113" fillId="63" borderId="37" xfId="0" applyNumberFormat="1" applyFont="1" applyFill="1" applyBorder="1" applyAlignment="1">
      <alignment horizontal="left" vertical="center" wrapText="1"/>
    </xf>
    <xf numFmtId="1" fontId="113" fillId="63" borderId="37" xfId="0" applyNumberFormat="1" applyFont="1" applyFill="1" applyBorder="1" applyAlignment="1">
      <alignment horizontal="center" vertical="center" wrapText="1"/>
    </xf>
    <xf numFmtId="0" fontId="113" fillId="63" borderId="37" xfId="0" applyFont="1" applyFill="1" applyBorder="1" applyAlignment="1">
      <alignment horizontal="left" vertical="center" wrapText="1"/>
    </xf>
    <xf numFmtId="2" fontId="113" fillId="63" borderId="37" xfId="0" applyNumberFormat="1" applyFont="1" applyFill="1" applyBorder="1" applyAlignment="1">
      <alignment horizontal="center" vertical="center" wrapText="1"/>
    </xf>
    <xf numFmtId="0" fontId="78" fillId="2" borderId="37" xfId="0" applyFont="1" applyFill="1" applyBorder="1" applyAlignment="1">
      <alignment vertical="center"/>
    </xf>
    <xf numFmtId="173" fontId="125" fillId="64"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78" fillId="0" borderId="37" xfId="0" applyFont="1" applyBorder="1" applyAlignment="1">
      <alignment vertical="center"/>
    </xf>
    <xf numFmtId="173" fontId="125" fillId="0" borderId="37" xfId="8" applyNumberFormat="1" applyFont="1" applyFill="1" applyBorder="1" applyAlignment="1">
      <alignment horizontal="center"/>
    </xf>
    <xf numFmtId="173" fontId="132" fillId="0" borderId="37" xfId="8" applyNumberFormat="1" applyFont="1" applyFill="1" applyBorder="1" applyAlignment="1">
      <alignment horizontal="center"/>
    </xf>
    <xf numFmtId="49" fontId="35" fillId="0" borderId="37" xfId="0" applyNumberFormat="1" applyFont="1" applyBorder="1" applyAlignment="1">
      <alignment horizontal="center"/>
    </xf>
    <xf numFmtId="49" fontId="132" fillId="0" borderId="37" xfId="17" applyNumberFormat="1" applyFont="1" applyBorder="1" applyAlignment="1">
      <alignment horizontal="center"/>
    </xf>
    <xf numFmtId="0" fontId="80" fillId="0" borderId="37" xfId="0" applyFont="1" applyBorder="1" applyAlignment="1">
      <alignment vertical="center"/>
    </xf>
    <xf numFmtId="0" fontId="125" fillId="0" borderId="37" xfId="0" applyFont="1" applyBorder="1"/>
    <xf numFmtId="0" fontId="132" fillId="0" borderId="37" xfId="17" applyFont="1" applyBorder="1" applyAlignment="1">
      <alignment horizontal="left"/>
    </xf>
    <xf numFmtId="173" fontId="125" fillId="0" borderId="37" xfId="8" applyNumberFormat="1" applyFont="1" applyFill="1" applyBorder="1" applyAlignment="1">
      <alignment horizontal="center" vertical="center"/>
    </xf>
    <xf numFmtId="1" fontId="113" fillId="63" borderId="37" xfId="0" applyNumberFormat="1" applyFont="1" applyFill="1" applyBorder="1" applyAlignment="1">
      <alignment horizontal="left"/>
    </xf>
    <xf numFmtId="1" fontId="113" fillId="63" borderId="37" xfId="0" applyNumberFormat="1" applyFont="1" applyFill="1" applyBorder="1" applyAlignment="1">
      <alignment horizontal="center"/>
    </xf>
    <xf numFmtId="0" fontId="113" fillId="63" borderId="33" xfId="0" applyFont="1" applyFill="1" applyBorder="1" applyAlignment="1">
      <alignment horizontal="left" vertical="top" wrapText="1"/>
    </xf>
    <xf numFmtId="182" fontId="113" fillId="63" borderId="33" xfId="8" applyNumberFormat="1" applyFont="1" applyFill="1" applyBorder="1" applyAlignment="1">
      <alignment horizontal="left" vertical="top" wrapText="1"/>
    </xf>
    <xf numFmtId="167" fontId="114" fillId="63" borderId="33" xfId="8" applyFont="1" applyFill="1" applyBorder="1" applyAlignment="1">
      <alignment horizontal="center" vertical="top" wrapText="1"/>
    </xf>
    <xf numFmtId="1" fontId="78" fillId="0" borderId="37" xfId="0" applyNumberFormat="1" applyFont="1" applyBorder="1" applyAlignment="1">
      <alignment horizontal="center"/>
    </xf>
    <xf numFmtId="174" fontId="35" fillId="0" borderId="37" xfId="0" applyNumberFormat="1" applyFont="1" applyBorder="1" applyAlignment="1">
      <alignment horizontal="center"/>
    </xf>
    <xf numFmtId="2" fontId="35" fillId="0" borderId="37" xfId="0" applyNumberFormat="1" applyFont="1" applyBorder="1" applyAlignment="1">
      <alignment horizontal="right"/>
    </xf>
    <xf numFmtId="1" fontId="127" fillId="0" borderId="37" xfId="0" applyNumberFormat="1" applyFont="1" applyBorder="1" applyAlignment="1">
      <alignment horizontal="center"/>
    </xf>
    <xf numFmtId="1" fontId="130" fillId="0" borderId="37" xfId="8" applyNumberFormat="1" applyFont="1" applyFill="1" applyBorder="1" applyAlignment="1">
      <alignment horizontal="center"/>
    </xf>
    <xf numFmtId="2" fontId="85" fillId="0" borderId="37" xfId="8" applyNumberFormat="1" applyFont="1" applyFill="1" applyBorder="1" applyAlignment="1">
      <alignment horizontal="center"/>
    </xf>
    <xf numFmtId="173" fontId="130" fillId="0" borderId="37" xfId="8" applyNumberFormat="1" applyFont="1" applyFill="1" applyBorder="1" applyAlignment="1">
      <alignment horizontal="center"/>
    </xf>
    <xf numFmtId="0" fontId="78" fillId="0" borderId="35" xfId="0" applyFont="1" applyBorder="1"/>
    <xf numFmtId="1" fontId="35" fillId="0" borderId="37" xfId="0" applyNumberFormat="1" applyFont="1" applyBorder="1" applyAlignment="1">
      <alignment horizontal="right"/>
    </xf>
    <xf numFmtId="0" fontId="78" fillId="0" borderId="33" xfId="0" applyFont="1" applyBorder="1"/>
    <xf numFmtId="2" fontId="117" fillId="63" borderId="36" xfId="13" applyNumberFormat="1" applyFont="1" applyFill="1" applyBorder="1" applyAlignment="1" applyProtection="1">
      <alignment horizontal="left" vertical="center"/>
      <protection hidden="1"/>
    </xf>
    <xf numFmtId="2" fontId="91" fillId="63" borderId="38" xfId="11" applyNumberFormat="1" applyFont="1" applyFill="1" applyBorder="1" applyProtection="1">
      <protection hidden="1"/>
    </xf>
    <xf numFmtId="2" fontId="91" fillId="63" borderId="35" xfId="11" applyNumberFormat="1" applyFont="1" applyFill="1" applyBorder="1" applyProtection="1">
      <protection hidden="1"/>
    </xf>
    <xf numFmtId="2" fontId="78" fillId="0" borderId="36" xfId="11" applyNumberFormat="1" applyFont="1" applyBorder="1" applyProtection="1">
      <protection hidden="1"/>
    </xf>
    <xf numFmtId="2" fontId="78" fillId="0" borderId="35" xfId="11" applyNumberFormat="1" applyFont="1" applyBorder="1" applyProtection="1">
      <protection hidden="1"/>
    </xf>
    <xf numFmtId="0" fontId="80" fillId="0" borderId="36" xfId="0" applyFont="1" applyBorder="1"/>
    <xf numFmtId="0" fontId="80" fillId="0" borderId="35" xfId="0" applyFont="1" applyBorder="1"/>
    <xf numFmtId="177" fontId="125" fillId="0" borderId="37" xfId="11" applyNumberFormat="1" applyFont="1" applyBorder="1" applyAlignment="1" applyProtection="1">
      <alignment vertical="center"/>
      <protection hidden="1"/>
    </xf>
    <xf numFmtId="177" fontId="35" fillId="0" borderId="37" xfId="11" applyNumberFormat="1" applyFont="1" applyBorder="1" applyAlignment="1" applyProtection="1">
      <alignment vertical="center"/>
      <protection hidden="1"/>
    </xf>
    <xf numFmtId="10" fontId="125" fillId="0" borderId="35" xfId="0" applyNumberFormat="1" applyFont="1" applyBorder="1"/>
    <xf numFmtId="2" fontId="80" fillId="0" borderId="37" xfId="11" applyNumberFormat="1" applyFont="1" applyBorder="1" applyAlignment="1" applyProtection="1">
      <alignment horizontal="center"/>
      <protection hidden="1"/>
    </xf>
    <xf numFmtId="179" fontId="135" fillId="0" borderId="37" xfId="13" applyNumberFormat="1" applyFont="1" applyBorder="1" applyAlignment="1" applyProtection="1">
      <alignment horizontal="left" vertical="center"/>
      <protection hidden="1"/>
    </xf>
    <xf numFmtId="166" fontId="135" fillId="64" borderId="37" xfId="18" applyFont="1" applyFill="1" applyBorder="1" applyAlignment="1" applyProtection="1">
      <alignment horizontal="right" vertical="center"/>
      <protection hidden="1"/>
    </xf>
    <xf numFmtId="0" fontId="78"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8" fillId="0" borderId="38" xfId="0" applyFont="1" applyBorder="1"/>
    <xf numFmtId="0" fontId="80" fillId="0" borderId="36" xfId="13" applyFont="1" applyBorder="1" applyAlignment="1" applyProtection="1">
      <alignment vertical="center"/>
      <protection hidden="1"/>
    </xf>
    <xf numFmtId="0" fontId="80" fillId="0" borderId="38" xfId="0" applyFont="1" applyBorder="1"/>
    <xf numFmtId="10" fontId="125" fillId="0" borderId="37" xfId="16" applyNumberFormat="1" applyFont="1" applyFill="1" applyBorder="1" applyAlignment="1"/>
    <xf numFmtId="0" fontId="117" fillId="63" borderId="36" xfId="13" applyFont="1" applyFill="1" applyBorder="1" applyAlignment="1" applyProtection="1">
      <alignment horizontal="left" vertical="center"/>
      <protection hidden="1"/>
    </xf>
    <xf numFmtId="0" fontId="118" fillId="63" borderId="38" xfId="13" applyFont="1" applyFill="1" applyBorder="1" applyAlignment="1" applyProtection="1">
      <alignment horizontal="left" vertical="center"/>
      <protection hidden="1"/>
    </xf>
    <xf numFmtId="9" fontId="119" fillId="63" borderId="35" xfId="13" applyNumberFormat="1" applyFont="1" applyFill="1" applyBorder="1" applyAlignment="1" applyProtection="1">
      <alignment vertical="center"/>
      <protection hidden="1"/>
    </xf>
    <xf numFmtId="0" fontId="113" fillId="63" borderId="37" xfId="13" applyFont="1" applyFill="1" applyBorder="1" applyAlignment="1" applyProtection="1">
      <alignment horizontal="left" vertical="center"/>
      <protection hidden="1"/>
    </xf>
    <xf numFmtId="0" fontId="88" fillId="0" borderId="37" xfId="13" applyFont="1" applyBorder="1" applyAlignment="1" applyProtection="1">
      <alignment horizontal="left" vertical="center"/>
      <protection hidden="1"/>
    </xf>
    <xf numFmtId="2" fontId="135" fillId="2" borderId="37" xfId="13" applyNumberFormat="1" applyFont="1" applyFill="1" applyBorder="1" applyAlignment="1" applyProtection="1">
      <alignment horizontal="right" vertical="center"/>
      <protection hidden="1"/>
    </xf>
    <xf numFmtId="0" fontId="80" fillId="0" borderId="37" xfId="13" applyFont="1" applyBorder="1" applyAlignment="1" applyProtection="1">
      <alignment vertical="center"/>
      <protection hidden="1"/>
    </xf>
    <xf numFmtId="2" fontId="125" fillId="0" borderId="37" xfId="13" applyNumberFormat="1" applyFont="1" applyBorder="1" applyAlignment="1" applyProtection="1">
      <alignment vertical="center"/>
      <protection hidden="1"/>
    </xf>
    <xf numFmtId="0" fontId="92" fillId="0" borderId="37" xfId="13" applyFont="1" applyBorder="1" applyAlignment="1" applyProtection="1">
      <alignment vertical="center"/>
      <protection hidden="1"/>
    </xf>
    <xf numFmtId="0" fontId="35" fillId="0" borderId="37" xfId="0" applyFont="1" applyBorder="1" applyAlignment="1">
      <alignment vertical="center"/>
    </xf>
    <xf numFmtId="2" fontId="135" fillId="64" borderId="37" xfId="13" applyNumberFormat="1" applyFont="1" applyFill="1" applyBorder="1" applyAlignment="1" applyProtection="1">
      <alignment horizontal="right" vertical="center"/>
      <protection hidden="1"/>
    </xf>
    <xf numFmtId="0" fontId="93" fillId="0" borderId="37" xfId="13" applyFont="1" applyBorder="1" applyAlignment="1" applyProtection="1">
      <alignment vertical="center"/>
      <protection hidden="1"/>
    </xf>
    <xf numFmtId="0" fontId="78" fillId="0" borderId="37" xfId="13" applyFont="1" applyBorder="1" applyAlignment="1" applyProtection="1">
      <alignment vertical="center"/>
      <protection hidden="1"/>
    </xf>
    <xf numFmtId="10" fontId="135" fillId="0" borderId="37" xfId="16" applyNumberFormat="1" applyFont="1" applyFill="1" applyBorder="1" applyAlignment="1" applyProtection="1">
      <alignment vertical="center"/>
      <protection hidden="1"/>
    </xf>
    <xf numFmtId="10" fontId="125" fillId="0" borderId="37" xfId="16" applyNumberFormat="1" applyFont="1" applyFill="1" applyBorder="1" applyAlignment="1" applyProtection="1">
      <alignment vertical="center"/>
      <protection hidden="1"/>
    </xf>
    <xf numFmtId="2" fontId="120" fillId="63" borderId="38" xfId="13" applyNumberFormat="1" applyFont="1" applyFill="1" applyBorder="1" applyAlignment="1" applyProtection="1">
      <alignment horizontal="center" wrapText="1"/>
      <protection hidden="1"/>
    </xf>
    <xf numFmtId="2" fontId="120" fillId="63" borderId="35" xfId="13" applyNumberFormat="1" applyFont="1" applyFill="1" applyBorder="1" applyAlignment="1" applyProtection="1">
      <alignment horizontal="right" wrapText="1"/>
      <protection hidden="1"/>
    </xf>
    <xf numFmtId="2" fontId="100" fillId="0" borderId="38" xfId="3" applyNumberFormat="1" applyFont="1" applyFill="1" applyBorder="1" applyAlignment="1" applyProtection="1">
      <alignment horizontal="center" vertical="center"/>
      <protection hidden="1"/>
    </xf>
    <xf numFmtId="2" fontId="100" fillId="0" borderId="35" xfId="3" applyNumberFormat="1" applyFont="1" applyFill="1" applyBorder="1" applyAlignment="1" applyProtection="1">
      <alignment horizontal="right" vertical="center"/>
      <protection hidden="1"/>
    </xf>
    <xf numFmtId="175" fontId="136" fillId="0" borderId="39" xfId="0" applyNumberFormat="1" applyFont="1" applyBorder="1" applyAlignment="1">
      <alignment horizontal="center" vertical="center"/>
    </xf>
    <xf numFmtId="2" fontId="101" fillId="0" borderId="38" xfId="3" applyNumberFormat="1" applyFont="1" applyFill="1" applyBorder="1" applyAlignment="1" applyProtection="1">
      <alignment horizontal="left" vertical="center"/>
      <protection hidden="1"/>
    </xf>
    <xf numFmtId="2" fontId="95" fillId="0" borderId="35" xfId="3" applyNumberFormat="1" applyFont="1" applyFill="1" applyBorder="1" applyAlignment="1" applyProtection="1">
      <alignment horizontal="right" vertical="center"/>
      <protection hidden="1"/>
    </xf>
    <xf numFmtId="10" fontId="102" fillId="0" borderId="35" xfId="16" applyNumberFormat="1" applyFont="1" applyFill="1" applyBorder="1" applyAlignment="1" applyProtection="1">
      <alignment horizontal="right"/>
      <protection hidden="1"/>
    </xf>
    <xf numFmtId="0" fontId="80" fillId="0" borderId="36" xfId="13" applyFont="1" applyBorder="1" applyProtection="1">
      <protection hidden="1"/>
    </xf>
    <xf numFmtId="0" fontId="104" fillId="0" borderId="38" xfId="13" applyFont="1" applyBorder="1" applyProtection="1">
      <protection hidden="1"/>
    </xf>
    <xf numFmtId="0" fontId="104" fillId="0" borderId="35" xfId="13" applyFont="1" applyBorder="1" applyAlignment="1" applyProtection="1">
      <alignment horizontal="right"/>
      <protection hidden="1"/>
    </xf>
    <xf numFmtId="0" fontId="102" fillId="0" borderId="38" xfId="13" applyFont="1" applyBorder="1" applyAlignment="1" applyProtection="1">
      <alignment horizontal="right"/>
      <protection hidden="1"/>
    </xf>
    <xf numFmtId="0" fontId="102" fillId="0" borderId="35" xfId="13" applyFont="1" applyBorder="1" applyAlignment="1" applyProtection="1">
      <alignment horizontal="right"/>
      <protection hidden="1"/>
    </xf>
    <xf numFmtId="0" fontId="88" fillId="0" borderId="36" xfId="13" applyFont="1" applyBorder="1" applyProtection="1">
      <protection hidden="1"/>
    </xf>
    <xf numFmtId="10" fontId="141" fillId="64" borderId="37" xfId="16" applyNumberFormat="1" applyFont="1" applyFill="1" applyBorder="1" applyAlignment="1" applyProtection="1">
      <alignment horizontal="right"/>
      <protection hidden="1"/>
    </xf>
    <xf numFmtId="0" fontId="103" fillId="0" borderId="38" xfId="13" applyFont="1" applyBorder="1" applyAlignment="1" applyProtection="1">
      <alignment horizontal="center"/>
      <protection hidden="1"/>
    </xf>
    <xf numFmtId="175" fontId="137" fillId="0" borderId="37" xfId="16" applyNumberFormat="1" applyFont="1" applyFill="1" applyBorder="1" applyAlignment="1" applyProtection="1">
      <alignment horizontal="center"/>
      <protection hidden="1"/>
    </xf>
    <xf numFmtId="0" fontId="85" fillId="0" borderId="36" xfId="13" applyFont="1" applyBorder="1" applyProtection="1">
      <protection hidden="1"/>
    </xf>
    <xf numFmtId="10" fontId="102" fillId="0" borderId="38" xfId="13" applyNumberFormat="1" applyFont="1" applyBorder="1" applyAlignment="1" applyProtection="1">
      <alignment horizontal="right"/>
      <protection hidden="1"/>
    </xf>
    <xf numFmtId="175" fontId="103" fillId="0" borderId="35" xfId="16" applyNumberFormat="1" applyFont="1" applyFill="1" applyBorder="1" applyAlignment="1" applyProtection="1">
      <alignment horizontal="right"/>
      <protection hidden="1"/>
    </xf>
    <xf numFmtId="9" fontId="135" fillId="64" borderId="37" xfId="16" applyFont="1" applyFill="1" applyBorder="1" applyAlignment="1" applyProtection="1">
      <alignment horizontal="center"/>
      <protection hidden="1"/>
    </xf>
    <xf numFmtId="0" fontId="106" fillId="0" borderId="38" xfId="13" applyFont="1" applyBorder="1" applyAlignment="1" applyProtection="1">
      <alignment horizontal="center"/>
      <protection hidden="1"/>
    </xf>
    <xf numFmtId="169" fontId="103" fillId="0" borderId="38" xfId="13" applyNumberFormat="1" applyFont="1" applyBorder="1" applyAlignment="1" applyProtection="1">
      <alignment horizontal="center"/>
      <protection hidden="1"/>
    </xf>
    <xf numFmtId="165" fontId="103" fillId="0" borderId="38" xfId="13" applyNumberFormat="1" applyFont="1" applyBorder="1" applyAlignment="1" applyProtection="1">
      <alignment horizontal="center"/>
      <protection hidden="1"/>
    </xf>
    <xf numFmtId="9" fontId="125" fillId="0" borderId="37" xfId="0" applyNumberFormat="1" applyFont="1" applyBorder="1" applyAlignment="1">
      <alignment horizontal="center"/>
    </xf>
    <xf numFmtId="9" fontId="125" fillId="61" borderId="37" xfId="65" applyFont="1" applyFill="1" applyBorder="1" applyAlignment="1">
      <alignment horizontal="center"/>
    </xf>
    <xf numFmtId="0" fontId="78" fillId="64" borderId="36" xfId="13" applyFont="1" applyFill="1" applyBorder="1" applyProtection="1">
      <protection hidden="1"/>
    </xf>
    <xf numFmtId="0" fontId="103" fillId="64" borderId="38" xfId="13" applyFont="1" applyFill="1" applyBorder="1" applyAlignment="1" applyProtection="1">
      <alignment horizontal="center"/>
      <protection hidden="1"/>
    </xf>
    <xf numFmtId="0" fontId="103" fillId="64" borderId="35" xfId="13" applyFont="1" applyFill="1" applyBorder="1" applyAlignment="1" applyProtection="1">
      <alignment horizontal="right"/>
      <protection hidden="1"/>
    </xf>
    <xf numFmtId="167" fontId="103" fillId="0" borderId="35" xfId="8" applyFont="1" applyFill="1" applyBorder="1" applyAlignment="1" applyProtection="1">
      <alignment horizontal="right"/>
      <protection hidden="1"/>
    </xf>
    <xf numFmtId="10" fontId="103" fillId="0" borderId="35" xfId="16" applyNumberFormat="1" applyFont="1" applyFill="1" applyBorder="1" applyAlignment="1" applyProtection="1">
      <alignment horizontal="right"/>
      <protection hidden="1"/>
    </xf>
    <xf numFmtId="10" fontId="103" fillId="64" borderId="35" xfId="16" applyNumberFormat="1" applyFont="1" applyFill="1" applyBorder="1" applyAlignment="1" applyProtection="1">
      <alignment horizontal="right"/>
      <protection hidden="1"/>
    </xf>
    <xf numFmtId="0" fontId="103" fillId="0" borderId="38" xfId="13" applyFont="1" applyBorder="1" applyProtection="1">
      <protection hidden="1"/>
    </xf>
    <xf numFmtId="169" fontId="104" fillId="0" borderId="38" xfId="13" applyNumberFormat="1" applyFont="1" applyBorder="1" applyProtection="1">
      <protection hidden="1"/>
    </xf>
    <xf numFmtId="169" fontId="103" fillId="0" borderId="35" xfId="13" applyNumberFormat="1" applyFont="1" applyBorder="1" applyAlignment="1" applyProtection="1">
      <alignment horizontal="right"/>
      <protection hidden="1"/>
    </xf>
    <xf numFmtId="0" fontId="104" fillId="0" borderId="39" xfId="0" applyFont="1" applyBorder="1" applyAlignment="1">
      <alignment horizontal="right"/>
    </xf>
    <xf numFmtId="0" fontId="89" fillId="0" borderId="36" xfId="13" applyFont="1" applyBorder="1" applyProtection="1">
      <protection hidden="1"/>
    </xf>
    <xf numFmtId="169" fontId="102"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2" fontId="118" fillId="63" borderId="36" xfId="13" applyNumberFormat="1" applyFont="1" applyFill="1" applyBorder="1" applyAlignment="1" applyProtection="1">
      <alignment horizontal="left" vertical="center" wrapText="1"/>
      <protection hidden="1"/>
    </xf>
    <xf numFmtId="175" fontId="87" fillId="0" borderId="39" xfId="0" applyNumberFormat="1" applyFont="1" applyBorder="1" applyAlignment="1">
      <alignment horizontal="center" vertical="center"/>
    </xf>
    <xf numFmtId="166" fontId="125" fillId="0" borderId="37" xfId="18" applyFont="1" applyBorder="1" applyAlignment="1">
      <alignment horizontal="center"/>
    </xf>
    <xf numFmtId="0" fontId="113" fillId="63" borderId="37" xfId="59" applyFont="1" applyFill="1" applyBorder="1" applyAlignment="1">
      <alignment horizontal="left" vertical="top" wrapText="1"/>
    </xf>
    <xf numFmtId="0" fontId="35" fillId="0" borderId="37" xfId="0" applyFont="1" applyBorder="1" applyAlignment="1">
      <alignment horizontal="center"/>
    </xf>
    <xf numFmtId="167" fontId="35" fillId="0" borderId="37" xfId="8" applyFont="1" applyBorder="1"/>
    <xf numFmtId="44" fontId="135" fillId="35" borderId="37" xfId="66" applyFont="1" applyFill="1" applyBorder="1" applyAlignment="1" applyProtection="1">
      <protection locked="0"/>
    </xf>
    <xf numFmtId="167" fontId="125" fillId="0" borderId="37" xfId="8" applyFont="1" applyBorder="1"/>
    <xf numFmtId="0" fontId="118" fillId="63" borderId="36" xfId="9" applyFont="1" applyFill="1" applyBorder="1" applyAlignment="1" applyProtection="1">
      <alignment horizontal="left" vertical="center"/>
      <protection hidden="1"/>
    </xf>
    <xf numFmtId="0" fontId="119" fillId="63" borderId="38" xfId="10" applyFont="1" applyFill="1" applyBorder="1"/>
    <xf numFmtId="0" fontId="122" fillId="63" borderId="38" xfId="10" applyFont="1" applyFill="1" applyBorder="1"/>
    <xf numFmtId="0" fontId="122" fillId="63" borderId="35" xfId="10" applyFont="1" applyFill="1" applyBorder="1"/>
    <xf numFmtId="0" fontId="78" fillId="0" borderId="36" xfId="9" applyFont="1" applyBorder="1" applyAlignment="1" applyProtection="1">
      <alignment horizontal="left"/>
      <protection hidden="1"/>
    </xf>
    <xf numFmtId="0" fontId="78" fillId="0" borderId="35" xfId="9" applyFont="1" applyBorder="1" applyAlignment="1" applyProtection="1">
      <alignment horizontal="left"/>
      <protection hidden="1"/>
    </xf>
    <xf numFmtId="0" fontId="78"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8" fillId="0" borderId="37" xfId="10" applyFont="1" applyBorder="1"/>
    <xf numFmtId="179" fontId="142" fillId="64" borderId="37" xfId="10" applyNumberFormat="1" applyFont="1" applyFill="1" applyBorder="1"/>
    <xf numFmtId="0" fontId="78" fillId="64" borderId="37" xfId="10" applyFont="1" applyFill="1" applyBorder="1"/>
    <xf numFmtId="0" fontId="91" fillId="63" borderId="38" xfId="10" applyFont="1" applyFill="1" applyBorder="1"/>
    <xf numFmtId="0" fontId="91" fillId="63" borderId="35" xfId="10" applyFont="1" applyFill="1" applyBorder="1"/>
    <xf numFmtId="0" fontId="78" fillId="0" borderId="36" xfId="9" applyFont="1" applyBorder="1" applyAlignment="1" applyProtection="1">
      <alignment horizontal="left" vertical="top"/>
      <protection hidden="1"/>
    </xf>
    <xf numFmtId="0" fontId="78" fillId="0" borderId="38" xfId="9" applyFont="1" applyBorder="1" applyAlignment="1" applyProtection="1">
      <alignment horizontal="left" vertical="top"/>
      <protection hidden="1"/>
    </xf>
    <xf numFmtId="0" fontId="78" fillId="0" borderId="35" xfId="9" applyFont="1" applyBorder="1" applyAlignment="1" applyProtection="1">
      <alignment horizontal="center" vertical="top"/>
      <protection hidden="1"/>
    </xf>
    <xf numFmtId="0" fontId="78" fillId="0" borderId="37" xfId="9" applyFont="1" applyBorder="1" applyAlignment="1" applyProtection="1">
      <alignment horizontal="center"/>
      <protection hidden="1"/>
    </xf>
    <xf numFmtId="0" fontId="78" fillId="64" borderId="38" xfId="10" applyFont="1" applyFill="1" applyBorder="1"/>
    <xf numFmtId="0" fontId="78" fillId="64" borderId="36" xfId="10" applyFont="1" applyFill="1" applyBorder="1"/>
    <xf numFmtId="0" fontId="78" fillId="0" borderId="38" xfId="10" applyFont="1" applyBorder="1"/>
    <xf numFmtId="0" fontId="78" fillId="0" borderId="37" xfId="9" applyFont="1" applyBorder="1" applyAlignment="1" applyProtection="1">
      <alignment horizontal="left" vertical="center"/>
      <protection hidden="1"/>
    </xf>
    <xf numFmtId="0" fontId="78" fillId="0" borderId="36" xfId="9" applyFont="1" applyBorder="1" applyAlignment="1" applyProtection="1">
      <alignment horizontal="left" vertical="center"/>
      <protection hidden="1"/>
    </xf>
    <xf numFmtId="0" fontId="78" fillId="0" borderId="37" xfId="9" applyFont="1" applyBorder="1" applyAlignment="1" applyProtection="1">
      <alignment horizontal="left" wrapText="1"/>
      <protection hidden="1"/>
    </xf>
    <xf numFmtId="0" fontId="78" fillId="0" borderId="35" xfId="9" applyFont="1" applyBorder="1" applyAlignment="1" applyProtection="1">
      <alignment horizontal="left" wrapText="1"/>
      <protection hidden="1"/>
    </xf>
    <xf numFmtId="0" fontId="78" fillId="0" borderId="37" xfId="9" applyFont="1" applyBorder="1" applyAlignment="1" applyProtection="1">
      <alignment horizontal="right"/>
      <protection hidden="1"/>
    </xf>
    <xf numFmtId="173" fontId="113" fillId="63" borderId="33" xfId="8" applyNumberFormat="1" applyFont="1" applyFill="1" applyBorder="1" applyAlignment="1">
      <alignment vertical="top" wrapText="1"/>
    </xf>
    <xf numFmtId="0" fontId="78" fillId="0" borderId="37" xfId="103" applyFont="1" applyBorder="1" applyAlignment="1">
      <alignment vertical="top" wrapText="1"/>
    </xf>
    <xf numFmtId="44" fontId="35" fillId="65" borderId="37" xfId="66" applyFont="1" applyFill="1" applyBorder="1" applyAlignment="1" applyProtection="1">
      <protection locked="0"/>
    </xf>
    <xf numFmtId="0" fontId="78" fillId="0" borderId="37" xfId="103" applyFont="1" applyBorder="1" applyAlignment="1">
      <alignment vertical="top"/>
    </xf>
    <xf numFmtId="2" fontId="113" fillId="63" borderId="33" xfId="84" applyNumberFormat="1" applyFont="1" applyFill="1" applyBorder="1" applyAlignment="1">
      <alignment horizontal="left" vertical="top" wrapText="1"/>
    </xf>
    <xf numFmtId="2" fontId="113" fillId="63" borderId="33" xfId="84" applyNumberFormat="1" applyFont="1" applyFill="1" applyBorder="1" applyAlignment="1">
      <alignment vertical="top" wrapText="1"/>
    </xf>
    <xf numFmtId="2" fontId="78" fillId="0" borderId="37" xfId="84" applyNumberFormat="1" applyFont="1" applyBorder="1"/>
    <xf numFmtId="3" fontId="35" fillId="0" borderId="37" xfId="8" applyNumberFormat="1" applyFont="1" applyFill="1" applyBorder="1" applyAlignment="1">
      <alignment horizontal="center" vertical="top" wrapText="1"/>
    </xf>
    <xf numFmtId="166" fontId="35" fillId="0" borderId="37" xfId="18" applyFont="1" applyBorder="1" applyAlignment="1">
      <alignment horizontal="center" vertical="top" wrapText="1"/>
    </xf>
    <xf numFmtId="44" fontId="35" fillId="0" borderId="37" xfId="66" applyFont="1" applyBorder="1" applyAlignment="1">
      <alignment vertical="top" wrapText="1"/>
    </xf>
    <xf numFmtId="49" fontId="35" fillId="0" borderId="37" xfId="103" applyNumberFormat="1" applyFont="1" applyBorder="1" applyAlignment="1">
      <alignment horizontal="center" vertical="top" wrapText="1"/>
    </xf>
    <xf numFmtId="2" fontId="80" fillId="2" borderId="36" xfId="84" applyNumberFormat="1" applyFont="1" applyFill="1" applyBorder="1" applyAlignment="1">
      <alignment vertical="top" wrapText="1"/>
    </xf>
    <xf numFmtId="2" fontId="80" fillId="2" borderId="35" xfId="84" applyNumberFormat="1" applyFont="1" applyFill="1" applyBorder="1" applyAlignment="1">
      <alignment vertical="top" wrapText="1"/>
    </xf>
    <xf numFmtId="2" fontId="80" fillId="2" borderId="38" xfId="84" applyNumberFormat="1" applyFont="1" applyFill="1" applyBorder="1" applyAlignment="1">
      <alignment vertical="top" wrapText="1"/>
    </xf>
    <xf numFmtId="3" fontId="125" fillId="2" borderId="38" xfId="8" applyNumberFormat="1" applyFont="1" applyFill="1" applyBorder="1" applyAlignment="1">
      <alignment horizontal="center" vertical="top" wrapText="1"/>
    </xf>
    <xf numFmtId="2" fontId="125" fillId="2" borderId="35" xfId="84" applyNumberFormat="1" applyFont="1" applyFill="1" applyBorder="1" applyAlignment="1">
      <alignment vertical="top" wrapText="1"/>
    </xf>
    <xf numFmtId="180" fontId="125" fillId="2" borderId="36" xfId="84" applyNumberFormat="1" applyFont="1" applyFill="1" applyBorder="1" applyAlignment="1">
      <alignment vertical="top" wrapText="1"/>
    </xf>
    <xf numFmtId="2" fontId="125" fillId="2" borderId="38" xfId="84" applyNumberFormat="1" applyFont="1" applyFill="1" applyBorder="1" applyAlignment="1">
      <alignment vertical="top" wrapText="1"/>
    </xf>
    <xf numFmtId="180" fontId="125" fillId="2" borderId="35" xfId="84" applyNumberFormat="1" applyFont="1" applyFill="1" applyBorder="1" applyAlignment="1">
      <alignment vertical="top" wrapText="1"/>
    </xf>
    <xf numFmtId="3" fontId="78" fillId="0" borderId="37" xfId="8" applyNumberFormat="1" applyFont="1" applyFill="1" applyBorder="1" applyAlignment="1">
      <alignment horizontal="center" vertical="top" wrapText="1"/>
    </xf>
    <xf numFmtId="166" fontId="78" fillId="0" borderId="37" xfId="18" applyFont="1" applyBorder="1" applyAlignment="1">
      <alignment horizontal="center" vertical="top" wrapText="1"/>
    </xf>
    <xf numFmtId="44" fontId="78" fillId="0" borderId="37" xfId="66" applyFont="1" applyBorder="1" applyAlignment="1">
      <alignment vertical="top" wrapText="1"/>
    </xf>
    <xf numFmtId="49" fontId="78" fillId="0" borderId="37" xfId="103" applyNumberFormat="1" applyFont="1" applyBorder="1" applyAlignment="1">
      <alignment horizontal="center" vertical="top" wrapText="1"/>
    </xf>
    <xf numFmtId="3" fontId="35" fillId="2" borderId="37" xfId="8" applyNumberFormat="1" applyFont="1" applyFill="1" applyBorder="1" applyAlignment="1">
      <alignment horizontal="center"/>
    </xf>
    <xf numFmtId="3" fontId="125" fillId="2" borderId="37" xfId="8" applyNumberFormat="1" applyFont="1" applyFill="1" applyBorder="1" applyAlignment="1">
      <alignment horizontal="center"/>
    </xf>
    <xf numFmtId="4" fontId="35" fillId="2" borderId="37" xfId="8" applyNumberFormat="1" applyFont="1" applyFill="1" applyBorder="1" applyAlignment="1">
      <alignment horizontal="center"/>
    </xf>
    <xf numFmtId="4" fontId="125" fillId="2" borderId="37" xfId="8" applyNumberFormat="1" applyFont="1" applyFill="1" applyBorder="1" applyAlignment="1">
      <alignment horizontal="center"/>
    </xf>
    <xf numFmtId="0" fontId="7" fillId="0" borderId="0" xfId="0" applyFont="1"/>
    <xf numFmtId="9" fontId="78" fillId="0" borderId="0" xfId="0" applyNumberFormat="1" applyFont="1"/>
    <xf numFmtId="166" fontId="78" fillId="0" borderId="0" xfId="18" applyFont="1"/>
    <xf numFmtId="9" fontId="78" fillId="0" borderId="0" xfId="16" applyFont="1"/>
    <xf numFmtId="44" fontId="78" fillId="0" borderId="0" xfId="0" applyNumberFormat="1" applyFont="1"/>
    <xf numFmtId="49" fontId="77" fillId="65" borderId="37" xfId="9" applyNumberFormat="1" applyFont="1" applyFill="1" applyBorder="1" applyAlignment="1" applyProtection="1">
      <alignment horizontal="left" vertical="top"/>
      <protection hidden="1"/>
    </xf>
    <xf numFmtId="0" fontId="80" fillId="64" borderId="37" xfId="13" applyFont="1" applyFill="1" applyBorder="1" applyProtection="1">
      <protection hidden="1"/>
    </xf>
    <xf numFmtId="166" fontId="35" fillId="0" borderId="37" xfId="18" applyFont="1" applyFill="1" applyBorder="1" applyAlignment="1" applyProtection="1">
      <protection hidden="1"/>
    </xf>
    <xf numFmtId="166" fontId="135" fillId="2" borderId="37" xfId="18" applyFont="1" applyFill="1" applyBorder="1" applyAlignment="1" applyProtection="1">
      <alignment horizontal="center"/>
      <protection hidden="1"/>
    </xf>
    <xf numFmtId="9" fontId="127" fillId="64" borderId="37" xfId="16" applyFont="1" applyFill="1" applyBorder="1" applyAlignment="1" applyProtection="1">
      <alignment horizontal="center"/>
      <protection hidden="1"/>
    </xf>
    <xf numFmtId="9" fontId="131" fillId="64" borderId="37" xfId="16" applyFont="1" applyFill="1" applyBorder="1" applyAlignment="1" applyProtection="1">
      <alignment horizontal="center"/>
      <protection hidden="1"/>
    </xf>
    <xf numFmtId="173" fontId="80" fillId="0" borderId="0" xfId="8" applyNumberFormat="1" applyFont="1" applyFill="1" applyAlignment="1">
      <alignment horizontal="center"/>
    </xf>
    <xf numFmtId="173" fontId="81" fillId="0" borderId="0" xfId="8" applyNumberFormat="1" applyFont="1" applyFill="1" applyAlignment="1">
      <alignment horizontal="center"/>
    </xf>
    <xf numFmtId="2" fontId="113" fillId="63" borderId="33" xfId="0" applyNumberFormat="1" applyFont="1" applyFill="1" applyBorder="1" applyAlignment="1">
      <alignment horizontal="center" vertical="top" wrapText="1"/>
    </xf>
    <xf numFmtId="0" fontId="78" fillId="0" borderId="16" xfId="0" applyFont="1" applyBorder="1" applyAlignment="1">
      <alignment horizontal="center" wrapText="1"/>
    </xf>
    <xf numFmtId="1" fontId="80" fillId="0" borderId="0" xfId="61" applyNumberFormat="1" applyFont="1" applyAlignment="1">
      <alignment horizontal="center"/>
    </xf>
    <xf numFmtId="3" fontId="35" fillId="0" borderId="37" xfId="0" applyNumberFormat="1" applyFont="1" applyBorder="1" applyAlignment="1">
      <alignment horizontal="center"/>
    </xf>
    <xf numFmtId="0" fontId="78" fillId="0" borderId="0" xfId="103" applyFont="1" applyAlignment="1">
      <alignment vertical="top" wrapText="1"/>
    </xf>
    <xf numFmtId="44" fontId="35" fillId="0" borderId="0" xfId="66" applyFont="1" applyFill="1" applyBorder="1" applyAlignment="1" applyProtection="1">
      <protection locked="0"/>
    </xf>
    <xf numFmtId="173" fontId="113" fillId="63" borderId="37" xfId="8" applyNumberFormat="1" applyFont="1" applyFill="1" applyBorder="1" applyAlignment="1">
      <alignment vertical="top" wrapText="1"/>
    </xf>
    <xf numFmtId="0" fontId="110" fillId="0" borderId="0" xfId="84" applyFont="1"/>
    <xf numFmtId="172" fontId="78" fillId="0" borderId="0" xfId="12" applyNumberFormat="1" applyFont="1"/>
    <xf numFmtId="2" fontId="75" fillId="2" borderId="0" xfId="12" applyNumberFormat="1" applyFont="1" applyFill="1"/>
    <xf numFmtId="0" fontId="78" fillId="0" borderId="37" xfId="8" applyNumberFormat="1" applyFont="1" applyFill="1" applyBorder="1" applyAlignment="1"/>
    <xf numFmtId="2" fontId="78" fillId="0" borderId="37" xfId="0" applyNumberFormat="1" applyFont="1" applyBorder="1" applyAlignment="1">
      <alignment horizontal="right"/>
    </xf>
    <xf numFmtId="0" fontId="78" fillId="0" borderId="37" xfId="0" applyFont="1" applyBorder="1" applyAlignment="1">
      <alignment horizontal="center"/>
    </xf>
    <xf numFmtId="173" fontId="79" fillId="63" borderId="36" xfId="8" applyNumberFormat="1" applyFont="1" applyFill="1" applyBorder="1" applyAlignment="1">
      <alignment horizontal="center" vertical="center" wrapText="1"/>
    </xf>
    <xf numFmtId="2" fontId="113" fillId="63" borderId="36" xfId="0" applyNumberFormat="1" applyFont="1" applyFill="1" applyBorder="1" applyAlignment="1">
      <alignment horizontal="center" vertical="center" wrapText="1"/>
    </xf>
    <xf numFmtId="2" fontId="113" fillId="63" borderId="38" xfId="0" applyNumberFormat="1" applyFont="1" applyFill="1" applyBorder="1" applyAlignment="1">
      <alignment horizontal="center" vertical="center" wrapText="1"/>
    </xf>
    <xf numFmtId="2" fontId="113" fillId="63" borderId="35" xfId="0" applyNumberFormat="1" applyFont="1" applyFill="1" applyBorder="1" applyAlignment="1">
      <alignment horizontal="center" vertical="center" wrapText="1"/>
    </xf>
    <xf numFmtId="49" fontId="113" fillId="63" borderId="36" xfId="63" applyNumberFormat="1" applyFont="1" applyFill="1" applyBorder="1" applyAlignment="1">
      <alignment horizontal="left" vertical="top" wrapText="1"/>
    </xf>
    <xf numFmtId="49" fontId="113" fillId="62" borderId="38" xfId="63" applyNumberFormat="1" applyFont="1" applyFill="1" applyBorder="1" applyAlignment="1">
      <alignment horizontal="left" vertical="top" wrapText="1"/>
    </xf>
    <xf numFmtId="49" fontId="113" fillId="62" borderId="35" xfId="63" applyNumberFormat="1" applyFont="1" applyFill="1" applyBorder="1" applyAlignment="1">
      <alignment horizontal="left" vertical="top" wrapText="1"/>
    </xf>
    <xf numFmtId="0" fontId="78" fillId="0" borderId="36" xfId="0" applyFont="1" applyBorder="1" applyAlignment="1">
      <alignment horizontal="left"/>
    </xf>
    <xf numFmtId="0" fontId="78" fillId="0" borderId="35" xfId="0" applyFont="1" applyBorder="1" applyAlignment="1">
      <alignment horizontal="left"/>
    </xf>
    <xf numFmtId="0" fontId="80" fillId="0" borderId="36" xfId="13" applyFont="1" applyBorder="1" applyAlignment="1" applyProtection="1">
      <alignment horizontal="left" vertical="center"/>
      <protection hidden="1"/>
    </xf>
    <xf numFmtId="0" fontId="80" fillId="0" borderId="35" xfId="13" applyFont="1" applyBorder="1" applyAlignment="1" applyProtection="1">
      <alignment horizontal="left" vertical="center"/>
      <protection hidden="1"/>
    </xf>
    <xf numFmtId="2" fontId="120" fillId="63" borderId="37" xfId="13" applyNumberFormat="1" applyFont="1" applyFill="1" applyBorder="1" applyAlignment="1" applyProtection="1">
      <alignment horizontal="center" vertical="center" wrapText="1"/>
      <protection hidden="1"/>
    </xf>
    <xf numFmtId="2" fontId="120" fillId="62" borderId="37" xfId="13" applyNumberFormat="1" applyFont="1" applyFill="1" applyBorder="1" applyAlignment="1" applyProtection="1">
      <alignment horizontal="center" vertical="center" wrapText="1"/>
      <protection hidden="1"/>
    </xf>
    <xf numFmtId="2" fontId="120" fillId="63" borderId="36" xfId="3" applyNumberFormat="1" applyFont="1" applyFill="1" applyBorder="1" applyAlignment="1" applyProtection="1">
      <alignment horizontal="center" vertical="center" wrapText="1"/>
      <protection hidden="1"/>
    </xf>
    <xf numFmtId="0" fontId="113" fillId="62" borderId="35" xfId="0" applyFont="1" applyFill="1" applyBorder="1" applyAlignment="1">
      <alignment horizontal="center" vertical="center" wrapText="1"/>
    </xf>
    <xf numFmtId="0" fontId="78" fillId="0" borderId="0" xfId="0" applyFont="1" applyAlignment="1">
      <alignment horizontal="left" vertical="top" wrapText="1"/>
    </xf>
    <xf numFmtId="2" fontId="120" fillId="63" borderId="36" xfId="13" applyNumberFormat="1" applyFont="1" applyFill="1" applyBorder="1" applyAlignment="1" applyProtection="1">
      <alignment horizontal="center" vertical="center" wrapText="1"/>
      <protection hidden="1"/>
    </xf>
    <xf numFmtId="2" fontId="120" fillId="62" borderId="38" xfId="13" applyNumberFormat="1" applyFont="1" applyFill="1" applyBorder="1" applyAlignment="1" applyProtection="1">
      <alignment horizontal="center" vertical="center" wrapText="1"/>
      <protection hidden="1"/>
    </xf>
    <xf numFmtId="2" fontId="120" fillId="62" borderId="35" xfId="13" applyNumberFormat="1" applyFont="1" applyFill="1" applyBorder="1" applyAlignment="1" applyProtection="1">
      <alignment horizontal="center" vertical="center" wrapText="1"/>
      <protection hidden="1"/>
    </xf>
    <xf numFmtId="2" fontId="120" fillId="63" borderId="38" xfId="13" applyNumberFormat="1" applyFont="1" applyFill="1" applyBorder="1" applyAlignment="1" applyProtection="1">
      <alignment horizontal="center" vertical="center" wrapText="1"/>
      <protection hidden="1"/>
    </xf>
    <xf numFmtId="2" fontId="120" fillId="63" borderId="35" xfId="13" applyNumberFormat="1" applyFont="1" applyFill="1" applyBorder="1" applyAlignment="1" applyProtection="1">
      <alignment horizontal="center" vertical="center" wrapText="1"/>
      <protection hidden="1"/>
    </xf>
    <xf numFmtId="0" fontId="78" fillId="0" borderId="36" xfId="9" applyFont="1" applyBorder="1" applyAlignment="1" applyProtection="1">
      <alignment horizontal="center"/>
      <protection hidden="1"/>
    </xf>
    <xf numFmtId="0" fontId="78" fillId="0" borderId="38" xfId="9" applyFont="1" applyBorder="1" applyAlignment="1" applyProtection="1">
      <alignment horizontal="center"/>
      <protection hidden="1"/>
    </xf>
    <xf numFmtId="0" fontId="78" fillId="0" borderId="35" xfId="9" applyFont="1" applyBorder="1" applyAlignment="1" applyProtection="1">
      <alignment horizontal="center"/>
      <protection hidden="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32385</xdr:rowOff>
    </xdr:from>
    <xdr:to>
      <xdr:col>16</xdr:col>
      <xdr:colOff>131445</xdr:colOff>
      <xdr:row>42</xdr:row>
      <xdr:rowOff>60960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4885"/>
          <a:ext cx="11170920" cy="59493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januari 2026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200" b="0">
              <a:solidFill>
                <a:sysClr val="windowText" lastClr="000000"/>
              </a:solidFill>
              <a:effectLst/>
              <a:latin typeface="Georgia" panose="02040502050405020303" pitchFamily="18" charset="0"/>
              <a:ea typeface="+mn-ea"/>
              <a:cs typeface="+mn-cs"/>
            </a:rPr>
            <a:t>van de 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220980</xdr:colOff>
      <xdr:row>23</xdr:row>
      <xdr:rowOff>9525</xdr:rowOff>
    </xdr:from>
    <xdr:to>
      <xdr:col>11</xdr:col>
      <xdr:colOff>112395</xdr:colOff>
      <xdr:row>34</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55881</xdr:rowOff>
    </xdr:from>
    <xdr:to>
      <xdr:col>14</xdr:col>
      <xdr:colOff>49953</xdr:colOff>
      <xdr:row>8</xdr:row>
      <xdr:rowOff>127000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72916" y="55881"/>
          <a:ext cx="6611620" cy="15739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Normen"/>
      <sheetName val="Kalender (2)"/>
      <sheetName val="Opzoeklijst"/>
      <sheetName val="01.255"/>
      <sheetName val="02.255"/>
      <sheetName val="04.255"/>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 val="atir_xls3"/>
    </sheetNames>
    <sheetDataSet>
      <sheetData sheetId="0" refreshError="1"/>
      <sheetData sheetId="1" refreshError="1"/>
      <sheetData sheetId="2" refreshError="1"/>
      <sheetData sheetId="3" refreshError="1"/>
      <sheetData sheetId="4"/>
      <sheetData sheetId="5"/>
      <sheetData sheetId="6" refreshError="1"/>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sheetView>
  </sheetViews>
  <sheetFormatPr defaultRowHeight="12.6"/>
  <cols>
    <col min="1" max="1" width="27.6640625" customWidth="1"/>
  </cols>
  <sheetData>
    <row r="1" spans="1:13" ht="15.6">
      <c r="A1" s="37" t="s">
        <v>0</v>
      </c>
      <c r="B1" s="38" t="str">
        <f>'2-Kosten per locatie'!B3</f>
        <v>Gemeente Westerkwartier</v>
      </c>
    </row>
    <row r="2" spans="1:13" ht="15.6">
      <c r="A2" s="37" t="s">
        <v>1</v>
      </c>
      <c r="B2" s="38" t="str">
        <f ca="1">MID(CELL("bestandsnaam",$B$11),SEARCH("]",CELL("bestandsnaam",$B$11),1)+1,256)</f>
        <v>1-Uitgangspunten</v>
      </c>
    </row>
    <row r="3" spans="1:13" ht="15.6">
      <c r="A3" s="37" t="s">
        <v>2</v>
      </c>
      <c r="B3" s="38" t="str">
        <f>'2-Kosten per locatie'!B5</f>
        <v>Perceel 2 sportlocaties</v>
      </c>
    </row>
    <row r="4" spans="1:13" ht="15.6">
      <c r="A4" s="37" t="s">
        <v>3</v>
      </c>
      <c r="B4" s="38">
        <f>'2-Kosten per locatie'!B6</f>
        <v>0</v>
      </c>
      <c r="G4" s="36"/>
      <c r="H4" s="36"/>
      <c r="I4" s="36"/>
      <c r="J4" s="36"/>
      <c r="K4" s="36"/>
      <c r="L4" s="36"/>
      <c r="M4" s="36"/>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35"/>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46.109375" style="171" customWidth="1"/>
    <col min="2" max="2" width="29.109375" style="172" customWidth="1"/>
    <col min="3" max="3" width="27.5546875" style="172" customWidth="1"/>
    <col min="4" max="4" width="12.109375" style="171" customWidth="1"/>
    <col min="5" max="5" width="24.33203125" style="173" customWidth="1"/>
    <col min="6" max="6" width="16.109375" style="174" customWidth="1"/>
    <col min="7" max="7" width="13.6640625" style="173" customWidth="1"/>
    <col min="8" max="8" width="15.88671875" style="173" customWidth="1"/>
    <col min="9" max="247" width="13.6640625" style="28"/>
    <col min="248" max="248" width="22.109375" style="28" customWidth="1"/>
    <col min="249" max="255" width="13.6640625" style="28" customWidth="1"/>
    <col min="256" max="256" width="15.88671875" style="28" customWidth="1"/>
    <col min="257" max="257" width="16.5546875" style="28" bestFit="1" customWidth="1"/>
    <col min="258" max="258" width="13.6640625" style="28" customWidth="1"/>
    <col min="259" max="259" width="17.109375" style="28" bestFit="1" customWidth="1"/>
    <col min="260" max="260" width="4" style="28" customWidth="1"/>
    <col min="261" max="261" width="13.6640625" style="28" customWidth="1"/>
    <col min="262" max="503" width="13.6640625" style="28"/>
    <col min="504" max="504" width="22.109375" style="28" customWidth="1"/>
    <col min="505" max="511" width="13.6640625" style="28" customWidth="1"/>
    <col min="512" max="512" width="15.88671875" style="28" customWidth="1"/>
    <col min="513" max="513" width="16.5546875" style="28" bestFit="1" customWidth="1"/>
    <col min="514" max="514" width="13.6640625" style="28" customWidth="1"/>
    <col min="515" max="515" width="17.109375" style="28" bestFit="1" customWidth="1"/>
    <col min="516" max="516" width="4" style="28" customWidth="1"/>
    <col min="517" max="517" width="13.6640625" style="28" customWidth="1"/>
    <col min="518" max="759" width="13.6640625" style="28"/>
    <col min="760" max="760" width="22.109375" style="28" customWidth="1"/>
    <col min="761" max="767" width="13.6640625" style="28" customWidth="1"/>
    <col min="768" max="768" width="15.88671875" style="28" customWidth="1"/>
    <col min="769" max="769" width="16.5546875" style="28" bestFit="1" customWidth="1"/>
    <col min="770" max="770" width="13.6640625" style="28" customWidth="1"/>
    <col min="771" max="771" width="17.109375" style="28" bestFit="1" customWidth="1"/>
    <col min="772" max="772" width="4" style="28" customWidth="1"/>
    <col min="773" max="773" width="13.6640625" style="28" customWidth="1"/>
    <col min="774" max="1015" width="13.6640625" style="28"/>
    <col min="1016" max="1016" width="22.109375" style="28" customWidth="1"/>
    <col min="1017" max="1023" width="13.6640625" style="28" customWidth="1"/>
    <col min="1024" max="1024" width="15.88671875" style="28" customWidth="1"/>
    <col min="1025" max="1025" width="16.5546875" style="28" bestFit="1" customWidth="1"/>
    <col min="1026" max="1026" width="13.6640625" style="28" customWidth="1"/>
    <col min="1027" max="1027" width="17.109375" style="28" bestFit="1" customWidth="1"/>
    <col min="1028" max="1028" width="4" style="28" customWidth="1"/>
    <col min="1029" max="1029" width="13.6640625" style="28" customWidth="1"/>
    <col min="1030" max="1271" width="13.6640625" style="28"/>
    <col min="1272" max="1272" width="22.109375" style="28" customWidth="1"/>
    <col min="1273" max="1279" width="13.6640625" style="28" customWidth="1"/>
    <col min="1280" max="1280" width="15.88671875" style="28" customWidth="1"/>
    <col min="1281" max="1281" width="16.5546875" style="28" bestFit="1" customWidth="1"/>
    <col min="1282" max="1282" width="13.6640625" style="28" customWidth="1"/>
    <col min="1283" max="1283" width="17.109375" style="28" bestFit="1" customWidth="1"/>
    <col min="1284" max="1284" width="4" style="28" customWidth="1"/>
    <col min="1285" max="1285" width="13.6640625" style="28" customWidth="1"/>
    <col min="1286" max="1527" width="13.6640625" style="28"/>
    <col min="1528" max="1528" width="22.109375" style="28" customWidth="1"/>
    <col min="1529" max="1535" width="13.6640625" style="28" customWidth="1"/>
    <col min="1536" max="1536" width="15.88671875" style="28" customWidth="1"/>
    <col min="1537" max="1537" width="16.5546875" style="28" bestFit="1" customWidth="1"/>
    <col min="1538" max="1538" width="13.6640625" style="28" customWidth="1"/>
    <col min="1539" max="1539" width="17.109375" style="28" bestFit="1" customWidth="1"/>
    <col min="1540" max="1540" width="4" style="28" customWidth="1"/>
    <col min="1541" max="1541" width="13.6640625" style="28" customWidth="1"/>
    <col min="1542" max="1783" width="13.6640625" style="28"/>
    <col min="1784" max="1784" width="22.109375" style="28" customWidth="1"/>
    <col min="1785" max="1791" width="13.6640625" style="28" customWidth="1"/>
    <col min="1792" max="1792" width="15.88671875" style="28" customWidth="1"/>
    <col min="1793" max="1793" width="16.5546875" style="28" bestFit="1" customWidth="1"/>
    <col min="1794" max="1794" width="13.6640625" style="28" customWidth="1"/>
    <col min="1795" max="1795" width="17.109375" style="28" bestFit="1" customWidth="1"/>
    <col min="1796" max="1796" width="4" style="28" customWidth="1"/>
    <col min="1797" max="1797" width="13.6640625" style="28" customWidth="1"/>
    <col min="1798" max="2039" width="13.6640625" style="28"/>
    <col min="2040" max="2040" width="22.109375" style="28" customWidth="1"/>
    <col min="2041" max="2047" width="13.6640625" style="28" customWidth="1"/>
    <col min="2048" max="2048" width="15.88671875" style="28" customWidth="1"/>
    <col min="2049" max="2049" width="16.5546875" style="28" bestFit="1" customWidth="1"/>
    <col min="2050" max="2050" width="13.6640625" style="28" customWidth="1"/>
    <col min="2051" max="2051" width="17.109375" style="28" bestFit="1" customWidth="1"/>
    <col min="2052" max="2052" width="4" style="28" customWidth="1"/>
    <col min="2053" max="2053" width="13.6640625" style="28" customWidth="1"/>
    <col min="2054" max="2295" width="13.6640625" style="28"/>
    <col min="2296" max="2296" width="22.109375" style="28" customWidth="1"/>
    <col min="2297" max="2303" width="13.6640625" style="28" customWidth="1"/>
    <col min="2304" max="2304" width="15.88671875" style="28" customWidth="1"/>
    <col min="2305" max="2305" width="16.5546875" style="28" bestFit="1" customWidth="1"/>
    <col min="2306" max="2306" width="13.6640625" style="28" customWidth="1"/>
    <col min="2307" max="2307" width="17.109375" style="28" bestFit="1" customWidth="1"/>
    <col min="2308" max="2308" width="4" style="28" customWidth="1"/>
    <col min="2309" max="2309" width="13.6640625" style="28" customWidth="1"/>
    <col min="2310" max="2551" width="13.6640625" style="28"/>
    <col min="2552" max="2552" width="22.109375" style="28" customWidth="1"/>
    <col min="2553" max="2559" width="13.6640625" style="28" customWidth="1"/>
    <col min="2560" max="2560" width="15.88671875" style="28" customWidth="1"/>
    <col min="2561" max="2561" width="16.5546875" style="28" bestFit="1" customWidth="1"/>
    <col min="2562" max="2562" width="13.6640625" style="28" customWidth="1"/>
    <col min="2563" max="2563" width="17.109375" style="28" bestFit="1" customWidth="1"/>
    <col min="2564" max="2564" width="4" style="28" customWidth="1"/>
    <col min="2565" max="2565" width="13.6640625" style="28" customWidth="1"/>
    <col min="2566" max="2807" width="13.6640625" style="28"/>
    <col min="2808" max="2808" width="22.109375" style="28" customWidth="1"/>
    <col min="2809" max="2815" width="13.6640625" style="28" customWidth="1"/>
    <col min="2816" max="2816" width="15.88671875" style="28" customWidth="1"/>
    <col min="2817" max="2817" width="16.5546875" style="28" bestFit="1" customWidth="1"/>
    <col min="2818" max="2818" width="13.6640625" style="28" customWidth="1"/>
    <col min="2819" max="2819" width="17.109375" style="28" bestFit="1" customWidth="1"/>
    <col min="2820" max="2820" width="4" style="28" customWidth="1"/>
    <col min="2821" max="2821" width="13.6640625" style="28" customWidth="1"/>
    <col min="2822" max="3063" width="13.6640625" style="28"/>
    <col min="3064" max="3064" width="22.109375" style="28" customWidth="1"/>
    <col min="3065" max="3071" width="13.6640625" style="28" customWidth="1"/>
    <col min="3072" max="3072" width="15.88671875" style="28" customWidth="1"/>
    <col min="3073" max="3073" width="16.5546875" style="28" bestFit="1" customWidth="1"/>
    <col min="3074" max="3074" width="13.6640625" style="28" customWidth="1"/>
    <col min="3075" max="3075" width="17.109375" style="28" bestFit="1" customWidth="1"/>
    <col min="3076" max="3076" width="4" style="28" customWidth="1"/>
    <col min="3077" max="3077" width="13.6640625" style="28" customWidth="1"/>
    <col min="3078" max="3319" width="13.6640625" style="28"/>
    <col min="3320" max="3320" width="22.109375" style="28" customWidth="1"/>
    <col min="3321" max="3327" width="13.6640625" style="28" customWidth="1"/>
    <col min="3328" max="3328" width="15.88671875" style="28" customWidth="1"/>
    <col min="3329" max="3329" width="16.5546875" style="28" bestFit="1" customWidth="1"/>
    <col min="3330" max="3330" width="13.6640625" style="28" customWidth="1"/>
    <col min="3331" max="3331" width="17.109375" style="28" bestFit="1" customWidth="1"/>
    <col min="3332" max="3332" width="4" style="28" customWidth="1"/>
    <col min="3333" max="3333" width="13.6640625" style="28" customWidth="1"/>
    <col min="3334" max="3575" width="13.6640625" style="28"/>
    <col min="3576" max="3576" width="22.109375" style="28" customWidth="1"/>
    <col min="3577" max="3583" width="13.6640625" style="28" customWidth="1"/>
    <col min="3584" max="3584" width="15.88671875" style="28" customWidth="1"/>
    <col min="3585" max="3585" width="16.5546875" style="28" bestFit="1" customWidth="1"/>
    <col min="3586" max="3586" width="13.6640625" style="28" customWidth="1"/>
    <col min="3587" max="3587" width="17.109375" style="28" bestFit="1" customWidth="1"/>
    <col min="3588" max="3588" width="4" style="28" customWidth="1"/>
    <col min="3589" max="3589" width="13.6640625" style="28" customWidth="1"/>
    <col min="3590" max="3831" width="13.6640625" style="28"/>
    <col min="3832" max="3832" width="22.109375" style="28" customWidth="1"/>
    <col min="3833" max="3839" width="13.6640625" style="28" customWidth="1"/>
    <col min="3840" max="3840" width="15.88671875" style="28" customWidth="1"/>
    <col min="3841" max="3841" width="16.5546875" style="28" bestFit="1" customWidth="1"/>
    <col min="3842" max="3842" width="13.6640625" style="28" customWidth="1"/>
    <col min="3843" max="3843" width="17.109375" style="28" bestFit="1" customWidth="1"/>
    <col min="3844" max="3844" width="4" style="28" customWidth="1"/>
    <col min="3845" max="3845" width="13.6640625" style="28" customWidth="1"/>
    <col min="3846" max="4087" width="13.6640625" style="28"/>
    <col min="4088" max="4088" width="22.109375" style="28" customWidth="1"/>
    <col min="4089" max="4095" width="13.6640625" style="28" customWidth="1"/>
    <col min="4096" max="4096" width="15.88671875" style="28" customWidth="1"/>
    <col min="4097" max="4097" width="16.5546875" style="28" bestFit="1" customWidth="1"/>
    <col min="4098" max="4098" width="13.6640625" style="28" customWidth="1"/>
    <col min="4099" max="4099" width="17.109375" style="28" bestFit="1" customWidth="1"/>
    <col min="4100" max="4100" width="4" style="28" customWidth="1"/>
    <col min="4101" max="4101" width="13.6640625" style="28" customWidth="1"/>
    <col min="4102" max="4343" width="13.6640625" style="28"/>
    <col min="4344" max="4344" width="22.109375" style="28" customWidth="1"/>
    <col min="4345" max="4351" width="13.6640625" style="28" customWidth="1"/>
    <col min="4352" max="4352" width="15.88671875" style="28" customWidth="1"/>
    <col min="4353" max="4353" width="16.5546875" style="28" bestFit="1" customWidth="1"/>
    <col min="4354" max="4354" width="13.6640625" style="28" customWidth="1"/>
    <col min="4355" max="4355" width="17.109375" style="28" bestFit="1" customWidth="1"/>
    <col min="4356" max="4356" width="4" style="28" customWidth="1"/>
    <col min="4357" max="4357" width="13.6640625" style="28" customWidth="1"/>
    <col min="4358" max="4599" width="13.6640625" style="28"/>
    <col min="4600" max="4600" width="22.109375" style="28" customWidth="1"/>
    <col min="4601" max="4607" width="13.6640625" style="28" customWidth="1"/>
    <col min="4608" max="4608" width="15.88671875" style="28" customWidth="1"/>
    <col min="4609" max="4609" width="16.5546875" style="28" bestFit="1" customWidth="1"/>
    <col min="4610" max="4610" width="13.6640625" style="28" customWidth="1"/>
    <col min="4611" max="4611" width="17.109375" style="28" bestFit="1" customWidth="1"/>
    <col min="4612" max="4612" width="4" style="28" customWidth="1"/>
    <col min="4613" max="4613" width="13.6640625" style="28" customWidth="1"/>
    <col min="4614" max="4855" width="13.6640625" style="28"/>
    <col min="4856" max="4856" width="22.109375" style="28" customWidth="1"/>
    <col min="4857" max="4863" width="13.6640625" style="28" customWidth="1"/>
    <col min="4864" max="4864" width="15.88671875" style="28" customWidth="1"/>
    <col min="4865" max="4865" width="16.5546875" style="28" bestFit="1" customWidth="1"/>
    <col min="4866" max="4866" width="13.6640625" style="28" customWidth="1"/>
    <col min="4867" max="4867" width="17.109375" style="28" bestFit="1" customWidth="1"/>
    <col min="4868" max="4868" width="4" style="28" customWidth="1"/>
    <col min="4869" max="4869" width="13.6640625" style="28" customWidth="1"/>
    <col min="4870" max="5111" width="13.6640625" style="28"/>
    <col min="5112" max="5112" width="22.109375" style="28" customWidth="1"/>
    <col min="5113" max="5119" width="13.6640625" style="28" customWidth="1"/>
    <col min="5120" max="5120" width="15.88671875" style="28" customWidth="1"/>
    <col min="5121" max="5121" width="16.5546875" style="28" bestFit="1" customWidth="1"/>
    <col min="5122" max="5122" width="13.6640625" style="28" customWidth="1"/>
    <col min="5123" max="5123" width="17.109375" style="28" bestFit="1" customWidth="1"/>
    <col min="5124" max="5124" width="4" style="28" customWidth="1"/>
    <col min="5125" max="5125" width="13.6640625" style="28" customWidth="1"/>
    <col min="5126" max="5367" width="13.6640625" style="28"/>
    <col min="5368" max="5368" width="22.109375" style="28" customWidth="1"/>
    <col min="5369" max="5375" width="13.6640625" style="28" customWidth="1"/>
    <col min="5376" max="5376" width="15.88671875" style="28" customWidth="1"/>
    <col min="5377" max="5377" width="16.5546875" style="28" bestFit="1" customWidth="1"/>
    <col min="5378" max="5378" width="13.6640625" style="28" customWidth="1"/>
    <col min="5379" max="5379" width="17.109375" style="28" bestFit="1" customWidth="1"/>
    <col min="5380" max="5380" width="4" style="28" customWidth="1"/>
    <col min="5381" max="5381" width="13.6640625" style="28" customWidth="1"/>
    <col min="5382" max="5623" width="13.6640625" style="28"/>
    <col min="5624" max="5624" width="22.109375" style="28" customWidth="1"/>
    <col min="5625" max="5631" width="13.6640625" style="28" customWidth="1"/>
    <col min="5632" max="5632" width="15.88671875" style="28" customWidth="1"/>
    <col min="5633" max="5633" width="16.5546875" style="28" bestFit="1" customWidth="1"/>
    <col min="5634" max="5634" width="13.6640625" style="28" customWidth="1"/>
    <col min="5635" max="5635" width="17.109375" style="28" bestFit="1" customWidth="1"/>
    <col min="5636" max="5636" width="4" style="28" customWidth="1"/>
    <col min="5637" max="5637" width="13.6640625" style="28" customWidth="1"/>
    <col min="5638" max="5879" width="13.6640625" style="28"/>
    <col min="5880" max="5880" width="22.109375" style="28" customWidth="1"/>
    <col min="5881" max="5887" width="13.6640625" style="28" customWidth="1"/>
    <col min="5888" max="5888" width="15.88671875" style="28" customWidth="1"/>
    <col min="5889" max="5889" width="16.5546875" style="28" bestFit="1" customWidth="1"/>
    <col min="5890" max="5890" width="13.6640625" style="28" customWidth="1"/>
    <col min="5891" max="5891" width="17.109375" style="28" bestFit="1" customWidth="1"/>
    <col min="5892" max="5892" width="4" style="28" customWidth="1"/>
    <col min="5893" max="5893" width="13.6640625" style="28" customWidth="1"/>
    <col min="5894" max="6135" width="13.6640625" style="28"/>
    <col min="6136" max="6136" width="22.109375" style="28" customWidth="1"/>
    <col min="6137" max="6143" width="13.6640625" style="28" customWidth="1"/>
    <col min="6144" max="6144" width="15.88671875" style="28" customWidth="1"/>
    <col min="6145" max="6145" width="16.5546875" style="28" bestFit="1" customWidth="1"/>
    <col min="6146" max="6146" width="13.6640625" style="28" customWidth="1"/>
    <col min="6147" max="6147" width="17.109375" style="28" bestFit="1" customWidth="1"/>
    <col min="6148" max="6148" width="4" style="28" customWidth="1"/>
    <col min="6149" max="6149" width="13.6640625" style="28" customWidth="1"/>
    <col min="6150" max="6391" width="13.6640625" style="28"/>
    <col min="6392" max="6392" width="22.109375" style="28" customWidth="1"/>
    <col min="6393" max="6399" width="13.6640625" style="28" customWidth="1"/>
    <col min="6400" max="6400" width="15.88671875" style="28" customWidth="1"/>
    <col min="6401" max="6401" width="16.5546875" style="28" bestFit="1" customWidth="1"/>
    <col min="6402" max="6402" width="13.6640625" style="28" customWidth="1"/>
    <col min="6403" max="6403" width="17.109375" style="28" bestFit="1" customWidth="1"/>
    <col min="6404" max="6404" width="4" style="28" customWidth="1"/>
    <col min="6405" max="6405" width="13.6640625" style="28" customWidth="1"/>
    <col min="6406" max="6647" width="13.6640625" style="28"/>
    <col min="6648" max="6648" width="22.109375" style="28" customWidth="1"/>
    <col min="6649" max="6655" width="13.6640625" style="28" customWidth="1"/>
    <col min="6656" max="6656" width="15.88671875" style="28" customWidth="1"/>
    <col min="6657" max="6657" width="16.5546875" style="28" bestFit="1" customWidth="1"/>
    <col min="6658" max="6658" width="13.6640625" style="28" customWidth="1"/>
    <col min="6659" max="6659" width="17.109375" style="28" bestFit="1" customWidth="1"/>
    <col min="6660" max="6660" width="4" style="28" customWidth="1"/>
    <col min="6661" max="6661" width="13.6640625" style="28" customWidth="1"/>
    <col min="6662" max="6903" width="13.6640625" style="28"/>
    <col min="6904" max="6904" width="22.109375" style="28" customWidth="1"/>
    <col min="6905" max="6911" width="13.6640625" style="28" customWidth="1"/>
    <col min="6912" max="6912" width="15.88671875" style="28" customWidth="1"/>
    <col min="6913" max="6913" width="16.5546875" style="28" bestFit="1" customWidth="1"/>
    <col min="6914" max="6914" width="13.6640625" style="28" customWidth="1"/>
    <col min="6915" max="6915" width="17.109375" style="28" bestFit="1" customWidth="1"/>
    <col min="6916" max="6916" width="4" style="28" customWidth="1"/>
    <col min="6917" max="6917" width="13.6640625" style="28" customWidth="1"/>
    <col min="6918" max="7159" width="13.6640625" style="28"/>
    <col min="7160" max="7160" width="22.109375" style="28" customWidth="1"/>
    <col min="7161" max="7167" width="13.6640625" style="28" customWidth="1"/>
    <col min="7168" max="7168" width="15.88671875" style="28" customWidth="1"/>
    <col min="7169" max="7169" width="16.5546875" style="28" bestFit="1" customWidth="1"/>
    <col min="7170" max="7170" width="13.6640625" style="28" customWidth="1"/>
    <col min="7171" max="7171" width="17.109375" style="28" bestFit="1" customWidth="1"/>
    <col min="7172" max="7172" width="4" style="28" customWidth="1"/>
    <col min="7173" max="7173" width="13.6640625" style="28" customWidth="1"/>
    <col min="7174" max="7415" width="13.6640625" style="28"/>
    <col min="7416" max="7416" width="22.109375" style="28" customWidth="1"/>
    <col min="7417" max="7423" width="13.6640625" style="28" customWidth="1"/>
    <col min="7424" max="7424" width="15.88671875" style="28" customWidth="1"/>
    <col min="7425" max="7425" width="16.5546875" style="28" bestFit="1" customWidth="1"/>
    <col min="7426" max="7426" width="13.6640625" style="28" customWidth="1"/>
    <col min="7427" max="7427" width="17.109375" style="28" bestFit="1" customWidth="1"/>
    <col min="7428" max="7428" width="4" style="28" customWidth="1"/>
    <col min="7429" max="7429" width="13.6640625" style="28" customWidth="1"/>
    <col min="7430" max="7671" width="13.6640625" style="28"/>
    <col min="7672" max="7672" width="22.109375" style="28" customWidth="1"/>
    <col min="7673" max="7679" width="13.6640625" style="28" customWidth="1"/>
    <col min="7680" max="7680" width="15.88671875" style="28" customWidth="1"/>
    <col min="7681" max="7681" width="16.5546875" style="28" bestFit="1" customWidth="1"/>
    <col min="7682" max="7682" width="13.6640625" style="28" customWidth="1"/>
    <col min="7683" max="7683" width="17.109375" style="28" bestFit="1" customWidth="1"/>
    <col min="7684" max="7684" width="4" style="28" customWidth="1"/>
    <col min="7685" max="7685" width="13.6640625" style="28" customWidth="1"/>
    <col min="7686" max="7927" width="13.6640625" style="28"/>
    <col min="7928" max="7928" width="22.109375" style="28" customWidth="1"/>
    <col min="7929" max="7935" width="13.6640625" style="28" customWidth="1"/>
    <col min="7936" max="7936" width="15.88671875" style="28" customWidth="1"/>
    <col min="7937" max="7937" width="16.5546875" style="28" bestFit="1" customWidth="1"/>
    <col min="7938" max="7938" width="13.6640625" style="28" customWidth="1"/>
    <col min="7939" max="7939" width="17.109375" style="28" bestFit="1" customWidth="1"/>
    <col min="7940" max="7940" width="4" style="28" customWidth="1"/>
    <col min="7941" max="7941" width="13.6640625" style="28" customWidth="1"/>
    <col min="7942" max="8183" width="13.6640625" style="28"/>
    <col min="8184" max="8184" width="22.109375" style="28" customWidth="1"/>
    <col min="8185" max="8191" width="13.6640625" style="28" customWidth="1"/>
    <col min="8192" max="8192" width="15.88671875" style="28" customWidth="1"/>
    <col min="8193" max="8193" width="16.5546875" style="28" bestFit="1" customWidth="1"/>
    <col min="8194" max="8194" width="13.6640625" style="28" customWidth="1"/>
    <col min="8195" max="8195" width="17.109375" style="28" bestFit="1" customWidth="1"/>
    <col min="8196" max="8196" width="4" style="28" customWidth="1"/>
    <col min="8197" max="8197" width="13.6640625" style="28" customWidth="1"/>
    <col min="8198" max="8439" width="13.6640625" style="28"/>
    <col min="8440" max="8440" width="22.109375" style="28" customWidth="1"/>
    <col min="8441" max="8447" width="13.6640625" style="28" customWidth="1"/>
    <col min="8448" max="8448" width="15.88671875" style="28" customWidth="1"/>
    <col min="8449" max="8449" width="16.5546875" style="28" bestFit="1" customWidth="1"/>
    <col min="8450" max="8450" width="13.6640625" style="28" customWidth="1"/>
    <col min="8451" max="8451" width="17.109375" style="28" bestFit="1" customWidth="1"/>
    <col min="8452" max="8452" width="4" style="28" customWidth="1"/>
    <col min="8453" max="8453" width="13.6640625" style="28" customWidth="1"/>
    <col min="8454" max="8695" width="13.6640625" style="28"/>
    <col min="8696" max="8696" width="22.109375" style="28" customWidth="1"/>
    <col min="8697" max="8703" width="13.6640625" style="28" customWidth="1"/>
    <col min="8704" max="8704" width="15.88671875" style="28" customWidth="1"/>
    <col min="8705" max="8705" width="16.5546875" style="28" bestFit="1" customWidth="1"/>
    <col min="8706" max="8706" width="13.6640625" style="28" customWidth="1"/>
    <col min="8707" max="8707" width="17.109375" style="28" bestFit="1" customWidth="1"/>
    <col min="8708" max="8708" width="4" style="28" customWidth="1"/>
    <col min="8709" max="8709" width="13.6640625" style="28" customWidth="1"/>
    <col min="8710" max="8951" width="13.6640625" style="28"/>
    <col min="8952" max="8952" width="22.109375" style="28" customWidth="1"/>
    <col min="8953" max="8959" width="13.6640625" style="28" customWidth="1"/>
    <col min="8960" max="8960" width="15.88671875" style="28" customWidth="1"/>
    <col min="8961" max="8961" width="16.5546875" style="28" bestFit="1" customWidth="1"/>
    <col min="8962" max="8962" width="13.6640625" style="28" customWidth="1"/>
    <col min="8963" max="8963" width="17.109375" style="28" bestFit="1" customWidth="1"/>
    <col min="8964" max="8964" width="4" style="28" customWidth="1"/>
    <col min="8965" max="8965" width="13.6640625" style="28" customWidth="1"/>
    <col min="8966" max="9207" width="13.6640625" style="28"/>
    <col min="9208" max="9208" width="22.109375" style="28" customWidth="1"/>
    <col min="9209" max="9215" width="13.6640625" style="28" customWidth="1"/>
    <col min="9216" max="9216" width="15.88671875" style="28" customWidth="1"/>
    <col min="9217" max="9217" width="16.5546875" style="28" bestFit="1" customWidth="1"/>
    <col min="9218" max="9218" width="13.6640625" style="28" customWidth="1"/>
    <col min="9219" max="9219" width="17.109375" style="28" bestFit="1" customWidth="1"/>
    <col min="9220" max="9220" width="4" style="28" customWidth="1"/>
    <col min="9221" max="9221" width="13.6640625" style="28" customWidth="1"/>
    <col min="9222" max="9463" width="13.6640625" style="28"/>
    <col min="9464" max="9464" width="22.109375" style="28" customWidth="1"/>
    <col min="9465" max="9471" width="13.6640625" style="28" customWidth="1"/>
    <col min="9472" max="9472" width="15.88671875" style="28" customWidth="1"/>
    <col min="9473" max="9473" width="16.5546875" style="28" bestFit="1" customWidth="1"/>
    <col min="9474" max="9474" width="13.6640625" style="28" customWidth="1"/>
    <col min="9475" max="9475" width="17.109375" style="28" bestFit="1" customWidth="1"/>
    <col min="9476" max="9476" width="4" style="28" customWidth="1"/>
    <col min="9477" max="9477" width="13.6640625" style="28" customWidth="1"/>
    <col min="9478" max="9719" width="13.6640625" style="28"/>
    <col min="9720" max="9720" width="22.109375" style="28" customWidth="1"/>
    <col min="9721" max="9727" width="13.6640625" style="28" customWidth="1"/>
    <col min="9728" max="9728" width="15.88671875" style="28" customWidth="1"/>
    <col min="9729" max="9729" width="16.5546875" style="28" bestFit="1" customWidth="1"/>
    <col min="9730" max="9730" width="13.6640625" style="28" customWidth="1"/>
    <col min="9731" max="9731" width="17.109375" style="28" bestFit="1" customWidth="1"/>
    <col min="9732" max="9732" width="4" style="28" customWidth="1"/>
    <col min="9733" max="9733" width="13.6640625" style="28" customWidth="1"/>
    <col min="9734" max="9975" width="13.6640625" style="28"/>
    <col min="9976" max="9976" width="22.109375" style="28" customWidth="1"/>
    <col min="9977" max="9983" width="13.6640625" style="28" customWidth="1"/>
    <col min="9984" max="9984" width="15.88671875" style="28" customWidth="1"/>
    <col min="9985" max="9985" width="16.5546875" style="28" bestFit="1" customWidth="1"/>
    <col min="9986" max="9986" width="13.6640625" style="28" customWidth="1"/>
    <col min="9987" max="9987" width="17.109375" style="28" bestFit="1" customWidth="1"/>
    <col min="9988" max="9988" width="4" style="28" customWidth="1"/>
    <col min="9989" max="9989" width="13.6640625" style="28" customWidth="1"/>
    <col min="9990" max="10231" width="13.6640625" style="28"/>
    <col min="10232" max="10232" width="22.109375" style="28" customWidth="1"/>
    <col min="10233" max="10239" width="13.6640625" style="28" customWidth="1"/>
    <col min="10240" max="10240" width="15.88671875" style="28" customWidth="1"/>
    <col min="10241" max="10241" width="16.5546875" style="28" bestFit="1" customWidth="1"/>
    <col min="10242" max="10242" width="13.6640625" style="28" customWidth="1"/>
    <col min="10243" max="10243" width="17.109375" style="28" bestFit="1" customWidth="1"/>
    <col min="10244" max="10244" width="4" style="28" customWidth="1"/>
    <col min="10245" max="10245" width="13.6640625" style="28" customWidth="1"/>
    <col min="10246" max="10487" width="13.6640625" style="28"/>
    <col min="10488" max="10488" width="22.109375" style="28" customWidth="1"/>
    <col min="10489" max="10495" width="13.6640625" style="28" customWidth="1"/>
    <col min="10496" max="10496" width="15.88671875" style="28" customWidth="1"/>
    <col min="10497" max="10497" width="16.5546875" style="28" bestFit="1" customWidth="1"/>
    <col min="10498" max="10498" width="13.6640625" style="28" customWidth="1"/>
    <col min="10499" max="10499" width="17.109375" style="28" bestFit="1" customWidth="1"/>
    <col min="10500" max="10500" width="4" style="28" customWidth="1"/>
    <col min="10501" max="10501" width="13.6640625" style="28" customWidth="1"/>
    <col min="10502" max="10743" width="13.6640625" style="28"/>
    <col min="10744" max="10744" width="22.109375" style="28" customWidth="1"/>
    <col min="10745" max="10751" width="13.6640625" style="28" customWidth="1"/>
    <col min="10752" max="10752" width="15.88671875" style="28" customWidth="1"/>
    <col min="10753" max="10753" width="16.5546875" style="28" bestFit="1" customWidth="1"/>
    <col min="10754" max="10754" width="13.6640625" style="28" customWidth="1"/>
    <col min="10755" max="10755" width="17.109375" style="28" bestFit="1" customWidth="1"/>
    <col min="10756" max="10756" width="4" style="28" customWidth="1"/>
    <col min="10757" max="10757" width="13.6640625" style="28" customWidth="1"/>
    <col min="10758" max="10999" width="13.6640625" style="28"/>
    <col min="11000" max="11000" width="22.109375" style="28" customWidth="1"/>
    <col min="11001" max="11007" width="13.6640625" style="28" customWidth="1"/>
    <col min="11008" max="11008" width="15.88671875" style="28" customWidth="1"/>
    <col min="11009" max="11009" width="16.5546875" style="28" bestFit="1" customWidth="1"/>
    <col min="11010" max="11010" width="13.6640625" style="28" customWidth="1"/>
    <col min="11011" max="11011" width="17.109375" style="28" bestFit="1" customWidth="1"/>
    <col min="11012" max="11012" width="4" style="28" customWidth="1"/>
    <col min="11013" max="11013" width="13.6640625" style="28" customWidth="1"/>
    <col min="11014" max="11255" width="13.6640625" style="28"/>
    <col min="11256" max="11256" width="22.109375" style="28" customWidth="1"/>
    <col min="11257" max="11263" width="13.6640625" style="28" customWidth="1"/>
    <col min="11264" max="11264" width="15.88671875" style="28" customWidth="1"/>
    <col min="11265" max="11265" width="16.5546875" style="28" bestFit="1" customWidth="1"/>
    <col min="11266" max="11266" width="13.6640625" style="28" customWidth="1"/>
    <col min="11267" max="11267" width="17.109375" style="28" bestFit="1" customWidth="1"/>
    <col min="11268" max="11268" width="4" style="28" customWidth="1"/>
    <col min="11269" max="11269" width="13.6640625" style="28" customWidth="1"/>
    <col min="11270" max="11511" width="13.6640625" style="28"/>
    <col min="11512" max="11512" width="22.109375" style="28" customWidth="1"/>
    <col min="11513" max="11519" width="13.6640625" style="28" customWidth="1"/>
    <col min="11520" max="11520" width="15.88671875" style="28" customWidth="1"/>
    <col min="11521" max="11521" width="16.5546875" style="28" bestFit="1" customWidth="1"/>
    <col min="11522" max="11522" width="13.6640625" style="28" customWidth="1"/>
    <col min="11523" max="11523" width="17.109375" style="28" bestFit="1" customWidth="1"/>
    <col min="11524" max="11524" width="4" style="28" customWidth="1"/>
    <col min="11525" max="11525" width="13.6640625" style="28" customWidth="1"/>
    <col min="11526" max="11767" width="13.6640625" style="28"/>
    <col min="11768" max="11768" width="22.109375" style="28" customWidth="1"/>
    <col min="11769" max="11775" width="13.6640625" style="28" customWidth="1"/>
    <col min="11776" max="11776" width="15.88671875" style="28" customWidth="1"/>
    <col min="11777" max="11777" width="16.5546875" style="28" bestFit="1" customWidth="1"/>
    <col min="11778" max="11778" width="13.6640625" style="28" customWidth="1"/>
    <col min="11779" max="11779" width="17.109375" style="28" bestFit="1" customWidth="1"/>
    <col min="11780" max="11780" width="4" style="28" customWidth="1"/>
    <col min="11781" max="11781" width="13.6640625" style="28" customWidth="1"/>
    <col min="11782" max="12023" width="13.6640625" style="28"/>
    <col min="12024" max="12024" width="22.109375" style="28" customWidth="1"/>
    <col min="12025" max="12031" width="13.6640625" style="28" customWidth="1"/>
    <col min="12032" max="12032" width="15.88671875" style="28" customWidth="1"/>
    <col min="12033" max="12033" width="16.5546875" style="28" bestFit="1" customWidth="1"/>
    <col min="12034" max="12034" width="13.6640625" style="28" customWidth="1"/>
    <col min="12035" max="12035" width="17.109375" style="28" bestFit="1" customWidth="1"/>
    <col min="12036" max="12036" width="4" style="28" customWidth="1"/>
    <col min="12037" max="12037" width="13.6640625" style="28" customWidth="1"/>
    <col min="12038" max="12279" width="13.6640625" style="28"/>
    <col min="12280" max="12280" width="22.109375" style="28" customWidth="1"/>
    <col min="12281" max="12287" width="13.6640625" style="28" customWidth="1"/>
    <col min="12288" max="12288" width="15.88671875" style="28" customWidth="1"/>
    <col min="12289" max="12289" width="16.5546875" style="28" bestFit="1" customWidth="1"/>
    <col min="12290" max="12290" width="13.6640625" style="28" customWidth="1"/>
    <col min="12291" max="12291" width="17.109375" style="28" bestFit="1" customWidth="1"/>
    <col min="12292" max="12292" width="4" style="28" customWidth="1"/>
    <col min="12293" max="12293" width="13.6640625" style="28" customWidth="1"/>
    <col min="12294" max="12535" width="13.6640625" style="28"/>
    <col min="12536" max="12536" width="22.109375" style="28" customWidth="1"/>
    <col min="12537" max="12543" width="13.6640625" style="28" customWidth="1"/>
    <col min="12544" max="12544" width="15.88671875" style="28" customWidth="1"/>
    <col min="12545" max="12545" width="16.5546875" style="28" bestFit="1" customWidth="1"/>
    <col min="12546" max="12546" width="13.6640625" style="28" customWidth="1"/>
    <col min="12547" max="12547" width="17.109375" style="28" bestFit="1" customWidth="1"/>
    <col min="12548" max="12548" width="4" style="28" customWidth="1"/>
    <col min="12549" max="12549" width="13.6640625" style="28" customWidth="1"/>
    <col min="12550" max="12791" width="13.6640625" style="28"/>
    <col min="12792" max="12792" width="22.109375" style="28" customWidth="1"/>
    <col min="12793" max="12799" width="13.6640625" style="28" customWidth="1"/>
    <col min="12800" max="12800" width="15.88671875" style="28" customWidth="1"/>
    <col min="12801" max="12801" width="16.5546875" style="28" bestFit="1" customWidth="1"/>
    <col min="12802" max="12802" width="13.6640625" style="28" customWidth="1"/>
    <col min="12803" max="12803" width="17.109375" style="28" bestFit="1" customWidth="1"/>
    <col min="12804" max="12804" width="4" style="28" customWidth="1"/>
    <col min="12805" max="12805" width="13.6640625" style="28" customWidth="1"/>
    <col min="12806" max="13047" width="13.6640625" style="28"/>
    <col min="13048" max="13048" width="22.109375" style="28" customWidth="1"/>
    <col min="13049" max="13055" width="13.6640625" style="28" customWidth="1"/>
    <col min="13056" max="13056" width="15.88671875" style="28" customWidth="1"/>
    <col min="13057" max="13057" width="16.5546875" style="28" bestFit="1" customWidth="1"/>
    <col min="13058" max="13058" width="13.6640625" style="28" customWidth="1"/>
    <col min="13059" max="13059" width="17.109375" style="28" bestFit="1" customWidth="1"/>
    <col min="13060" max="13060" width="4" style="28" customWidth="1"/>
    <col min="13061" max="13061" width="13.6640625" style="28" customWidth="1"/>
    <col min="13062" max="13303" width="13.6640625" style="28"/>
    <col min="13304" max="13304" width="22.109375" style="28" customWidth="1"/>
    <col min="13305" max="13311" width="13.6640625" style="28" customWidth="1"/>
    <col min="13312" max="13312" width="15.88671875" style="28" customWidth="1"/>
    <col min="13313" max="13313" width="16.5546875" style="28" bestFit="1" customWidth="1"/>
    <col min="13314" max="13314" width="13.6640625" style="28" customWidth="1"/>
    <col min="13315" max="13315" width="17.109375" style="28" bestFit="1" customWidth="1"/>
    <col min="13316" max="13316" width="4" style="28" customWidth="1"/>
    <col min="13317" max="13317" width="13.6640625" style="28" customWidth="1"/>
    <col min="13318" max="13559" width="13.6640625" style="28"/>
    <col min="13560" max="13560" width="22.109375" style="28" customWidth="1"/>
    <col min="13561" max="13567" width="13.6640625" style="28" customWidth="1"/>
    <col min="13568" max="13568" width="15.88671875" style="28" customWidth="1"/>
    <col min="13569" max="13569" width="16.5546875" style="28" bestFit="1" customWidth="1"/>
    <col min="13570" max="13570" width="13.6640625" style="28" customWidth="1"/>
    <col min="13571" max="13571" width="17.109375" style="28" bestFit="1" customWidth="1"/>
    <col min="13572" max="13572" width="4" style="28" customWidth="1"/>
    <col min="13573" max="13573" width="13.6640625" style="28" customWidth="1"/>
    <col min="13574" max="13815" width="13.6640625" style="28"/>
    <col min="13816" max="13816" width="22.109375" style="28" customWidth="1"/>
    <col min="13817" max="13823" width="13.6640625" style="28" customWidth="1"/>
    <col min="13824" max="13824" width="15.88671875" style="28" customWidth="1"/>
    <col min="13825" max="13825" width="16.5546875" style="28" bestFit="1" customWidth="1"/>
    <col min="13826" max="13826" width="13.6640625" style="28" customWidth="1"/>
    <col min="13827" max="13827" width="17.109375" style="28" bestFit="1" customWidth="1"/>
    <col min="13828" max="13828" width="4" style="28" customWidth="1"/>
    <col min="13829" max="13829" width="13.6640625" style="28" customWidth="1"/>
    <col min="13830" max="14071" width="13.6640625" style="28"/>
    <col min="14072" max="14072" width="22.109375" style="28" customWidth="1"/>
    <col min="14073" max="14079" width="13.6640625" style="28" customWidth="1"/>
    <col min="14080" max="14080" width="15.88671875" style="28" customWidth="1"/>
    <col min="14081" max="14081" width="16.5546875" style="28" bestFit="1" customWidth="1"/>
    <col min="14082" max="14082" width="13.6640625" style="28" customWidth="1"/>
    <col min="14083" max="14083" width="17.109375" style="28" bestFit="1" customWidth="1"/>
    <col min="14084" max="14084" width="4" style="28" customWidth="1"/>
    <col min="14085" max="14085" width="13.6640625" style="28" customWidth="1"/>
    <col min="14086" max="14327" width="13.6640625" style="28"/>
    <col min="14328" max="14328" width="22.109375" style="28" customWidth="1"/>
    <col min="14329" max="14335" width="13.6640625" style="28" customWidth="1"/>
    <col min="14336" max="14336" width="15.88671875" style="28" customWidth="1"/>
    <col min="14337" max="14337" width="16.5546875" style="28" bestFit="1" customWidth="1"/>
    <col min="14338" max="14338" width="13.6640625" style="28" customWidth="1"/>
    <col min="14339" max="14339" width="17.109375" style="28" bestFit="1" customWidth="1"/>
    <col min="14340" max="14340" width="4" style="28" customWidth="1"/>
    <col min="14341" max="14341" width="13.6640625" style="28" customWidth="1"/>
    <col min="14342" max="14583" width="13.6640625" style="28"/>
    <col min="14584" max="14584" width="22.109375" style="28" customWidth="1"/>
    <col min="14585" max="14591" width="13.6640625" style="28" customWidth="1"/>
    <col min="14592" max="14592" width="15.88671875" style="28" customWidth="1"/>
    <col min="14593" max="14593" width="16.5546875" style="28" bestFit="1" customWidth="1"/>
    <col min="14594" max="14594" width="13.6640625" style="28" customWidth="1"/>
    <col min="14595" max="14595" width="17.109375" style="28" bestFit="1" customWidth="1"/>
    <col min="14596" max="14596" width="4" style="28" customWidth="1"/>
    <col min="14597" max="14597" width="13.6640625" style="28" customWidth="1"/>
    <col min="14598" max="14839" width="13.6640625" style="28"/>
    <col min="14840" max="14840" width="22.109375" style="28" customWidth="1"/>
    <col min="14841" max="14847" width="13.6640625" style="28" customWidth="1"/>
    <col min="14848" max="14848" width="15.88671875" style="28" customWidth="1"/>
    <col min="14849" max="14849" width="16.5546875" style="28" bestFit="1" customWidth="1"/>
    <col min="14850" max="14850" width="13.6640625" style="28" customWidth="1"/>
    <col min="14851" max="14851" width="17.109375" style="28" bestFit="1" customWidth="1"/>
    <col min="14852" max="14852" width="4" style="28" customWidth="1"/>
    <col min="14853" max="14853" width="13.6640625" style="28" customWidth="1"/>
    <col min="14854" max="15095" width="13.6640625" style="28"/>
    <col min="15096" max="15096" width="22.109375" style="28" customWidth="1"/>
    <col min="15097" max="15103" width="13.6640625" style="28" customWidth="1"/>
    <col min="15104" max="15104" width="15.88671875" style="28" customWidth="1"/>
    <col min="15105" max="15105" width="16.5546875" style="28" bestFit="1" customWidth="1"/>
    <col min="15106" max="15106" width="13.6640625" style="28" customWidth="1"/>
    <col min="15107" max="15107" width="17.109375" style="28" bestFit="1" customWidth="1"/>
    <col min="15108" max="15108" width="4" style="28" customWidth="1"/>
    <col min="15109" max="15109" width="13.6640625" style="28" customWidth="1"/>
    <col min="15110" max="15351" width="13.6640625" style="28"/>
    <col min="15352" max="15352" width="22.109375" style="28" customWidth="1"/>
    <col min="15353" max="15359" width="13.6640625" style="28" customWidth="1"/>
    <col min="15360" max="15360" width="15.88671875" style="28" customWidth="1"/>
    <col min="15361" max="15361" width="16.5546875" style="28" bestFit="1" customWidth="1"/>
    <col min="15362" max="15362" width="13.6640625" style="28" customWidth="1"/>
    <col min="15363" max="15363" width="17.109375" style="28" bestFit="1" customWidth="1"/>
    <col min="15364" max="15364" width="4" style="28" customWidth="1"/>
    <col min="15365" max="15365" width="13.6640625" style="28" customWidth="1"/>
    <col min="15366" max="15607" width="13.6640625" style="28"/>
    <col min="15608" max="15608" width="22.109375" style="28" customWidth="1"/>
    <col min="15609" max="15615" width="13.6640625" style="28" customWidth="1"/>
    <col min="15616" max="15616" width="15.88671875" style="28" customWidth="1"/>
    <col min="15617" max="15617" width="16.5546875" style="28" bestFit="1" customWidth="1"/>
    <col min="15618" max="15618" width="13.6640625" style="28" customWidth="1"/>
    <col min="15619" max="15619" width="17.109375" style="28" bestFit="1" customWidth="1"/>
    <col min="15620" max="15620" width="4" style="28" customWidth="1"/>
    <col min="15621" max="15621" width="13.6640625" style="28" customWidth="1"/>
    <col min="15622" max="15863" width="13.6640625" style="28"/>
    <col min="15864" max="15864" width="22.109375" style="28" customWidth="1"/>
    <col min="15865" max="15871" width="13.6640625" style="28" customWidth="1"/>
    <col min="15872" max="15872" width="15.88671875" style="28" customWidth="1"/>
    <col min="15873" max="15873" width="16.5546875" style="28" bestFit="1" customWidth="1"/>
    <col min="15874" max="15874" width="13.6640625" style="28" customWidth="1"/>
    <col min="15875" max="15875" width="17.109375" style="28" bestFit="1" customWidth="1"/>
    <col min="15876" max="15876" width="4" style="28" customWidth="1"/>
    <col min="15877" max="15877" width="13.6640625" style="28" customWidth="1"/>
    <col min="15878" max="16119" width="13.6640625" style="28"/>
    <col min="16120" max="16120" width="22.109375" style="28" customWidth="1"/>
    <col min="16121" max="16127" width="13.6640625" style="28" customWidth="1"/>
    <col min="16128" max="16128" width="15.88671875" style="28" customWidth="1"/>
    <col min="16129" max="16129" width="16.5546875" style="28" bestFit="1" customWidth="1"/>
    <col min="16130" max="16130" width="13.6640625" style="28" customWidth="1"/>
    <col min="16131" max="16131" width="17.109375" style="28" bestFit="1" customWidth="1"/>
    <col min="16132" max="16132" width="4" style="28" customWidth="1"/>
    <col min="16133" max="16133" width="13.6640625" style="28" customWidth="1"/>
    <col min="16134" max="16384" width="13.6640625" style="28"/>
  </cols>
  <sheetData>
    <row r="1" spans="1:26" s="22" customFormat="1">
      <c r="A1" s="450" t="s">
        <v>4</v>
      </c>
      <c r="B1" s="164"/>
      <c r="C1" s="164"/>
      <c r="D1" s="88"/>
      <c r="E1" s="88"/>
      <c r="F1" s="165"/>
      <c r="G1" s="88"/>
      <c r="H1" s="88"/>
    </row>
    <row r="2" spans="1:26" s="22" customFormat="1" ht="16.2">
      <c r="A2" s="88"/>
      <c r="B2" s="164"/>
      <c r="C2" s="164"/>
      <c r="D2" s="166"/>
      <c r="E2" s="463" t="s">
        <v>465</v>
      </c>
      <c r="F2" s="463" t="s">
        <v>466</v>
      </c>
      <c r="G2" s="166"/>
      <c r="H2" s="88"/>
    </row>
    <row r="3" spans="1:26" s="22" customFormat="1" ht="15.6">
      <c r="A3" s="37" t="str">
        <f>'2-Kosten per locatie'!A3</f>
        <v>Naam opdrachtgever</v>
      </c>
      <c r="B3" s="148" t="str">
        <f>'2-Kosten per locatie'!B3</f>
        <v>Gemeente Westerkwartier</v>
      </c>
      <c r="C3" s="148"/>
      <c r="D3" s="166"/>
      <c r="E3" s="418" t="s">
        <v>467</v>
      </c>
      <c r="F3" s="419"/>
      <c r="G3" s="166"/>
      <c r="H3" s="88"/>
    </row>
    <row r="4" spans="1:26" s="22" customFormat="1" ht="15.6">
      <c r="A4" s="37" t="str">
        <f>'2-Kosten per locatie'!A4</f>
        <v>Calculatie onderdeel</v>
      </c>
      <c r="B4" s="148" t="str">
        <f ca="1">MID(CELL("bestandsnaam",$C$9),SEARCH("]",CELL("bestandsnaam",$C$9),1)+1,256)</f>
        <v>10-Glasbewassing</v>
      </c>
      <c r="C4" s="148"/>
      <c r="D4" s="166"/>
      <c r="E4" s="418" t="s">
        <v>468</v>
      </c>
      <c r="F4" s="419"/>
      <c r="G4" s="166"/>
      <c r="H4" s="88"/>
    </row>
    <row r="5" spans="1:26" s="22" customFormat="1" ht="15.6">
      <c r="A5" s="37" t="str">
        <f>'2-Kosten per locatie'!A5</f>
        <v>Gebouw/plaats</v>
      </c>
      <c r="B5" s="148" t="str">
        <f>'2-Kosten per locatie'!B5</f>
        <v>Perceel 2 sportlocaties</v>
      </c>
      <c r="C5" s="148"/>
      <c r="D5" s="166"/>
      <c r="E5" s="420" t="s">
        <v>469</v>
      </c>
      <c r="F5" s="419"/>
      <c r="G5" s="166"/>
      <c r="H5" s="167"/>
      <c r="J5" s="24"/>
      <c r="K5" s="23"/>
      <c r="L5" s="24"/>
      <c r="M5" s="24"/>
      <c r="N5" s="23"/>
      <c r="O5" s="25"/>
      <c r="P5" s="24"/>
      <c r="Q5" s="23"/>
      <c r="R5" s="24"/>
      <c r="S5" s="24"/>
      <c r="T5" s="23"/>
      <c r="U5" s="24"/>
      <c r="V5" s="24"/>
      <c r="W5" s="23"/>
      <c r="X5" s="24"/>
      <c r="Y5" s="24"/>
      <c r="Z5" s="23"/>
    </row>
    <row r="6" spans="1:26" s="22" customFormat="1" ht="17.25" customHeight="1">
      <c r="A6" s="37" t="str">
        <f>'2-Kosten per locatie'!A6</f>
        <v>Referentie nummer</v>
      </c>
      <c r="B6" s="148">
        <f>'2-Kosten per locatie'!B6</f>
        <v>0</v>
      </c>
      <c r="C6" s="148"/>
      <c r="D6" s="166"/>
      <c r="E6" s="418" t="s">
        <v>470</v>
      </c>
      <c r="F6" s="419"/>
      <c r="G6" s="166"/>
      <c r="H6" s="464"/>
      <c r="J6" s="26"/>
      <c r="K6" s="27"/>
      <c r="L6" s="24"/>
      <c r="M6" s="26"/>
      <c r="N6" s="27"/>
      <c r="O6" s="25"/>
      <c r="P6" s="26"/>
      <c r="Q6" s="27"/>
      <c r="R6" s="24"/>
      <c r="S6" s="26"/>
      <c r="T6" s="27"/>
      <c r="U6" s="24"/>
      <c r="V6" s="26"/>
      <c r="W6" s="27"/>
      <c r="X6" s="24"/>
      <c r="Y6" s="26"/>
      <c r="Z6" s="27"/>
    </row>
    <row r="7" spans="1:26" s="22" customFormat="1" ht="17.25" customHeight="1">
      <c r="A7" s="37" t="str">
        <f>'2-Kosten per locatie'!A7</f>
        <v>Naam dienstverlener</v>
      </c>
      <c r="B7" s="148">
        <f>'2-Kosten per locatie'!B7</f>
        <v>0</v>
      </c>
      <c r="C7" s="110"/>
      <c r="D7" s="166"/>
      <c r="E7" s="418" t="s">
        <v>471</v>
      </c>
      <c r="F7" s="419"/>
      <c r="G7" s="166"/>
      <c r="H7" s="464"/>
    </row>
    <row r="8" spans="1:26" s="22" customFormat="1" ht="17.25" customHeight="1">
      <c r="A8" s="37" t="str">
        <f>'2-Kosten per locatie'!A8</f>
        <v>Prijspeil</v>
      </c>
      <c r="B8" s="264">
        <f>'2-Kosten per locatie'!B8</f>
        <v>46023</v>
      </c>
      <c r="C8" s="47"/>
      <c r="D8" s="166"/>
      <c r="E8" s="418" t="s">
        <v>472</v>
      </c>
      <c r="F8" s="419"/>
      <c r="G8" s="166"/>
      <c r="H8" s="167"/>
    </row>
    <row r="9" spans="1:26" s="22" customFormat="1" ht="17.25" customHeight="1">
      <c r="A9" s="166"/>
      <c r="B9" s="166"/>
      <c r="C9" s="166"/>
      <c r="D9" s="166"/>
      <c r="E9" s="461"/>
      <c r="F9" s="462"/>
      <c r="G9" s="166"/>
      <c r="H9" s="167"/>
    </row>
    <row r="10" spans="1:26" s="22" customFormat="1" ht="17.25" customHeight="1">
      <c r="A10" s="166"/>
      <c r="B10" s="166"/>
      <c r="C10" s="166"/>
      <c r="D10" s="166"/>
      <c r="E10" s="461"/>
      <c r="F10" s="462"/>
      <c r="G10" s="166"/>
      <c r="H10" s="167"/>
    </row>
    <row r="11" spans="1:26" s="22" customFormat="1" ht="15.6">
      <c r="A11" s="168"/>
      <c r="B11" s="166"/>
      <c r="C11" s="166"/>
      <c r="D11" s="169"/>
      <c r="E11" s="166"/>
      <c r="F11" s="170"/>
      <c r="G11" s="169"/>
      <c r="H11" s="167"/>
    </row>
    <row r="12" spans="1:26" s="29" customFormat="1" ht="43.5" customHeight="1">
      <c r="A12" s="421" t="s">
        <v>22</v>
      </c>
      <c r="B12" s="422" t="s">
        <v>465</v>
      </c>
      <c r="C12" s="422" t="s">
        <v>473</v>
      </c>
      <c r="D12" s="417" t="s">
        <v>474</v>
      </c>
      <c r="E12" s="422" t="s">
        <v>475</v>
      </c>
      <c r="F12" s="422" t="s">
        <v>476</v>
      </c>
      <c r="G12" s="422" t="s">
        <v>477</v>
      </c>
      <c r="H12" s="422" t="s">
        <v>478</v>
      </c>
    </row>
    <row r="13" spans="1:26">
      <c r="A13" s="423" t="s">
        <v>33</v>
      </c>
      <c r="B13" s="418" t="s">
        <v>467</v>
      </c>
      <c r="C13" s="418"/>
      <c r="D13" s="424">
        <v>57</v>
      </c>
      <c r="E13" s="425">
        <f t="shared" ref="E13:E33" si="0">VLOOKUP(B13,$E$3:$F$10,2,FALSE)</f>
        <v>0</v>
      </c>
      <c r="F13" s="426">
        <f>(D13*E13)</f>
        <v>0</v>
      </c>
      <c r="G13" s="427" t="s">
        <v>479</v>
      </c>
      <c r="H13" s="426">
        <f t="shared" ref="H13:H33" si="1">G13*F13</f>
        <v>0</v>
      </c>
    </row>
    <row r="14" spans="1:26">
      <c r="A14" s="423" t="s">
        <v>33</v>
      </c>
      <c r="B14" s="418" t="s">
        <v>468</v>
      </c>
      <c r="C14" s="418"/>
      <c r="D14" s="424">
        <v>57</v>
      </c>
      <c r="E14" s="425">
        <f t="shared" si="0"/>
        <v>0</v>
      </c>
      <c r="F14" s="426">
        <f t="shared" ref="F14:F15" si="2">(D14*E14)</f>
        <v>0</v>
      </c>
      <c r="G14" s="427" t="s">
        <v>479</v>
      </c>
      <c r="H14" s="426">
        <f t="shared" si="1"/>
        <v>0</v>
      </c>
    </row>
    <row r="15" spans="1:26">
      <c r="A15" s="175" t="s">
        <v>33</v>
      </c>
      <c r="B15" s="420" t="s">
        <v>469</v>
      </c>
      <c r="C15" s="420"/>
      <c r="D15" s="424">
        <v>67.08</v>
      </c>
      <c r="E15" s="425">
        <f t="shared" si="0"/>
        <v>0</v>
      </c>
      <c r="F15" s="426">
        <f t="shared" si="2"/>
        <v>0</v>
      </c>
      <c r="G15" s="427" t="s">
        <v>479</v>
      </c>
      <c r="H15" s="426">
        <f t="shared" si="1"/>
        <v>0</v>
      </c>
    </row>
    <row r="16" spans="1:26">
      <c r="A16" s="175" t="s">
        <v>33</v>
      </c>
      <c r="B16" s="420" t="s">
        <v>472</v>
      </c>
      <c r="C16" s="420"/>
      <c r="D16" s="424">
        <v>368.5</v>
      </c>
      <c r="E16" s="425">
        <f t="shared" si="0"/>
        <v>0</v>
      </c>
      <c r="F16" s="426">
        <f t="shared" ref="F16:F32" si="3">(D16*E16)</f>
        <v>0</v>
      </c>
      <c r="G16" s="427" t="s">
        <v>479</v>
      </c>
      <c r="H16" s="426">
        <f t="shared" ref="H16" si="4">G16*F16</f>
        <v>0</v>
      </c>
    </row>
    <row r="17" spans="1:8">
      <c r="A17" s="175" t="s">
        <v>33</v>
      </c>
      <c r="B17" s="418" t="s">
        <v>471</v>
      </c>
      <c r="C17" s="418"/>
      <c r="D17" s="424">
        <v>66.8</v>
      </c>
      <c r="E17" s="425">
        <f t="shared" si="0"/>
        <v>0</v>
      </c>
      <c r="F17" s="426">
        <f t="shared" si="3"/>
        <v>0</v>
      </c>
      <c r="G17" s="427" t="s">
        <v>479</v>
      </c>
      <c r="H17" s="426">
        <f t="shared" si="1"/>
        <v>0</v>
      </c>
    </row>
    <row r="18" spans="1:8">
      <c r="A18" s="175" t="s">
        <v>30</v>
      </c>
      <c r="B18" s="418" t="s">
        <v>467</v>
      </c>
      <c r="C18" s="418"/>
      <c r="D18" s="424">
        <v>17.3</v>
      </c>
      <c r="E18" s="425">
        <f t="shared" si="0"/>
        <v>0</v>
      </c>
      <c r="F18" s="426">
        <f t="shared" si="3"/>
        <v>0</v>
      </c>
      <c r="G18" s="427" t="s">
        <v>479</v>
      </c>
      <c r="H18" s="426">
        <f t="shared" si="1"/>
        <v>0</v>
      </c>
    </row>
    <row r="19" spans="1:8">
      <c r="A19" s="175" t="s">
        <v>30</v>
      </c>
      <c r="B19" s="420" t="s">
        <v>468</v>
      </c>
      <c r="C19" s="420"/>
      <c r="D19" s="424">
        <v>17.3</v>
      </c>
      <c r="E19" s="425">
        <f t="shared" si="0"/>
        <v>0</v>
      </c>
      <c r="F19" s="426">
        <f t="shared" si="3"/>
        <v>0</v>
      </c>
      <c r="G19" s="427" t="s">
        <v>479</v>
      </c>
      <c r="H19" s="426">
        <f t="shared" si="1"/>
        <v>0</v>
      </c>
    </row>
    <row r="20" spans="1:8">
      <c r="A20" s="175" t="s">
        <v>30</v>
      </c>
      <c r="B20" s="420" t="s">
        <v>469</v>
      </c>
      <c r="C20" s="420"/>
      <c r="D20" s="424">
        <v>27.4</v>
      </c>
      <c r="E20" s="425">
        <f t="shared" si="0"/>
        <v>0</v>
      </c>
      <c r="F20" s="426">
        <f t="shared" si="3"/>
        <v>0</v>
      </c>
      <c r="G20" s="427" t="s">
        <v>479</v>
      </c>
      <c r="H20" s="426">
        <f t="shared" si="1"/>
        <v>0</v>
      </c>
    </row>
    <row r="21" spans="1:8">
      <c r="A21" s="175" t="s">
        <v>30</v>
      </c>
      <c r="B21" s="418" t="s">
        <v>472</v>
      </c>
      <c r="C21" s="418"/>
      <c r="D21" s="424">
        <v>309.2</v>
      </c>
      <c r="E21" s="425">
        <f t="shared" si="0"/>
        <v>0</v>
      </c>
      <c r="F21" s="426">
        <f t="shared" si="3"/>
        <v>0</v>
      </c>
      <c r="G21" s="427" t="s">
        <v>479</v>
      </c>
      <c r="H21" s="426">
        <f t="shared" si="1"/>
        <v>0</v>
      </c>
    </row>
    <row r="22" spans="1:8">
      <c r="A22" s="175" t="s">
        <v>30</v>
      </c>
      <c r="B22" s="418" t="s">
        <v>471</v>
      </c>
      <c r="C22" s="418"/>
      <c r="D22" s="424">
        <v>70.8</v>
      </c>
      <c r="E22" s="425">
        <f t="shared" si="0"/>
        <v>0</v>
      </c>
      <c r="F22" s="426">
        <f t="shared" si="3"/>
        <v>0</v>
      </c>
      <c r="G22" s="427" t="s">
        <v>479</v>
      </c>
      <c r="H22" s="426">
        <f t="shared" si="1"/>
        <v>0</v>
      </c>
    </row>
    <row r="23" spans="1:8">
      <c r="A23" s="175" t="s">
        <v>480</v>
      </c>
      <c r="B23" s="420" t="s">
        <v>467</v>
      </c>
      <c r="C23" s="420"/>
      <c r="D23" s="424">
        <v>138</v>
      </c>
      <c r="E23" s="425">
        <f t="shared" si="0"/>
        <v>0</v>
      </c>
      <c r="F23" s="426">
        <f t="shared" si="3"/>
        <v>0</v>
      </c>
      <c r="G23" s="427" t="s">
        <v>479</v>
      </c>
      <c r="H23" s="426">
        <f t="shared" si="1"/>
        <v>0</v>
      </c>
    </row>
    <row r="24" spans="1:8">
      <c r="A24" s="175" t="s">
        <v>480</v>
      </c>
      <c r="B24" s="418" t="s">
        <v>468</v>
      </c>
      <c r="C24" s="418"/>
      <c r="D24" s="424">
        <v>138</v>
      </c>
      <c r="E24" s="425">
        <f t="shared" si="0"/>
        <v>0</v>
      </c>
      <c r="F24" s="426">
        <f t="shared" si="3"/>
        <v>0</v>
      </c>
      <c r="G24" s="427" t="s">
        <v>479</v>
      </c>
      <c r="H24" s="426">
        <f t="shared" si="1"/>
        <v>0</v>
      </c>
    </row>
    <row r="25" spans="1:8">
      <c r="A25" s="175" t="s">
        <v>31</v>
      </c>
      <c r="B25" s="418" t="s">
        <v>467</v>
      </c>
      <c r="C25" s="418"/>
      <c r="D25" s="424">
        <v>142</v>
      </c>
      <c r="E25" s="425">
        <f t="shared" si="0"/>
        <v>0</v>
      </c>
      <c r="F25" s="426">
        <f t="shared" si="3"/>
        <v>0</v>
      </c>
      <c r="G25" s="427" t="s">
        <v>481</v>
      </c>
      <c r="H25" s="426">
        <f t="shared" si="1"/>
        <v>0</v>
      </c>
    </row>
    <row r="26" spans="1:8">
      <c r="A26" s="175" t="s">
        <v>31</v>
      </c>
      <c r="B26" s="420" t="s">
        <v>468</v>
      </c>
      <c r="C26" s="420"/>
      <c r="D26" s="424">
        <v>142</v>
      </c>
      <c r="E26" s="425">
        <f t="shared" si="0"/>
        <v>0</v>
      </c>
      <c r="F26" s="426">
        <f t="shared" si="3"/>
        <v>0</v>
      </c>
      <c r="G26" s="427" t="s">
        <v>481</v>
      </c>
      <c r="H26" s="426">
        <f t="shared" si="1"/>
        <v>0</v>
      </c>
    </row>
    <row r="27" spans="1:8">
      <c r="A27" s="175" t="s">
        <v>31</v>
      </c>
      <c r="B27" s="418" t="s">
        <v>469</v>
      </c>
      <c r="C27" s="418"/>
      <c r="D27" s="424">
        <v>12.5</v>
      </c>
      <c r="E27" s="425">
        <f t="shared" si="0"/>
        <v>0</v>
      </c>
      <c r="F27" s="426">
        <f t="shared" si="3"/>
        <v>0</v>
      </c>
      <c r="G27" s="427" t="s">
        <v>481</v>
      </c>
      <c r="H27" s="426">
        <f t="shared" si="1"/>
        <v>0</v>
      </c>
    </row>
    <row r="28" spans="1:8">
      <c r="A28" s="175" t="s">
        <v>32</v>
      </c>
      <c r="B28" s="418" t="s">
        <v>467</v>
      </c>
      <c r="C28" s="418"/>
      <c r="D28" s="424">
        <v>92</v>
      </c>
      <c r="E28" s="425">
        <f t="shared" si="0"/>
        <v>0</v>
      </c>
      <c r="F28" s="426">
        <f t="shared" si="3"/>
        <v>0</v>
      </c>
      <c r="G28" s="427" t="s">
        <v>481</v>
      </c>
      <c r="H28" s="426">
        <f t="shared" si="1"/>
        <v>0</v>
      </c>
    </row>
    <row r="29" spans="1:8">
      <c r="A29" s="175" t="s">
        <v>32</v>
      </c>
      <c r="B29" s="420" t="s">
        <v>468</v>
      </c>
      <c r="C29" s="420"/>
      <c r="D29" s="424">
        <v>92</v>
      </c>
      <c r="E29" s="425">
        <f t="shared" si="0"/>
        <v>0</v>
      </c>
      <c r="F29" s="426">
        <f t="shared" si="3"/>
        <v>0</v>
      </c>
      <c r="G29" s="427" t="s">
        <v>481</v>
      </c>
      <c r="H29" s="426">
        <f t="shared" si="1"/>
        <v>0</v>
      </c>
    </row>
    <row r="30" spans="1:8">
      <c r="A30" s="175" t="s">
        <v>32</v>
      </c>
      <c r="B30" s="418" t="s">
        <v>469</v>
      </c>
      <c r="C30" s="418"/>
      <c r="D30" s="424">
        <v>4.5</v>
      </c>
      <c r="E30" s="425">
        <f t="shared" si="0"/>
        <v>0</v>
      </c>
      <c r="F30" s="426">
        <f t="shared" si="3"/>
        <v>0</v>
      </c>
      <c r="G30" s="427" t="s">
        <v>481</v>
      </c>
      <c r="H30" s="426">
        <f t="shared" si="1"/>
        <v>0</v>
      </c>
    </row>
    <row r="31" spans="1:8">
      <c r="A31" s="175" t="s">
        <v>32</v>
      </c>
      <c r="B31" s="418" t="s">
        <v>470</v>
      </c>
      <c r="C31" s="418"/>
      <c r="D31" s="424">
        <v>1.8</v>
      </c>
      <c r="E31" s="425">
        <f t="shared" si="0"/>
        <v>0</v>
      </c>
      <c r="F31" s="426">
        <f t="shared" si="3"/>
        <v>0</v>
      </c>
      <c r="G31" s="427" t="s">
        <v>481</v>
      </c>
      <c r="H31" s="426">
        <f t="shared" si="1"/>
        <v>0</v>
      </c>
    </row>
    <row r="32" spans="1:8">
      <c r="A32" s="175" t="s">
        <v>29</v>
      </c>
      <c r="B32" s="420" t="s">
        <v>467</v>
      </c>
      <c r="C32" s="420"/>
      <c r="D32" s="424">
        <v>25</v>
      </c>
      <c r="E32" s="425">
        <f t="shared" si="0"/>
        <v>0</v>
      </c>
      <c r="F32" s="426">
        <f t="shared" si="3"/>
        <v>0</v>
      </c>
      <c r="G32" s="427" t="s">
        <v>481</v>
      </c>
      <c r="H32" s="426">
        <f t="shared" si="1"/>
        <v>0</v>
      </c>
    </row>
    <row r="33" spans="1:8">
      <c r="A33" s="175" t="s">
        <v>29</v>
      </c>
      <c r="B33" s="418" t="s">
        <v>468</v>
      </c>
      <c r="C33" s="418"/>
      <c r="D33" s="424">
        <v>25</v>
      </c>
      <c r="E33" s="425">
        <f t="shared" si="0"/>
        <v>0</v>
      </c>
      <c r="F33" s="426">
        <f>(D33*E33)</f>
        <v>0</v>
      </c>
      <c r="G33" s="427" t="s">
        <v>481</v>
      </c>
      <c r="H33" s="426">
        <f t="shared" si="1"/>
        <v>0</v>
      </c>
    </row>
    <row r="34" spans="1:8">
      <c r="B34" s="171"/>
      <c r="C34" s="171"/>
      <c r="D34" s="265"/>
      <c r="E34" s="265"/>
      <c r="F34" s="265"/>
      <c r="G34" s="265"/>
      <c r="H34" s="265"/>
    </row>
    <row r="35" spans="1:8">
      <c r="A35" s="428" t="s">
        <v>35</v>
      </c>
      <c r="B35" s="429"/>
      <c r="C35" s="430"/>
      <c r="D35" s="431">
        <f>SUM(D13:D33)</f>
        <v>1871.1799999999996</v>
      </c>
      <c r="E35" s="432"/>
      <c r="F35" s="433"/>
      <c r="G35" s="434"/>
      <c r="H35" s="435">
        <f>SUM(H13:H33)</f>
        <v>0</v>
      </c>
    </row>
  </sheetData>
  <autoFilter ref="A12:Z35" xr:uid="{00000000-0009-0000-0000-00000A000000}"/>
  <phoneticPr fontId="73"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18"/>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46.109375" style="171" customWidth="1"/>
    <col min="2" max="2" width="36.33203125" style="172" bestFit="1" customWidth="1"/>
    <col min="3" max="3" width="27.5546875" style="172" customWidth="1"/>
    <col min="4" max="4" width="12.109375" style="171" customWidth="1"/>
    <col min="5" max="5" width="24.33203125" style="173" customWidth="1"/>
    <col min="6" max="6" width="16.109375" style="174" customWidth="1"/>
    <col min="7" max="7" width="13.6640625" style="173" customWidth="1"/>
    <col min="8" max="8" width="15.88671875" style="173" customWidth="1"/>
    <col min="9" max="247" width="13.6640625" style="28"/>
    <col min="248" max="248" width="22.109375" style="28" customWidth="1"/>
    <col min="249" max="255" width="13.6640625" style="28" customWidth="1"/>
    <col min="256" max="256" width="15.88671875" style="28" customWidth="1"/>
    <col min="257" max="257" width="16.5546875" style="28" bestFit="1" customWidth="1"/>
    <col min="258" max="258" width="13.6640625" style="28" customWidth="1"/>
    <col min="259" max="259" width="17.109375" style="28" bestFit="1" customWidth="1"/>
    <col min="260" max="260" width="4" style="28" customWidth="1"/>
    <col min="261" max="261" width="13.6640625" style="28" customWidth="1"/>
    <col min="262" max="503" width="13.6640625" style="28"/>
    <col min="504" max="504" width="22.109375" style="28" customWidth="1"/>
    <col min="505" max="511" width="13.6640625" style="28" customWidth="1"/>
    <col min="512" max="512" width="15.88671875" style="28" customWidth="1"/>
    <col min="513" max="513" width="16.5546875" style="28" bestFit="1" customWidth="1"/>
    <col min="514" max="514" width="13.6640625" style="28" customWidth="1"/>
    <col min="515" max="515" width="17.109375" style="28" bestFit="1" customWidth="1"/>
    <col min="516" max="516" width="4" style="28" customWidth="1"/>
    <col min="517" max="517" width="13.6640625" style="28" customWidth="1"/>
    <col min="518" max="759" width="13.6640625" style="28"/>
    <col min="760" max="760" width="22.109375" style="28" customWidth="1"/>
    <col min="761" max="767" width="13.6640625" style="28" customWidth="1"/>
    <col min="768" max="768" width="15.88671875" style="28" customWidth="1"/>
    <col min="769" max="769" width="16.5546875" style="28" bestFit="1" customWidth="1"/>
    <col min="770" max="770" width="13.6640625" style="28" customWidth="1"/>
    <col min="771" max="771" width="17.109375" style="28" bestFit="1" customWidth="1"/>
    <col min="772" max="772" width="4" style="28" customWidth="1"/>
    <col min="773" max="773" width="13.6640625" style="28" customWidth="1"/>
    <col min="774" max="1015" width="13.6640625" style="28"/>
    <col min="1016" max="1016" width="22.109375" style="28" customWidth="1"/>
    <col min="1017" max="1023" width="13.6640625" style="28" customWidth="1"/>
    <col min="1024" max="1024" width="15.88671875" style="28" customWidth="1"/>
    <col min="1025" max="1025" width="16.5546875" style="28" bestFit="1" customWidth="1"/>
    <col min="1026" max="1026" width="13.6640625" style="28" customWidth="1"/>
    <col min="1027" max="1027" width="17.109375" style="28" bestFit="1" customWidth="1"/>
    <col min="1028" max="1028" width="4" style="28" customWidth="1"/>
    <col min="1029" max="1029" width="13.6640625" style="28" customWidth="1"/>
    <col min="1030" max="1271" width="13.6640625" style="28"/>
    <col min="1272" max="1272" width="22.109375" style="28" customWidth="1"/>
    <col min="1273" max="1279" width="13.6640625" style="28" customWidth="1"/>
    <col min="1280" max="1280" width="15.88671875" style="28" customWidth="1"/>
    <col min="1281" max="1281" width="16.5546875" style="28" bestFit="1" customWidth="1"/>
    <col min="1282" max="1282" width="13.6640625" style="28" customWidth="1"/>
    <col min="1283" max="1283" width="17.109375" style="28" bestFit="1" customWidth="1"/>
    <col min="1284" max="1284" width="4" style="28" customWidth="1"/>
    <col min="1285" max="1285" width="13.6640625" style="28" customWidth="1"/>
    <col min="1286" max="1527" width="13.6640625" style="28"/>
    <col min="1528" max="1528" width="22.109375" style="28" customWidth="1"/>
    <col min="1529" max="1535" width="13.6640625" style="28" customWidth="1"/>
    <col min="1536" max="1536" width="15.88671875" style="28" customWidth="1"/>
    <col min="1537" max="1537" width="16.5546875" style="28" bestFit="1" customWidth="1"/>
    <col min="1538" max="1538" width="13.6640625" style="28" customWidth="1"/>
    <col min="1539" max="1539" width="17.109375" style="28" bestFit="1" customWidth="1"/>
    <col min="1540" max="1540" width="4" style="28" customWidth="1"/>
    <col min="1541" max="1541" width="13.6640625" style="28" customWidth="1"/>
    <col min="1542" max="1783" width="13.6640625" style="28"/>
    <col min="1784" max="1784" width="22.109375" style="28" customWidth="1"/>
    <col min="1785" max="1791" width="13.6640625" style="28" customWidth="1"/>
    <col min="1792" max="1792" width="15.88671875" style="28" customWidth="1"/>
    <col min="1793" max="1793" width="16.5546875" style="28" bestFit="1" customWidth="1"/>
    <col min="1794" max="1794" width="13.6640625" style="28" customWidth="1"/>
    <col min="1795" max="1795" width="17.109375" style="28" bestFit="1" customWidth="1"/>
    <col min="1796" max="1796" width="4" style="28" customWidth="1"/>
    <col min="1797" max="1797" width="13.6640625" style="28" customWidth="1"/>
    <col min="1798" max="2039" width="13.6640625" style="28"/>
    <col min="2040" max="2040" width="22.109375" style="28" customWidth="1"/>
    <col min="2041" max="2047" width="13.6640625" style="28" customWidth="1"/>
    <col min="2048" max="2048" width="15.88671875" style="28" customWidth="1"/>
    <col min="2049" max="2049" width="16.5546875" style="28" bestFit="1" customWidth="1"/>
    <col min="2050" max="2050" width="13.6640625" style="28" customWidth="1"/>
    <col min="2051" max="2051" width="17.109375" style="28" bestFit="1" customWidth="1"/>
    <col min="2052" max="2052" width="4" style="28" customWidth="1"/>
    <col min="2053" max="2053" width="13.6640625" style="28" customWidth="1"/>
    <col min="2054" max="2295" width="13.6640625" style="28"/>
    <col min="2296" max="2296" width="22.109375" style="28" customWidth="1"/>
    <col min="2297" max="2303" width="13.6640625" style="28" customWidth="1"/>
    <col min="2304" max="2304" width="15.88671875" style="28" customWidth="1"/>
    <col min="2305" max="2305" width="16.5546875" style="28" bestFit="1" customWidth="1"/>
    <col min="2306" max="2306" width="13.6640625" style="28" customWidth="1"/>
    <col min="2307" max="2307" width="17.109375" style="28" bestFit="1" customWidth="1"/>
    <col min="2308" max="2308" width="4" style="28" customWidth="1"/>
    <col min="2309" max="2309" width="13.6640625" style="28" customWidth="1"/>
    <col min="2310" max="2551" width="13.6640625" style="28"/>
    <col min="2552" max="2552" width="22.109375" style="28" customWidth="1"/>
    <col min="2553" max="2559" width="13.6640625" style="28" customWidth="1"/>
    <col min="2560" max="2560" width="15.88671875" style="28" customWidth="1"/>
    <col min="2561" max="2561" width="16.5546875" style="28" bestFit="1" customWidth="1"/>
    <col min="2562" max="2562" width="13.6640625" style="28" customWidth="1"/>
    <col min="2563" max="2563" width="17.109375" style="28" bestFit="1" customWidth="1"/>
    <col min="2564" max="2564" width="4" style="28" customWidth="1"/>
    <col min="2565" max="2565" width="13.6640625" style="28" customWidth="1"/>
    <col min="2566" max="2807" width="13.6640625" style="28"/>
    <col min="2808" max="2808" width="22.109375" style="28" customWidth="1"/>
    <col min="2809" max="2815" width="13.6640625" style="28" customWidth="1"/>
    <col min="2816" max="2816" width="15.88671875" style="28" customWidth="1"/>
    <col min="2817" max="2817" width="16.5546875" style="28" bestFit="1" customWidth="1"/>
    <col min="2818" max="2818" width="13.6640625" style="28" customWidth="1"/>
    <col min="2819" max="2819" width="17.109375" style="28" bestFit="1" customWidth="1"/>
    <col min="2820" max="2820" width="4" style="28" customWidth="1"/>
    <col min="2821" max="2821" width="13.6640625" style="28" customWidth="1"/>
    <col min="2822" max="3063" width="13.6640625" style="28"/>
    <col min="3064" max="3064" width="22.109375" style="28" customWidth="1"/>
    <col min="3065" max="3071" width="13.6640625" style="28" customWidth="1"/>
    <col min="3072" max="3072" width="15.88671875" style="28" customWidth="1"/>
    <col min="3073" max="3073" width="16.5546875" style="28" bestFit="1" customWidth="1"/>
    <col min="3074" max="3074" width="13.6640625" style="28" customWidth="1"/>
    <col min="3075" max="3075" width="17.109375" style="28" bestFit="1" customWidth="1"/>
    <col min="3076" max="3076" width="4" style="28" customWidth="1"/>
    <col min="3077" max="3077" width="13.6640625" style="28" customWidth="1"/>
    <col min="3078" max="3319" width="13.6640625" style="28"/>
    <col min="3320" max="3320" width="22.109375" style="28" customWidth="1"/>
    <col min="3321" max="3327" width="13.6640625" style="28" customWidth="1"/>
    <col min="3328" max="3328" width="15.88671875" style="28" customWidth="1"/>
    <col min="3329" max="3329" width="16.5546875" style="28" bestFit="1" customWidth="1"/>
    <col min="3330" max="3330" width="13.6640625" style="28" customWidth="1"/>
    <col min="3331" max="3331" width="17.109375" style="28" bestFit="1" customWidth="1"/>
    <col min="3332" max="3332" width="4" style="28" customWidth="1"/>
    <col min="3333" max="3333" width="13.6640625" style="28" customWidth="1"/>
    <col min="3334" max="3575" width="13.6640625" style="28"/>
    <col min="3576" max="3576" width="22.109375" style="28" customWidth="1"/>
    <col min="3577" max="3583" width="13.6640625" style="28" customWidth="1"/>
    <col min="3584" max="3584" width="15.88671875" style="28" customWidth="1"/>
    <col min="3585" max="3585" width="16.5546875" style="28" bestFit="1" customWidth="1"/>
    <col min="3586" max="3586" width="13.6640625" style="28" customWidth="1"/>
    <col min="3587" max="3587" width="17.109375" style="28" bestFit="1" customWidth="1"/>
    <col min="3588" max="3588" width="4" style="28" customWidth="1"/>
    <col min="3589" max="3589" width="13.6640625" style="28" customWidth="1"/>
    <col min="3590" max="3831" width="13.6640625" style="28"/>
    <col min="3832" max="3832" width="22.109375" style="28" customWidth="1"/>
    <col min="3833" max="3839" width="13.6640625" style="28" customWidth="1"/>
    <col min="3840" max="3840" width="15.88671875" style="28" customWidth="1"/>
    <col min="3841" max="3841" width="16.5546875" style="28" bestFit="1" customWidth="1"/>
    <col min="3842" max="3842" width="13.6640625" style="28" customWidth="1"/>
    <col min="3843" max="3843" width="17.109375" style="28" bestFit="1" customWidth="1"/>
    <col min="3844" max="3844" width="4" style="28" customWidth="1"/>
    <col min="3845" max="3845" width="13.6640625" style="28" customWidth="1"/>
    <col min="3846" max="4087" width="13.6640625" style="28"/>
    <col min="4088" max="4088" width="22.109375" style="28" customWidth="1"/>
    <col min="4089" max="4095" width="13.6640625" style="28" customWidth="1"/>
    <col min="4096" max="4096" width="15.88671875" style="28" customWidth="1"/>
    <col min="4097" max="4097" width="16.5546875" style="28" bestFit="1" customWidth="1"/>
    <col min="4098" max="4098" width="13.6640625" style="28" customWidth="1"/>
    <col min="4099" max="4099" width="17.109375" style="28" bestFit="1" customWidth="1"/>
    <col min="4100" max="4100" width="4" style="28" customWidth="1"/>
    <col min="4101" max="4101" width="13.6640625" style="28" customWidth="1"/>
    <col min="4102" max="4343" width="13.6640625" style="28"/>
    <col min="4344" max="4344" width="22.109375" style="28" customWidth="1"/>
    <col min="4345" max="4351" width="13.6640625" style="28" customWidth="1"/>
    <col min="4352" max="4352" width="15.88671875" style="28" customWidth="1"/>
    <col min="4353" max="4353" width="16.5546875" style="28" bestFit="1" customWidth="1"/>
    <col min="4354" max="4354" width="13.6640625" style="28" customWidth="1"/>
    <col min="4355" max="4355" width="17.109375" style="28" bestFit="1" customWidth="1"/>
    <col min="4356" max="4356" width="4" style="28" customWidth="1"/>
    <col min="4357" max="4357" width="13.6640625" style="28" customWidth="1"/>
    <col min="4358" max="4599" width="13.6640625" style="28"/>
    <col min="4600" max="4600" width="22.109375" style="28" customWidth="1"/>
    <col min="4601" max="4607" width="13.6640625" style="28" customWidth="1"/>
    <col min="4608" max="4608" width="15.88671875" style="28" customWidth="1"/>
    <col min="4609" max="4609" width="16.5546875" style="28" bestFit="1" customWidth="1"/>
    <col min="4610" max="4610" width="13.6640625" style="28" customWidth="1"/>
    <col min="4611" max="4611" width="17.109375" style="28" bestFit="1" customWidth="1"/>
    <col min="4612" max="4612" width="4" style="28" customWidth="1"/>
    <col min="4613" max="4613" width="13.6640625" style="28" customWidth="1"/>
    <col min="4614" max="4855" width="13.6640625" style="28"/>
    <col min="4856" max="4856" width="22.109375" style="28" customWidth="1"/>
    <col min="4857" max="4863" width="13.6640625" style="28" customWidth="1"/>
    <col min="4864" max="4864" width="15.88671875" style="28" customWidth="1"/>
    <col min="4865" max="4865" width="16.5546875" style="28" bestFit="1" customWidth="1"/>
    <col min="4866" max="4866" width="13.6640625" style="28" customWidth="1"/>
    <col min="4867" max="4867" width="17.109375" style="28" bestFit="1" customWidth="1"/>
    <col min="4868" max="4868" width="4" style="28" customWidth="1"/>
    <col min="4869" max="4869" width="13.6640625" style="28" customWidth="1"/>
    <col min="4870" max="5111" width="13.6640625" style="28"/>
    <col min="5112" max="5112" width="22.109375" style="28" customWidth="1"/>
    <col min="5113" max="5119" width="13.6640625" style="28" customWidth="1"/>
    <col min="5120" max="5120" width="15.88671875" style="28" customWidth="1"/>
    <col min="5121" max="5121" width="16.5546875" style="28" bestFit="1" customWidth="1"/>
    <col min="5122" max="5122" width="13.6640625" style="28" customWidth="1"/>
    <col min="5123" max="5123" width="17.109375" style="28" bestFit="1" customWidth="1"/>
    <col min="5124" max="5124" width="4" style="28" customWidth="1"/>
    <col min="5125" max="5125" width="13.6640625" style="28" customWidth="1"/>
    <col min="5126" max="5367" width="13.6640625" style="28"/>
    <col min="5368" max="5368" width="22.109375" style="28" customWidth="1"/>
    <col min="5369" max="5375" width="13.6640625" style="28" customWidth="1"/>
    <col min="5376" max="5376" width="15.88671875" style="28" customWidth="1"/>
    <col min="5377" max="5377" width="16.5546875" style="28" bestFit="1" customWidth="1"/>
    <col min="5378" max="5378" width="13.6640625" style="28" customWidth="1"/>
    <col min="5379" max="5379" width="17.109375" style="28" bestFit="1" customWidth="1"/>
    <col min="5380" max="5380" width="4" style="28" customWidth="1"/>
    <col min="5381" max="5381" width="13.6640625" style="28" customWidth="1"/>
    <col min="5382" max="5623" width="13.6640625" style="28"/>
    <col min="5624" max="5624" width="22.109375" style="28" customWidth="1"/>
    <col min="5625" max="5631" width="13.6640625" style="28" customWidth="1"/>
    <col min="5632" max="5632" width="15.88671875" style="28" customWidth="1"/>
    <col min="5633" max="5633" width="16.5546875" style="28" bestFit="1" customWidth="1"/>
    <col min="5634" max="5634" width="13.6640625" style="28" customWidth="1"/>
    <col min="5635" max="5635" width="17.109375" style="28" bestFit="1" customWidth="1"/>
    <col min="5636" max="5636" width="4" style="28" customWidth="1"/>
    <col min="5637" max="5637" width="13.6640625" style="28" customWidth="1"/>
    <col min="5638" max="5879" width="13.6640625" style="28"/>
    <col min="5880" max="5880" width="22.109375" style="28" customWidth="1"/>
    <col min="5881" max="5887" width="13.6640625" style="28" customWidth="1"/>
    <col min="5888" max="5888" width="15.88671875" style="28" customWidth="1"/>
    <col min="5889" max="5889" width="16.5546875" style="28" bestFit="1" customWidth="1"/>
    <col min="5890" max="5890" width="13.6640625" style="28" customWidth="1"/>
    <col min="5891" max="5891" width="17.109375" style="28" bestFit="1" customWidth="1"/>
    <col min="5892" max="5892" width="4" style="28" customWidth="1"/>
    <col min="5893" max="5893" width="13.6640625" style="28" customWidth="1"/>
    <col min="5894" max="6135" width="13.6640625" style="28"/>
    <col min="6136" max="6136" width="22.109375" style="28" customWidth="1"/>
    <col min="6137" max="6143" width="13.6640625" style="28" customWidth="1"/>
    <col min="6144" max="6144" width="15.88671875" style="28" customWidth="1"/>
    <col min="6145" max="6145" width="16.5546875" style="28" bestFit="1" customWidth="1"/>
    <col min="6146" max="6146" width="13.6640625" style="28" customWidth="1"/>
    <col min="6147" max="6147" width="17.109375" style="28" bestFit="1" customWidth="1"/>
    <col min="6148" max="6148" width="4" style="28" customWidth="1"/>
    <col min="6149" max="6149" width="13.6640625" style="28" customWidth="1"/>
    <col min="6150" max="6391" width="13.6640625" style="28"/>
    <col min="6392" max="6392" width="22.109375" style="28" customWidth="1"/>
    <col min="6393" max="6399" width="13.6640625" style="28" customWidth="1"/>
    <col min="6400" max="6400" width="15.88671875" style="28" customWidth="1"/>
    <col min="6401" max="6401" width="16.5546875" style="28" bestFit="1" customWidth="1"/>
    <col min="6402" max="6402" width="13.6640625" style="28" customWidth="1"/>
    <col min="6403" max="6403" width="17.109375" style="28" bestFit="1" customWidth="1"/>
    <col min="6404" max="6404" width="4" style="28" customWidth="1"/>
    <col min="6405" max="6405" width="13.6640625" style="28" customWidth="1"/>
    <col min="6406" max="6647" width="13.6640625" style="28"/>
    <col min="6648" max="6648" width="22.109375" style="28" customWidth="1"/>
    <col min="6649" max="6655" width="13.6640625" style="28" customWidth="1"/>
    <col min="6656" max="6656" width="15.88671875" style="28" customWidth="1"/>
    <col min="6657" max="6657" width="16.5546875" style="28" bestFit="1" customWidth="1"/>
    <col min="6658" max="6658" width="13.6640625" style="28" customWidth="1"/>
    <col min="6659" max="6659" width="17.109375" style="28" bestFit="1" customWidth="1"/>
    <col min="6660" max="6660" width="4" style="28" customWidth="1"/>
    <col min="6661" max="6661" width="13.6640625" style="28" customWidth="1"/>
    <col min="6662" max="6903" width="13.6640625" style="28"/>
    <col min="6904" max="6904" width="22.109375" style="28" customWidth="1"/>
    <col min="6905" max="6911" width="13.6640625" style="28" customWidth="1"/>
    <col min="6912" max="6912" width="15.88671875" style="28" customWidth="1"/>
    <col min="6913" max="6913" width="16.5546875" style="28" bestFit="1" customWidth="1"/>
    <col min="6914" max="6914" width="13.6640625" style="28" customWidth="1"/>
    <col min="6915" max="6915" width="17.109375" style="28" bestFit="1" customWidth="1"/>
    <col min="6916" max="6916" width="4" style="28" customWidth="1"/>
    <col min="6917" max="6917" width="13.6640625" style="28" customWidth="1"/>
    <col min="6918" max="7159" width="13.6640625" style="28"/>
    <col min="7160" max="7160" width="22.109375" style="28" customWidth="1"/>
    <col min="7161" max="7167" width="13.6640625" style="28" customWidth="1"/>
    <col min="7168" max="7168" width="15.88671875" style="28" customWidth="1"/>
    <col min="7169" max="7169" width="16.5546875" style="28" bestFit="1" customWidth="1"/>
    <col min="7170" max="7170" width="13.6640625" style="28" customWidth="1"/>
    <col min="7171" max="7171" width="17.109375" style="28" bestFit="1" customWidth="1"/>
    <col min="7172" max="7172" width="4" style="28" customWidth="1"/>
    <col min="7173" max="7173" width="13.6640625" style="28" customWidth="1"/>
    <col min="7174" max="7415" width="13.6640625" style="28"/>
    <col min="7416" max="7416" width="22.109375" style="28" customWidth="1"/>
    <col min="7417" max="7423" width="13.6640625" style="28" customWidth="1"/>
    <col min="7424" max="7424" width="15.88671875" style="28" customWidth="1"/>
    <col min="7425" max="7425" width="16.5546875" style="28" bestFit="1" customWidth="1"/>
    <col min="7426" max="7426" width="13.6640625" style="28" customWidth="1"/>
    <col min="7427" max="7427" width="17.109375" style="28" bestFit="1" customWidth="1"/>
    <col min="7428" max="7428" width="4" style="28" customWidth="1"/>
    <col min="7429" max="7429" width="13.6640625" style="28" customWidth="1"/>
    <col min="7430" max="7671" width="13.6640625" style="28"/>
    <col min="7672" max="7672" width="22.109375" style="28" customWidth="1"/>
    <col min="7673" max="7679" width="13.6640625" style="28" customWidth="1"/>
    <col min="7680" max="7680" width="15.88671875" style="28" customWidth="1"/>
    <col min="7681" max="7681" width="16.5546875" style="28" bestFit="1" customWidth="1"/>
    <col min="7682" max="7682" width="13.6640625" style="28" customWidth="1"/>
    <col min="7683" max="7683" width="17.109375" style="28" bestFit="1" customWidth="1"/>
    <col min="7684" max="7684" width="4" style="28" customWidth="1"/>
    <col min="7685" max="7685" width="13.6640625" style="28" customWidth="1"/>
    <col min="7686" max="7927" width="13.6640625" style="28"/>
    <col min="7928" max="7928" width="22.109375" style="28" customWidth="1"/>
    <col min="7929" max="7935" width="13.6640625" style="28" customWidth="1"/>
    <col min="7936" max="7936" width="15.88671875" style="28" customWidth="1"/>
    <col min="7937" max="7937" width="16.5546875" style="28" bestFit="1" customWidth="1"/>
    <col min="7938" max="7938" width="13.6640625" style="28" customWidth="1"/>
    <col min="7939" max="7939" width="17.109375" style="28" bestFit="1" customWidth="1"/>
    <col min="7940" max="7940" width="4" style="28" customWidth="1"/>
    <col min="7941" max="7941" width="13.6640625" style="28" customWidth="1"/>
    <col min="7942" max="8183" width="13.6640625" style="28"/>
    <col min="8184" max="8184" width="22.109375" style="28" customWidth="1"/>
    <col min="8185" max="8191" width="13.6640625" style="28" customWidth="1"/>
    <col min="8192" max="8192" width="15.88671875" style="28" customWidth="1"/>
    <col min="8193" max="8193" width="16.5546875" style="28" bestFit="1" customWidth="1"/>
    <col min="8194" max="8194" width="13.6640625" style="28" customWidth="1"/>
    <col min="8195" max="8195" width="17.109375" style="28" bestFit="1" customWidth="1"/>
    <col min="8196" max="8196" width="4" style="28" customWidth="1"/>
    <col min="8197" max="8197" width="13.6640625" style="28" customWidth="1"/>
    <col min="8198" max="8439" width="13.6640625" style="28"/>
    <col min="8440" max="8440" width="22.109375" style="28" customWidth="1"/>
    <col min="8441" max="8447" width="13.6640625" style="28" customWidth="1"/>
    <col min="8448" max="8448" width="15.88671875" style="28" customWidth="1"/>
    <col min="8449" max="8449" width="16.5546875" style="28" bestFit="1" customWidth="1"/>
    <col min="8450" max="8450" width="13.6640625" style="28" customWidth="1"/>
    <col min="8451" max="8451" width="17.109375" style="28" bestFit="1" customWidth="1"/>
    <col min="8452" max="8452" width="4" style="28" customWidth="1"/>
    <col min="8453" max="8453" width="13.6640625" style="28" customWidth="1"/>
    <col min="8454" max="8695" width="13.6640625" style="28"/>
    <col min="8696" max="8696" width="22.109375" style="28" customWidth="1"/>
    <col min="8697" max="8703" width="13.6640625" style="28" customWidth="1"/>
    <col min="8704" max="8704" width="15.88671875" style="28" customWidth="1"/>
    <col min="8705" max="8705" width="16.5546875" style="28" bestFit="1" customWidth="1"/>
    <col min="8706" max="8706" width="13.6640625" style="28" customWidth="1"/>
    <col min="8707" max="8707" width="17.109375" style="28" bestFit="1" customWidth="1"/>
    <col min="8708" max="8708" width="4" style="28" customWidth="1"/>
    <col min="8709" max="8709" width="13.6640625" style="28" customWidth="1"/>
    <col min="8710" max="8951" width="13.6640625" style="28"/>
    <col min="8952" max="8952" width="22.109375" style="28" customWidth="1"/>
    <col min="8953" max="8959" width="13.6640625" style="28" customWidth="1"/>
    <col min="8960" max="8960" width="15.88671875" style="28" customWidth="1"/>
    <col min="8961" max="8961" width="16.5546875" style="28" bestFit="1" customWidth="1"/>
    <col min="8962" max="8962" width="13.6640625" style="28" customWidth="1"/>
    <col min="8963" max="8963" width="17.109375" style="28" bestFit="1" customWidth="1"/>
    <col min="8964" max="8964" width="4" style="28" customWidth="1"/>
    <col min="8965" max="8965" width="13.6640625" style="28" customWidth="1"/>
    <col min="8966" max="9207" width="13.6640625" style="28"/>
    <col min="9208" max="9208" width="22.109375" style="28" customWidth="1"/>
    <col min="9209" max="9215" width="13.6640625" style="28" customWidth="1"/>
    <col min="9216" max="9216" width="15.88671875" style="28" customWidth="1"/>
    <col min="9217" max="9217" width="16.5546875" style="28" bestFit="1" customWidth="1"/>
    <col min="9218" max="9218" width="13.6640625" style="28" customWidth="1"/>
    <col min="9219" max="9219" width="17.109375" style="28" bestFit="1" customWidth="1"/>
    <col min="9220" max="9220" width="4" style="28" customWidth="1"/>
    <col min="9221" max="9221" width="13.6640625" style="28" customWidth="1"/>
    <col min="9222" max="9463" width="13.6640625" style="28"/>
    <col min="9464" max="9464" width="22.109375" style="28" customWidth="1"/>
    <col min="9465" max="9471" width="13.6640625" style="28" customWidth="1"/>
    <col min="9472" max="9472" width="15.88671875" style="28" customWidth="1"/>
    <col min="9473" max="9473" width="16.5546875" style="28" bestFit="1" customWidth="1"/>
    <col min="9474" max="9474" width="13.6640625" style="28" customWidth="1"/>
    <col min="9475" max="9475" width="17.109375" style="28" bestFit="1" customWidth="1"/>
    <col min="9476" max="9476" width="4" style="28" customWidth="1"/>
    <col min="9477" max="9477" width="13.6640625" style="28" customWidth="1"/>
    <col min="9478" max="9719" width="13.6640625" style="28"/>
    <col min="9720" max="9720" width="22.109375" style="28" customWidth="1"/>
    <col min="9721" max="9727" width="13.6640625" style="28" customWidth="1"/>
    <col min="9728" max="9728" width="15.88671875" style="28" customWidth="1"/>
    <col min="9729" max="9729" width="16.5546875" style="28" bestFit="1" customWidth="1"/>
    <col min="9730" max="9730" width="13.6640625" style="28" customWidth="1"/>
    <col min="9731" max="9731" width="17.109375" style="28" bestFit="1" customWidth="1"/>
    <col min="9732" max="9732" width="4" style="28" customWidth="1"/>
    <col min="9733" max="9733" width="13.6640625" style="28" customWidth="1"/>
    <col min="9734" max="9975" width="13.6640625" style="28"/>
    <col min="9976" max="9976" width="22.109375" style="28" customWidth="1"/>
    <col min="9977" max="9983" width="13.6640625" style="28" customWidth="1"/>
    <col min="9984" max="9984" width="15.88671875" style="28" customWidth="1"/>
    <col min="9985" max="9985" width="16.5546875" style="28" bestFit="1" customWidth="1"/>
    <col min="9986" max="9986" width="13.6640625" style="28" customWidth="1"/>
    <col min="9987" max="9987" width="17.109375" style="28" bestFit="1" customWidth="1"/>
    <col min="9988" max="9988" width="4" style="28" customWidth="1"/>
    <col min="9989" max="9989" width="13.6640625" style="28" customWidth="1"/>
    <col min="9990" max="10231" width="13.6640625" style="28"/>
    <col min="10232" max="10232" width="22.109375" style="28" customWidth="1"/>
    <col min="10233" max="10239" width="13.6640625" style="28" customWidth="1"/>
    <col min="10240" max="10240" width="15.88671875" style="28" customWidth="1"/>
    <col min="10241" max="10241" width="16.5546875" style="28" bestFit="1" customWidth="1"/>
    <col min="10242" max="10242" width="13.6640625" style="28" customWidth="1"/>
    <col min="10243" max="10243" width="17.109375" style="28" bestFit="1" customWidth="1"/>
    <col min="10244" max="10244" width="4" style="28" customWidth="1"/>
    <col min="10245" max="10245" width="13.6640625" style="28" customWidth="1"/>
    <col min="10246" max="10487" width="13.6640625" style="28"/>
    <col min="10488" max="10488" width="22.109375" style="28" customWidth="1"/>
    <col min="10489" max="10495" width="13.6640625" style="28" customWidth="1"/>
    <col min="10496" max="10496" width="15.88671875" style="28" customWidth="1"/>
    <col min="10497" max="10497" width="16.5546875" style="28" bestFit="1" customWidth="1"/>
    <col min="10498" max="10498" width="13.6640625" style="28" customWidth="1"/>
    <col min="10499" max="10499" width="17.109375" style="28" bestFit="1" customWidth="1"/>
    <col min="10500" max="10500" width="4" style="28" customWidth="1"/>
    <col min="10501" max="10501" width="13.6640625" style="28" customWidth="1"/>
    <col min="10502" max="10743" width="13.6640625" style="28"/>
    <col min="10744" max="10744" width="22.109375" style="28" customWidth="1"/>
    <col min="10745" max="10751" width="13.6640625" style="28" customWidth="1"/>
    <col min="10752" max="10752" width="15.88671875" style="28" customWidth="1"/>
    <col min="10753" max="10753" width="16.5546875" style="28" bestFit="1" customWidth="1"/>
    <col min="10754" max="10754" width="13.6640625" style="28" customWidth="1"/>
    <col min="10755" max="10755" width="17.109375" style="28" bestFit="1" customWidth="1"/>
    <col min="10756" max="10756" width="4" style="28" customWidth="1"/>
    <col min="10757" max="10757" width="13.6640625" style="28" customWidth="1"/>
    <col min="10758" max="10999" width="13.6640625" style="28"/>
    <col min="11000" max="11000" width="22.109375" style="28" customWidth="1"/>
    <col min="11001" max="11007" width="13.6640625" style="28" customWidth="1"/>
    <col min="11008" max="11008" width="15.88671875" style="28" customWidth="1"/>
    <col min="11009" max="11009" width="16.5546875" style="28" bestFit="1" customWidth="1"/>
    <col min="11010" max="11010" width="13.6640625" style="28" customWidth="1"/>
    <col min="11011" max="11011" width="17.109375" style="28" bestFit="1" customWidth="1"/>
    <col min="11012" max="11012" width="4" style="28" customWidth="1"/>
    <col min="11013" max="11013" width="13.6640625" style="28" customWidth="1"/>
    <col min="11014" max="11255" width="13.6640625" style="28"/>
    <col min="11256" max="11256" width="22.109375" style="28" customWidth="1"/>
    <col min="11257" max="11263" width="13.6640625" style="28" customWidth="1"/>
    <col min="11264" max="11264" width="15.88671875" style="28" customWidth="1"/>
    <col min="11265" max="11265" width="16.5546875" style="28" bestFit="1" customWidth="1"/>
    <col min="11266" max="11266" width="13.6640625" style="28" customWidth="1"/>
    <col min="11267" max="11267" width="17.109375" style="28" bestFit="1" customWidth="1"/>
    <col min="11268" max="11268" width="4" style="28" customWidth="1"/>
    <col min="11269" max="11269" width="13.6640625" style="28" customWidth="1"/>
    <col min="11270" max="11511" width="13.6640625" style="28"/>
    <col min="11512" max="11512" width="22.109375" style="28" customWidth="1"/>
    <col min="11513" max="11519" width="13.6640625" style="28" customWidth="1"/>
    <col min="11520" max="11520" width="15.88671875" style="28" customWidth="1"/>
    <col min="11521" max="11521" width="16.5546875" style="28" bestFit="1" customWidth="1"/>
    <col min="11522" max="11522" width="13.6640625" style="28" customWidth="1"/>
    <col min="11523" max="11523" width="17.109375" style="28" bestFit="1" customWidth="1"/>
    <col min="11524" max="11524" width="4" style="28" customWidth="1"/>
    <col min="11525" max="11525" width="13.6640625" style="28" customWidth="1"/>
    <col min="11526" max="11767" width="13.6640625" style="28"/>
    <col min="11768" max="11768" width="22.109375" style="28" customWidth="1"/>
    <col min="11769" max="11775" width="13.6640625" style="28" customWidth="1"/>
    <col min="11776" max="11776" width="15.88671875" style="28" customWidth="1"/>
    <col min="11777" max="11777" width="16.5546875" style="28" bestFit="1" customWidth="1"/>
    <col min="11778" max="11778" width="13.6640625" style="28" customWidth="1"/>
    <col min="11779" max="11779" width="17.109375" style="28" bestFit="1" customWidth="1"/>
    <col min="11780" max="11780" width="4" style="28" customWidth="1"/>
    <col min="11781" max="11781" width="13.6640625" style="28" customWidth="1"/>
    <col min="11782" max="12023" width="13.6640625" style="28"/>
    <col min="12024" max="12024" width="22.109375" style="28" customWidth="1"/>
    <col min="12025" max="12031" width="13.6640625" style="28" customWidth="1"/>
    <col min="12032" max="12032" width="15.88671875" style="28" customWidth="1"/>
    <col min="12033" max="12033" width="16.5546875" style="28" bestFit="1" customWidth="1"/>
    <col min="12034" max="12034" width="13.6640625" style="28" customWidth="1"/>
    <col min="12035" max="12035" width="17.109375" style="28" bestFit="1" customWidth="1"/>
    <col min="12036" max="12036" width="4" style="28" customWidth="1"/>
    <col min="12037" max="12037" width="13.6640625" style="28" customWidth="1"/>
    <col min="12038" max="12279" width="13.6640625" style="28"/>
    <col min="12280" max="12280" width="22.109375" style="28" customWidth="1"/>
    <col min="12281" max="12287" width="13.6640625" style="28" customWidth="1"/>
    <col min="12288" max="12288" width="15.88671875" style="28" customWidth="1"/>
    <col min="12289" max="12289" width="16.5546875" style="28" bestFit="1" customWidth="1"/>
    <col min="12290" max="12290" width="13.6640625" style="28" customWidth="1"/>
    <col min="12291" max="12291" width="17.109375" style="28" bestFit="1" customWidth="1"/>
    <col min="12292" max="12292" width="4" style="28" customWidth="1"/>
    <col min="12293" max="12293" width="13.6640625" style="28" customWidth="1"/>
    <col min="12294" max="12535" width="13.6640625" style="28"/>
    <col min="12536" max="12536" width="22.109375" style="28" customWidth="1"/>
    <col min="12537" max="12543" width="13.6640625" style="28" customWidth="1"/>
    <col min="12544" max="12544" width="15.88671875" style="28" customWidth="1"/>
    <col min="12545" max="12545" width="16.5546875" style="28" bestFit="1" customWidth="1"/>
    <col min="12546" max="12546" width="13.6640625" style="28" customWidth="1"/>
    <col min="12547" max="12547" width="17.109375" style="28" bestFit="1" customWidth="1"/>
    <col min="12548" max="12548" width="4" style="28" customWidth="1"/>
    <col min="12549" max="12549" width="13.6640625" style="28" customWidth="1"/>
    <col min="12550" max="12791" width="13.6640625" style="28"/>
    <col min="12792" max="12792" width="22.109375" style="28" customWidth="1"/>
    <col min="12793" max="12799" width="13.6640625" style="28" customWidth="1"/>
    <col min="12800" max="12800" width="15.88671875" style="28" customWidth="1"/>
    <col min="12801" max="12801" width="16.5546875" style="28" bestFit="1" customWidth="1"/>
    <col min="12802" max="12802" width="13.6640625" style="28" customWidth="1"/>
    <col min="12803" max="12803" width="17.109375" style="28" bestFit="1" customWidth="1"/>
    <col min="12804" max="12804" width="4" style="28" customWidth="1"/>
    <col min="12805" max="12805" width="13.6640625" style="28" customWidth="1"/>
    <col min="12806" max="13047" width="13.6640625" style="28"/>
    <col min="13048" max="13048" width="22.109375" style="28" customWidth="1"/>
    <col min="13049" max="13055" width="13.6640625" style="28" customWidth="1"/>
    <col min="13056" max="13056" width="15.88671875" style="28" customWidth="1"/>
    <col min="13057" max="13057" width="16.5546875" style="28" bestFit="1" customWidth="1"/>
    <col min="13058" max="13058" width="13.6640625" style="28" customWidth="1"/>
    <col min="13059" max="13059" width="17.109375" style="28" bestFit="1" customWidth="1"/>
    <col min="13060" max="13060" width="4" style="28" customWidth="1"/>
    <col min="13061" max="13061" width="13.6640625" style="28" customWidth="1"/>
    <col min="13062" max="13303" width="13.6640625" style="28"/>
    <col min="13304" max="13304" width="22.109375" style="28" customWidth="1"/>
    <col min="13305" max="13311" width="13.6640625" style="28" customWidth="1"/>
    <col min="13312" max="13312" width="15.88671875" style="28" customWidth="1"/>
    <col min="13313" max="13313" width="16.5546875" style="28" bestFit="1" customWidth="1"/>
    <col min="13314" max="13314" width="13.6640625" style="28" customWidth="1"/>
    <col min="13315" max="13315" width="17.109375" style="28" bestFit="1" customWidth="1"/>
    <col min="13316" max="13316" width="4" style="28" customWidth="1"/>
    <col min="13317" max="13317" width="13.6640625" style="28" customWidth="1"/>
    <col min="13318" max="13559" width="13.6640625" style="28"/>
    <col min="13560" max="13560" width="22.109375" style="28" customWidth="1"/>
    <col min="13561" max="13567" width="13.6640625" style="28" customWidth="1"/>
    <col min="13568" max="13568" width="15.88671875" style="28" customWidth="1"/>
    <col min="13569" max="13569" width="16.5546875" style="28" bestFit="1" customWidth="1"/>
    <col min="13570" max="13570" width="13.6640625" style="28" customWidth="1"/>
    <col min="13571" max="13571" width="17.109375" style="28" bestFit="1" customWidth="1"/>
    <col min="13572" max="13572" width="4" style="28" customWidth="1"/>
    <col min="13573" max="13573" width="13.6640625" style="28" customWidth="1"/>
    <col min="13574" max="13815" width="13.6640625" style="28"/>
    <col min="13816" max="13816" width="22.109375" style="28" customWidth="1"/>
    <col min="13817" max="13823" width="13.6640625" style="28" customWidth="1"/>
    <col min="13824" max="13824" width="15.88671875" style="28" customWidth="1"/>
    <col min="13825" max="13825" width="16.5546875" style="28" bestFit="1" customWidth="1"/>
    <col min="13826" max="13826" width="13.6640625" style="28" customWidth="1"/>
    <col min="13827" max="13827" width="17.109375" style="28" bestFit="1" customWidth="1"/>
    <col min="13828" max="13828" width="4" style="28" customWidth="1"/>
    <col min="13829" max="13829" width="13.6640625" style="28" customWidth="1"/>
    <col min="13830" max="14071" width="13.6640625" style="28"/>
    <col min="14072" max="14072" width="22.109375" style="28" customWidth="1"/>
    <col min="14073" max="14079" width="13.6640625" style="28" customWidth="1"/>
    <col min="14080" max="14080" width="15.88671875" style="28" customWidth="1"/>
    <col min="14081" max="14081" width="16.5546875" style="28" bestFit="1" customWidth="1"/>
    <col min="14082" max="14082" width="13.6640625" style="28" customWidth="1"/>
    <col min="14083" max="14083" width="17.109375" style="28" bestFit="1" customWidth="1"/>
    <col min="14084" max="14084" width="4" style="28" customWidth="1"/>
    <col min="14085" max="14085" width="13.6640625" style="28" customWidth="1"/>
    <col min="14086" max="14327" width="13.6640625" style="28"/>
    <col min="14328" max="14328" width="22.109375" style="28" customWidth="1"/>
    <col min="14329" max="14335" width="13.6640625" style="28" customWidth="1"/>
    <col min="14336" max="14336" width="15.88671875" style="28" customWidth="1"/>
    <col min="14337" max="14337" width="16.5546875" style="28" bestFit="1" customWidth="1"/>
    <col min="14338" max="14338" width="13.6640625" style="28" customWidth="1"/>
    <col min="14339" max="14339" width="17.109375" style="28" bestFit="1" customWidth="1"/>
    <col min="14340" max="14340" width="4" style="28" customWidth="1"/>
    <col min="14341" max="14341" width="13.6640625" style="28" customWidth="1"/>
    <col min="14342" max="14583" width="13.6640625" style="28"/>
    <col min="14584" max="14584" width="22.109375" style="28" customWidth="1"/>
    <col min="14585" max="14591" width="13.6640625" style="28" customWidth="1"/>
    <col min="14592" max="14592" width="15.88671875" style="28" customWidth="1"/>
    <col min="14593" max="14593" width="16.5546875" style="28" bestFit="1" customWidth="1"/>
    <col min="14594" max="14594" width="13.6640625" style="28" customWidth="1"/>
    <col min="14595" max="14595" width="17.109375" style="28" bestFit="1" customWidth="1"/>
    <col min="14596" max="14596" width="4" style="28" customWidth="1"/>
    <col min="14597" max="14597" width="13.6640625" style="28" customWidth="1"/>
    <col min="14598" max="14839" width="13.6640625" style="28"/>
    <col min="14840" max="14840" width="22.109375" style="28" customWidth="1"/>
    <col min="14841" max="14847" width="13.6640625" style="28" customWidth="1"/>
    <col min="14848" max="14848" width="15.88671875" style="28" customWidth="1"/>
    <col min="14849" max="14849" width="16.5546875" style="28" bestFit="1" customWidth="1"/>
    <col min="14850" max="14850" width="13.6640625" style="28" customWidth="1"/>
    <col min="14851" max="14851" width="17.109375" style="28" bestFit="1" customWidth="1"/>
    <col min="14852" max="14852" width="4" style="28" customWidth="1"/>
    <col min="14853" max="14853" width="13.6640625" style="28" customWidth="1"/>
    <col min="14854" max="15095" width="13.6640625" style="28"/>
    <col min="15096" max="15096" width="22.109375" style="28" customWidth="1"/>
    <col min="15097" max="15103" width="13.6640625" style="28" customWidth="1"/>
    <col min="15104" max="15104" width="15.88671875" style="28" customWidth="1"/>
    <col min="15105" max="15105" width="16.5546875" style="28" bestFit="1" customWidth="1"/>
    <col min="15106" max="15106" width="13.6640625" style="28" customWidth="1"/>
    <col min="15107" max="15107" width="17.109375" style="28" bestFit="1" customWidth="1"/>
    <col min="15108" max="15108" width="4" style="28" customWidth="1"/>
    <col min="15109" max="15109" width="13.6640625" style="28" customWidth="1"/>
    <col min="15110" max="15351" width="13.6640625" style="28"/>
    <col min="15352" max="15352" width="22.109375" style="28" customWidth="1"/>
    <col min="15353" max="15359" width="13.6640625" style="28" customWidth="1"/>
    <col min="15360" max="15360" width="15.88671875" style="28" customWidth="1"/>
    <col min="15361" max="15361" width="16.5546875" style="28" bestFit="1" customWidth="1"/>
    <col min="15362" max="15362" width="13.6640625" style="28" customWidth="1"/>
    <col min="15363" max="15363" width="17.109375" style="28" bestFit="1" customWidth="1"/>
    <col min="15364" max="15364" width="4" style="28" customWidth="1"/>
    <col min="15365" max="15365" width="13.6640625" style="28" customWidth="1"/>
    <col min="15366" max="15607" width="13.6640625" style="28"/>
    <col min="15608" max="15608" width="22.109375" style="28" customWidth="1"/>
    <col min="15609" max="15615" width="13.6640625" style="28" customWidth="1"/>
    <col min="15616" max="15616" width="15.88671875" style="28" customWidth="1"/>
    <col min="15617" max="15617" width="16.5546875" style="28" bestFit="1" customWidth="1"/>
    <col min="15618" max="15618" width="13.6640625" style="28" customWidth="1"/>
    <col min="15619" max="15619" width="17.109375" style="28" bestFit="1" customWidth="1"/>
    <col min="15620" max="15620" width="4" style="28" customWidth="1"/>
    <col min="15621" max="15621" width="13.6640625" style="28" customWidth="1"/>
    <col min="15622" max="15863" width="13.6640625" style="28"/>
    <col min="15864" max="15864" width="22.109375" style="28" customWidth="1"/>
    <col min="15865" max="15871" width="13.6640625" style="28" customWidth="1"/>
    <col min="15872" max="15872" width="15.88671875" style="28" customWidth="1"/>
    <col min="15873" max="15873" width="16.5546875" style="28" bestFit="1" customWidth="1"/>
    <col min="15874" max="15874" width="13.6640625" style="28" customWidth="1"/>
    <col min="15875" max="15875" width="17.109375" style="28" bestFit="1" customWidth="1"/>
    <col min="15876" max="15876" width="4" style="28" customWidth="1"/>
    <col min="15877" max="15877" width="13.6640625" style="28" customWidth="1"/>
    <col min="15878" max="16119" width="13.6640625" style="28"/>
    <col min="16120" max="16120" width="22.109375" style="28" customWidth="1"/>
    <col min="16121" max="16127" width="13.6640625" style="28" customWidth="1"/>
    <col min="16128" max="16128" width="15.88671875" style="28" customWidth="1"/>
    <col min="16129" max="16129" width="16.5546875" style="28" bestFit="1" customWidth="1"/>
    <col min="16130" max="16130" width="13.6640625" style="28" customWidth="1"/>
    <col min="16131" max="16131" width="17.109375" style="28" bestFit="1" customWidth="1"/>
    <col min="16132" max="16132" width="4" style="28" customWidth="1"/>
    <col min="16133" max="16133" width="13.6640625" style="28" customWidth="1"/>
    <col min="16134" max="16384" width="13.6640625" style="28"/>
  </cols>
  <sheetData>
    <row r="1" spans="1:26" s="22" customFormat="1">
      <c r="A1" s="450" t="s">
        <v>4</v>
      </c>
      <c r="B1" s="164"/>
      <c r="C1" s="164"/>
      <c r="D1" s="88"/>
      <c r="E1" s="88"/>
      <c r="F1" s="165"/>
      <c r="G1" s="88"/>
      <c r="H1" s="88"/>
    </row>
    <row r="2" spans="1:26" s="22" customFormat="1" ht="48.6">
      <c r="A2" s="88"/>
      <c r="B2" s="164"/>
      <c r="C2" s="164"/>
      <c r="D2" s="166"/>
      <c r="E2" s="417" t="s">
        <v>482</v>
      </c>
      <c r="F2" s="417" t="s">
        <v>483</v>
      </c>
      <c r="G2" s="166"/>
      <c r="H2" s="88"/>
    </row>
    <row r="3" spans="1:26" s="22" customFormat="1" ht="15.6">
      <c r="A3" s="37" t="str">
        <f>'2-Kosten per locatie'!A3</f>
        <v>Naam opdrachtgever</v>
      </c>
      <c r="B3" s="148" t="str">
        <f>'2-Kosten per locatie'!B3</f>
        <v>Gemeente Westerkwartier</v>
      </c>
      <c r="C3" s="148"/>
      <c r="D3" s="166"/>
      <c r="E3" s="418" t="s">
        <v>484</v>
      </c>
      <c r="F3" s="419"/>
      <c r="G3" s="166"/>
      <c r="H3" s="88"/>
    </row>
    <row r="4" spans="1:26" s="22" customFormat="1" ht="15.6">
      <c r="A4" s="37" t="str">
        <f>'2-Kosten per locatie'!A4</f>
        <v>Calculatie onderdeel</v>
      </c>
      <c r="B4" s="148" t="str">
        <f ca="1">MID(CELL("bestandsnaam",$C$9),SEARCH("]",CELL("bestandsnaam",$C$9),1)+1,256)</f>
        <v>11-Vloeronderhoud</v>
      </c>
      <c r="C4" s="148"/>
      <c r="D4" s="166"/>
      <c r="E4" s="166"/>
      <c r="F4" s="166"/>
      <c r="G4" s="166"/>
      <c r="H4" s="88"/>
    </row>
    <row r="5" spans="1:26" s="22" customFormat="1" ht="15.6">
      <c r="A5" s="37" t="str">
        <f>'2-Kosten per locatie'!A5</f>
        <v>Gebouw/plaats</v>
      </c>
      <c r="B5" s="148" t="str">
        <f>'2-Kosten per locatie'!B5</f>
        <v>Perceel 2 sportlocaties</v>
      </c>
      <c r="C5" s="148"/>
      <c r="D5" s="166"/>
      <c r="E5" s="166"/>
      <c r="F5" s="166"/>
      <c r="G5" s="166"/>
      <c r="H5" s="167"/>
      <c r="J5" s="24"/>
      <c r="K5" s="23"/>
      <c r="L5" s="24"/>
      <c r="M5" s="24"/>
      <c r="N5" s="23"/>
      <c r="O5" s="25"/>
      <c r="P5" s="24"/>
      <c r="Q5" s="23"/>
      <c r="R5" s="24"/>
      <c r="S5" s="24"/>
      <c r="T5" s="23"/>
      <c r="U5" s="24"/>
      <c r="V5" s="24"/>
      <c r="W5" s="23"/>
      <c r="X5" s="24"/>
      <c r="Y5" s="24"/>
      <c r="Z5" s="23"/>
    </row>
    <row r="6" spans="1:26" s="22" customFormat="1" ht="17.25" customHeight="1">
      <c r="A6" s="37" t="str">
        <f>'2-Kosten per locatie'!A6</f>
        <v>Referentie nummer</v>
      </c>
      <c r="B6" s="148">
        <f>'2-Kosten per locatie'!B6</f>
        <v>0</v>
      </c>
      <c r="C6" s="148"/>
      <c r="D6" s="166"/>
      <c r="E6" s="166"/>
      <c r="F6" s="166"/>
      <c r="G6" s="166"/>
      <c r="H6" s="167"/>
      <c r="J6" s="26"/>
      <c r="K6" s="27"/>
      <c r="L6" s="24"/>
      <c r="M6" s="26"/>
      <c r="N6" s="27"/>
      <c r="O6" s="25"/>
      <c r="P6" s="26"/>
      <c r="Q6" s="27"/>
      <c r="R6" s="24"/>
      <c r="S6" s="26"/>
      <c r="T6" s="27"/>
      <c r="U6" s="24"/>
      <c r="V6" s="26"/>
      <c r="W6" s="27"/>
      <c r="X6" s="24"/>
      <c r="Y6" s="26"/>
      <c r="Z6" s="27"/>
    </row>
    <row r="7" spans="1:26" s="22" customFormat="1" ht="17.25" customHeight="1">
      <c r="A7" s="37" t="str">
        <f>'2-Kosten per locatie'!A7</f>
        <v>Naam dienstverlener</v>
      </c>
      <c r="B7" s="148">
        <f>'2-Kosten per locatie'!B7</f>
        <v>0</v>
      </c>
      <c r="C7" s="110"/>
      <c r="D7" s="166"/>
      <c r="E7" s="166"/>
      <c r="F7" s="166"/>
      <c r="G7" s="166"/>
      <c r="H7" s="167"/>
    </row>
    <row r="8" spans="1:26" s="22" customFormat="1" ht="17.25" customHeight="1">
      <c r="A8" s="37" t="str">
        <f>'2-Kosten per locatie'!A8</f>
        <v>Prijspeil</v>
      </c>
      <c r="B8" s="264">
        <f>'2-Kosten per locatie'!B8</f>
        <v>46023</v>
      </c>
      <c r="C8" s="47"/>
      <c r="D8" s="166"/>
      <c r="E8" s="166"/>
      <c r="F8" s="166"/>
      <c r="G8" s="166"/>
      <c r="H8" s="167"/>
    </row>
    <row r="9" spans="1:26" s="22" customFormat="1" ht="17.25" customHeight="1">
      <c r="A9" s="166"/>
      <c r="B9" s="166"/>
      <c r="C9" s="166"/>
      <c r="D9" s="166"/>
      <c r="E9" s="166"/>
      <c r="F9" s="166"/>
      <c r="G9" s="166"/>
      <c r="H9" s="167"/>
    </row>
    <row r="10" spans="1:26" s="22" customFormat="1" ht="17.25" customHeight="1">
      <c r="A10" s="166"/>
      <c r="B10" s="166"/>
      <c r="C10" s="166"/>
      <c r="D10" s="166"/>
      <c r="E10" s="166"/>
      <c r="F10" s="166"/>
      <c r="G10" s="166"/>
      <c r="H10" s="167"/>
    </row>
    <row r="11" spans="1:26" s="22" customFormat="1" ht="15.6">
      <c r="A11" s="168"/>
      <c r="B11" s="166"/>
      <c r="C11" s="166"/>
      <c r="D11" s="169"/>
      <c r="E11" s="166"/>
      <c r="F11" s="170"/>
      <c r="G11" s="169"/>
      <c r="H11" s="167"/>
    </row>
    <row r="12" spans="1:26" s="29" customFormat="1" ht="43.5" customHeight="1">
      <c r="A12" s="421" t="s">
        <v>22</v>
      </c>
      <c r="B12" s="422" t="s">
        <v>485</v>
      </c>
      <c r="C12" s="422" t="s">
        <v>482</v>
      </c>
      <c r="D12" s="417" t="s">
        <v>474</v>
      </c>
      <c r="E12" s="422" t="s">
        <v>475</v>
      </c>
      <c r="F12" s="422" t="s">
        <v>476</v>
      </c>
      <c r="G12" s="422" t="s">
        <v>477</v>
      </c>
      <c r="H12" s="422" t="s">
        <v>478</v>
      </c>
    </row>
    <row r="13" spans="1:26">
      <c r="A13" s="269" t="s">
        <v>32</v>
      </c>
      <c r="B13" s="418" t="s">
        <v>486</v>
      </c>
      <c r="C13" s="418" t="s">
        <v>484</v>
      </c>
      <c r="D13" s="436">
        <v>250.3</v>
      </c>
      <c r="E13" s="437">
        <f>VLOOKUP(C13,$E$3:$F$10,2,FALSE)</f>
        <v>0</v>
      </c>
      <c r="F13" s="438">
        <f>D13*E13</f>
        <v>0</v>
      </c>
      <c r="G13" s="439" t="s">
        <v>487</v>
      </c>
      <c r="H13" s="438">
        <f>F13*G13</f>
        <v>0</v>
      </c>
    </row>
    <row r="14" spans="1:26">
      <c r="A14" s="269" t="s">
        <v>31</v>
      </c>
      <c r="B14" s="418" t="s">
        <v>486</v>
      </c>
      <c r="C14" s="418" t="s">
        <v>484</v>
      </c>
      <c r="D14" s="436">
        <v>616</v>
      </c>
      <c r="E14" s="437">
        <f t="shared" ref="E14:E16" si="0">VLOOKUP(C14,$E$3:$F$10,2,FALSE)</f>
        <v>0</v>
      </c>
      <c r="F14" s="438">
        <f t="shared" ref="F14:F16" si="1">D14*E14</f>
        <v>0</v>
      </c>
      <c r="G14" s="439" t="s">
        <v>481</v>
      </c>
      <c r="H14" s="438">
        <f t="shared" ref="H14:H16" si="2">F14*G14</f>
        <v>0</v>
      </c>
    </row>
    <row r="15" spans="1:26">
      <c r="A15" s="269" t="s">
        <v>29</v>
      </c>
      <c r="B15" s="418" t="s">
        <v>486</v>
      </c>
      <c r="C15" s="418" t="s">
        <v>484</v>
      </c>
      <c r="D15" s="436">
        <v>252</v>
      </c>
      <c r="E15" s="437">
        <f t="shared" si="0"/>
        <v>0</v>
      </c>
      <c r="F15" s="438">
        <f t="shared" si="1"/>
        <v>0</v>
      </c>
      <c r="G15" s="439" t="s">
        <v>487</v>
      </c>
      <c r="H15" s="438">
        <f t="shared" si="2"/>
        <v>0</v>
      </c>
    </row>
    <row r="16" spans="1:26">
      <c r="A16" s="269" t="s">
        <v>34</v>
      </c>
      <c r="B16" s="418" t="s">
        <v>486</v>
      </c>
      <c r="C16" s="418" t="s">
        <v>484</v>
      </c>
      <c r="D16" s="436">
        <v>942</v>
      </c>
      <c r="E16" s="437">
        <f t="shared" si="0"/>
        <v>0</v>
      </c>
      <c r="F16" s="438">
        <f t="shared" si="1"/>
        <v>0</v>
      </c>
      <c r="G16" s="439" t="s">
        <v>487</v>
      </c>
      <c r="H16" s="438">
        <f t="shared" si="2"/>
        <v>0</v>
      </c>
    </row>
    <row r="17" spans="1:8">
      <c r="B17" s="171"/>
      <c r="C17" s="171"/>
      <c r="D17" s="265"/>
      <c r="E17" s="265"/>
      <c r="F17" s="265"/>
      <c r="G17" s="265"/>
      <c r="H17" s="265"/>
    </row>
    <row r="18" spans="1:8">
      <c r="A18" s="428" t="s">
        <v>35</v>
      </c>
      <c r="B18" s="429"/>
      <c r="C18" s="430"/>
      <c r="D18" s="431">
        <f>SUM(D13:D16)</f>
        <v>2060.3000000000002</v>
      </c>
      <c r="E18" s="432"/>
      <c r="F18" s="433"/>
      <c r="G18" s="434"/>
      <c r="H18" s="435">
        <f>SUM(H13:H16)</f>
        <v>0</v>
      </c>
    </row>
  </sheetData>
  <phoneticPr fontId="73" type="noConversion"/>
  <dataValidations count="1">
    <dataValidation type="list" allowBlank="1" showInputMessage="1" showErrorMessage="1" sqref="C13:C16"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25"/>
  <sheetViews>
    <sheetView showGridLines="0" showZeros="0" zoomScale="70" zoomScaleNormal="70" workbookViewId="0"/>
  </sheetViews>
  <sheetFormatPr defaultColWidth="8.6640625" defaultRowHeight="14.1" customHeight="1"/>
  <cols>
    <col min="1" max="1" width="34.6640625" style="39" customWidth="1"/>
    <col min="2" max="2" width="19.33203125" style="39" customWidth="1"/>
    <col min="3" max="3" width="16" style="39" customWidth="1"/>
    <col min="4" max="5" width="13.6640625" style="40" customWidth="1"/>
    <col min="6" max="6" width="14.88671875" style="40" bestFit="1" customWidth="1"/>
    <col min="7" max="7" width="13.6640625" style="40" customWidth="1"/>
    <col min="8" max="8" width="15.33203125" style="40" bestFit="1" customWidth="1"/>
    <col min="9" max="9" width="19.109375" style="40" bestFit="1" customWidth="1"/>
    <col min="10" max="14" width="13.6640625" style="40" customWidth="1"/>
    <col min="15" max="15" width="19.109375" style="40" customWidth="1"/>
    <col min="16" max="16" width="17.33203125" style="40" customWidth="1"/>
    <col min="17" max="17" width="13.6640625" style="40" customWidth="1"/>
    <col min="18" max="18" width="16.5546875" style="40" customWidth="1"/>
    <col min="19" max="23" width="13.6640625" style="40" customWidth="1"/>
    <col min="24" max="28" width="13.33203125" style="40" customWidth="1"/>
    <col min="29" max="29" width="14.6640625" style="40" customWidth="1"/>
    <col min="30" max="33" width="13.33203125" style="40" customWidth="1"/>
    <col min="34" max="16384" width="8.6640625" style="39"/>
  </cols>
  <sheetData>
    <row r="1" spans="1:33" ht="14.1" customHeight="1">
      <c r="A1" s="267" t="s">
        <v>4</v>
      </c>
      <c r="E1" s="211" t="s">
        <v>5</v>
      </c>
      <c r="F1" s="212"/>
      <c r="G1" s="41"/>
      <c r="J1" s="213" t="s">
        <v>6</v>
      </c>
      <c r="K1" s="214"/>
      <c r="L1" s="214"/>
      <c r="M1" s="214"/>
      <c r="N1" s="214"/>
      <c r="O1" s="215"/>
      <c r="P1" s="198" t="e">
        <f>N21</f>
        <v>#DIV/0!</v>
      </c>
    </row>
    <row r="2" spans="1:33" ht="14.1" customHeight="1">
      <c r="E2" s="199"/>
      <c r="F2" s="42" t="s">
        <v>7</v>
      </c>
      <c r="G2" s="41"/>
      <c r="J2" s="43" t="s">
        <v>8</v>
      </c>
      <c r="K2" s="44"/>
      <c r="L2" s="44"/>
      <c r="M2" s="44"/>
      <c r="N2" s="44"/>
      <c r="O2" s="45">
        <v>0.21</v>
      </c>
      <c r="P2" s="201" t="e">
        <f>O2*P1</f>
        <v>#DIV/0!</v>
      </c>
    </row>
    <row r="3" spans="1:33" ht="14.1" customHeight="1">
      <c r="A3" s="37" t="s">
        <v>0</v>
      </c>
      <c r="B3" s="38" t="s">
        <v>9</v>
      </c>
      <c r="C3" s="466"/>
      <c r="D3" s="41"/>
      <c r="E3" s="41"/>
      <c r="G3" s="41"/>
      <c r="H3" s="41"/>
      <c r="I3" s="41"/>
      <c r="J3" s="43" t="s">
        <v>10</v>
      </c>
      <c r="K3" s="44"/>
      <c r="L3" s="44"/>
      <c r="M3" s="44"/>
      <c r="N3" s="44"/>
      <c r="O3" s="44"/>
      <c r="P3" s="202" t="e">
        <f>P1+P2</f>
        <v>#DIV/0!</v>
      </c>
      <c r="AF3" s="41"/>
      <c r="AG3" s="41"/>
    </row>
    <row r="4" spans="1:33" ht="14.1" customHeight="1">
      <c r="A4" s="37" t="s">
        <v>1</v>
      </c>
      <c r="B4" s="46" t="str">
        <f ca="1">MID(CELL("bestandsnaam",$B$13),SEARCH("]",CELL("bestandsnaam",$B$13),1)+1,256)</f>
        <v>2-Kosten per locatie</v>
      </c>
      <c r="C4" s="38"/>
      <c r="D4" s="41"/>
      <c r="E4" s="211" t="s">
        <v>11</v>
      </c>
      <c r="F4" s="212"/>
      <c r="G4" s="41"/>
      <c r="H4" s="41"/>
      <c r="I4" s="41"/>
      <c r="J4" s="44"/>
      <c r="K4" s="44"/>
      <c r="L4" s="44"/>
      <c r="M4" s="44"/>
      <c r="N4" s="44"/>
      <c r="O4" s="44"/>
      <c r="P4" s="200"/>
      <c r="AF4" s="41"/>
      <c r="AG4" s="41"/>
    </row>
    <row r="5" spans="1:33" ht="14.1" customHeight="1">
      <c r="A5" s="37" t="s">
        <v>2</v>
      </c>
      <c r="B5" s="38" t="s">
        <v>12</v>
      </c>
      <c r="C5" s="466"/>
      <c r="D5" s="41"/>
      <c r="E5" s="203"/>
      <c r="F5" s="42" t="s">
        <v>13</v>
      </c>
      <c r="G5" s="41"/>
      <c r="H5" s="41"/>
      <c r="I5" s="41"/>
      <c r="J5" s="216" t="s">
        <v>14</v>
      </c>
      <c r="K5" s="217"/>
      <c r="L5" s="217"/>
      <c r="M5" s="217"/>
      <c r="N5" s="217"/>
      <c r="O5" s="217"/>
      <c r="P5" s="204">
        <v>58000</v>
      </c>
      <c r="AF5" s="41"/>
      <c r="AG5" s="41"/>
    </row>
    <row r="6" spans="1:33" ht="14.1" customHeight="1">
      <c r="A6" s="37" t="s">
        <v>3</v>
      </c>
      <c r="B6" s="178"/>
      <c r="C6" s="179"/>
      <c r="D6" s="41"/>
      <c r="E6" s="41"/>
      <c r="F6" s="41"/>
      <c r="G6" s="41"/>
      <c r="H6" s="41"/>
      <c r="I6" s="41"/>
      <c r="J6" s="216" t="s">
        <v>15</v>
      </c>
      <c r="K6" s="217"/>
      <c r="L6" s="217"/>
      <c r="M6" s="217"/>
      <c r="N6" s="217"/>
      <c r="O6" s="217"/>
      <c r="P6" s="204">
        <v>52000</v>
      </c>
      <c r="AF6" s="41"/>
      <c r="AG6" s="41"/>
    </row>
    <row r="7" spans="1:33" ht="14.1" customHeight="1">
      <c r="A7" s="37" t="s">
        <v>16</v>
      </c>
      <c r="B7" s="178"/>
      <c r="C7" s="179"/>
      <c r="D7" s="41"/>
      <c r="E7" s="41"/>
      <c r="F7" s="41"/>
      <c r="G7" s="41"/>
      <c r="H7" s="41"/>
      <c r="I7" s="41"/>
      <c r="J7" s="41"/>
      <c r="K7" s="41"/>
      <c r="V7" s="41"/>
      <c r="W7" s="39"/>
      <c r="X7" s="39"/>
      <c r="Y7" s="39"/>
      <c r="AF7" s="41"/>
      <c r="AG7" s="41"/>
    </row>
    <row r="8" spans="1:33" ht="14.1" customHeight="1">
      <c r="A8" s="37" t="s">
        <v>17</v>
      </c>
      <c r="B8" s="47">
        <v>46023</v>
      </c>
      <c r="C8" s="37"/>
      <c r="D8" s="41"/>
      <c r="E8" s="41"/>
      <c r="F8" s="41"/>
      <c r="G8" s="41"/>
      <c r="H8" s="41"/>
      <c r="I8" s="41"/>
      <c r="J8" s="41"/>
      <c r="K8" s="41"/>
      <c r="L8" s="41"/>
      <c r="M8" s="41"/>
      <c r="N8" s="41"/>
      <c r="O8" s="41"/>
      <c r="P8" s="41"/>
      <c r="Q8" s="41"/>
      <c r="R8" s="41"/>
      <c r="S8" s="41"/>
      <c r="T8" s="41"/>
      <c r="U8" s="41"/>
      <c r="V8" s="41"/>
      <c r="W8" s="41"/>
      <c r="X8" s="41"/>
      <c r="Y8" s="41"/>
      <c r="Z8" s="41"/>
      <c r="AA8" s="48"/>
      <c r="AB8" s="48"/>
      <c r="AC8" s="48"/>
      <c r="AD8" s="48"/>
      <c r="AE8" s="48"/>
      <c r="AF8" s="41"/>
      <c r="AG8" s="41"/>
    </row>
    <row r="9" spans="1:33" ht="14.1" customHeight="1">
      <c r="A9" s="37" t="s">
        <v>18</v>
      </c>
      <c r="B9" s="49" t="s">
        <v>489</v>
      </c>
      <c r="C9" s="37"/>
      <c r="D9" s="455"/>
      <c r="E9" s="456"/>
      <c r="F9" s="455"/>
      <c r="G9" s="41"/>
      <c r="H9" s="41"/>
      <c r="I9" s="41"/>
      <c r="J9" s="50"/>
      <c r="L9" s="41"/>
      <c r="M9" s="41"/>
      <c r="P9" s="41"/>
      <c r="Q9" s="41"/>
      <c r="V9" s="41"/>
      <c r="W9" s="39"/>
      <c r="X9" s="39"/>
      <c r="Y9" s="39"/>
      <c r="Z9" s="39"/>
      <c r="AA9" s="39"/>
      <c r="AB9" s="39"/>
      <c r="AC9" s="39"/>
      <c r="AD9" s="39"/>
      <c r="AE9" s="39"/>
      <c r="AF9" s="41"/>
      <c r="AG9" s="41"/>
    </row>
    <row r="10" spans="1:33" ht="14.1" customHeight="1">
      <c r="A10" s="37"/>
      <c r="B10" s="37"/>
      <c r="C10" s="37"/>
      <c r="D10" s="41"/>
      <c r="E10" s="41"/>
      <c r="F10" s="41"/>
      <c r="G10" s="41"/>
      <c r="H10" s="41"/>
      <c r="I10" s="41"/>
      <c r="J10" s="50"/>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3" ht="14.1" customHeight="1">
      <c r="A11" s="37"/>
      <c r="B11" s="37"/>
      <c r="C11" s="37"/>
      <c r="D11" s="41"/>
      <c r="E11" s="41"/>
      <c r="F11" s="41"/>
      <c r="G11" s="41"/>
      <c r="H11" s="41"/>
      <c r="I11" s="41"/>
      <c r="J11" s="50"/>
      <c r="K11" s="41"/>
      <c r="L11" s="41"/>
      <c r="M11" s="41"/>
      <c r="N11" s="41"/>
      <c r="O11" s="41"/>
      <c r="P11" s="41"/>
      <c r="Q11" s="41"/>
      <c r="R11" s="41"/>
      <c r="S11" s="41"/>
      <c r="T11" s="41"/>
      <c r="U11" s="41"/>
      <c r="V11" s="41"/>
      <c r="W11" s="41"/>
      <c r="X11" s="41"/>
      <c r="Y11" s="41"/>
      <c r="Z11" s="41"/>
      <c r="AA11" s="41"/>
      <c r="AB11" s="41"/>
      <c r="AC11" s="41"/>
      <c r="AD11" s="41"/>
      <c r="AE11" s="41"/>
      <c r="AF11" s="41"/>
      <c r="AG11" s="41"/>
    </row>
    <row r="12" spans="1:33" ht="15.6">
      <c r="C12" s="47"/>
      <c r="J12" s="51"/>
      <c r="Q12" s="41"/>
      <c r="R12" s="41"/>
      <c r="S12" s="41"/>
      <c r="T12" s="41"/>
      <c r="U12" s="41"/>
      <c r="V12" s="41"/>
      <c r="W12" s="41"/>
      <c r="X12" s="41"/>
      <c r="Y12" s="41"/>
      <c r="Z12" s="41"/>
      <c r="AA12" s="41"/>
      <c r="AB12" s="41"/>
      <c r="AC12" s="41"/>
      <c r="AD12" s="41"/>
      <c r="AE12" s="41"/>
      <c r="AF12" s="41"/>
      <c r="AG12" s="41"/>
    </row>
    <row r="13" spans="1:33" ht="87" customHeight="1">
      <c r="A13" s="52"/>
      <c r="B13" s="52"/>
      <c r="C13" s="52"/>
      <c r="D13" s="52"/>
      <c r="E13" s="470" t="s">
        <v>19</v>
      </c>
      <c r="F13" s="470" t="s">
        <v>20</v>
      </c>
      <c r="G13" s="470" t="s">
        <v>21</v>
      </c>
      <c r="P13" s="41"/>
      <c r="Q13" s="41"/>
      <c r="R13" s="41"/>
      <c r="S13" s="41"/>
      <c r="T13" s="41"/>
      <c r="U13" s="41"/>
      <c r="V13" s="41"/>
      <c r="W13" s="41"/>
      <c r="X13" s="41"/>
      <c r="Y13" s="41"/>
      <c r="Z13" s="41"/>
      <c r="AA13" s="41"/>
      <c r="AB13" s="41"/>
      <c r="AC13" s="41"/>
      <c r="AD13" s="41"/>
      <c r="AE13" s="41"/>
      <c r="AF13" s="41"/>
      <c r="AG13" s="41"/>
    </row>
    <row r="14" spans="1:33" ht="64.5" customHeight="1">
      <c r="A14" s="268" t="s">
        <v>22</v>
      </c>
      <c r="B14" s="218" t="s">
        <v>23</v>
      </c>
      <c r="C14" s="218" t="s">
        <v>24</v>
      </c>
      <c r="D14" s="219" t="s">
        <v>25</v>
      </c>
      <c r="E14" s="220" t="s">
        <v>26</v>
      </c>
      <c r="F14" s="220" t="s">
        <v>27</v>
      </c>
      <c r="G14" s="220" t="s">
        <v>28</v>
      </c>
      <c r="I14" s="221" t="s">
        <v>36</v>
      </c>
      <c r="J14" s="221" t="s">
        <v>37</v>
      </c>
      <c r="K14" s="221" t="s">
        <v>38</v>
      </c>
      <c r="L14" s="221" t="s">
        <v>39</v>
      </c>
      <c r="M14" s="221" t="s">
        <v>40</v>
      </c>
      <c r="N14" s="221" t="s">
        <v>41</v>
      </c>
      <c r="O14" s="221" t="s">
        <v>42</v>
      </c>
      <c r="P14" s="41"/>
      <c r="Q14" s="41"/>
      <c r="R14" s="41"/>
      <c r="S14" s="41"/>
      <c r="T14" s="41"/>
      <c r="U14" s="41"/>
      <c r="V14" s="41"/>
      <c r="W14" s="41"/>
      <c r="X14" s="41"/>
      <c r="Y14" s="41"/>
      <c r="Z14" s="41"/>
      <c r="AA14" s="41"/>
      <c r="AB14" s="39"/>
      <c r="AC14" s="39"/>
      <c r="AD14" s="39"/>
      <c r="AE14" s="39"/>
      <c r="AF14" s="39"/>
      <c r="AG14" s="39"/>
    </row>
    <row r="15" spans="1:33" ht="15" customHeight="1">
      <c r="A15" s="269" t="s">
        <v>29</v>
      </c>
      <c r="B15" s="440">
        <f>SUMIF('4-Basis ruimtestaat'!B:B,'2-Kosten per locatie'!A15,'4-Basis ruimtestaat'!I:I)</f>
        <v>417.34</v>
      </c>
      <c r="C15" s="205"/>
      <c r="D15" s="206">
        <f>_xlfn.MAXIFS('4-Basis ruimtestaat'!K:K,'4-Basis ruimtestaat'!B:B,'2-Kosten per locatie'!A15)</f>
        <v>120</v>
      </c>
      <c r="E15" s="442" t="e">
        <f>SUMIF('4-Basis ruimtestaat'!B:B,'2-Kosten per locatie'!A15,'4-Basis ruimtestaat'!L:L)</f>
        <v>#DIV/0!</v>
      </c>
      <c r="F15" s="442" t="e">
        <f t="shared" ref="F15:F20" si="0">IF(E15&lt;(D15*$E$2),D15*$E$2-E15,0)</f>
        <v>#DIV/0!</v>
      </c>
      <c r="G15" s="442" t="e">
        <f t="shared" ref="G15:G20" si="1">E15*$E$5</f>
        <v>#DIV/0!</v>
      </c>
      <c r="I15" s="54" t="e">
        <f>(E15+F15)*'6-Opbouw uurtarief productie'!$E$47</f>
        <v>#DIV/0!</v>
      </c>
      <c r="J15" s="55" t="e">
        <f>G15*'7-Opbouw uurtarief toezicht'!$E$47</f>
        <v>#DIV/0!</v>
      </c>
      <c r="K15" s="210">
        <f>SUMIF('11-Vloeronderhoud'!A:A,'2-Kosten per locatie'!A15,'11-Vloeronderhoud'!H:H)</f>
        <v>0</v>
      </c>
      <c r="L15" s="273">
        <f>SUMIF('8-Additionele kosten'!A:A,'2-Kosten per locatie'!A15,'8-Additionele kosten'!H:H)</f>
        <v>0</v>
      </c>
      <c r="M15" s="273">
        <f>SUMIF('10-Glasbewassing'!A:A,'2-Kosten per locatie'!A15,'10-Glasbewassing'!H:H)</f>
        <v>0</v>
      </c>
      <c r="N15" s="273" t="e">
        <f t="shared" ref="N15:N20" si="2">SUM(I15:M15)</f>
        <v>#DIV/0!</v>
      </c>
      <c r="O15" s="273" t="e">
        <f t="shared" ref="O15:O16" si="3">N15/12</f>
        <v>#DIV/0!</v>
      </c>
      <c r="P15" s="41"/>
      <c r="Q15" s="41"/>
      <c r="R15" s="41"/>
      <c r="S15" s="41"/>
      <c r="T15" s="41"/>
      <c r="U15" s="41"/>
      <c r="V15" s="41"/>
      <c r="W15" s="41"/>
      <c r="X15" s="41"/>
      <c r="Y15" s="41"/>
      <c r="Z15" s="41"/>
      <c r="AA15" s="41"/>
      <c r="AB15" s="39"/>
      <c r="AC15" s="39"/>
      <c r="AD15" s="39"/>
      <c r="AE15" s="39"/>
      <c r="AF15" s="39"/>
      <c r="AG15" s="39"/>
    </row>
    <row r="16" spans="1:33" ht="15" customHeight="1">
      <c r="A16" s="269" t="s">
        <v>30</v>
      </c>
      <c r="B16" s="440">
        <f>SUMIF('4-Basis ruimtestaat'!B:B,'2-Kosten per locatie'!A16,'4-Basis ruimtestaat'!I:I)</f>
        <v>1429.56</v>
      </c>
      <c r="C16" s="205"/>
      <c r="D16" s="206">
        <f>_xlfn.MAXIFS('4-Basis ruimtestaat'!K:K,'4-Basis ruimtestaat'!B:B,'2-Kosten per locatie'!A16)</f>
        <v>0</v>
      </c>
      <c r="E16" s="442">
        <f>SUMIF('4-Basis ruimtestaat'!B:B,'2-Kosten per locatie'!A16,'4-Basis ruimtestaat'!L:L)</f>
        <v>0</v>
      </c>
      <c r="F16" s="442">
        <f t="shared" si="0"/>
        <v>0</v>
      </c>
      <c r="G16" s="442">
        <f t="shared" si="1"/>
        <v>0</v>
      </c>
      <c r="I16" s="54" t="e">
        <f>(E16+F16)*'6-Opbouw uurtarief productie'!$E$47</f>
        <v>#DIV/0!</v>
      </c>
      <c r="J16" s="55" t="e">
        <f>G16*'7-Opbouw uurtarief toezicht'!$E$47</f>
        <v>#DIV/0!</v>
      </c>
      <c r="K16" s="210">
        <f>SUMIF('11-Vloeronderhoud'!A:A,'2-Kosten per locatie'!A16,'11-Vloeronderhoud'!H:H)</f>
        <v>0</v>
      </c>
      <c r="L16" s="273">
        <f>SUMIF('8-Additionele kosten'!A:A,'2-Kosten per locatie'!A16,'8-Additionele kosten'!H:H)</f>
        <v>0</v>
      </c>
      <c r="M16" s="273">
        <f>SUMIF('10-Glasbewassing'!A:A,'2-Kosten per locatie'!A16,'10-Glasbewassing'!H:H)</f>
        <v>0</v>
      </c>
      <c r="N16" s="273" t="e">
        <f t="shared" si="2"/>
        <v>#DIV/0!</v>
      </c>
      <c r="O16" s="273" t="e">
        <f t="shared" si="3"/>
        <v>#DIV/0!</v>
      </c>
      <c r="P16" s="41"/>
      <c r="Q16" s="41"/>
      <c r="R16" s="41"/>
      <c r="S16" s="41"/>
      <c r="T16" s="41"/>
      <c r="U16" s="41"/>
      <c r="V16" s="41"/>
      <c r="W16" s="41"/>
      <c r="X16" s="41"/>
      <c r="Y16" s="41"/>
      <c r="Z16" s="41"/>
      <c r="AA16" s="41"/>
      <c r="AB16" s="39"/>
      <c r="AC16" s="39"/>
      <c r="AD16" s="39"/>
      <c r="AE16" s="39"/>
      <c r="AF16" s="39"/>
      <c r="AG16" s="39"/>
    </row>
    <row r="17" spans="1:33" ht="15" customHeight="1">
      <c r="A17" s="270" t="s">
        <v>31</v>
      </c>
      <c r="B17" s="440">
        <f>SUMIF('4-Basis ruimtestaat'!B:B,'2-Kosten per locatie'!A17,'4-Basis ruimtestaat'!I:I)</f>
        <v>1071.8</v>
      </c>
      <c r="C17" s="205"/>
      <c r="D17" s="206">
        <f>_xlfn.MAXIFS('4-Basis ruimtestaat'!K:K,'4-Basis ruimtestaat'!B:B,'2-Kosten per locatie'!A17)</f>
        <v>225</v>
      </c>
      <c r="E17" s="442" t="e">
        <f>SUMIF('4-Basis ruimtestaat'!B:B,'2-Kosten per locatie'!A17,'4-Basis ruimtestaat'!L:L)</f>
        <v>#DIV/0!</v>
      </c>
      <c r="F17" s="442" t="e">
        <f t="shared" si="0"/>
        <v>#DIV/0!</v>
      </c>
      <c r="G17" s="442" t="e">
        <f t="shared" si="1"/>
        <v>#DIV/0!</v>
      </c>
      <c r="I17" s="54" t="e">
        <f>(E17+F17)*'6-Opbouw uurtarief productie'!$E$47</f>
        <v>#DIV/0!</v>
      </c>
      <c r="J17" s="55" t="e">
        <f>G17*'7-Opbouw uurtarief toezicht'!$E$47</f>
        <v>#DIV/0!</v>
      </c>
      <c r="K17" s="210">
        <f>SUMIF('11-Vloeronderhoud'!A:A,'2-Kosten per locatie'!A17,'11-Vloeronderhoud'!H:H)</f>
        <v>0</v>
      </c>
      <c r="L17" s="273">
        <f>SUMIF('8-Additionele kosten'!A:A,'2-Kosten per locatie'!A17,'8-Additionele kosten'!H:H)</f>
        <v>0</v>
      </c>
      <c r="M17" s="273">
        <f>SUMIF('10-Glasbewassing'!A:A,'2-Kosten per locatie'!A17,'10-Glasbewassing'!H:H)</f>
        <v>0</v>
      </c>
      <c r="N17" s="273" t="e">
        <f t="shared" si="2"/>
        <v>#DIV/0!</v>
      </c>
      <c r="O17" s="273" t="e">
        <f t="shared" ref="O17:O20" si="4">N17/12</f>
        <v>#DIV/0!</v>
      </c>
      <c r="P17" s="41"/>
      <c r="Q17" s="41"/>
      <c r="R17" s="41"/>
      <c r="S17" s="41"/>
      <c r="T17" s="41"/>
      <c r="U17" s="41"/>
      <c r="V17" s="41"/>
      <c r="W17" s="41"/>
      <c r="X17" s="41"/>
      <c r="Y17" s="41"/>
      <c r="Z17" s="41"/>
      <c r="AA17" s="41"/>
      <c r="AB17" s="39"/>
      <c r="AC17" s="39"/>
      <c r="AD17" s="39"/>
      <c r="AE17" s="39"/>
      <c r="AF17" s="39"/>
      <c r="AG17" s="39"/>
    </row>
    <row r="18" spans="1:33" ht="15" customHeight="1">
      <c r="A18" s="270" t="s">
        <v>32</v>
      </c>
      <c r="B18" s="440">
        <f>SUMIF('4-Basis ruimtestaat'!B:B,'2-Kosten per locatie'!A18,'4-Basis ruimtestaat'!I:I)</f>
        <v>408.39000000000004</v>
      </c>
      <c r="C18" s="205"/>
      <c r="D18" s="206">
        <f>_xlfn.MAXIFS('4-Basis ruimtestaat'!K:K,'4-Basis ruimtestaat'!B:B,'2-Kosten per locatie'!A18)</f>
        <v>200</v>
      </c>
      <c r="E18" s="442" t="e">
        <f>SUMIF('4-Basis ruimtestaat'!B:B,'2-Kosten per locatie'!A18,'4-Basis ruimtestaat'!L:L)</f>
        <v>#DIV/0!</v>
      </c>
      <c r="F18" s="442" t="e">
        <f t="shared" si="0"/>
        <v>#DIV/0!</v>
      </c>
      <c r="G18" s="442" t="e">
        <f t="shared" si="1"/>
        <v>#DIV/0!</v>
      </c>
      <c r="I18" s="54" t="e">
        <f>(E18+F18)*'6-Opbouw uurtarief productie'!$E$47</f>
        <v>#DIV/0!</v>
      </c>
      <c r="J18" s="55" t="e">
        <f>G18*'7-Opbouw uurtarief toezicht'!$E$47</f>
        <v>#DIV/0!</v>
      </c>
      <c r="K18" s="210">
        <f>SUMIF('11-Vloeronderhoud'!A:A,'2-Kosten per locatie'!A18,'11-Vloeronderhoud'!H:H)</f>
        <v>0</v>
      </c>
      <c r="L18" s="273">
        <f>SUMIF('8-Additionele kosten'!A:A,'2-Kosten per locatie'!A18,'8-Additionele kosten'!H:H)</f>
        <v>0</v>
      </c>
      <c r="M18" s="273">
        <f>SUMIF('10-Glasbewassing'!A:A,'2-Kosten per locatie'!A18,'10-Glasbewassing'!H:H)</f>
        <v>0</v>
      </c>
      <c r="N18" s="273" t="e">
        <f t="shared" si="2"/>
        <v>#DIV/0!</v>
      </c>
      <c r="O18" s="273" t="e">
        <f t="shared" si="4"/>
        <v>#DIV/0!</v>
      </c>
      <c r="P18" s="41"/>
      <c r="Q18" s="41"/>
      <c r="R18" s="41"/>
      <c r="S18" s="41"/>
      <c r="T18" s="41"/>
      <c r="U18" s="41"/>
      <c r="V18" s="41"/>
      <c r="W18" s="41"/>
      <c r="X18" s="41"/>
      <c r="Y18" s="41"/>
      <c r="Z18" s="41"/>
      <c r="AA18" s="41"/>
      <c r="AB18" s="39"/>
      <c r="AC18" s="39"/>
      <c r="AD18" s="39"/>
      <c r="AE18" s="39"/>
      <c r="AF18" s="39"/>
      <c r="AG18" s="39"/>
    </row>
    <row r="19" spans="1:33" ht="15" customHeight="1">
      <c r="A19" s="270" t="s">
        <v>33</v>
      </c>
      <c r="B19" s="440">
        <f>SUMIF('4-Basis ruimtestaat'!B:B,'2-Kosten per locatie'!A19,'4-Basis ruimtestaat'!I:I)</f>
        <v>1414.3200000000002</v>
      </c>
      <c r="C19" s="205"/>
      <c r="D19" s="206">
        <f>_xlfn.MAXIFS('4-Basis ruimtestaat'!K:K,'4-Basis ruimtestaat'!B:B,'2-Kosten per locatie'!A19)</f>
        <v>0</v>
      </c>
      <c r="E19" s="442">
        <f>SUMIF('4-Basis ruimtestaat'!B:B,'2-Kosten per locatie'!A19,'4-Basis ruimtestaat'!L:L)</f>
        <v>0</v>
      </c>
      <c r="F19" s="442">
        <f t="shared" si="0"/>
        <v>0</v>
      </c>
      <c r="G19" s="442">
        <f t="shared" si="1"/>
        <v>0</v>
      </c>
      <c r="I19" s="54" t="e">
        <f>(E19+F19)*'6-Opbouw uurtarief productie'!$E$47</f>
        <v>#DIV/0!</v>
      </c>
      <c r="J19" s="55" t="e">
        <f>G19*'7-Opbouw uurtarief toezicht'!$E$47</f>
        <v>#DIV/0!</v>
      </c>
      <c r="K19" s="210">
        <f>SUMIF('11-Vloeronderhoud'!A:A,'2-Kosten per locatie'!A19,'11-Vloeronderhoud'!H:H)</f>
        <v>0</v>
      </c>
      <c r="L19" s="273">
        <f>SUMIF('8-Additionele kosten'!A:A,'2-Kosten per locatie'!A19,'8-Additionele kosten'!H:H)</f>
        <v>0</v>
      </c>
      <c r="M19" s="273">
        <f>SUMIF('10-Glasbewassing'!A:A,'2-Kosten per locatie'!A19,'10-Glasbewassing'!H:H)</f>
        <v>0</v>
      </c>
      <c r="N19" s="273" t="e">
        <f t="shared" si="2"/>
        <v>#DIV/0!</v>
      </c>
      <c r="O19" s="273" t="e">
        <f t="shared" si="4"/>
        <v>#DIV/0!</v>
      </c>
      <c r="P19" s="41"/>
      <c r="Q19" s="41"/>
      <c r="R19" s="41"/>
      <c r="S19" s="41"/>
      <c r="T19" s="41"/>
      <c r="U19" s="41"/>
      <c r="V19" s="41"/>
      <c r="W19" s="41"/>
      <c r="X19" s="41"/>
      <c r="Y19" s="41"/>
      <c r="Z19" s="41"/>
      <c r="AA19" s="41"/>
      <c r="AB19" s="39"/>
      <c r="AC19" s="39"/>
      <c r="AD19" s="39"/>
      <c r="AE19" s="39"/>
      <c r="AF19" s="39"/>
      <c r="AG19" s="39"/>
    </row>
    <row r="20" spans="1:33" ht="15" customHeight="1">
      <c r="A20" s="270" t="s">
        <v>34</v>
      </c>
      <c r="B20" s="440">
        <f>SUMIF('4-Basis ruimtestaat'!B:B,'2-Kosten per locatie'!A20,'4-Basis ruimtestaat'!I:I)</f>
        <v>1537.9999999999982</v>
      </c>
      <c r="C20" s="205"/>
      <c r="D20" s="206">
        <f>_xlfn.MAXIFS('4-Basis ruimtestaat'!K:K,'4-Basis ruimtestaat'!B:B,'2-Kosten per locatie'!A20)</f>
        <v>200</v>
      </c>
      <c r="E20" s="442" t="e">
        <f>SUMIF('4-Basis ruimtestaat'!B:B,'2-Kosten per locatie'!A20,'4-Basis ruimtestaat'!L:L)</f>
        <v>#DIV/0!</v>
      </c>
      <c r="F20" s="442" t="e">
        <f t="shared" si="0"/>
        <v>#DIV/0!</v>
      </c>
      <c r="G20" s="442" t="e">
        <f t="shared" si="1"/>
        <v>#DIV/0!</v>
      </c>
      <c r="I20" s="54" t="e">
        <f>(E20+F20)*'6-Opbouw uurtarief productie'!$E$47</f>
        <v>#DIV/0!</v>
      </c>
      <c r="J20" s="55" t="e">
        <f>G20*'7-Opbouw uurtarief toezicht'!$E$47</f>
        <v>#DIV/0!</v>
      </c>
      <c r="K20" s="210">
        <f>SUMIF('11-Vloeronderhoud'!A:A,'2-Kosten per locatie'!A20,'11-Vloeronderhoud'!H:H)</f>
        <v>0</v>
      </c>
      <c r="L20" s="273">
        <f>SUMIF('8-Additionele kosten'!A:A,'2-Kosten per locatie'!A20,'8-Additionele kosten'!H:H)</f>
        <v>0</v>
      </c>
      <c r="M20" s="273">
        <f>SUMIF('10-Glasbewassing'!A:A,'2-Kosten per locatie'!A20,'10-Glasbewassing'!H:H)</f>
        <v>0</v>
      </c>
      <c r="N20" s="273" t="e">
        <f t="shared" si="2"/>
        <v>#DIV/0!</v>
      </c>
      <c r="O20" s="273" t="e">
        <f t="shared" si="4"/>
        <v>#DIV/0!</v>
      </c>
      <c r="P20" s="41"/>
      <c r="Q20" s="41"/>
      <c r="R20" s="41"/>
      <c r="S20" s="41"/>
      <c r="T20" s="41"/>
      <c r="U20" s="41"/>
      <c r="V20" s="41"/>
      <c r="W20" s="41"/>
      <c r="X20" s="41"/>
      <c r="Y20" s="41"/>
      <c r="Z20" s="41"/>
      <c r="AA20" s="41"/>
      <c r="AB20" s="39"/>
      <c r="AC20" s="39"/>
      <c r="AD20" s="39"/>
      <c r="AE20" s="39"/>
      <c r="AF20" s="39"/>
      <c r="AG20" s="39"/>
    </row>
    <row r="21" spans="1:33" s="56" customFormat="1" ht="15" customHeight="1">
      <c r="A21" s="272" t="s">
        <v>35</v>
      </c>
      <c r="B21" s="441">
        <f>SUM(B15:B20)</f>
        <v>6279.409999999998</v>
      </c>
      <c r="C21" s="207"/>
      <c r="D21" s="208"/>
      <c r="E21" s="443" t="e">
        <f>SUM(E15:E20)</f>
        <v>#DIV/0!</v>
      </c>
      <c r="F21" s="443" t="e">
        <f>SUM(F15:F20)</f>
        <v>#DIV/0!</v>
      </c>
      <c r="G21" s="443" t="e">
        <f>SUM(G15:G20)</f>
        <v>#DIV/0!</v>
      </c>
      <c r="H21" s="40"/>
      <c r="I21" s="274" t="e">
        <f>SUM(I15:I20)</f>
        <v>#DIV/0!</v>
      </c>
      <c r="J21" s="274" t="e">
        <f>SUM(J15:J20)</f>
        <v>#DIV/0!</v>
      </c>
      <c r="K21" s="275">
        <f>SUM(K15:K20)</f>
        <v>0</v>
      </c>
      <c r="L21" s="275">
        <f>SUM(L15:L20)</f>
        <v>0</v>
      </c>
      <c r="M21" s="275">
        <f>SUM(M15:M20)</f>
        <v>0</v>
      </c>
      <c r="N21" s="275" t="e">
        <f>SUM(N15:N20)</f>
        <v>#DIV/0!</v>
      </c>
      <c r="O21" s="275" t="e">
        <f>SUM(O15:O20)</f>
        <v>#DIV/0!</v>
      </c>
      <c r="P21" s="41"/>
      <c r="Q21" s="41"/>
      <c r="R21" s="41"/>
      <c r="S21" s="41"/>
      <c r="T21" s="41"/>
      <c r="U21" s="41"/>
      <c r="V21" s="41"/>
      <c r="W21" s="41"/>
      <c r="X21" s="41"/>
      <c r="Y21" s="41"/>
      <c r="Z21" s="41"/>
      <c r="AA21" s="41"/>
    </row>
    <row r="22" spans="1:33" s="53" customFormat="1" ht="14.1" customHeight="1">
      <c r="AC22" s="39"/>
    </row>
    <row r="23" spans="1:33" ht="14.1" customHeight="1">
      <c r="AB23" s="53"/>
      <c r="AC23" s="53"/>
      <c r="AD23" s="53"/>
      <c r="AE23" s="53"/>
      <c r="AF23" s="53"/>
      <c r="AG23" s="39"/>
    </row>
    <row r="24" spans="1:33" ht="14.1" customHeight="1">
      <c r="AG24" s="39"/>
    </row>
    <row r="25" spans="1:33" ht="14.1" customHeight="1">
      <c r="S25" s="39"/>
      <c r="U25" s="39"/>
      <c r="AG25" s="39"/>
    </row>
  </sheetData>
  <phoneticPr fontId="73" type="noConversion"/>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M33"/>
  <sheetViews>
    <sheetView showGridLines="0" zoomScale="85" zoomScaleNormal="85" workbookViewId="0">
      <pane ySplit="9" topLeftCell="A10" activePane="bottomLeft" state="frozen"/>
      <selection activeCell="B1" sqref="B1"/>
      <selection pane="bottomLeft"/>
    </sheetView>
  </sheetViews>
  <sheetFormatPr defaultColWidth="9.109375" defaultRowHeight="13.2"/>
  <cols>
    <col min="1" max="1" width="29.6640625" style="57" customWidth="1"/>
    <col min="2" max="2" width="9.109375" style="57" customWidth="1"/>
    <col min="3" max="9" width="9.109375" style="57"/>
    <col min="10" max="10" width="10.109375" style="57" customWidth="1"/>
    <col min="11" max="11" width="9.109375" style="57"/>
    <col min="12" max="12" width="2.109375" style="57" customWidth="1"/>
    <col min="13" max="13" width="9.109375" style="58"/>
    <col min="14" max="14" width="9.109375" style="2"/>
    <col min="15" max="15" width="30.44140625" style="2" customWidth="1"/>
    <col min="16" max="16384" width="9.109375" style="2"/>
  </cols>
  <sheetData>
    <row r="1" spans="1:13">
      <c r="A1" s="449" t="s">
        <v>4</v>
      </c>
    </row>
    <row r="3" spans="1:13" ht="15.6">
      <c r="A3" s="37" t="str">
        <f>'2-Kosten per locatie'!A3</f>
        <v>Naam opdrachtgever</v>
      </c>
      <c r="B3" s="46" t="str">
        <f>'2-Kosten per locatie'!B3</f>
        <v>Gemeente Westerkwartier</v>
      </c>
      <c r="C3" s="59"/>
      <c r="D3" s="59"/>
    </row>
    <row r="4" spans="1:13" ht="15.6">
      <c r="A4" s="37" t="str">
        <f>'2-Kosten per locatie'!A4</f>
        <v>Calculatie onderdeel</v>
      </c>
      <c r="B4" s="46" t="str">
        <f ca="1">MID(CELL("bestandsnaam",$B$7),SEARCH("]",CELL("bestandsnaam",$B$7),1)+1,256)</f>
        <v>3-Productie normen</v>
      </c>
      <c r="C4" s="46"/>
      <c r="D4" s="46"/>
    </row>
    <row r="5" spans="1:13" ht="15.6">
      <c r="A5" s="37" t="str">
        <f>'2-Kosten per locatie'!A5</f>
        <v>Gebouw/plaats</v>
      </c>
      <c r="B5" s="46" t="str">
        <f>'2-Kosten per locatie'!B5</f>
        <v>Perceel 2 sportlocaties</v>
      </c>
      <c r="C5" s="46"/>
      <c r="D5" s="46"/>
    </row>
    <row r="6" spans="1:13" ht="15.6">
      <c r="A6" s="37" t="str">
        <f>'2-Kosten per locatie'!A6</f>
        <v>Referentie nummer</v>
      </c>
      <c r="B6" s="46">
        <f>'2-Kosten per locatie'!B6</f>
        <v>0</v>
      </c>
      <c r="C6" s="46"/>
      <c r="D6" s="46"/>
      <c r="F6" s="276" t="s">
        <v>43</v>
      </c>
      <c r="G6" s="277"/>
      <c r="H6" s="277"/>
      <c r="I6" s="277"/>
      <c r="J6" s="278" t="e">
        <f>SUM('4-Basis ruimtestaat'!P:P)/SUM('4-Basis ruimtestaat'!L:L)</f>
        <v>#DIV/0!</v>
      </c>
      <c r="K6" s="279" t="s">
        <v>44</v>
      </c>
    </row>
    <row r="7" spans="1:13">
      <c r="A7" s="60"/>
      <c r="B7" s="61"/>
      <c r="C7" s="61"/>
      <c r="D7" s="61"/>
      <c r="E7" s="62"/>
      <c r="F7" s="465"/>
      <c r="G7" s="465"/>
      <c r="H7" s="465"/>
      <c r="I7" s="63"/>
      <c r="J7" s="64"/>
      <c r="K7" s="65"/>
      <c r="L7" s="66"/>
    </row>
    <row r="8" spans="1:13" ht="27.75" customHeight="1">
      <c r="A8" s="280" t="s">
        <v>45</v>
      </c>
      <c r="B8" s="281">
        <v>12</v>
      </c>
      <c r="C8" s="281">
        <v>40</v>
      </c>
      <c r="D8" s="281">
        <v>80</v>
      </c>
      <c r="E8" s="281">
        <v>104</v>
      </c>
      <c r="F8" s="281">
        <v>120</v>
      </c>
      <c r="G8" s="281">
        <v>160</v>
      </c>
      <c r="H8" s="281">
        <v>200</v>
      </c>
      <c r="I8" s="281">
        <v>225</v>
      </c>
      <c r="J8" s="281">
        <v>255</v>
      </c>
      <c r="L8" s="66"/>
      <c r="M8" s="182"/>
    </row>
    <row r="9" spans="1:13" ht="60.6" customHeight="1">
      <c r="A9" s="282" t="s">
        <v>46</v>
      </c>
      <c r="B9" s="471" t="s">
        <v>47</v>
      </c>
      <c r="C9" s="472"/>
      <c r="D9" s="472"/>
      <c r="E9" s="472"/>
      <c r="F9" s="472"/>
      <c r="G9" s="472"/>
      <c r="H9" s="472"/>
      <c r="I9" s="472"/>
      <c r="J9" s="473"/>
      <c r="L9" s="66"/>
      <c r="M9" s="283" t="s">
        <v>48</v>
      </c>
    </row>
    <row r="10" spans="1:13">
      <c r="A10" s="284" t="s">
        <v>49</v>
      </c>
      <c r="B10" s="285"/>
      <c r="C10" s="285"/>
      <c r="D10" s="285"/>
      <c r="E10" s="285"/>
      <c r="F10" s="285"/>
      <c r="G10" s="285"/>
      <c r="H10" s="285"/>
      <c r="I10" s="285"/>
      <c r="J10" s="285"/>
      <c r="L10" s="222"/>
      <c r="M10" s="286">
        <f>SUMIF('4-Basis ruimtestaat'!G:G,'3-Productie normen'!A10,'4-Basis ruimtestaat'!I:I)</f>
        <v>58.91</v>
      </c>
    </row>
    <row r="11" spans="1:13">
      <c r="A11" s="284" t="s">
        <v>50</v>
      </c>
      <c r="B11" s="285"/>
      <c r="C11" s="285"/>
      <c r="D11" s="285"/>
      <c r="E11" s="285"/>
      <c r="F11" s="285"/>
      <c r="G11" s="285"/>
      <c r="H11" s="285"/>
      <c r="I11" s="285"/>
      <c r="J11" s="285"/>
      <c r="L11" s="222"/>
      <c r="M11" s="286">
        <f>SUMIF('4-Basis ruimtestaat'!G:G,'3-Productie normen'!A11,'4-Basis ruimtestaat'!I:I)</f>
        <v>388.79000000000019</v>
      </c>
    </row>
    <row r="12" spans="1:13">
      <c r="A12" s="284" t="s">
        <v>51</v>
      </c>
      <c r="B12" s="285"/>
      <c r="C12" s="285"/>
      <c r="D12" s="285"/>
      <c r="E12" s="285"/>
      <c r="F12" s="285"/>
      <c r="G12" s="285"/>
      <c r="H12" s="285"/>
      <c r="I12" s="285"/>
      <c r="J12" s="285"/>
      <c r="L12" s="222"/>
      <c r="M12" s="286">
        <f>SUMIF('4-Basis ruimtestaat'!G:G,'3-Productie normen'!A12,'4-Basis ruimtestaat'!I:I)</f>
        <v>1143.3299999999997</v>
      </c>
    </row>
    <row r="13" spans="1:13">
      <c r="A13" s="284" t="s">
        <v>52</v>
      </c>
      <c r="B13" s="285"/>
      <c r="C13" s="285"/>
      <c r="D13" s="285"/>
      <c r="E13" s="285"/>
      <c r="F13" s="285"/>
      <c r="G13" s="285"/>
      <c r="H13" s="285"/>
      <c r="I13" s="285"/>
      <c r="J13" s="285"/>
      <c r="L13" s="222"/>
      <c r="M13" s="286">
        <f>SUMIF('4-Basis ruimtestaat'!G:G,'3-Productie normen'!A13,'4-Basis ruimtestaat'!I:I)</f>
        <v>334.11000000000007</v>
      </c>
    </row>
    <row r="14" spans="1:13">
      <c r="A14" s="284" t="s">
        <v>53</v>
      </c>
      <c r="B14" s="285"/>
      <c r="C14" s="285"/>
      <c r="D14" s="285"/>
      <c r="E14" s="285"/>
      <c r="F14" s="285"/>
      <c r="G14" s="285"/>
      <c r="H14" s="285"/>
      <c r="I14" s="285"/>
      <c r="J14" s="285"/>
      <c r="L14" s="222"/>
      <c r="M14" s="286">
        <f>SUMIF('4-Basis ruimtestaat'!G:G,'3-Productie normen'!A14,'4-Basis ruimtestaat'!I:I)</f>
        <v>76.039999999999992</v>
      </c>
    </row>
    <row r="15" spans="1:13">
      <c r="A15" s="284" t="s">
        <v>54</v>
      </c>
      <c r="B15" s="285"/>
      <c r="C15" s="285"/>
      <c r="D15" s="285"/>
      <c r="E15" s="285"/>
      <c r="F15" s="285"/>
      <c r="G15" s="285"/>
      <c r="H15" s="285"/>
      <c r="I15" s="285"/>
      <c r="J15" s="285"/>
      <c r="L15" s="222"/>
      <c r="M15" s="286">
        <f>SUMIF('4-Basis ruimtestaat'!G:G,'3-Productie normen'!A15,'4-Basis ruimtestaat'!I:I)</f>
        <v>3668.43</v>
      </c>
    </row>
    <row r="16" spans="1:13">
      <c r="A16" s="287" t="s">
        <v>55</v>
      </c>
      <c r="B16" s="285"/>
      <c r="C16" s="285"/>
      <c r="D16" s="285"/>
      <c r="E16" s="285"/>
      <c r="F16" s="285"/>
      <c r="G16" s="285"/>
      <c r="H16" s="285"/>
      <c r="I16" s="285"/>
      <c r="J16" s="285"/>
      <c r="L16" s="222"/>
      <c r="M16" s="286">
        <f>SUMIF('4-Basis ruimtestaat'!G:G,'3-Productie normen'!A16,'4-Basis ruimtestaat'!I:I)</f>
        <v>48.99</v>
      </c>
    </row>
    <row r="17" spans="1:13">
      <c r="A17" s="287" t="s">
        <v>56</v>
      </c>
      <c r="B17" s="285"/>
      <c r="C17" s="285"/>
      <c r="D17" s="285"/>
      <c r="E17" s="285"/>
      <c r="F17" s="285"/>
      <c r="G17" s="285"/>
      <c r="H17" s="285"/>
      <c r="I17" s="285"/>
      <c r="J17" s="285"/>
      <c r="L17" s="222"/>
      <c r="M17" s="286">
        <f>SUMIF('4-Basis ruimtestaat'!G:G,'3-Productie normen'!A17,'4-Basis ruimtestaat'!I:I)</f>
        <v>313.04000000000002</v>
      </c>
    </row>
    <row r="18" spans="1:13">
      <c r="A18" s="287" t="s">
        <v>57</v>
      </c>
      <c r="B18" s="288"/>
      <c r="C18" s="288"/>
      <c r="D18" s="288"/>
      <c r="E18" s="288"/>
      <c r="F18" s="288"/>
      <c r="G18" s="288"/>
      <c r="H18" s="288"/>
      <c r="I18" s="288"/>
      <c r="J18" s="289"/>
      <c r="L18" s="222"/>
      <c r="M18" s="286">
        <f>SUMIF('4-Basis ruimtestaat'!G:G,'3-Productie normen'!A18,'4-Basis ruimtestaat'!I:I)</f>
        <v>31.349999999999998</v>
      </c>
    </row>
    <row r="19" spans="1:13">
      <c r="A19" s="287"/>
      <c r="B19" s="290"/>
      <c r="C19" s="290"/>
      <c r="D19" s="290"/>
      <c r="E19" s="290"/>
      <c r="F19" s="290"/>
      <c r="G19" s="290"/>
      <c r="H19" s="290"/>
      <c r="I19" s="290"/>
      <c r="J19" s="291"/>
      <c r="L19" s="222"/>
      <c r="M19" s="286"/>
    </row>
    <row r="20" spans="1:13">
      <c r="A20" s="292" t="s">
        <v>35</v>
      </c>
      <c r="B20" s="293"/>
      <c r="C20" s="293"/>
      <c r="D20" s="293"/>
      <c r="E20" s="293"/>
      <c r="F20" s="293"/>
      <c r="G20" s="293"/>
      <c r="H20" s="293"/>
      <c r="I20" s="293"/>
      <c r="J20" s="294"/>
      <c r="L20" s="223"/>
      <c r="M20" s="295">
        <f>SUM(M10:M19)</f>
        <v>6062.99</v>
      </c>
    </row>
    <row r="21" spans="1:13">
      <c r="M21" s="57"/>
    </row>
    <row r="22" spans="1:13" ht="16.2">
      <c r="A22" s="296" t="s">
        <v>58</v>
      </c>
      <c r="B22" s="297">
        <v>2</v>
      </c>
      <c r="C22" s="297">
        <v>3</v>
      </c>
      <c r="D22" s="297">
        <v>4</v>
      </c>
      <c r="E22" s="297">
        <v>5</v>
      </c>
      <c r="F22" s="297">
        <v>6</v>
      </c>
      <c r="G22" s="297">
        <v>7</v>
      </c>
      <c r="H22" s="297">
        <v>8</v>
      </c>
      <c r="I22" s="297">
        <v>9</v>
      </c>
      <c r="J22" s="297">
        <v>10</v>
      </c>
      <c r="L22" s="66"/>
    </row>
    <row r="24" spans="1:13">
      <c r="A24" s="176" t="s">
        <v>59</v>
      </c>
      <c r="B24" s="176" t="s">
        <v>60</v>
      </c>
      <c r="C24" s="177" t="s">
        <v>61</v>
      </c>
    </row>
    <row r="25" spans="1:13">
      <c r="A25" s="67" t="s">
        <v>62</v>
      </c>
      <c r="B25" s="68">
        <v>12</v>
      </c>
      <c r="C25" s="183">
        <v>2</v>
      </c>
      <c r="D25" s="459"/>
    </row>
    <row r="26" spans="1:13">
      <c r="A26" s="67" t="s">
        <v>63</v>
      </c>
      <c r="B26" s="68">
        <v>40</v>
      </c>
      <c r="C26" s="183">
        <v>3</v>
      </c>
      <c r="D26" s="459"/>
    </row>
    <row r="27" spans="1:13">
      <c r="A27" s="67" t="s">
        <v>64</v>
      </c>
      <c r="B27" s="68">
        <v>80</v>
      </c>
      <c r="C27" s="183">
        <v>4</v>
      </c>
      <c r="D27" s="459"/>
    </row>
    <row r="28" spans="1:13">
      <c r="A28" s="67" t="s">
        <v>65</v>
      </c>
      <c r="B28" s="68">
        <v>104</v>
      </c>
      <c r="C28" s="183">
        <v>5</v>
      </c>
      <c r="D28" s="459"/>
    </row>
    <row r="29" spans="1:13">
      <c r="A29" s="67" t="s">
        <v>66</v>
      </c>
      <c r="B29" s="68">
        <v>120</v>
      </c>
      <c r="C29" s="183">
        <v>6</v>
      </c>
      <c r="D29" s="459"/>
    </row>
    <row r="30" spans="1:13">
      <c r="A30" s="67" t="s">
        <v>67</v>
      </c>
      <c r="B30" s="68">
        <v>160</v>
      </c>
      <c r="C30" s="183">
        <v>7</v>
      </c>
      <c r="D30" s="459"/>
    </row>
    <row r="31" spans="1:13">
      <c r="A31" s="67" t="s">
        <v>68</v>
      </c>
      <c r="B31" s="68">
        <v>200</v>
      </c>
      <c r="C31" s="183">
        <v>8</v>
      </c>
      <c r="D31" s="459"/>
    </row>
    <row r="32" spans="1:13">
      <c r="A32" s="67" t="s">
        <v>488</v>
      </c>
      <c r="B32" s="69">
        <v>225</v>
      </c>
      <c r="C32" s="183">
        <v>9</v>
      </c>
      <c r="D32" s="459"/>
    </row>
    <row r="33" spans="1:4">
      <c r="A33" s="67" t="s">
        <v>69</v>
      </c>
      <c r="B33" s="69">
        <v>255</v>
      </c>
      <c r="C33" s="183">
        <v>10</v>
      </c>
      <c r="D33" s="459"/>
    </row>
  </sheetData>
  <mergeCells count="1">
    <mergeCell ref="B9:J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P192"/>
  <sheetViews>
    <sheetView showGridLines="0" showZeros="0" zoomScale="85" zoomScaleNormal="85" zoomScalePageLayoutView="75" workbookViewId="0">
      <pane xSplit="1" ySplit="9" topLeftCell="B10" activePane="bottomRight" state="frozen"/>
      <selection pane="topRight" activeCell="B1" sqref="B1"/>
      <selection pane="bottomLeft" activeCell="B1" sqref="B1"/>
      <selection pane="bottomRight"/>
    </sheetView>
  </sheetViews>
  <sheetFormatPr defaultColWidth="8.6640625" defaultRowHeight="14.1" customHeight="1"/>
  <cols>
    <col min="1" max="1" width="6.5546875" style="57" bestFit="1" customWidth="1"/>
    <col min="2" max="2" width="38.44140625" style="57" bestFit="1" customWidth="1"/>
    <col min="3" max="3" width="35.44140625" style="57" customWidth="1"/>
    <col min="4" max="4" width="13" style="80" customWidth="1"/>
    <col min="5" max="5" width="20.33203125" style="226" bestFit="1" customWidth="1"/>
    <col min="6" max="6" width="34" style="57" customWidth="1"/>
    <col min="7" max="7" width="19.5546875" style="57" customWidth="1"/>
    <col min="8" max="8" width="12.109375" style="57" bestFit="1" customWidth="1"/>
    <col min="9" max="9" width="8" style="57" bestFit="1" customWidth="1"/>
    <col min="10" max="10" width="12.109375" style="70" customWidth="1"/>
    <col min="11" max="11" width="9.109375" style="86" customWidth="1"/>
    <col min="12" max="12" width="12.5546875" style="57" bestFit="1" customWidth="1"/>
    <col min="13" max="13" width="12" style="57" bestFit="1" customWidth="1"/>
    <col min="14" max="14" width="35.109375" style="57" customWidth="1"/>
    <col min="15" max="15" width="3" style="57" customWidth="1"/>
    <col min="16" max="16" width="11.109375" style="57" customWidth="1"/>
    <col min="17" max="17" width="15.5546875" style="2" bestFit="1" customWidth="1"/>
    <col min="18" max="16384" width="8.6640625" style="2"/>
  </cols>
  <sheetData>
    <row r="1" spans="1:16" ht="13.2">
      <c r="K1" s="57"/>
    </row>
    <row r="2" spans="1:16" ht="14.1" customHeight="1">
      <c r="A2" s="71">
        <v>2</v>
      </c>
      <c r="B2" s="184"/>
      <c r="C2" s="72"/>
      <c r="D2" s="73"/>
      <c r="E2" s="227"/>
      <c r="F2" s="74"/>
      <c r="G2" s="74"/>
      <c r="H2" s="75"/>
      <c r="I2" s="76"/>
      <c r="J2" s="77"/>
      <c r="K2" s="78"/>
      <c r="L2" s="75"/>
      <c r="M2" s="79"/>
      <c r="N2" s="74"/>
    </row>
    <row r="3" spans="1:16" ht="14.1" customHeight="1">
      <c r="A3" s="71">
        <v>3</v>
      </c>
      <c r="B3" s="37" t="str">
        <f>'2-Kosten per locatie'!A3</f>
        <v>Naam opdrachtgever</v>
      </c>
      <c r="C3" s="46" t="str">
        <f>'2-Kosten per locatie'!B3</f>
        <v>Gemeente Westerkwartier</v>
      </c>
      <c r="E3" s="228"/>
      <c r="H3" s="75"/>
      <c r="I3" s="76"/>
      <c r="J3" s="77"/>
      <c r="K3" s="78"/>
      <c r="L3" s="75"/>
      <c r="M3" s="79"/>
      <c r="N3" s="74"/>
    </row>
    <row r="4" spans="1:16" ht="14.1" customHeight="1">
      <c r="A4" s="71">
        <v>4</v>
      </c>
      <c r="B4" s="37" t="str">
        <f>'2-Kosten per locatie'!A4</f>
        <v>Calculatie onderdeel</v>
      </c>
      <c r="C4" s="46" t="str">
        <f ca="1">MID(CELL("bestandsnaam",$D$9),SEARCH("]",CELL("bestandsnaam",$D$9),1)+1,256)</f>
        <v>4-Basis ruimtestaat</v>
      </c>
      <c r="E4" s="229"/>
      <c r="H4" s="75"/>
      <c r="I4" s="76"/>
      <c r="J4" s="77"/>
      <c r="K4" s="78"/>
      <c r="L4" s="75"/>
      <c r="M4" s="79"/>
      <c r="N4" s="74"/>
    </row>
    <row r="5" spans="1:16" ht="14.1" customHeight="1">
      <c r="A5" s="71">
        <v>5</v>
      </c>
      <c r="B5" s="37" t="str">
        <f>'2-Kosten per locatie'!A5</f>
        <v>Gebouw/plaats</v>
      </c>
      <c r="C5" s="46" t="str">
        <f>'2-Kosten per locatie'!B5</f>
        <v>Perceel 2 sportlocaties</v>
      </c>
      <c r="E5" s="228"/>
      <c r="H5" s="75"/>
      <c r="I5" s="76"/>
      <c r="J5" s="77"/>
      <c r="K5" s="78"/>
      <c r="L5" s="75"/>
      <c r="M5" s="79"/>
      <c r="N5" s="74"/>
    </row>
    <row r="6" spans="1:16" ht="14.1" customHeight="1">
      <c r="A6" s="71">
        <v>6</v>
      </c>
      <c r="B6" s="37" t="str">
        <f>'2-Kosten per locatie'!A6</f>
        <v>Referentie nummer</v>
      </c>
      <c r="C6" s="46">
        <f>'2-Kosten per locatie'!B6</f>
        <v>0</v>
      </c>
      <c r="E6" s="228"/>
      <c r="H6" s="75"/>
      <c r="I6" s="76"/>
      <c r="J6" s="77"/>
      <c r="K6" s="78"/>
      <c r="L6" s="75"/>
      <c r="M6" s="79"/>
      <c r="N6" s="74"/>
    </row>
    <row r="7" spans="1:16" ht="12.75" customHeight="1">
      <c r="A7" s="71">
        <v>7</v>
      </c>
      <c r="B7" s="37" t="str">
        <f>'2-Kosten per locatie'!A7</f>
        <v>Naam dienstverlener</v>
      </c>
      <c r="C7" s="46">
        <f>'2-Kosten per locatie'!B7</f>
        <v>0</v>
      </c>
      <c r="E7" s="228"/>
      <c r="H7" s="75"/>
      <c r="I7" s="76"/>
      <c r="J7" s="77"/>
      <c r="K7" s="78"/>
      <c r="L7" s="75"/>
      <c r="M7" s="79"/>
      <c r="N7" s="74"/>
    </row>
    <row r="8" spans="1:16" ht="14.1" customHeight="1">
      <c r="A8" s="71">
        <v>8</v>
      </c>
      <c r="B8" s="74"/>
      <c r="C8" s="74"/>
      <c r="D8" s="73"/>
      <c r="E8" s="227"/>
      <c r="F8" s="74"/>
      <c r="G8" s="74"/>
      <c r="H8" s="75"/>
      <c r="I8" s="76"/>
      <c r="J8" s="77"/>
      <c r="K8" s="78"/>
      <c r="L8" s="75"/>
      <c r="M8" s="75"/>
      <c r="N8" s="74"/>
    </row>
    <row r="9" spans="1:16" ht="44.1" customHeight="1">
      <c r="A9" s="71">
        <v>9</v>
      </c>
      <c r="B9" s="197" t="s">
        <v>70</v>
      </c>
      <c r="C9" s="197" t="s">
        <v>71</v>
      </c>
      <c r="D9" s="457" t="s">
        <v>72</v>
      </c>
      <c r="E9" s="197" t="s">
        <v>73</v>
      </c>
      <c r="F9" s="197" t="s">
        <v>74</v>
      </c>
      <c r="G9" s="197" t="s">
        <v>75</v>
      </c>
      <c r="H9" s="298" t="s">
        <v>76</v>
      </c>
      <c r="I9" s="299" t="s">
        <v>77</v>
      </c>
      <c r="J9" s="300" t="s">
        <v>78</v>
      </c>
      <c r="K9" s="181" t="s">
        <v>79</v>
      </c>
      <c r="L9" s="300" t="s">
        <v>80</v>
      </c>
      <c r="M9" s="300" t="s">
        <v>81</v>
      </c>
      <c r="N9" s="185" t="s">
        <v>82</v>
      </c>
      <c r="O9" s="186"/>
      <c r="P9" s="185" t="s">
        <v>83</v>
      </c>
    </row>
    <row r="10" spans="1:16" s="13" customFormat="1" ht="14.1" customHeight="1">
      <c r="A10" s="71">
        <v>10</v>
      </c>
      <c r="B10" s="269" t="s">
        <v>33</v>
      </c>
      <c r="C10" s="269" t="s">
        <v>84</v>
      </c>
      <c r="D10" s="301" t="s">
        <v>85</v>
      </c>
      <c r="E10" s="302">
        <v>1</v>
      </c>
      <c r="F10" s="269" t="s">
        <v>86</v>
      </c>
      <c r="G10" s="269" t="s">
        <v>87</v>
      </c>
      <c r="H10" s="67" t="s">
        <v>88</v>
      </c>
      <c r="I10" s="303">
        <v>17.78</v>
      </c>
      <c r="J10" s="304">
        <f t="shared" ref="J10:J41" si="0">SUM(K10:K10)</f>
        <v>0</v>
      </c>
      <c r="K10" s="234" t="s">
        <v>89</v>
      </c>
      <c r="L10" s="233">
        <f>IF(K10="nio",0,IF(K10&gt;0,K10*I10/M10,0))*VLOOKUP(B10,'2-Kosten per locatie'!$A$14:$C$20,3,FALSE)</f>
        <v>0</v>
      </c>
      <c r="M10" s="305">
        <f>IF(K10="nio",0,IF(K10&gt;0,VLOOKUP(G10,'3-Productie normen'!A:M,VLOOKUP(K10,'3-Productie normen'!$B$25:$C$33,2,FALSE),FALSE)))</f>
        <v>0</v>
      </c>
      <c r="N10" s="306"/>
      <c r="O10" s="57"/>
      <c r="P10" s="307">
        <f t="shared" ref="P10:P41" si="1">J10*I10</f>
        <v>0</v>
      </c>
    </row>
    <row r="11" spans="1:16" ht="14.1" customHeight="1">
      <c r="A11" s="71">
        <v>11</v>
      </c>
      <c r="B11" s="269" t="s">
        <v>33</v>
      </c>
      <c r="C11" s="269" t="s">
        <v>84</v>
      </c>
      <c r="D11" s="301" t="s">
        <v>85</v>
      </c>
      <c r="E11" s="302">
        <v>2</v>
      </c>
      <c r="F11" s="269" t="s">
        <v>90</v>
      </c>
      <c r="G11" s="269" t="s">
        <v>50</v>
      </c>
      <c r="H11" s="67" t="s">
        <v>88</v>
      </c>
      <c r="I11" s="303">
        <v>36.35</v>
      </c>
      <c r="J11" s="304">
        <f t="shared" si="0"/>
        <v>0</v>
      </c>
      <c r="K11" s="234" t="s">
        <v>89</v>
      </c>
      <c r="L11" s="233">
        <f>IF(K11="nio",0,IF(K11&gt;0,K11*I11/M11,0))*VLOOKUP(B11,'2-Kosten per locatie'!$A$14:$C$20,3,FALSE)</f>
        <v>0</v>
      </c>
      <c r="M11" s="305">
        <f>IF(K11="nio",0,IF(K11&gt;0,VLOOKUP(G11,'3-Productie normen'!A:M,VLOOKUP(K11,'3-Productie normen'!$B$25:$C$33,2,FALSE),FALSE)))</f>
        <v>0</v>
      </c>
      <c r="N11" s="306"/>
      <c r="P11" s="307">
        <f t="shared" si="1"/>
        <v>0</v>
      </c>
    </row>
    <row r="12" spans="1:16" ht="14.1" customHeight="1">
      <c r="A12" s="71">
        <v>12</v>
      </c>
      <c r="B12" s="269" t="s">
        <v>33</v>
      </c>
      <c r="C12" s="269" t="s">
        <v>84</v>
      </c>
      <c r="D12" s="301" t="s">
        <v>85</v>
      </c>
      <c r="E12" s="302">
        <v>3</v>
      </c>
      <c r="F12" s="269" t="s">
        <v>91</v>
      </c>
      <c r="G12" s="269" t="s">
        <v>50</v>
      </c>
      <c r="H12" s="67" t="s">
        <v>92</v>
      </c>
      <c r="I12" s="303">
        <v>9.06</v>
      </c>
      <c r="J12" s="304">
        <f t="shared" si="0"/>
        <v>0</v>
      </c>
      <c r="K12" s="234" t="s">
        <v>89</v>
      </c>
      <c r="L12" s="233">
        <f>IF(K12="nio",0,IF(K12&gt;0,K12*I12/M12,0))*VLOOKUP(B12,'2-Kosten per locatie'!$A$14:$C$20,3,FALSE)</f>
        <v>0</v>
      </c>
      <c r="M12" s="305">
        <f>IF(K12="nio",0,IF(K12&gt;0,VLOOKUP(G12,'3-Productie normen'!A:M,VLOOKUP(K12,'3-Productie normen'!$B$25:$C$33,2,FALSE),FALSE)))</f>
        <v>0</v>
      </c>
      <c r="N12" s="306"/>
      <c r="P12" s="307">
        <f t="shared" si="1"/>
        <v>0</v>
      </c>
    </row>
    <row r="13" spans="1:16" ht="14.1" customHeight="1">
      <c r="A13" s="71">
        <v>13</v>
      </c>
      <c r="B13" s="269" t="s">
        <v>33</v>
      </c>
      <c r="C13" s="269" t="s">
        <v>84</v>
      </c>
      <c r="D13" s="301" t="s">
        <v>85</v>
      </c>
      <c r="E13" s="302">
        <v>4</v>
      </c>
      <c r="F13" s="67" t="s">
        <v>93</v>
      </c>
      <c r="G13" s="67" t="s">
        <v>56</v>
      </c>
      <c r="H13" s="67" t="s">
        <v>92</v>
      </c>
      <c r="I13" s="303">
        <v>13.39</v>
      </c>
      <c r="J13" s="304">
        <f t="shared" si="0"/>
        <v>0</v>
      </c>
      <c r="K13" s="234" t="s">
        <v>89</v>
      </c>
      <c r="L13" s="233">
        <f>IF(K13="nio",0,IF(K13&gt;0,K13*I13/M13,0))*VLOOKUP(B13,'2-Kosten per locatie'!$A$14:$C$20,3,FALSE)</f>
        <v>0</v>
      </c>
      <c r="M13" s="305">
        <f>IF(K13="nio",0,IF(K13&gt;0,VLOOKUP(G13,'3-Productie normen'!A:M,VLOOKUP(K13,'3-Productie normen'!$B$25:$C$33,2,FALSE),FALSE)))</f>
        <v>0</v>
      </c>
      <c r="N13" s="306"/>
      <c r="P13" s="307">
        <f t="shared" si="1"/>
        <v>0</v>
      </c>
    </row>
    <row r="14" spans="1:16" ht="14.1" customHeight="1">
      <c r="A14" s="71">
        <v>14</v>
      </c>
      <c r="B14" s="269" t="s">
        <v>33</v>
      </c>
      <c r="C14" s="269" t="s">
        <v>84</v>
      </c>
      <c r="D14" s="301" t="s">
        <v>85</v>
      </c>
      <c r="E14" s="230">
        <v>5</v>
      </c>
      <c r="F14" s="81" t="s">
        <v>94</v>
      </c>
      <c r="G14" s="67" t="s">
        <v>56</v>
      </c>
      <c r="H14" s="67" t="s">
        <v>92</v>
      </c>
      <c r="I14" s="303">
        <v>13.39</v>
      </c>
      <c r="J14" s="304">
        <f t="shared" si="0"/>
        <v>0</v>
      </c>
      <c r="K14" s="234" t="s">
        <v>89</v>
      </c>
      <c r="L14" s="233">
        <f>IF(K14="nio",0,IF(K14&gt;0,K14*I14/M14,0))*VLOOKUP(B14,'2-Kosten per locatie'!$A$14:$C$20,3,FALSE)</f>
        <v>0</v>
      </c>
      <c r="M14" s="305">
        <f>IF(K14="nio",0,IF(K14&gt;0,VLOOKUP(G14,'3-Productie normen'!A:M,VLOOKUP(K14,'3-Productie normen'!$B$25:$C$33,2,FALSE),FALSE)))</f>
        <v>0</v>
      </c>
      <c r="N14" s="306"/>
      <c r="P14" s="307">
        <f t="shared" si="1"/>
        <v>0</v>
      </c>
    </row>
    <row r="15" spans="1:16" ht="14.1" customHeight="1">
      <c r="A15" s="71">
        <v>15</v>
      </c>
      <c r="B15" s="269" t="s">
        <v>33</v>
      </c>
      <c r="C15" s="269" t="s">
        <v>84</v>
      </c>
      <c r="D15" s="301" t="s">
        <v>85</v>
      </c>
      <c r="E15" s="302">
        <v>6</v>
      </c>
      <c r="F15" s="269" t="s">
        <v>93</v>
      </c>
      <c r="G15" s="67" t="s">
        <v>56</v>
      </c>
      <c r="H15" s="67" t="s">
        <v>95</v>
      </c>
      <c r="I15" s="303">
        <v>13.39</v>
      </c>
      <c r="J15" s="304">
        <f t="shared" si="0"/>
        <v>0</v>
      </c>
      <c r="K15" s="234" t="s">
        <v>89</v>
      </c>
      <c r="L15" s="233">
        <f>IF(K15="nio",0,IF(K15&gt;0,K15*I15/M15,0))*VLOOKUP(B15,'2-Kosten per locatie'!$A$14:$C$20,3,FALSE)</f>
        <v>0</v>
      </c>
      <c r="M15" s="305">
        <f>IF(K15="nio",0,IF(K15&gt;0,VLOOKUP(G15,'3-Productie normen'!A:M,VLOOKUP(K15,'3-Productie normen'!$B$25:$C$33,2,FALSE),FALSE)))</f>
        <v>0</v>
      </c>
      <c r="N15" s="306"/>
      <c r="P15" s="307">
        <f t="shared" si="1"/>
        <v>0</v>
      </c>
    </row>
    <row r="16" spans="1:16" ht="14.1" customHeight="1">
      <c r="A16" s="71">
        <v>16</v>
      </c>
      <c r="B16" s="269" t="s">
        <v>33</v>
      </c>
      <c r="C16" s="269" t="s">
        <v>84</v>
      </c>
      <c r="D16" s="301" t="s">
        <v>85</v>
      </c>
      <c r="E16" s="302">
        <v>7</v>
      </c>
      <c r="F16" s="269" t="s">
        <v>96</v>
      </c>
      <c r="G16" s="67" t="s">
        <v>56</v>
      </c>
      <c r="H16" s="67" t="s">
        <v>92</v>
      </c>
      <c r="I16" s="303">
        <v>13.39</v>
      </c>
      <c r="J16" s="304">
        <f t="shared" si="0"/>
        <v>0</v>
      </c>
      <c r="K16" s="234" t="s">
        <v>89</v>
      </c>
      <c r="L16" s="233">
        <f>IF(K16="nio",0,IF(K16&gt;0,K16*I16/M16,0))*VLOOKUP(B16,'2-Kosten per locatie'!$A$14:$C$20,3,FALSE)</f>
        <v>0</v>
      </c>
      <c r="M16" s="305">
        <f>IF(K16="nio",0,IF(K16&gt;0,VLOOKUP(G16,'3-Productie normen'!A:M,VLOOKUP(K16,'3-Productie normen'!$B$25:$C$33,2,FALSE),FALSE)))</f>
        <v>0</v>
      </c>
      <c r="N16" s="306"/>
      <c r="P16" s="307">
        <f t="shared" si="1"/>
        <v>0</v>
      </c>
    </row>
    <row r="17" spans="1:16" ht="14.1" customHeight="1">
      <c r="A17" s="71">
        <v>17</v>
      </c>
      <c r="B17" s="269" t="s">
        <v>33</v>
      </c>
      <c r="C17" s="269" t="s">
        <v>84</v>
      </c>
      <c r="D17" s="301" t="s">
        <v>85</v>
      </c>
      <c r="E17" s="302">
        <v>8</v>
      </c>
      <c r="F17" s="269" t="s">
        <v>97</v>
      </c>
      <c r="G17" s="269" t="s">
        <v>51</v>
      </c>
      <c r="H17" s="67" t="s">
        <v>92</v>
      </c>
      <c r="I17" s="303">
        <v>44.11</v>
      </c>
      <c r="J17" s="304">
        <f t="shared" si="0"/>
        <v>0</v>
      </c>
      <c r="K17" s="234" t="s">
        <v>89</v>
      </c>
      <c r="L17" s="233">
        <f>IF(K17="nio",0,IF(K17&gt;0,K17*I17/M17,0))*VLOOKUP(B17,'2-Kosten per locatie'!$A$14:$C$20,3,FALSE)</f>
        <v>0</v>
      </c>
      <c r="M17" s="305">
        <f>IF(K17="nio",0,IF(K17&gt;0,VLOOKUP(G17,'3-Productie normen'!A:M,VLOOKUP(K17,'3-Productie normen'!$B$25:$C$33,2,FALSE),FALSE)))</f>
        <v>0</v>
      </c>
      <c r="N17" s="306"/>
      <c r="P17" s="307">
        <f t="shared" si="1"/>
        <v>0</v>
      </c>
    </row>
    <row r="18" spans="1:16" ht="14.1" customHeight="1">
      <c r="A18" s="71">
        <v>18</v>
      </c>
      <c r="B18" s="269" t="s">
        <v>33</v>
      </c>
      <c r="C18" s="269" t="s">
        <v>84</v>
      </c>
      <c r="D18" s="301" t="s">
        <v>85</v>
      </c>
      <c r="E18" s="302">
        <v>9</v>
      </c>
      <c r="F18" s="67" t="s">
        <v>98</v>
      </c>
      <c r="G18" s="67" t="s">
        <v>51</v>
      </c>
      <c r="H18" s="67" t="s">
        <v>92</v>
      </c>
      <c r="I18" s="303">
        <v>14.16</v>
      </c>
      <c r="J18" s="304">
        <f t="shared" si="0"/>
        <v>0</v>
      </c>
      <c r="K18" s="234" t="s">
        <v>89</v>
      </c>
      <c r="L18" s="233">
        <f>IF(K18="nio",0,IF(K18&gt;0,K18*I18/M18,0))*VLOOKUP(B18,'2-Kosten per locatie'!$A$14:$C$20,3,FALSE)</f>
        <v>0</v>
      </c>
      <c r="M18" s="305">
        <f>IF(K18="nio",0,IF(K18&gt;0,VLOOKUP(G18,'3-Productie normen'!A:M,VLOOKUP(K18,'3-Productie normen'!$B$25:$C$33,2,FALSE),FALSE)))</f>
        <v>0</v>
      </c>
      <c r="N18" s="306"/>
      <c r="P18" s="307">
        <f t="shared" si="1"/>
        <v>0</v>
      </c>
    </row>
    <row r="19" spans="1:16" ht="14.1" customHeight="1">
      <c r="A19" s="71">
        <v>19</v>
      </c>
      <c r="B19" s="269" t="s">
        <v>33</v>
      </c>
      <c r="C19" s="269" t="s">
        <v>84</v>
      </c>
      <c r="D19" s="301" t="s">
        <v>85</v>
      </c>
      <c r="E19" s="230">
        <v>10</v>
      </c>
      <c r="F19" s="81" t="s">
        <v>99</v>
      </c>
      <c r="G19" s="284" t="s">
        <v>51</v>
      </c>
      <c r="H19" s="67" t="s">
        <v>92</v>
      </c>
      <c r="I19" s="303">
        <v>29.98</v>
      </c>
      <c r="J19" s="304">
        <f t="shared" si="0"/>
        <v>0</v>
      </c>
      <c r="K19" s="234" t="s">
        <v>89</v>
      </c>
      <c r="L19" s="233">
        <f>IF(K19="nio",0,IF(K19&gt;0,K19*I19/M19,0))*VLOOKUP(B19,'2-Kosten per locatie'!$A$14:$C$20,3,FALSE)</f>
        <v>0</v>
      </c>
      <c r="M19" s="305">
        <f>IF(K19="nio",0,IF(K19&gt;0,VLOOKUP(G19,'3-Productie normen'!A:M,VLOOKUP(K19,'3-Productie normen'!$B$25:$C$33,2,FALSE),FALSE)))</f>
        <v>0</v>
      </c>
      <c r="N19" s="306"/>
      <c r="P19" s="307">
        <f t="shared" si="1"/>
        <v>0</v>
      </c>
    </row>
    <row r="20" spans="1:16" ht="14.1" customHeight="1">
      <c r="A20" s="71">
        <v>20</v>
      </c>
      <c r="B20" s="269" t="s">
        <v>33</v>
      </c>
      <c r="C20" s="269" t="s">
        <v>84</v>
      </c>
      <c r="D20" s="301" t="s">
        <v>85</v>
      </c>
      <c r="E20" s="302">
        <v>12</v>
      </c>
      <c r="F20" s="269" t="s">
        <v>100</v>
      </c>
      <c r="G20" s="269" t="s">
        <v>51</v>
      </c>
      <c r="H20" s="67" t="s">
        <v>92</v>
      </c>
      <c r="I20" s="303">
        <v>75.709999999999994</v>
      </c>
      <c r="J20" s="304">
        <f t="shared" si="0"/>
        <v>0</v>
      </c>
      <c r="K20" s="234" t="s">
        <v>89</v>
      </c>
      <c r="L20" s="233">
        <f>IF(K20="nio",0,IF(K20&gt;0,K20*I20/M20,0))*VLOOKUP(B20,'2-Kosten per locatie'!$A$14:$C$20,3,FALSE)</f>
        <v>0</v>
      </c>
      <c r="M20" s="305">
        <f>IF(K20="nio",0,IF(K20&gt;0,VLOOKUP(G20,'3-Productie normen'!A:M,VLOOKUP(K20,'3-Productie normen'!$B$25:$C$33,2,FALSE),FALSE)))</f>
        <v>0</v>
      </c>
      <c r="N20" s="306"/>
      <c r="P20" s="307">
        <f t="shared" si="1"/>
        <v>0</v>
      </c>
    </row>
    <row r="21" spans="1:16" ht="14.1" customHeight="1">
      <c r="A21" s="71">
        <v>21</v>
      </c>
      <c r="B21" s="269" t="s">
        <v>33</v>
      </c>
      <c r="C21" s="269" t="s">
        <v>84</v>
      </c>
      <c r="D21" s="301" t="s">
        <v>85</v>
      </c>
      <c r="E21" s="302">
        <v>13</v>
      </c>
      <c r="F21" s="269" t="s">
        <v>101</v>
      </c>
      <c r="G21" s="269" t="s">
        <v>50</v>
      </c>
      <c r="H21" s="67" t="s">
        <v>92</v>
      </c>
      <c r="I21" s="303">
        <v>12.62</v>
      </c>
      <c r="J21" s="304">
        <f t="shared" si="0"/>
        <v>0</v>
      </c>
      <c r="K21" s="234" t="s">
        <v>89</v>
      </c>
      <c r="L21" s="233">
        <f>IF(K21="nio",0,IF(K21&gt;0,K21*I21/M21,0))*VLOOKUP(B21,'2-Kosten per locatie'!$A$14:$C$20,3,FALSE)</f>
        <v>0</v>
      </c>
      <c r="M21" s="305">
        <f>IF(K21="nio",0,IF(K21&gt;0,VLOOKUP(G21,'3-Productie normen'!A:M,VLOOKUP(K21,'3-Productie normen'!$B$25:$C$33,2,FALSE),FALSE)))</f>
        <v>0</v>
      </c>
      <c r="N21" s="306"/>
      <c r="P21" s="307">
        <f t="shared" si="1"/>
        <v>0</v>
      </c>
    </row>
    <row r="22" spans="1:16" ht="14.1" customHeight="1">
      <c r="A22" s="71">
        <v>22</v>
      </c>
      <c r="B22" s="269" t="s">
        <v>33</v>
      </c>
      <c r="C22" s="269" t="s">
        <v>84</v>
      </c>
      <c r="D22" s="301" t="s">
        <v>85</v>
      </c>
      <c r="E22" s="302">
        <v>14</v>
      </c>
      <c r="F22" s="269" t="s">
        <v>102</v>
      </c>
      <c r="G22" s="269" t="s">
        <v>51</v>
      </c>
      <c r="H22" s="67" t="s">
        <v>103</v>
      </c>
      <c r="I22" s="303">
        <v>94</v>
      </c>
      <c r="J22" s="304">
        <f t="shared" si="0"/>
        <v>0</v>
      </c>
      <c r="K22" s="234" t="s">
        <v>89</v>
      </c>
      <c r="L22" s="233">
        <f>IF(K22="nio",0,IF(K22&gt;0,K22*I22/M22,0))*VLOOKUP(B22,'2-Kosten per locatie'!$A$14:$C$20,3,FALSE)</f>
        <v>0</v>
      </c>
      <c r="M22" s="305">
        <f>IF(K22="nio",0,IF(K22&gt;0,VLOOKUP(G22,'3-Productie normen'!A:M,VLOOKUP(K22,'3-Productie normen'!$B$25:$C$33,2,FALSE),FALSE)))</f>
        <v>0</v>
      </c>
      <c r="N22" s="306"/>
      <c r="P22" s="307">
        <f t="shared" si="1"/>
        <v>0</v>
      </c>
    </row>
    <row r="23" spans="1:16" ht="14.1" customHeight="1">
      <c r="A23" s="71">
        <v>23</v>
      </c>
      <c r="B23" s="269" t="s">
        <v>33</v>
      </c>
      <c r="C23" s="269" t="s">
        <v>84</v>
      </c>
      <c r="D23" s="301" t="s">
        <v>85</v>
      </c>
      <c r="E23" s="302">
        <v>15</v>
      </c>
      <c r="F23" s="67" t="s">
        <v>104</v>
      </c>
      <c r="G23" s="67" t="s">
        <v>51</v>
      </c>
      <c r="H23" s="67" t="s">
        <v>103</v>
      </c>
      <c r="I23" s="303">
        <v>35.21</v>
      </c>
      <c r="J23" s="304">
        <f t="shared" si="0"/>
        <v>0</v>
      </c>
      <c r="K23" s="234" t="s">
        <v>89</v>
      </c>
      <c r="L23" s="233">
        <f>IF(K23="nio",0,IF(K23&gt;0,K23*I23/M23,0))*VLOOKUP(B23,'2-Kosten per locatie'!$A$14:$C$20,3,FALSE)</f>
        <v>0</v>
      </c>
      <c r="M23" s="305">
        <f>IF(K23="nio",0,IF(K23&gt;0,VLOOKUP(G23,'3-Productie normen'!A:M,VLOOKUP(K23,'3-Productie normen'!$B$25:$C$33,2,FALSE),FALSE)))</f>
        <v>0</v>
      </c>
      <c r="N23" s="306"/>
      <c r="P23" s="307">
        <f t="shared" si="1"/>
        <v>0</v>
      </c>
    </row>
    <row r="24" spans="1:16" ht="14.1" customHeight="1">
      <c r="A24" s="71">
        <v>24</v>
      </c>
      <c r="B24" s="269" t="s">
        <v>33</v>
      </c>
      <c r="C24" s="269" t="s">
        <v>84</v>
      </c>
      <c r="D24" s="301" t="s">
        <v>85</v>
      </c>
      <c r="E24" s="230">
        <v>16</v>
      </c>
      <c r="F24" s="81" t="s">
        <v>105</v>
      </c>
      <c r="G24" s="284" t="s">
        <v>51</v>
      </c>
      <c r="H24" s="67" t="s">
        <v>103</v>
      </c>
      <c r="I24" s="303">
        <v>22.46</v>
      </c>
      <c r="J24" s="304">
        <f t="shared" si="0"/>
        <v>0</v>
      </c>
      <c r="K24" s="234" t="s">
        <v>89</v>
      </c>
      <c r="L24" s="233">
        <f>IF(K24="nio",0,IF(K24&gt;0,K24*I24/M24,0))*VLOOKUP(B24,'2-Kosten per locatie'!$A$14:$C$20,3,FALSE)</f>
        <v>0</v>
      </c>
      <c r="M24" s="305">
        <f>IF(K24="nio",0,IF(K24&gt;0,VLOOKUP(G24,'3-Productie normen'!A:M,VLOOKUP(K24,'3-Productie normen'!$B$25:$C$33,2,FALSE),FALSE)))</f>
        <v>0</v>
      </c>
      <c r="N24" s="306"/>
      <c r="P24" s="307">
        <f t="shared" si="1"/>
        <v>0</v>
      </c>
    </row>
    <row r="25" spans="1:16" ht="14.1" customHeight="1">
      <c r="A25" s="71">
        <v>25</v>
      </c>
      <c r="B25" s="269" t="s">
        <v>33</v>
      </c>
      <c r="C25" s="269" t="s">
        <v>84</v>
      </c>
      <c r="D25" s="301" t="s">
        <v>85</v>
      </c>
      <c r="E25" s="302">
        <v>17</v>
      </c>
      <c r="F25" s="269" t="s">
        <v>106</v>
      </c>
      <c r="G25" s="269" t="s">
        <v>107</v>
      </c>
      <c r="H25" s="67" t="s">
        <v>92</v>
      </c>
      <c r="I25" s="303">
        <v>9.99</v>
      </c>
      <c r="J25" s="304">
        <f t="shared" si="0"/>
        <v>0</v>
      </c>
      <c r="K25" s="234" t="s">
        <v>89</v>
      </c>
      <c r="L25" s="233">
        <f>IF(K25="nio",0,IF(K25&gt;0,K25*I25/M25,0))*VLOOKUP(B25,'2-Kosten per locatie'!$A$14:$C$20,3,FALSE)</f>
        <v>0</v>
      </c>
      <c r="M25" s="305">
        <f>IF(K25="nio",0,IF(K25&gt;0,VLOOKUP(G25,'3-Productie normen'!A:M,VLOOKUP(K25,'3-Productie normen'!$B$25:$C$33,2,FALSE),FALSE)))</f>
        <v>0</v>
      </c>
      <c r="N25" s="306"/>
      <c r="P25" s="307">
        <f t="shared" si="1"/>
        <v>0</v>
      </c>
    </row>
    <row r="26" spans="1:16" ht="14.1" customHeight="1">
      <c r="A26" s="71">
        <v>26</v>
      </c>
      <c r="B26" s="269" t="s">
        <v>33</v>
      </c>
      <c r="C26" s="269" t="s">
        <v>84</v>
      </c>
      <c r="D26" s="301" t="s">
        <v>85</v>
      </c>
      <c r="E26" s="302">
        <v>18</v>
      </c>
      <c r="F26" s="269" t="s">
        <v>108</v>
      </c>
      <c r="G26" s="269" t="s">
        <v>50</v>
      </c>
      <c r="H26" s="67" t="s">
        <v>92</v>
      </c>
      <c r="I26" s="303">
        <v>28.62</v>
      </c>
      <c r="J26" s="304">
        <f t="shared" si="0"/>
        <v>0</v>
      </c>
      <c r="K26" s="234" t="s">
        <v>89</v>
      </c>
      <c r="L26" s="233">
        <f>IF(K26="nio",0,IF(K26&gt;0,K26*I26/M26,0))*VLOOKUP(B26,'2-Kosten per locatie'!$A$14:$C$20,3,FALSE)</f>
        <v>0</v>
      </c>
      <c r="M26" s="305">
        <f>IF(K26="nio",0,IF(K26&gt;0,VLOOKUP(G26,'3-Productie normen'!A:M,VLOOKUP(K26,'3-Productie normen'!$B$25:$C$33,2,FALSE),FALSE)))</f>
        <v>0</v>
      </c>
      <c r="N26" s="306"/>
      <c r="P26" s="307">
        <f t="shared" si="1"/>
        <v>0</v>
      </c>
    </row>
    <row r="27" spans="1:16" ht="14.1" customHeight="1">
      <c r="A27" s="71">
        <v>27</v>
      </c>
      <c r="B27" s="269" t="s">
        <v>33</v>
      </c>
      <c r="C27" s="269" t="s">
        <v>84</v>
      </c>
      <c r="D27" s="301" t="s">
        <v>85</v>
      </c>
      <c r="E27" s="302">
        <v>19</v>
      </c>
      <c r="F27" s="269" t="s">
        <v>109</v>
      </c>
      <c r="G27" s="269" t="s">
        <v>50</v>
      </c>
      <c r="H27" s="67" t="s">
        <v>92</v>
      </c>
      <c r="I27" s="303">
        <v>28.65</v>
      </c>
      <c r="J27" s="304">
        <f t="shared" si="0"/>
        <v>0</v>
      </c>
      <c r="K27" s="234" t="s">
        <v>89</v>
      </c>
      <c r="L27" s="233">
        <f>IF(K27="nio",0,IF(K27&gt;0,K27*I27/M27,0))*VLOOKUP(B27,'2-Kosten per locatie'!$A$14:$C$20,3,FALSE)</f>
        <v>0</v>
      </c>
      <c r="M27" s="305">
        <f>IF(K27="nio",0,IF(K27&gt;0,VLOOKUP(G27,'3-Productie normen'!A:M,VLOOKUP(K27,'3-Productie normen'!$B$25:$C$33,2,FALSE),FALSE)))</f>
        <v>0</v>
      </c>
      <c r="N27" s="306"/>
      <c r="P27" s="307">
        <f t="shared" si="1"/>
        <v>0</v>
      </c>
    </row>
    <row r="28" spans="1:16" ht="14.1" customHeight="1">
      <c r="A28" s="71">
        <v>28</v>
      </c>
      <c r="B28" s="269" t="s">
        <v>33</v>
      </c>
      <c r="C28" s="269" t="s">
        <v>84</v>
      </c>
      <c r="D28" s="301" t="s">
        <v>85</v>
      </c>
      <c r="E28" s="302">
        <v>20</v>
      </c>
      <c r="F28" s="67" t="s">
        <v>110</v>
      </c>
      <c r="G28" s="67" t="s">
        <v>50</v>
      </c>
      <c r="H28" s="67" t="s">
        <v>95</v>
      </c>
      <c r="I28" s="303">
        <v>28.65</v>
      </c>
      <c r="J28" s="304">
        <f t="shared" si="0"/>
        <v>0</v>
      </c>
      <c r="K28" s="234" t="s">
        <v>89</v>
      </c>
      <c r="L28" s="233">
        <f>IF(K28="nio",0,IF(K28&gt;0,K28*I28/M28,0))*VLOOKUP(B28,'2-Kosten per locatie'!$A$14:$C$20,3,FALSE)</f>
        <v>0</v>
      </c>
      <c r="M28" s="305">
        <f>IF(K28="nio",0,IF(K28&gt;0,VLOOKUP(G28,'3-Productie normen'!A:M,VLOOKUP(K28,'3-Productie normen'!$B$25:$C$33,2,FALSE),FALSE)))</f>
        <v>0</v>
      </c>
      <c r="N28" s="306"/>
      <c r="P28" s="307">
        <f t="shared" si="1"/>
        <v>0</v>
      </c>
    </row>
    <row r="29" spans="1:16" ht="14.1" customHeight="1">
      <c r="A29" s="71">
        <v>29</v>
      </c>
      <c r="B29" s="269" t="s">
        <v>33</v>
      </c>
      <c r="C29" s="269" t="s">
        <v>84</v>
      </c>
      <c r="D29" s="301" t="s">
        <v>85</v>
      </c>
      <c r="E29" s="230">
        <v>21</v>
      </c>
      <c r="F29" s="81" t="s">
        <v>111</v>
      </c>
      <c r="G29" s="81" t="s">
        <v>50</v>
      </c>
      <c r="H29" s="67" t="s">
        <v>92</v>
      </c>
      <c r="I29" s="303">
        <v>28.65</v>
      </c>
      <c r="J29" s="304">
        <f t="shared" si="0"/>
        <v>0</v>
      </c>
      <c r="K29" s="234" t="s">
        <v>89</v>
      </c>
      <c r="L29" s="233">
        <f>IF(K29="nio",0,IF(K29&gt;0,K29*I29/M29,0))*VLOOKUP(B29,'2-Kosten per locatie'!$A$14:$C$20,3,FALSE)</f>
        <v>0</v>
      </c>
      <c r="M29" s="305">
        <f>IF(K29="nio",0,IF(K29&gt;0,VLOOKUP(G29,'3-Productie normen'!A:M,VLOOKUP(K29,'3-Productie normen'!$B$25:$C$33,2,FALSE),FALSE)))</f>
        <v>0</v>
      </c>
      <c r="N29" s="306"/>
      <c r="P29" s="307">
        <f t="shared" si="1"/>
        <v>0</v>
      </c>
    </row>
    <row r="30" spans="1:16" ht="14.1" customHeight="1">
      <c r="A30" s="71">
        <v>30</v>
      </c>
      <c r="B30" s="269" t="s">
        <v>33</v>
      </c>
      <c r="C30" s="269" t="s">
        <v>84</v>
      </c>
      <c r="D30" s="301" t="s">
        <v>85</v>
      </c>
      <c r="E30" s="302">
        <v>22</v>
      </c>
      <c r="F30" s="67" t="s">
        <v>112</v>
      </c>
      <c r="G30" s="67" t="s">
        <v>50</v>
      </c>
      <c r="H30" s="308" t="s">
        <v>92</v>
      </c>
      <c r="I30" s="309">
        <v>3.75</v>
      </c>
      <c r="J30" s="304">
        <f t="shared" si="0"/>
        <v>0</v>
      </c>
      <c r="K30" s="234" t="s">
        <v>89</v>
      </c>
      <c r="L30" s="233">
        <f>IF(K30="nio",0,IF(K30&gt;0,K30*I30/M30,0))*VLOOKUP(B30,'2-Kosten per locatie'!$A$14:$C$20,3,FALSE)</f>
        <v>0</v>
      </c>
      <c r="M30" s="305">
        <f>IF(K30="nio",0,IF(K30&gt;0,VLOOKUP(G30,'3-Productie normen'!A:M,VLOOKUP(K30,'3-Productie normen'!$B$25:$C$33,2,FALSE),FALSE)))</f>
        <v>0</v>
      </c>
      <c r="N30" s="306"/>
      <c r="P30" s="307">
        <f t="shared" si="1"/>
        <v>0</v>
      </c>
    </row>
    <row r="31" spans="1:16" ht="14.1" customHeight="1">
      <c r="A31" s="71">
        <v>31</v>
      </c>
      <c r="B31" s="269" t="s">
        <v>33</v>
      </c>
      <c r="C31" s="269" t="s">
        <v>84</v>
      </c>
      <c r="D31" s="82" t="s">
        <v>85</v>
      </c>
      <c r="E31" s="230">
        <v>23</v>
      </c>
      <c r="F31" s="81" t="s">
        <v>113</v>
      </c>
      <c r="G31" s="81" t="s">
        <v>50</v>
      </c>
      <c r="H31" s="67" t="s">
        <v>92</v>
      </c>
      <c r="I31" s="309">
        <v>6.88</v>
      </c>
      <c r="J31" s="304">
        <f t="shared" si="0"/>
        <v>0</v>
      </c>
      <c r="K31" s="234" t="s">
        <v>89</v>
      </c>
      <c r="L31" s="233">
        <f>IF(K31="nio",0,IF(K31&gt;0,K31*I31/M31,0))*VLOOKUP(B31,'2-Kosten per locatie'!$A$14:$C$20,3,FALSE)</f>
        <v>0</v>
      </c>
      <c r="M31" s="305">
        <f>IF(K31="nio",0,IF(K31&gt;0,VLOOKUP(G31,'3-Productie normen'!A:M,VLOOKUP(K31,'3-Productie normen'!$B$25:$C$33,2,FALSE),FALSE)))</f>
        <v>0</v>
      </c>
      <c r="N31" s="306"/>
      <c r="P31" s="307">
        <f t="shared" si="1"/>
        <v>0</v>
      </c>
    </row>
    <row r="32" spans="1:16" ht="14.1" customHeight="1">
      <c r="A32" s="71">
        <v>32</v>
      </c>
      <c r="B32" s="269" t="s">
        <v>33</v>
      </c>
      <c r="C32" s="269" t="s">
        <v>84</v>
      </c>
      <c r="D32" s="301" t="s">
        <v>85</v>
      </c>
      <c r="E32" s="302">
        <v>24</v>
      </c>
      <c r="F32" s="67" t="s">
        <v>114</v>
      </c>
      <c r="G32" s="67" t="s">
        <v>115</v>
      </c>
      <c r="H32" s="67" t="s">
        <v>92</v>
      </c>
      <c r="I32" s="309">
        <v>10.25</v>
      </c>
      <c r="J32" s="304">
        <f t="shared" si="0"/>
        <v>0</v>
      </c>
      <c r="K32" s="234" t="s">
        <v>89</v>
      </c>
      <c r="L32" s="233">
        <f>IF(K32="nio",0,IF(K32&gt;0,K32*I32/M32,0))*VLOOKUP(B32,'2-Kosten per locatie'!$A$14:$C$20,3,FALSE)</f>
        <v>0</v>
      </c>
      <c r="M32" s="305">
        <f>IF(K32="nio",0,IF(K32&gt;0,VLOOKUP(G32,'3-Productie normen'!A:M,VLOOKUP(K32,'3-Productie normen'!$B$25:$C$33,2,FALSE),FALSE)))</f>
        <v>0</v>
      </c>
      <c r="N32" s="306"/>
      <c r="P32" s="307">
        <f t="shared" si="1"/>
        <v>0</v>
      </c>
    </row>
    <row r="33" spans="1:16" ht="14.1" customHeight="1">
      <c r="A33" s="71">
        <v>33</v>
      </c>
      <c r="B33" s="269" t="s">
        <v>33</v>
      </c>
      <c r="C33" s="269" t="s">
        <v>84</v>
      </c>
      <c r="D33" s="301" t="s">
        <v>85</v>
      </c>
      <c r="E33" s="302">
        <v>25</v>
      </c>
      <c r="F33" s="67" t="s">
        <v>116</v>
      </c>
      <c r="G33" s="67" t="s">
        <v>87</v>
      </c>
      <c r="H33" s="67" t="s">
        <v>92</v>
      </c>
      <c r="I33" s="309">
        <v>4.6900000000000004</v>
      </c>
      <c r="J33" s="304">
        <f t="shared" si="0"/>
        <v>0</v>
      </c>
      <c r="K33" s="234" t="s">
        <v>89</v>
      </c>
      <c r="L33" s="233">
        <f>IF(K33="nio",0,IF(K33&gt;0,K33*I33/M33,0))*VLOOKUP(B33,'2-Kosten per locatie'!$A$14:$C$20,3,FALSE)</f>
        <v>0</v>
      </c>
      <c r="M33" s="305">
        <f>IF(K33="nio",0,IF(K33&gt;0,VLOOKUP(G33,'3-Productie normen'!A:M,VLOOKUP(K33,'3-Productie normen'!$B$25:$C$33,2,FALSE),FALSE)))</f>
        <v>0</v>
      </c>
      <c r="N33" s="306"/>
      <c r="P33" s="307">
        <f t="shared" si="1"/>
        <v>0</v>
      </c>
    </row>
    <row r="34" spans="1:16" ht="14.1" customHeight="1">
      <c r="A34" s="71">
        <v>34</v>
      </c>
      <c r="B34" s="269" t="s">
        <v>33</v>
      </c>
      <c r="C34" s="269" t="s">
        <v>84</v>
      </c>
      <c r="D34" s="301" t="s">
        <v>85</v>
      </c>
      <c r="E34" s="302">
        <v>26</v>
      </c>
      <c r="F34" s="67" t="s">
        <v>117</v>
      </c>
      <c r="G34" s="467" t="s">
        <v>54</v>
      </c>
      <c r="H34" s="67" t="s">
        <v>95</v>
      </c>
      <c r="I34" s="309">
        <v>347.07</v>
      </c>
      <c r="J34" s="304">
        <f t="shared" si="0"/>
        <v>0</v>
      </c>
      <c r="K34" s="234" t="s">
        <v>89</v>
      </c>
      <c r="L34" s="233">
        <f>IF(K34="nio",0,IF(K34&gt;0,K34*I34/M34,0))*VLOOKUP(B34,'2-Kosten per locatie'!$A$14:$C$20,3,FALSE)</f>
        <v>0</v>
      </c>
      <c r="M34" s="305">
        <f>IF(K34="nio",0,IF(K34&gt;0,VLOOKUP(G34,'3-Productie normen'!A:M,VLOOKUP(K34,'3-Productie normen'!$B$25:$C$33,2,FALSE),FALSE)))</f>
        <v>0</v>
      </c>
      <c r="N34" s="306"/>
      <c r="P34" s="307">
        <f t="shared" si="1"/>
        <v>0</v>
      </c>
    </row>
    <row r="35" spans="1:16" ht="14.1" customHeight="1">
      <c r="A35" s="71">
        <v>35</v>
      </c>
      <c r="B35" s="269" t="s">
        <v>33</v>
      </c>
      <c r="C35" s="269" t="s">
        <v>84</v>
      </c>
      <c r="D35" s="301" t="s">
        <v>85</v>
      </c>
      <c r="E35" s="302">
        <v>27</v>
      </c>
      <c r="F35" s="67" t="s">
        <v>118</v>
      </c>
      <c r="G35" s="467" t="s">
        <v>54</v>
      </c>
      <c r="H35" s="67" t="s">
        <v>95</v>
      </c>
      <c r="I35" s="309">
        <v>348.27</v>
      </c>
      <c r="J35" s="304">
        <f t="shared" si="0"/>
        <v>0</v>
      </c>
      <c r="K35" s="234" t="s">
        <v>89</v>
      </c>
      <c r="L35" s="233">
        <f>IF(K35="nio",0,IF(K35&gt;0,K35*I35/M35,0))*VLOOKUP(B35,'2-Kosten per locatie'!$A$14:$C$20,3,FALSE)</f>
        <v>0</v>
      </c>
      <c r="M35" s="305">
        <f>IF(K35="nio",0,IF(K35&gt;0,VLOOKUP(G35,'3-Productie normen'!A:M,VLOOKUP(K35,'3-Productie normen'!$B$25:$C$33,2,FALSE),FALSE)))</f>
        <v>0</v>
      </c>
      <c r="N35" s="306"/>
      <c r="P35" s="307">
        <f t="shared" si="1"/>
        <v>0</v>
      </c>
    </row>
    <row r="36" spans="1:16" ht="14.1" customHeight="1">
      <c r="A36" s="71">
        <v>36</v>
      </c>
      <c r="B36" s="269" t="s">
        <v>33</v>
      </c>
      <c r="C36" s="269" t="s">
        <v>84</v>
      </c>
      <c r="D36" s="301" t="s">
        <v>85</v>
      </c>
      <c r="E36" s="302">
        <v>28</v>
      </c>
      <c r="F36" s="67" t="s">
        <v>119</v>
      </c>
      <c r="G36" s="67" t="s">
        <v>51</v>
      </c>
      <c r="H36" s="67" t="s">
        <v>103</v>
      </c>
      <c r="I36" s="309">
        <v>67.959999999999994</v>
      </c>
      <c r="J36" s="304">
        <f t="shared" si="0"/>
        <v>0</v>
      </c>
      <c r="K36" s="234" t="s">
        <v>89</v>
      </c>
      <c r="L36" s="233">
        <f>IF(K36="nio",0,IF(K36&gt;0,K36*I36/M36,0))*VLOOKUP(B36,'2-Kosten per locatie'!$A$14:$C$20,3,FALSE)</f>
        <v>0</v>
      </c>
      <c r="M36" s="305">
        <f>IF(K36="nio",0,IF(K36&gt;0,VLOOKUP(G36,'3-Productie normen'!A:M,VLOOKUP(K36,'3-Productie normen'!$B$25:$C$33,2,FALSE),FALSE)))</f>
        <v>0</v>
      </c>
      <c r="N36" s="306"/>
      <c r="P36" s="307">
        <f t="shared" si="1"/>
        <v>0</v>
      </c>
    </row>
    <row r="37" spans="1:16" ht="14.1" customHeight="1">
      <c r="A37" s="71">
        <v>37</v>
      </c>
      <c r="B37" s="269" t="s">
        <v>33</v>
      </c>
      <c r="C37" s="269" t="s">
        <v>84</v>
      </c>
      <c r="D37" s="301" t="s">
        <v>85</v>
      </c>
      <c r="E37" s="302">
        <v>29</v>
      </c>
      <c r="F37" s="67" t="s">
        <v>120</v>
      </c>
      <c r="G37" s="67" t="s">
        <v>50</v>
      </c>
      <c r="H37" s="67" t="s">
        <v>92</v>
      </c>
      <c r="I37" s="309">
        <v>0.96</v>
      </c>
      <c r="J37" s="304">
        <f t="shared" si="0"/>
        <v>0</v>
      </c>
      <c r="K37" s="234" t="s">
        <v>89</v>
      </c>
      <c r="L37" s="233">
        <f>IF(K37="nio",0,IF(K37&gt;0,K37*I37/M37,0))*VLOOKUP(B37,'2-Kosten per locatie'!$A$14:$C$20,3,FALSE)</f>
        <v>0</v>
      </c>
      <c r="M37" s="305">
        <f>IF(K37="nio",0,IF(K37&gt;0,VLOOKUP(G37,'3-Productie normen'!A:M,VLOOKUP(K37,'3-Productie normen'!$B$25:$C$33,2,FALSE),FALSE)))</f>
        <v>0</v>
      </c>
      <c r="N37" s="306"/>
      <c r="P37" s="307">
        <f t="shared" si="1"/>
        <v>0</v>
      </c>
    </row>
    <row r="38" spans="1:16" ht="14.1" customHeight="1">
      <c r="A38" s="71">
        <v>38</v>
      </c>
      <c r="B38" s="269" t="s">
        <v>33</v>
      </c>
      <c r="C38" s="269" t="s">
        <v>84</v>
      </c>
      <c r="D38" s="301" t="s">
        <v>85</v>
      </c>
      <c r="E38" s="302">
        <v>30</v>
      </c>
      <c r="F38" s="67" t="s">
        <v>121</v>
      </c>
      <c r="G38" s="67" t="s">
        <v>50</v>
      </c>
      <c r="H38" s="67" t="s">
        <v>92</v>
      </c>
      <c r="I38" s="309">
        <v>0.96</v>
      </c>
      <c r="J38" s="304">
        <f t="shared" si="0"/>
        <v>0</v>
      </c>
      <c r="K38" s="234" t="s">
        <v>89</v>
      </c>
      <c r="L38" s="233">
        <f>IF(K38="nio",0,IF(K38&gt;0,K38*I38/M38,0))*VLOOKUP(B38,'2-Kosten per locatie'!$A$14:$C$20,3,FALSE)</f>
        <v>0</v>
      </c>
      <c r="M38" s="305">
        <f>IF(K38="nio",0,IF(K38&gt;0,VLOOKUP(G38,'3-Productie normen'!A:M,VLOOKUP(K38,'3-Productie normen'!$B$25:$C$33,2,FALSE),FALSE)))</f>
        <v>0</v>
      </c>
      <c r="N38" s="306"/>
      <c r="P38" s="307">
        <f t="shared" si="1"/>
        <v>0</v>
      </c>
    </row>
    <row r="39" spans="1:16" ht="14.1" customHeight="1">
      <c r="A39" s="71">
        <v>39</v>
      </c>
      <c r="B39" s="269" t="s">
        <v>33</v>
      </c>
      <c r="C39" s="269" t="s">
        <v>84</v>
      </c>
      <c r="D39" s="301" t="s">
        <v>85</v>
      </c>
      <c r="E39" s="302">
        <v>31</v>
      </c>
      <c r="F39" s="67" t="s">
        <v>122</v>
      </c>
      <c r="G39" s="67" t="s">
        <v>50</v>
      </c>
      <c r="H39" s="67" t="s">
        <v>92</v>
      </c>
      <c r="I39" s="309">
        <v>0.96</v>
      </c>
      <c r="J39" s="304">
        <f t="shared" si="0"/>
        <v>0</v>
      </c>
      <c r="K39" s="234" t="s">
        <v>89</v>
      </c>
      <c r="L39" s="233">
        <f>IF(K39="nio",0,IF(K39&gt;0,K39*I39/M39,0))*VLOOKUP(B39,'2-Kosten per locatie'!$A$14:$C$20,3,FALSE)</f>
        <v>0</v>
      </c>
      <c r="M39" s="305">
        <f>IF(K39="nio",0,IF(K39&gt;0,VLOOKUP(G39,'3-Productie normen'!A:M,VLOOKUP(K39,'3-Productie normen'!$B$25:$C$33,2,FALSE),FALSE)))</f>
        <v>0</v>
      </c>
      <c r="N39" s="306"/>
      <c r="P39" s="307">
        <f t="shared" si="1"/>
        <v>0</v>
      </c>
    </row>
    <row r="40" spans="1:16" ht="14.1" customHeight="1">
      <c r="A40" s="71">
        <v>40</v>
      </c>
      <c r="B40" s="269" t="s">
        <v>33</v>
      </c>
      <c r="C40" s="269" t="s">
        <v>84</v>
      </c>
      <c r="D40" s="301" t="s">
        <v>85</v>
      </c>
      <c r="E40" s="302">
        <v>32</v>
      </c>
      <c r="F40" s="67" t="s">
        <v>123</v>
      </c>
      <c r="G40" s="67" t="s">
        <v>50</v>
      </c>
      <c r="H40" s="67" t="s">
        <v>92</v>
      </c>
      <c r="I40" s="309">
        <v>0.96</v>
      </c>
      <c r="J40" s="304">
        <f t="shared" si="0"/>
        <v>0</v>
      </c>
      <c r="K40" s="234" t="s">
        <v>89</v>
      </c>
      <c r="L40" s="233">
        <f>IF(K40="nio",0,IF(K40&gt;0,K40*I40/M40,0))*VLOOKUP(B40,'2-Kosten per locatie'!$A$14:$C$20,3,FALSE)</f>
        <v>0</v>
      </c>
      <c r="M40" s="305">
        <f>IF(K40="nio",0,IF(K40&gt;0,VLOOKUP(G40,'3-Productie normen'!A:M,VLOOKUP(K40,'3-Productie normen'!$B$25:$C$33,2,FALSE),FALSE)))</f>
        <v>0</v>
      </c>
      <c r="N40" s="306"/>
      <c r="P40" s="307">
        <f t="shared" si="1"/>
        <v>0</v>
      </c>
    </row>
    <row r="41" spans="1:16" ht="14.1" customHeight="1">
      <c r="A41" s="71">
        <v>41</v>
      </c>
      <c r="B41" s="269" t="s">
        <v>33</v>
      </c>
      <c r="C41" s="269" t="s">
        <v>84</v>
      </c>
      <c r="D41" s="301" t="s">
        <v>85</v>
      </c>
      <c r="E41" s="302">
        <v>33</v>
      </c>
      <c r="F41" s="67" t="s">
        <v>124</v>
      </c>
      <c r="G41" s="67" t="s">
        <v>51</v>
      </c>
      <c r="H41" s="67" t="s">
        <v>88</v>
      </c>
      <c r="I41" s="309">
        <v>22.45</v>
      </c>
      <c r="J41" s="304">
        <f t="shared" si="0"/>
        <v>0</v>
      </c>
      <c r="K41" s="234" t="s">
        <v>89</v>
      </c>
      <c r="L41" s="233">
        <f>IF(K41="nio",0,IF(K41&gt;0,K41*I41/M41,0))*VLOOKUP(B41,'2-Kosten per locatie'!$A$14:$C$20,3,FALSE)</f>
        <v>0</v>
      </c>
      <c r="M41" s="305">
        <f>IF(K41="nio",0,IF(K41&gt;0,VLOOKUP(G41,'3-Productie normen'!A:M,VLOOKUP(K41,'3-Productie normen'!$B$25:$C$33,2,FALSE),FALSE)))</f>
        <v>0</v>
      </c>
      <c r="N41" s="306"/>
      <c r="P41" s="307">
        <f t="shared" si="1"/>
        <v>0</v>
      </c>
    </row>
    <row r="42" spans="1:16" ht="14.1" customHeight="1">
      <c r="A42" s="71">
        <v>42</v>
      </c>
      <c r="B42" s="269" t="s">
        <v>33</v>
      </c>
      <c r="C42" s="269" t="s">
        <v>84</v>
      </c>
      <c r="D42" s="301" t="s">
        <v>85</v>
      </c>
      <c r="E42" s="302">
        <v>34</v>
      </c>
      <c r="F42" s="67" t="s">
        <v>125</v>
      </c>
      <c r="G42" s="67" t="s">
        <v>51</v>
      </c>
      <c r="H42" s="67" t="s">
        <v>92</v>
      </c>
      <c r="I42" s="309">
        <v>22.48</v>
      </c>
      <c r="J42" s="304">
        <f t="shared" ref="J42:J73" si="2">SUM(K42:K42)</f>
        <v>0</v>
      </c>
      <c r="K42" s="234" t="s">
        <v>89</v>
      </c>
      <c r="L42" s="233">
        <f>IF(K42="nio",0,IF(K42&gt;0,K42*I42/M42,0))*VLOOKUP(B42,'2-Kosten per locatie'!$A$14:$C$20,3,FALSE)</f>
        <v>0</v>
      </c>
      <c r="M42" s="305">
        <f>IF(K42="nio",0,IF(K42&gt;0,VLOOKUP(G42,'3-Productie normen'!A:M,VLOOKUP(K42,'3-Productie normen'!$B$25:$C$33,2,FALSE),FALSE)))</f>
        <v>0</v>
      </c>
      <c r="N42" s="306"/>
      <c r="P42" s="307">
        <f t="shared" ref="P42:P73" si="3">J42*I42</f>
        <v>0</v>
      </c>
    </row>
    <row r="43" spans="1:16" ht="14.1" customHeight="1">
      <c r="A43" s="71">
        <v>43</v>
      </c>
      <c r="B43" s="269" t="s">
        <v>33</v>
      </c>
      <c r="C43" s="269" t="s">
        <v>84</v>
      </c>
      <c r="D43" s="301" t="s">
        <v>85</v>
      </c>
      <c r="E43" s="302">
        <v>35</v>
      </c>
      <c r="F43" s="67" t="s">
        <v>126</v>
      </c>
      <c r="G43" s="467" t="s">
        <v>55</v>
      </c>
      <c r="H43" s="67" t="s">
        <v>88</v>
      </c>
      <c r="I43" s="309">
        <v>7.12</v>
      </c>
      <c r="J43" s="304">
        <f t="shared" si="2"/>
        <v>0</v>
      </c>
      <c r="K43" s="234" t="s">
        <v>89</v>
      </c>
      <c r="L43" s="233">
        <f>IF(K43="nio",0,IF(K43&gt;0,K43*I43/M43,0))*VLOOKUP(B43,'2-Kosten per locatie'!$A$14:$C$20,3,FALSE)</f>
        <v>0</v>
      </c>
      <c r="M43" s="305">
        <f>IF(K43="nio",0,IF(K43&gt;0,VLOOKUP(G43,'3-Productie normen'!A:M,VLOOKUP(K43,'3-Productie normen'!$B$25:$C$33,2,FALSE),FALSE)))</f>
        <v>0</v>
      </c>
      <c r="N43" s="306"/>
      <c r="P43" s="307">
        <f t="shared" si="3"/>
        <v>0</v>
      </c>
    </row>
    <row r="44" spans="1:16" ht="14.1" customHeight="1">
      <c r="A44" s="71">
        <v>44</v>
      </c>
      <c r="B44" s="269" t="s">
        <v>32</v>
      </c>
      <c r="C44" s="269" t="s">
        <v>127</v>
      </c>
      <c r="D44" s="301" t="s">
        <v>85</v>
      </c>
      <c r="E44" s="302">
        <v>1</v>
      </c>
      <c r="F44" s="67" t="s">
        <v>128</v>
      </c>
      <c r="G44" s="284" t="s">
        <v>49</v>
      </c>
      <c r="H44" s="67" t="s">
        <v>92</v>
      </c>
      <c r="I44" s="309">
        <v>4.93</v>
      </c>
      <c r="J44" s="304">
        <f t="shared" si="2"/>
        <v>200</v>
      </c>
      <c r="K44" s="234">
        <v>200</v>
      </c>
      <c r="L44" s="233" t="e">
        <f>IF(K44="nio",0,IF(K44&gt;0,K44*I44/M44,0))*VLOOKUP(B44,'2-Kosten per locatie'!$A$14:$C$20,3,FALSE)</f>
        <v>#DIV/0!</v>
      </c>
      <c r="M44" s="305">
        <f>IF(K44="nio",0,IF(K44&gt;0,VLOOKUP(G44,'3-Productie normen'!A:M,VLOOKUP(K44,'3-Productie normen'!$B$25:$C$33,2,FALSE),FALSE)))</f>
        <v>0</v>
      </c>
      <c r="N44" s="306"/>
      <c r="P44" s="307">
        <f t="shared" si="3"/>
        <v>986</v>
      </c>
    </row>
    <row r="45" spans="1:16" ht="14.1" customHeight="1">
      <c r="A45" s="71">
        <v>45</v>
      </c>
      <c r="B45" s="269" t="s">
        <v>32</v>
      </c>
      <c r="C45" s="269" t="s">
        <v>127</v>
      </c>
      <c r="D45" s="301" t="s">
        <v>85</v>
      </c>
      <c r="E45" s="302">
        <v>2</v>
      </c>
      <c r="F45" s="269" t="s">
        <v>129</v>
      </c>
      <c r="G45" s="67" t="s">
        <v>56</v>
      </c>
      <c r="H45" s="67" t="s">
        <v>92</v>
      </c>
      <c r="I45" s="303">
        <v>9.7200000000000006</v>
      </c>
      <c r="J45" s="304">
        <f t="shared" si="2"/>
        <v>200</v>
      </c>
      <c r="K45" s="234">
        <v>200</v>
      </c>
      <c r="L45" s="233" t="e">
        <f>IF(K45="nio",0,IF(K45&gt;0,K45*I45/M45,0))*VLOOKUP(B45,'2-Kosten per locatie'!$A$14:$C$20,3,FALSE)</f>
        <v>#DIV/0!</v>
      </c>
      <c r="M45" s="305">
        <f>IF(K45="nio",0,IF(K45&gt;0,VLOOKUP(G45,'3-Productie normen'!A:M,VLOOKUP(K45,'3-Productie normen'!$B$25:$C$33,2,FALSE),FALSE)))</f>
        <v>0</v>
      </c>
      <c r="N45" s="306"/>
      <c r="P45" s="307">
        <f t="shared" si="3"/>
        <v>1944.0000000000002</v>
      </c>
    </row>
    <row r="46" spans="1:16" ht="14.1" customHeight="1">
      <c r="A46" s="71">
        <v>46</v>
      </c>
      <c r="B46" s="269" t="s">
        <v>32</v>
      </c>
      <c r="C46" s="269" t="s">
        <v>127</v>
      </c>
      <c r="D46" s="301" t="s">
        <v>85</v>
      </c>
      <c r="E46" s="302">
        <v>3</v>
      </c>
      <c r="F46" s="269" t="s">
        <v>130</v>
      </c>
      <c r="G46" s="67" t="s">
        <v>56</v>
      </c>
      <c r="H46" s="67" t="s">
        <v>92</v>
      </c>
      <c r="I46" s="303">
        <v>9.57</v>
      </c>
      <c r="J46" s="304">
        <f t="shared" si="2"/>
        <v>200</v>
      </c>
      <c r="K46" s="234">
        <v>200</v>
      </c>
      <c r="L46" s="233" t="e">
        <f>IF(K46="nio",0,IF(K46&gt;0,K46*I46/M46,0))*VLOOKUP(B46,'2-Kosten per locatie'!$A$14:$C$20,3,FALSE)</f>
        <v>#DIV/0!</v>
      </c>
      <c r="M46" s="305">
        <f>IF(K46="nio",0,IF(K46&gt;0,VLOOKUP(G46,'3-Productie normen'!A:M,VLOOKUP(K46,'3-Productie normen'!$B$25:$C$33,2,FALSE),FALSE)))</f>
        <v>0</v>
      </c>
      <c r="N46" s="306"/>
      <c r="P46" s="307">
        <f t="shared" si="3"/>
        <v>1914</v>
      </c>
    </row>
    <row r="47" spans="1:16" ht="14.1" customHeight="1">
      <c r="A47" s="71">
        <v>47</v>
      </c>
      <c r="B47" s="269" t="s">
        <v>32</v>
      </c>
      <c r="C47" s="269" t="s">
        <v>127</v>
      </c>
      <c r="D47" s="301" t="s">
        <v>85</v>
      </c>
      <c r="E47" s="302">
        <v>4</v>
      </c>
      <c r="F47" s="269" t="s">
        <v>131</v>
      </c>
      <c r="G47" s="269" t="s">
        <v>51</v>
      </c>
      <c r="H47" s="67" t="s">
        <v>92</v>
      </c>
      <c r="I47" s="303">
        <v>1.72</v>
      </c>
      <c r="J47" s="304">
        <f t="shared" si="2"/>
        <v>200</v>
      </c>
      <c r="K47" s="234">
        <v>200</v>
      </c>
      <c r="L47" s="233" t="e">
        <f>IF(K47="nio",0,IF(K47&gt;0,K47*I47/M47,0))*VLOOKUP(B47,'2-Kosten per locatie'!$A$14:$C$20,3,FALSE)</f>
        <v>#DIV/0!</v>
      </c>
      <c r="M47" s="305">
        <f>IF(K47="nio",0,IF(K47&gt;0,VLOOKUP(G47,'3-Productie normen'!A:M,VLOOKUP(K47,'3-Productie normen'!$B$25:$C$33,2,FALSE),FALSE)))</f>
        <v>0</v>
      </c>
      <c r="N47" s="306"/>
      <c r="P47" s="307">
        <f t="shared" si="3"/>
        <v>344</v>
      </c>
    </row>
    <row r="48" spans="1:16" ht="14.1" customHeight="1">
      <c r="A48" s="71">
        <v>48</v>
      </c>
      <c r="B48" s="269" t="s">
        <v>32</v>
      </c>
      <c r="C48" s="269" t="s">
        <v>127</v>
      </c>
      <c r="D48" s="301" t="s">
        <v>85</v>
      </c>
      <c r="E48" s="302">
        <v>5</v>
      </c>
      <c r="F48" s="67" t="s">
        <v>132</v>
      </c>
      <c r="G48" s="284" t="s">
        <v>54</v>
      </c>
      <c r="H48" s="67" t="s">
        <v>95</v>
      </c>
      <c r="I48" s="303">
        <v>250.3</v>
      </c>
      <c r="J48" s="304">
        <f t="shared" si="2"/>
        <v>200</v>
      </c>
      <c r="K48" s="234">
        <v>200</v>
      </c>
      <c r="L48" s="233" t="e">
        <f>IF(K48="nio",0,IF(K48&gt;0,K48*I48/M48,0))*VLOOKUP(B48,'2-Kosten per locatie'!$A$14:$C$20,3,FALSE)</f>
        <v>#DIV/0!</v>
      </c>
      <c r="M48" s="305">
        <f>IF(K48="nio",0,IF(K48&gt;0,VLOOKUP(G48,'3-Productie normen'!A:M,VLOOKUP(K48,'3-Productie normen'!$B$25:$C$33,2,FALSE),FALSE)))</f>
        <v>0</v>
      </c>
      <c r="N48" s="306"/>
      <c r="P48" s="307">
        <f t="shared" si="3"/>
        <v>50060</v>
      </c>
    </row>
    <row r="49" spans="1:16" ht="14.1" customHeight="1">
      <c r="A49" s="71">
        <v>49</v>
      </c>
      <c r="B49" s="269" t="s">
        <v>32</v>
      </c>
      <c r="C49" s="269" t="s">
        <v>127</v>
      </c>
      <c r="D49" s="301" t="s">
        <v>85</v>
      </c>
      <c r="E49" s="302">
        <v>6</v>
      </c>
      <c r="F49" s="67" t="s">
        <v>100</v>
      </c>
      <c r="G49" s="67" t="s">
        <v>51</v>
      </c>
      <c r="H49" s="67" t="s">
        <v>133</v>
      </c>
      <c r="I49" s="303">
        <v>23.97</v>
      </c>
      <c r="J49" s="304">
        <f t="shared" si="2"/>
        <v>200</v>
      </c>
      <c r="K49" s="234">
        <v>200</v>
      </c>
      <c r="L49" s="233" t="e">
        <f>IF(K49="nio",0,IF(K49&gt;0,K49*I49/M49,0))*VLOOKUP(B49,'2-Kosten per locatie'!$A$14:$C$20,3,FALSE)</f>
        <v>#DIV/0!</v>
      </c>
      <c r="M49" s="305">
        <f>IF(K49="nio",0,IF(K49&gt;0,VLOOKUP(G49,'3-Productie normen'!A:M,VLOOKUP(K49,'3-Productie normen'!$B$25:$C$33,2,FALSE),FALSE)))</f>
        <v>0</v>
      </c>
      <c r="N49" s="306"/>
      <c r="P49" s="307">
        <f t="shared" si="3"/>
        <v>4794</v>
      </c>
    </row>
    <row r="50" spans="1:16" ht="14.1" customHeight="1">
      <c r="A50" s="71">
        <v>50</v>
      </c>
      <c r="B50" s="269" t="s">
        <v>32</v>
      </c>
      <c r="C50" s="269" t="s">
        <v>127</v>
      </c>
      <c r="D50" s="301" t="s">
        <v>85</v>
      </c>
      <c r="E50" s="302">
        <v>7</v>
      </c>
      <c r="F50" s="67" t="s">
        <v>134</v>
      </c>
      <c r="G50" s="67" t="s">
        <v>50</v>
      </c>
      <c r="H50" s="67" t="s">
        <v>92</v>
      </c>
      <c r="I50" s="303">
        <v>32.61</v>
      </c>
      <c r="J50" s="304">
        <f t="shared" si="2"/>
        <v>200</v>
      </c>
      <c r="K50" s="234">
        <v>200</v>
      </c>
      <c r="L50" s="233" t="e">
        <f>IF(K50="nio",0,IF(K50&gt;0,K50*I50/M50,0))*VLOOKUP(B50,'2-Kosten per locatie'!$A$14:$C$20,3,FALSE)</f>
        <v>#DIV/0!</v>
      </c>
      <c r="M50" s="305">
        <f>IF(K50="nio",0,IF(K50&gt;0,VLOOKUP(G50,'3-Productie normen'!A:M,VLOOKUP(K50,'3-Productie normen'!$B$25:$C$33,2,FALSE),FALSE)))</f>
        <v>0</v>
      </c>
      <c r="N50" s="306"/>
      <c r="P50" s="307">
        <f t="shared" si="3"/>
        <v>6522</v>
      </c>
    </row>
    <row r="51" spans="1:16" ht="14.1" customHeight="1">
      <c r="A51" s="71">
        <v>51</v>
      </c>
      <c r="B51" s="269" t="s">
        <v>32</v>
      </c>
      <c r="C51" s="269" t="s">
        <v>127</v>
      </c>
      <c r="D51" s="301" t="s">
        <v>85</v>
      </c>
      <c r="E51" s="302">
        <v>8</v>
      </c>
      <c r="F51" s="67" t="s">
        <v>135</v>
      </c>
      <c r="G51" s="67" t="s">
        <v>50</v>
      </c>
      <c r="H51" s="67" t="s">
        <v>92</v>
      </c>
      <c r="I51" s="303">
        <v>30.1</v>
      </c>
      <c r="J51" s="304">
        <f t="shared" si="2"/>
        <v>200</v>
      </c>
      <c r="K51" s="234">
        <v>200</v>
      </c>
      <c r="L51" s="233" t="e">
        <f>IF(K51="nio",0,IF(K51&gt;0,K51*I51/M51,0))*VLOOKUP(B51,'2-Kosten per locatie'!$A$14:$C$20,3,FALSE)</f>
        <v>#DIV/0!</v>
      </c>
      <c r="M51" s="305">
        <f>IF(K51="nio",0,IF(K51&gt;0,VLOOKUP(G51,'3-Productie normen'!A:M,VLOOKUP(K51,'3-Productie normen'!$B$25:$C$33,2,FALSE),FALSE)))</f>
        <v>0</v>
      </c>
      <c r="N51" s="306"/>
      <c r="P51" s="307">
        <f t="shared" si="3"/>
        <v>6020</v>
      </c>
    </row>
    <row r="52" spans="1:16" ht="14.1" customHeight="1">
      <c r="A52" s="71">
        <v>52</v>
      </c>
      <c r="B52" s="269" t="s">
        <v>32</v>
      </c>
      <c r="C52" s="269" t="s">
        <v>127</v>
      </c>
      <c r="D52" s="301" t="s">
        <v>85</v>
      </c>
      <c r="E52" s="302">
        <v>9</v>
      </c>
      <c r="F52" s="310" t="s">
        <v>136</v>
      </c>
      <c r="G52" s="310" t="s">
        <v>50</v>
      </c>
      <c r="H52" s="67" t="s">
        <v>92</v>
      </c>
      <c r="I52" s="303">
        <v>1.79</v>
      </c>
      <c r="J52" s="304">
        <f t="shared" si="2"/>
        <v>200</v>
      </c>
      <c r="K52" s="234">
        <v>200</v>
      </c>
      <c r="L52" s="233" t="e">
        <f>IF(K52="nio",0,IF(K52&gt;0,K52*I52/M52,0))*VLOOKUP(B52,'2-Kosten per locatie'!$A$14:$C$20,3,FALSE)</f>
        <v>#DIV/0!</v>
      </c>
      <c r="M52" s="305">
        <f>IF(K52="nio",0,IF(K52&gt;0,VLOOKUP(G52,'3-Productie normen'!A:M,VLOOKUP(K52,'3-Productie normen'!$B$25:$C$33,2,FALSE),FALSE)))</f>
        <v>0</v>
      </c>
      <c r="N52" s="306"/>
      <c r="P52" s="307">
        <f t="shared" si="3"/>
        <v>358</v>
      </c>
    </row>
    <row r="53" spans="1:16" ht="14.1" customHeight="1">
      <c r="A53" s="71">
        <v>53</v>
      </c>
      <c r="B53" s="269" t="s">
        <v>32</v>
      </c>
      <c r="C53" s="269" t="s">
        <v>127</v>
      </c>
      <c r="D53" s="301" t="s">
        <v>85</v>
      </c>
      <c r="E53" s="302">
        <v>10</v>
      </c>
      <c r="F53" s="67" t="s">
        <v>119</v>
      </c>
      <c r="G53" s="67" t="s">
        <v>51</v>
      </c>
      <c r="H53" s="308" t="s">
        <v>95</v>
      </c>
      <c r="I53" s="303">
        <v>41</v>
      </c>
      <c r="J53" s="304">
        <f t="shared" si="2"/>
        <v>200</v>
      </c>
      <c r="K53" s="234">
        <v>200</v>
      </c>
      <c r="L53" s="233" t="e">
        <f>IF(K53="nio",0,IF(K53&gt;0,K53*I53/M53,0))*VLOOKUP(B53,'2-Kosten per locatie'!$A$14:$C$20,3,FALSE)</f>
        <v>#DIV/0!</v>
      </c>
      <c r="M53" s="305">
        <f>IF(K53="nio",0,IF(K53&gt;0,VLOOKUP(G53,'3-Productie normen'!A:M,VLOOKUP(K53,'3-Productie normen'!$B$25:$C$33,2,FALSE),FALSE)))</f>
        <v>0</v>
      </c>
      <c r="N53" s="306"/>
      <c r="P53" s="307">
        <f t="shared" si="3"/>
        <v>8200</v>
      </c>
    </row>
    <row r="54" spans="1:16" ht="14.1" customHeight="1">
      <c r="A54" s="71">
        <v>54</v>
      </c>
      <c r="B54" s="269" t="s">
        <v>32</v>
      </c>
      <c r="C54" s="269" t="s">
        <v>127</v>
      </c>
      <c r="D54" s="82" t="s">
        <v>85</v>
      </c>
      <c r="E54" s="230">
        <v>11</v>
      </c>
      <c r="F54" s="81" t="s">
        <v>137</v>
      </c>
      <c r="G54" s="81" t="s">
        <v>50</v>
      </c>
      <c r="H54" s="67" t="s">
        <v>92</v>
      </c>
      <c r="I54" s="303">
        <v>1.34</v>
      </c>
      <c r="J54" s="304">
        <f t="shared" si="2"/>
        <v>200</v>
      </c>
      <c r="K54" s="234">
        <v>200</v>
      </c>
      <c r="L54" s="233" t="e">
        <f>IF(K54="nio",0,IF(K54&gt;0,K54*I54/M54,0))*VLOOKUP(B54,'2-Kosten per locatie'!$A$14:$C$20,3,FALSE)</f>
        <v>#DIV/0!</v>
      </c>
      <c r="M54" s="305">
        <f>IF(K54="nio",0,IF(K54&gt;0,VLOOKUP(G54,'3-Productie normen'!A:M,VLOOKUP(K54,'3-Productie normen'!$B$25:$C$33,2,FALSE),FALSE)))</f>
        <v>0</v>
      </c>
      <c r="N54" s="306"/>
      <c r="P54" s="307">
        <f t="shared" si="3"/>
        <v>268</v>
      </c>
    </row>
    <row r="55" spans="1:16" ht="14.1" customHeight="1">
      <c r="A55" s="71">
        <v>55</v>
      </c>
      <c r="B55" s="269" t="s">
        <v>32</v>
      </c>
      <c r="C55" s="269" t="s">
        <v>127</v>
      </c>
      <c r="D55" s="301" t="s">
        <v>85</v>
      </c>
      <c r="E55" s="302">
        <v>12</v>
      </c>
      <c r="F55" s="67" t="s">
        <v>138</v>
      </c>
      <c r="G55" s="67" t="s">
        <v>50</v>
      </c>
      <c r="H55" s="67" t="s">
        <v>92</v>
      </c>
      <c r="I55" s="303">
        <v>1.34</v>
      </c>
      <c r="J55" s="304">
        <f t="shared" si="2"/>
        <v>200</v>
      </c>
      <c r="K55" s="234">
        <v>200</v>
      </c>
      <c r="L55" s="233" t="e">
        <f>IF(K55="nio",0,IF(K55&gt;0,K55*I55/M55,0))*VLOOKUP(B55,'2-Kosten per locatie'!$A$14:$C$20,3,FALSE)</f>
        <v>#DIV/0!</v>
      </c>
      <c r="M55" s="305">
        <f>IF(K55="nio",0,IF(K55&gt;0,VLOOKUP(G55,'3-Productie normen'!A:M,VLOOKUP(K55,'3-Productie normen'!$B$25:$C$33,2,FALSE),FALSE)))</f>
        <v>0</v>
      </c>
      <c r="N55" s="306"/>
      <c r="P55" s="307">
        <f t="shared" si="3"/>
        <v>268</v>
      </c>
    </row>
    <row r="56" spans="1:16" ht="14.1" customHeight="1">
      <c r="A56" s="71">
        <v>56</v>
      </c>
      <c r="B56" s="269" t="s">
        <v>30</v>
      </c>
      <c r="C56" s="269" t="s">
        <v>139</v>
      </c>
      <c r="D56" s="301" t="s">
        <v>85</v>
      </c>
      <c r="E56" s="302">
        <v>1</v>
      </c>
      <c r="F56" s="67" t="s">
        <v>140</v>
      </c>
      <c r="G56" s="67" t="s">
        <v>115</v>
      </c>
      <c r="H56" s="67" t="s">
        <v>133</v>
      </c>
      <c r="I56" s="303">
        <v>96.11</v>
      </c>
      <c r="J56" s="304">
        <f t="shared" si="2"/>
        <v>0</v>
      </c>
      <c r="K56" s="234" t="s">
        <v>89</v>
      </c>
      <c r="L56" s="233">
        <f>IF(K56="nio",0,IF(K56&gt;0,K56*I56/M56,0))*VLOOKUP(B56,'2-Kosten per locatie'!$A$14:$C$20,3,FALSE)</f>
        <v>0</v>
      </c>
      <c r="M56" s="305">
        <f>IF(K56="nio",0,IF(K56&gt;0,VLOOKUP(G56,'3-Productie normen'!A:M,VLOOKUP(K56,'3-Productie normen'!$B$25:$C$33,2,FALSE),FALSE)))</f>
        <v>0</v>
      </c>
      <c r="N56" s="306"/>
      <c r="P56" s="307">
        <f t="shared" si="3"/>
        <v>0</v>
      </c>
    </row>
    <row r="57" spans="1:16" ht="14.1" customHeight="1">
      <c r="A57" s="71">
        <v>57</v>
      </c>
      <c r="B57" s="269" t="s">
        <v>30</v>
      </c>
      <c r="C57" s="269" t="s">
        <v>139</v>
      </c>
      <c r="D57" s="301" t="s">
        <v>85</v>
      </c>
      <c r="E57" s="302">
        <v>2</v>
      </c>
      <c r="F57" s="67" t="s">
        <v>141</v>
      </c>
      <c r="G57" s="67" t="s">
        <v>50</v>
      </c>
      <c r="H57" s="67" t="s">
        <v>92</v>
      </c>
      <c r="I57" s="303">
        <v>19.04</v>
      </c>
      <c r="J57" s="304">
        <f t="shared" si="2"/>
        <v>0</v>
      </c>
      <c r="K57" s="234" t="s">
        <v>89</v>
      </c>
      <c r="L57" s="233">
        <f>IF(K57="nio",0,IF(K57&gt;0,K57*I57/M57,0))*VLOOKUP(B57,'2-Kosten per locatie'!$A$14:$C$20,3,FALSE)</f>
        <v>0</v>
      </c>
      <c r="M57" s="305">
        <f>IF(K57="nio",0,IF(K57&gt;0,VLOOKUP(G57,'3-Productie normen'!A:M,VLOOKUP(K57,'3-Productie normen'!$B$25:$C$33,2,FALSE),FALSE)))</f>
        <v>0</v>
      </c>
      <c r="N57" s="306"/>
      <c r="P57" s="307">
        <f t="shared" si="3"/>
        <v>0</v>
      </c>
    </row>
    <row r="58" spans="1:16" ht="14.1" customHeight="1">
      <c r="A58" s="71">
        <v>58</v>
      </c>
      <c r="B58" s="269" t="s">
        <v>30</v>
      </c>
      <c r="C58" s="269" t="s">
        <v>139</v>
      </c>
      <c r="D58" s="301" t="s">
        <v>85</v>
      </c>
      <c r="E58" s="302">
        <v>3</v>
      </c>
      <c r="F58" s="67" t="s">
        <v>141</v>
      </c>
      <c r="G58" s="67" t="s">
        <v>50</v>
      </c>
      <c r="H58" s="67" t="s">
        <v>92</v>
      </c>
      <c r="I58" s="303">
        <v>22.98</v>
      </c>
      <c r="J58" s="304">
        <f t="shared" si="2"/>
        <v>0</v>
      </c>
      <c r="K58" s="234" t="s">
        <v>89</v>
      </c>
      <c r="L58" s="233">
        <f>IF(K58="nio",0,IF(K58&gt;0,K58*I58/M58,0))*VLOOKUP(B58,'2-Kosten per locatie'!$A$14:$C$20,3,FALSE)</f>
        <v>0</v>
      </c>
      <c r="M58" s="305">
        <f>IF(K58="nio",0,IF(K58&gt;0,VLOOKUP(G58,'3-Productie normen'!A:M,VLOOKUP(K58,'3-Productie normen'!$B$25:$C$33,2,FALSE),FALSE)))</f>
        <v>0</v>
      </c>
      <c r="N58" s="306"/>
      <c r="P58" s="307">
        <f t="shared" si="3"/>
        <v>0</v>
      </c>
    </row>
    <row r="59" spans="1:16" ht="14.1" customHeight="1">
      <c r="A59" s="71">
        <v>59</v>
      </c>
      <c r="B59" s="269" t="s">
        <v>30</v>
      </c>
      <c r="C59" s="269" t="s">
        <v>139</v>
      </c>
      <c r="D59" s="301" t="s">
        <v>85</v>
      </c>
      <c r="E59" s="302">
        <v>4</v>
      </c>
      <c r="F59" s="67" t="s">
        <v>142</v>
      </c>
      <c r="G59" s="67" t="s">
        <v>50</v>
      </c>
      <c r="H59" s="67" t="s">
        <v>92</v>
      </c>
      <c r="I59" s="303">
        <v>4.53</v>
      </c>
      <c r="J59" s="304">
        <f t="shared" si="2"/>
        <v>0</v>
      </c>
      <c r="K59" s="234" t="s">
        <v>89</v>
      </c>
      <c r="L59" s="233">
        <f>IF(K59="nio",0,IF(K59&gt;0,K59*I59/M59,0))*VLOOKUP(B59,'2-Kosten per locatie'!$A$14:$C$20,3,FALSE)</f>
        <v>0</v>
      </c>
      <c r="M59" s="305">
        <f>IF(K59="nio",0,IF(K59&gt;0,VLOOKUP(G59,'3-Productie normen'!A:M,VLOOKUP(K59,'3-Productie normen'!$B$25:$C$33,2,FALSE),FALSE)))</f>
        <v>0</v>
      </c>
      <c r="N59" s="306"/>
      <c r="P59" s="307">
        <f t="shared" si="3"/>
        <v>0</v>
      </c>
    </row>
    <row r="60" spans="1:16" ht="14.1" customHeight="1">
      <c r="A60" s="71">
        <v>60</v>
      </c>
      <c r="B60" s="269" t="s">
        <v>30</v>
      </c>
      <c r="C60" s="269" t="s">
        <v>139</v>
      </c>
      <c r="D60" s="301" t="s">
        <v>85</v>
      </c>
      <c r="E60" s="302">
        <v>5</v>
      </c>
      <c r="F60" s="67" t="s">
        <v>143</v>
      </c>
      <c r="G60" s="67" t="s">
        <v>50</v>
      </c>
      <c r="H60" s="67" t="s">
        <v>92</v>
      </c>
      <c r="I60" s="303">
        <v>4.79</v>
      </c>
      <c r="J60" s="304">
        <f t="shared" si="2"/>
        <v>0</v>
      </c>
      <c r="K60" s="234" t="s">
        <v>89</v>
      </c>
      <c r="L60" s="233">
        <f>IF(K60="nio",0,IF(K60&gt;0,K60*I60/M60,0))*VLOOKUP(B60,'2-Kosten per locatie'!$A$14:$C$20,3,FALSE)</f>
        <v>0</v>
      </c>
      <c r="M60" s="305">
        <f>IF(K60="nio",0,IF(K60&gt;0,VLOOKUP(G60,'3-Productie normen'!A:M,VLOOKUP(K60,'3-Productie normen'!$B$25:$C$33,2,FALSE),FALSE)))</f>
        <v>0</v>
      </c>
      <c r="N60" s="306"/>
      <c r="P60" s="307">
        <f t="shared" si="3"/>
        <v>0</v>
      </c>
    </row>
    <row r="61" spans="1:16" ht="14.1" customHeight="1">
      <c r="A61" s="71">
        <v>61</v>
      </c>
      <c r="B61" s="269" t="s">
        <v>30</v>
      </c>
      <c r="C61" s="269" t="s">
        <v>139</v>
      </c>
      <c r="D61" s="301" t="s">
        <v>85</v>
      </c>
      <c r="E61" s="302">
        <v>6</v>
      </c>
      <c r="F61" s="67" t="s">
        <v>144</v>
      </c>
      <c r="G61" s="67" t="s">
        <v>56</v>
      </c>
      <c r="H61" s="67" t="s">
        <v>92</v>
      </c>
      <c r="I61" s="303">
        <v>7.59</v>
      </c>
      <c r="J61" s="304">
        <f t="shared" si="2"/>
        <v>0</v>
      </c>
      <c r="K61" s="234" t="s">
        <v>89</v>
      </c>
      <c r="L61" s="233">
        <f>IF(K61="nio",0,IF(K61&gt;0,K61*I61/M61,0))*VLOOKUP(B61,'2-Kosten per locatie'!$A$14:$C$20,3,FALSE)</f>
        <v>0</v>
      </c>
      <c r="M61" s="305">
        <f>IF(K61="nio",0,IF(K61&gt;0,VLOOKUP(G61,'3-Productie normen'!A:M,VLOOKUP(K61,'3-Productie normen'!$B$25:$C$33,2,FALSE),FALSE)))</f>
        <v>0</v>
      </c>
      <c r="N61" s="306"/>
      <c r="P61" s="307">
        <f t="shared" si="3"/>
        <v>0</v>
      </c>
    </row>
    <row r="62" spans="1:16" ht="14.1" customHeight="1">
      <c r="A62" s="71">
        <v>62</v>
      </c>
      <c r="B62" s="269" t="s">
        <v>30</v>
      </c>
      <c r="C62" s="269" t="s">
        <v>139</v>
      </c>
      <c r="D62" s="301" t="s">
        <v>85</v>
      </c>
      <c r="E62" s="302">
        <v>7</v>
      </c>
      <c r="F62" s="67" t="s">
        <v>145</v>
      </c>
      <c r="G62" s="67" t="s">
        <v>56</v>
      </c>
      <c r="H62" s="67" t="s">
        <v>92</v>
      </c>
      <c r="I62" s="303">
        <v>7.59</v>
      </c>
      <c r="J62" s="304">
        <f t="shared" si="2"/>
        <v>0</v>
      </c>
      <c r="K62" s="234" t="s">
        <v>89</v>
      </c>
      <c r="L62" s="233">
        <f>IF(K62="nio",0,IF(K62&gt;0,K62*I62/M62,0))*VLOOKUP(B62,'2-Kosten per locatie'!$A$14:$C$20,3,FALSE)</f>
        <v>0</v>
      </c>
      <c r="M62" s="305">
        <f>IF(K62="nio",0,IF(K62&gt;0,VLOOKUP(G62,'3-Productie normen'!A:M,VLOOKUP(K62,'3-Productie normen'!$B$25:$C$33,2,FALSE),FALSE)))</f>
        <v>0</v>
      </c>
      <c r="N62" s="306"/>
      <c r="P62" s="307">
        <f t="shared" si="3"/>
        <v>0</v>
      </c>
    </row>
    <row r="63" spans="1:16" ht="14.1" customHeight="1">
      <c r="A63" s="71">
        <v>63</v>
      </c>
      <c r="B63" s="269" t="s">
        <v>30</v>
      </c>
      <c r="C63" s="269" t="s">
        <v>139</v>
      </c>
      <c r="D63" s="301" t="s">
        <v>85</v>
      </c>
      <c r="E63" s="302">
        <v>8</v>
      </c>
      <c r="F63" s="67" t="s">
        <v>146</v>
      </c>
      <c r="G63" s="467" t="s">
        <v>55</v>
      </c>
      <c r="H63" s="67" t="s">
        <v>88</v>
      </c>
      <c r="I63" s="303">
        <v>6.36</v>
      </c>
      <c r="J63" s="304">
        <f t="shared" si="2"/>
        <v>0</v>
      </c>
      <c r="K63" s="234" t="s">
        <v>89</v>
      </c>
      <c r="L63" s="233">
        <f>IF(K63="nio",0,IF(K63&gt;0,K63*I63/M63,0))*VLOOKUP(B63,'2-Kosten per locatie'!$A$14:$C$20,3,FALSE)</f>
        <v>0</v>
      </c>
      <c r="M63" s="305">
        <f>IF(K63="nio",0,IF(K63&gt;0,VLOOKUP(G63,'3-Productie normen'!A:M,VLOOKUP(K63,'3-Productie normen'!$B$25:$C$33,2,FALSE),FALSE)))</f>
        <v>0</v>
      </c>
      <c r="N63" s="306"/>
      <c r="P63" s="307">
        <f t="shared" si="3"/>
        <v>0</v>
      </c>
    </row>
    <row r="64" spans="1:16" ht="14.1" customHeight="1">
      <c r="A64" s="71">
        <v>64</v>
      </c>
      <c r="B64" s="269" t="s">
        <v>30</v>
      </c>
      <c r="C64" s="269" t="s">
        <v>139</v>
      </c>
      <c r="D64" s="301" t="s">
        <v>85</v>
      </c>
      <c r="E64" s="302">
        <v>9</v>
      </c>
      <c r="F64" s="67" t="s">
        <v>97</v>
      </c>
      <c r="G64" s="67" t="s">
        <v>51</v>
      </c>
      <c r="H64" s="67" t="s">
        <v>92</v>
      </c>
      <c r="I64" s="303">
        <v>17.260000000000002</v>
      </c>
      <c r="J64" s="304">
        <f t="shared" si="2"/>
        <v>0</v>
      </c>
      <c r="K64" s="234" t="s">
        <v>89</v>
      </c>
      <c r="L64" s="233">
        <f>IF(K64="nio",0,IF(K64&gt;0,K64*I64/M64,0))*VLOOKUP(B64,'2-Kosten per locatie'!$A$14:$C$20,3,FALSE)</f>
        <v>0</v>
      </c>
      <c r="M64" s="305">
        <f>IF(K64="nio",0,IF(K64&gt;0,VLOOKUP(G64,'3-Productie normen'!A:M,VLOOKUP(K64,'3-Productie normen'!$B$25:$C$33,2,FALSE),FALSE)))</f>
        <v>0</v>
      </c>
      <c r="N64" s="306"/>
      <c r="P64" s="307">
        <f t="shared" si="3"/>
        <v>0</v>
      </c>
    </row>
    <row r="65" spans="1:16" ht="14.1" customHeight="1">
      <c r="A65" s="71">
        <v>65</v>
      </c>
      <c r="B65" s="269" t="s">
        <v>30</v>
      </c>
      <c r="C65" s="269" t="s">
        <v>139</v>
      </c>
      <c r="D65" s="301" t="s">
        <v>85</v>
      </c>
      <c r="E65" s="302">
        <v>10</v>
      </c>
      <c r="F65" s="67" t="s">
        <v>147</v>
      </c>
      <c r="G65" s="67" t="s">
        <v>51</v>
      </c>
      <c r="H65" s="67" t="s">
        <v>92</v>
      </c>
      <c r="I65" s="303">
        <v>20.12</v>
      </c>
      <c r="J65" s="304">
        <f t="shared" si="2"/>
        <v>0</v>
      </c>
      <c r="K65" s="234" t="s">
        <v>89</v>
      </c>
      <c r="L65" s="233">
        <f>IF(K65="nio",0,IF(K65&gt;0,K65*I65/M65,0))*VLOOKUP(B65,'2-Kosten per locatie'!$A$14:$C$20,3,FALSE)</f>
        <v>0</v>
      </c>
      <c r="M65" s="305">
        <f>IF(K65="nio",0,IF(K65&gt;0,VLOOKUP(G65,'3-Productie normen'!A:M,VLOOKUP(K65,'3-Productie normen'!$B$25:$C$33,2,FALSE),FALSE)))</f>
        <v>0</v>
      </c>
      <c r="N65" s="306"/>
      <c r="P65" s="307">
        <f t="shared" si="3"/>
        <v>0</v>
      </c>
    </row>
    <row r="66" spans="1:16" ht="14.1" customHeight="1">
      <c r="A66" s="71">
        <v>66</v>
      </c>
      <c r="B66" s="269" t="s">
        <v>30</v>
      </c>
      <c r="C66" s="269" t="s">
        <v>139</v>
      </c>
      <c r="D66" s="301" t="s">
        <v>85</v>
      </c>
      <c r="E66" s="302">
        <v>11</v>
      </c>
      <c r="F66" s="67" t="s">
        <v>148</v>
      </c>
      <c r="G66" s="67" t="s">
        <v>50</v>
      </c>
      <c r="H66" s="67" t="s">
        <v>92</v>
      </c>
      <c r="I66" s="303">
        <v>19.29</v>
      </c>
      <c r="J66" s="304">
        <f t="shared" si="2"/>
        <v>0</v>
      </c>
      <c r="K66" s="234" t="s">
        <v>89</v>
      </c>
      <c r="L66" s="233">
        <f>IF(K66="nio",0,IF(K66&gt;0,K66*I66/M66,0))*VLOOKUP(B66,'2-Kosten per locatie'!$A$14:$C$20,3,FALSE)</f>
        <v>0</v>
      </c>
      <c r="M66" s="305">
        <f>IF(K66="nio",0,IF(K66&gt;0,VLOOKUP(G66,'3-Productie normen'!A:M,VLOOKUP(K66,'3-Productie normen'!$B$25:$C$33,2,FALSE),FALSE)))</f>
        <v>0</v>
      </c>
      <c r="N66" s="306"/>
      <c r="P66" s="307">
        <f t="shared" si="3"/>
        <v>0</v>
      </c>
    </row>
    <row r="67" spans="1:16" ht="14.1" customHeight="1">
      <c r="A67" s="71">
        <v>67</v>
      </c>
      <c r="B67" s="269" t="s">
        <v>30</v>
      </c>
      <c r="C67" s="269" t="s">
        <v>139</v>
      </c>
      <c r="D67" s="301" t="s">
        <v>85</v>
      </c>
      <c r="E67" s="302">
        <v>12</v>
      </c>
      <c r="F67" s="67" t="s">
        <v>149</v>
      </c>
      <c r="G67" s="67" t="s">
        <v>50</v>
      </c>
      <c r="H67" s="67" t="s">
        <v>92</v>
      </c>
      <c r="I67" s="303">
        <v>19.14</v>
      </c>
      <c r="J67" s="304">
        <f t="shared" si="2"/>
        <v>0</v>
      </c>
      <c r="K67" s="234" t="s">
        <v>89</v>
      </c>
      <c r="L67" s="233">
        <f>IF(K67="nio",0,IF(K67&gt;0,K67*I67/M67,0))*VLOOKUP(B67,'2-Kosten per locatie'!$A$14:$C$20,3,FALSE)</f>
        <v>0</v>
      </c>
      <c r="M67" s="305">
        <f>IF(K67="nio",0,IF(K67&gt;0,VLOOKUP(G67,'3-Productie normen'!A:M,VLOOKUP(K67,'3-Productie normen'!$B$25:$C$33,2,FALSE),FALSE)))</f>
        <v>0</v>
      </c>
      <c r="N67" s="306"/>
      <c r="P67" s="307">
        <f t="shared" si="3"/>
        <v>0</v>
      </c>
    </row>
    <row r="68" spans="1:16" ht="14.1" customHeight="1">
      <c r="A68" s="71">
        <v>68</v>
      </c>
      <c r="B68" s="269" t="s">
        <v>30</v>
      </c>
      <c r="C68" s="269" t="s">
        <v>139</v>
      </c>
      <c r="D68" s="301" t="s">
        <v>85</v>
      </c>
      <c r="E68" s="302">
        <v>13</v>
      </c>
      <c r="F68" s="67" t="s">
        <v>150</v>
      </c>
      <c r="G68" s="67" t="s">
        <v>50</v>
      </c>
      <c r="H68" s="67" t="s">
        <v>92</v>
      </c>
      <c r="I68" s="303">
        <v>5.81</v>
      </c>
      <c r="J68" s="304">
        <f t="shared" si="2"/>
        <v>0</v>
      </c>
      <c r="K68" s="234" t="s">
        <v>89</v>
      </c>
      <c r="L68" s="233">
        <f>IF(K68="nio",0,IF(K68&gt;0,K68*I68/M68,0))*VLOOKUP(B68,'2-Kosten per locatie'!$A$14:$C$20,3,FALSE)</f>
        <v>0</v>
      </c>
      <c r="M68" s="305">
        <f>IF(K68="nio",0,IF(K68&gt;0,VLOOKUP(G68,'3-Productie normen'!A:M,VLOOKUP(K68,'3-Productie normen'!$B$25:$C$33,2,FALSE),FALSE)))</f>
        <v>0</v>
      </c>
      <c r="N68" s="306"/>
      <c r="P68" s="307">
        <f t="shared" si="3"/>
        <v>0</v>
      </c>
    </row>
    <row r="69" spans="1:16" ht="14.1" customHeight="1">
      <c r="A69" s="71">
        <v>69</v>
      </c>
      <c r="B69" s="269" t="s">
        <v>30</v>
      </c>
      <c r="C69" s="269" t="s">
        <v>139</v>
      </c>
      <c r="D69" s="301" t="s">
        <v>85</v>
      </c>
      <c r="E69" s="302">
        <v>14</v>
      </c>
      <c r="F69" s="67" t="s">
        <v>102</v>
      </c>
      <c r="G69" s="67" t="s">
        <v>51</v>
      </c>
      <c r="H69" s="67" t="s">
        <v>103</v>
      </c>
      <c r="I69" s="303">
        <v>113.94</v>
      </c>
      <c r="J69" s="304">
        <f t="shared" si="2"/>
        <v>0</v>
      </c>
      <c r="K69" s="234" t="s">
        <v>89</v>
      </c>
      <c r="L69" s="233">
        <f>IF(K69="nio",0,IF(K69&gt;0,K69*I69/M69,0))*VLOOKUP(B69,'2-Kosten per locatie'!$A$14:$C$20,3,FALSE)</f>
        <v>0</v>
      </c>
      <c r="M69" s="305">
        <f>IF(K69="nio",0,IF(K69&gt;0,VLOOKUP(G69,'3-Productie normen'!A:M,VLOOKUP(K69,'3-Productie normen'!$B$25:$C$33,2,FALSE),FALSE)))</f>
        <v>0</v>
      </c>
      <c r="N69" s="306"/>
      <c r="P69" s="307">
        <f t="shared" si="3"/>
        <v>0</v>
      </c>
    </row>
    <row r="70" spans="1:16" ht="14.1" customHeight="1">
      <c r="A70" s="71">
        <v>70</v>
      </c>
      <c r="B70" s="269" t="s">
        <v>30</v>
      </c>
      <c r="C70" s="269" t="s">
        <v>139</v>
      </c>
      <c r="D70" s="301" t="s">
        <v>85</v>
      </c>
      <c r="E70" s="302">
        <v>15</v>
      </c>
      <c r="F70" s="67" t="s">
        <v>151</v>
      </c>
      <c r="G70" s="67" t="s">
        <v>87</v>
      </c>
      <c r="H70" s="67" t="s">
        <v>88</v>
      </c>
      <c r="I70" s="303">
        <v>7.84</v>
      </c>
      <c r="J70" s="304">
        <f t="shared" si="2"/>
        <v>0</v>
      </c>
      <c r="K70" s="234" t="s">
        <v>89</v>
      </c>
      <c r="L70" s="233">
        <f>IF(K70="nio",0,IF(K70&gt;0,K70*I70/M70,0))*VLOOKUP(B70,'2-Kosten per locatie'!$A$14:$C$20,3,FALSE)</f>
        <v>0</v>
      </c>
      <c r="M70" s="305">
        <f>IF(K70="nio",0,IF(K70&gt;0,VLOOKUP(G70,'3-Productie normen'!A:M,VLOOKUP(K70,'3-Productie normen'!$B$25:$C$33,2,FALSE),FALSE)))</f>
        <v>0</v>
      </c>
      <c r="N70" s="306"/>
      <c r="P70" s="307">
        <f t="shared" si="3"/>
        <v>0</v>
      </c>
    </row>
    <row r="71" spans="1:16" ht="14.1" customHeight="1">
      <c r="A71" s="71">
        <v>71</v>
      </c>
      <c r="B71" s="269" t="s">
        <v>30</v>
      </c>
      <c r="C71" s="269" t="s">
        <v>139</v>
      </c>
      <c r="D71" s="301" t="s">
        <v>85</v>
      </c>
      <c r="E71" s="302">
        <v>16</v>
      </c>
      <c r="F71" s="67" t="s">
        <v>106</v>
      </c>
      <c r="G71" s="67" t="s">
        <v>107</v>
      </c>
      <c r="H71" s="67" t="s">
        <v>133</v>
      </c>
      <c r="I71" s="303">
        <v>11.46</v>
      </c>
      <c r="J71" s="304">
        <f t="shared" si="2"/>
        <v>0</v>
      </c>
      <c r="K71" s="234" t="s">
        <v>89</v>
      </c>
      <c r="L71" s="233">
        <f>IF(K71="nio",0,IF(K71&gt;0,K71*I71/M71,0))*VLOOKUP(B71,'2-Kosten per locatie'!$A$14:$C$20,3,FALSE)</f>
        <v>0</v>
      </c>
      <c r="M71" s="305">
        <f>IF(K71="nio",0,IF(K71&gt;0,VLOOKUP(G71,'3-Productie normen'!A:M,VLOOKUP(K71,'3-Productie normen'!$B$25:$C$33,2,FALSE),FALSE)))</f>
        <v>0</v>
      </c>
      <c r="N71" s="306"/>
      <c r="P71" s="307">
        <f t="shared" si="3"/>
        <v>0</v>
      </c>
    </row>
    <row r="72" spans="1:16" ht="14.1" customHeight="1">
      <c r="A72" s="71">
        <v>72</v>
      </c>
      <c r="B72" s="269" t="s">
        <v>30</v>
      </c>
      <c r="C72" s="269" t="s">
        <v>139</v>
      </c>
      <c r="D72" s="301" t="s">
        <v>85</v>
      </c>
      <c r="E72" s="302">
        <v>17</v>
      </c>
      <c r="F72" s="67" t="s">
        <v>152</v>
      </c>
      <c r="G72" s="67" t="s">
        <v>50</v>
      </c>
      <c r="H72" s="67" t="s">
        <v>92</v>
      </c>
      <c r="I72" s="303">
        <v>4.38</v>
      </c>
      <c r="J72" s="304">
        <f t="shared" si="2"/>
        <v>0</v>
      </c>
      <c r="K72" s="234" t="s">
        <v>89</v>
      </c>
      <c r="L72" s="233">
        <f>IF(K72="nio",0,IF(K72&gt;0,K72*I72/M72,0))*VLOOKUP(B72,'2-Kosten per locatie'!$A$14:$C$20,3,FALSE)</f>
        <v>0</v>
      </c>
      <c r="M72" s="305">
        <f>IF(K72="nio",0,IF(K72&gt;0,VLOOKUP(G72,'3-Productie normen'!A:M,VLOOKUP(K72,'3-Productie normen'!$B$25:$C$33,2,FALSE),FALSE)))</f>
        <v>0</v>
      </c>
      <c r="N72" s="306"/>
      <c r="P72" s="307">
        <f t="shared" si="3"/>
        <v>0</v>
      </c>
    </row>
    <row r="73" spans="1:16" ht="14.1" customHeight="1">
      <c r="A73" s="71">
        <v>73</v>
      </c>
      <c r="B73" s="269" t="s">
        <v>30</v>
      </c>
      <c r="C73" s="269" t="s">
        <v>139</v>
      </c>
      <c r="D73" s="301" t="s">
        <v>85</v>
      </c>
      <c r="E73" s="302">
        <v>18</v>
      </c>
      <c r="F73" s="67" t="s">
        <v>153</v>
      </c>
      <c r="G73" s="67" t="s">
        <v>50</v>
      </c>
      <c r="H73" s="67" t="s">
        <v>92</v>
      </c>
      <c r="I73" s="303">
        <v>3.6</v>
      </c>
      <c r="J73" s="304">
        <f t="shared" si="2"/>
        <v>0</v>
      </c>
      <c r="K73" s="234" t="s">
        <v>89</v>
      </c>
      <c r="L73" s="233">
        <f>IF(K73="nio",0,IF(K73&gt;0,K73*I73/M73,0))*VLOOKUP(B73,'2-Kosten per locatie'!$A$14:$C$20,3,FALSE)</f>
        <v>0</v>
      </c>
      <c r="M73" s="305">
        <f>IF(K73="nio",0,IF(K73&gt;0,VLOOKUP(G73,'3-Productie normen'!A:M,VLOOKUP(K73,'3-Productie normen'!$B$25:$C$33,2,FALSE),FALSE)))</f>
        <v>0</v>
      </c>
      <c r="N73" s="306"/>
      <c r="P73" s="307">
        <f t="shared" si="3"/>
        <v>0</v>
      </c>
    </row>
    <row r="74" spans="1:16" ht="14.1" customHeight="1">
      <c r="A74" s="71">
        <v>74</v>
      </c>
      <c r="B74" s="269" t="s">
        <v>30</v>
      </c>
      <c r="C74" s="269" t="s">
        <v>139</v>
      </c>
      <c r="D74" s="301" t="s">
        <v>85</v>
      </c>
      <c r="E74" s="302">
        <v>19</v>
      </c>
      <c r="F74" s="67" t="s">
        <v>154</v>
      </c>
      <c r="G74" s="67" t="s">
        <v>51</v>
      </c>
      <c r="H74" s="67" t="s">
        <v>92</v>
      </c>
      <c r="I74" s="303">
        <v>9.4600000000000009</v>
      </c>
      <c r="J74" s="304">
        <f t="shared" ref="J74:J105" si="4">SUM(K74:K74)</f>
        <v>0</v>
      </c>
      <c r="K74" s="234" t="s">
        <v>89</v>
      </c>
      <c r="L74" s="233">
        <f>IF(K74="nio",0,IF(K74&gt;0,K74*I74/M74,0))*VLOOKUP(B74,'2-Kosten per locatie'!$A$14:$C$20,3,FALSE)</f>
        <v>0</v>
      </c>
      <c r="M74" s="305">
        <f>IF(K74="nio",0,IF(K74&gt;0,VLOOKUP(G74,'3-Productie normen'!A:M,VLOOKUP(K74,'3-Productie normen'!$B$25:$C$33,2,FALSE),FALSE)))</f>
        <v>0</v>
      </c>
      <c r="N74" s="306"/>
      <c r="P74" s="307">
        <f t="shared" ref="P74:P105" si="5">J74*I74</f>
        <v>0</v>
      </c>
    </row>
    <row r="75" spans="1:16" ht="14.1" customHeight="1">
      <c r="A75" s="71">
        <v>75</v>
      </c>
      <c r="B75" s="269" t="s">
        <v>30</v>
      </c>
      <c r="C75" s="269" t="s">
        <v>139</v>
      </c>
      <c r="D75" s="301" t="s">
        <v>85</v>
      </c>
      <c r="E75" s="302">
        <v>20</v>
      </c>
      <c r="F75" s="67" t="s">
        <v>155</v>
      </c>
      <c r="G75" s="67" t="s">
        <v>87</v>
      </c>
      <c r="H75" s="67" t="s">
        <v>103</v>
      </c>
      <c r="I75" s="303">
        <v>4.3899999999999997</v>
      </c>
      <c r="J75" s="304">
        <f t="shared" si="4"/>
        <v>0</v>
      </c>
      <c r="K75" s="234" t="s">
        <v>89</v>
      </c>
      <c r="L75" s="233">
        <f>IF(K75="nio",0,IF(K75&gt;0,K75*I75/M75,0))*VLOOKUP(B75,'2-Kosten per locatie'!$A$14:$C$20,3,FALSE)</f>
        <v>0</v>
      </c>
      <c r="M75" s="305">
        <f>IF(K75="nio",0,IF(K75&gt;0,VLOOKUP(G75,'3-Productie normen'!A:M,VLOOKUP(K75,'3-Productie normen'!$B$25:$C$33,2,FALSE),FALSE)))</f>
        <v>0</v>
      </c>
      <c r="N75" s="306"/>
      <c r="P75" s="307">
        <f t="shared" si="5"/>
        <v>0</v>
      </c>
    </row>
    <row r="76" spans="1:16" ht="14.1" customHeight="1">
      <c r="A76" s="71">
        <v>76</v>
      </c>
      <c r="B76" s="269" t="s">
        <v>30</v>
      </c>
      <c r="C76" s="269" t="s">
        <v>139</v>
      </c>
      <c r="D76" s="301" t="s">
        <v>85</v>
      </c>
      <c r="E76" s="302">
        <v>21</v>
      </c>
      <c r="F76" s="67" t="s">
        <v>117</v>
      </c>
      <c r="G76" s="467" t="s">
        <v>54</v>
      </c>
      <c r="H76" s="67" t="s">
        <v>95</v>
      </c>
      <c r="I76" s="303">
        <v>304.79000000000002</v>
      </c>
      <c r="J76" s="304">
        <f t="shared" si="4"/>
        <v>0</v>
      </c>
      <c r="K76" s="234" t="s">
        <v>89</v>
      </c>
      <c r="L76" s="233">
        <f>IF(K76="nio",0,IF(K76&gt;0,K76*I76/M76,0))*VLOOKUP(B76,'2-Kosten per locatie'!$A$14:$C$20,3,FALSE)</f>
        <v>0</v>
      </c>
      <c r="M76" s="305">
        <f>IF(K76="nio",0,IF(K76&gt;0,VLOOKUP(G76,'3-Productie normen'!A:M,VLOOKUP(K76,'3-Productie normen'!$B$25:$C$33,2,FALSE),FALSE)))</f>
        <v>0</v>
      </c>
      <c r="N76" s="306"/>
      <c r="P76" s="307">
        <f t="shared" si="5"/>
        <v>0</v>
      </c>
    </row>
    <row r="77" spans="1:16" ht="14.1" customHeight="1">
      <c r="A77" s="71">
        <v>77</v>
      </c>
      <c r="B77" s="269" t="s">
        <v>30</v>
      </c>
      <c r="C77" s="269" t="s">
        <v>139</v>
      </c>
      <c r="D77" s="301" t="s">
        <v>85</v>
      </c>
      <c r="E77" s="302">
        <v>22</v>
      </c>
      <c r="F77" s="67" t="s">
        <v>118</v>
      </c>
      <c r="G77" s="467" t="s">
        <v>54</v>
      </c>
      <c r="H77" s="67" t="s">
        <v>95</v>
      </c>
      <c r="I77" s="303">
        <v>304</v>
      </c>
      <c r="J77" s="304">
        <f t="shared" si="4"/>
        <v>0</v>
      </c>
      <c r="K77" s="234" t="s">
        <v>89</v>
      </c>
      <c r="L77" s="233">
        <f>IF(K77="nio",0,IF(K77&gt;0,K77*I77/M77,0))*VLOOKUP(B77,'2-Kosten per locatie'!$A$14:$C$20,3,FALSE)</f>
        <v>0</v>
      </c>
      <c r="M77" s="305">
        <f>IF(K77="nio",0,IF(K77&gt;0,VLOOKUP(G77,'3-Productie normen'!A:M,VLOOKUP(K77,'3-Productie normen'!$B$25:$C$33,2,FALSE),FALSE)))</f>
        <v>0</v>
      </c>
      <c r="N77" s="306"/>
      <c r="P77" s="307">
        <f t="shared" si="5"/>
        <v>0</v>
      </c>
    </row>
    <row r="78" spans="1:16" ht="14.1" customHeight="1">
      <c r="A78" s="71">
        <v>78</v>
      </c>
      <c r="B78" s="269" t="s">
        <v>30</v>
      </c>
      <c r="C78" s="269" t="s">
        <v>139</v>
      </c>
      <c r="D78" s="301" t="s">
        <v>85</v>
      </c>
      <c r="E78" s="302">
        <v>23</v>
      </c>
      <c r="F78" s="67" t="s">
        <v>156</v>
      </c>
      <c r="G78" s="467" t="s">
        <v>54</v>
      </c>
      <c r="H78" s="67" t="s">
        <v>95</v>
      </c>
      <c r="I78" s="303">
        <v>304</v>
      </c>
      <c r="J78" s="304">
        <f t="shared" si="4"/>
        <v>0</v>
      </c>
      <c r="K78" s="234" t="s">
        <v>89</v>
      </c>
      <c r="L78" s="233">
        <f>IF(K78="nio",0,IF(K78&gt;0,K78*I78/M78,0))*VLOOKUP(B78,'2-Kosten per locatie'!$A$14:$C$20,3,FALSE)</f>
        <v>0</v>
      </c>
      <c r="M78" s="305">
        <f>IF(K78="nio",0,IF(K78&gt;0,VLOOKUP(G78,'3-Productie normen'!A:M,VLOOKUP(K78,'3-Productie normen'!$B$25:$C$33,2,FALSE),FALSE)))</f>
        <v>0</v>
      </c>
      <c r="N78" s="306"/>
      <c r="P78" s="307">
        <f t="shared" si="5"/>
        <v>0</v>
      </c>
    </row>
    <row r="79" spans="1:16" ht="14.1" customHeight="1">
      <c r="A79" s="71">
        <v>79</v>
      </c>
      <c r="B79" s="269" t="s">
        <v>30</v>
      </c>
      <c r="C79" s="269" t="s">
        <v>139</v>
      </c>
      <c r="D79" s="301" t="s">
        <v>85</v>
      </c>
      <c r="E79" s="302">
        <v>24</v>
      </c>
      <c r="F79" s="67" t="s">
        <v>157</v>
      </c>
      <c r="G79" s="67" t="s">
        <v>50</v>
      </c>
      <c r="H79" s="67" t="s">
        <v>92</v>
      </c>
      <c r="I79" s="303">
        <v>0.96</v>
      </c>
      <c r="J79" s="304">
        <f t="shared" si="4"/>
        <v>0</v>
      </c>
      <c r="K79" s="234" t="s">
        <v>89</v>
      </c>
      <c r="L79" s="233">
        <f>IF(K79="nio",0,IF(K79&gt;0,K79*I79/M79,0))*VLOOKUP(B79,'2-Kosten per locatie'!$A$14:$C$20,3,FALSE)</f>
        <v>0</v>
      </c>
      <c r="M79" s="305">
        <f>IF(K79="nio",0,IF(K79&gt;0,VLOOKUP(G79,'3-Productie normen'!A:M,VLOOKUP(K79,'3-Productie normen'!$B$25:$C$33,2,FALSE),FALSE)))</f>
        <v>0</v>
      </c>
      <c r="N79" s="306"/>
      <c r="P79" s="307">
        <f t="shared" si="5"/>
        <v>0</v>
      </c>
    </row>
    <row r="80" spans="1:16" ht="14.1" customHeight="1">
      <c r="A80" s="71">
        <v>80</v>
      </c>
      <c r="B80" s="269" t="s">
        <v>30</v>
      </c>
      <c r="C80" s="269" t="s">
        <v>139</v>
      </c>
      <c r="D80" s="301" t="s">
        <v>85</v>
      </c>
      <c r="E80" s="302">
        <v>25</v>
      </c>
      <c r="F80" s="67" t="s">
        <v>158</v>
      </c>
      <c r="G80" s="67" t="s">
        <v>51</v>
      </c>
      <c r="H80" s="67" t="s">
        <v>95</v>
      </c>
      <c r="I80" s="303">
        <v>110.13</v>
      </c>
      <c r="J80" s="304">
        <f t="shared" si="4"/>
        <v>0</v>
      </c>
      <c r="K80" s="234" t="s">
        <v>89</v>
      </c>
      <c r="L80" s="233">
        <f>IF(K80="nio",0,IF(K80&gt;0,K80*I80/M80,0))*VLOOKUP(B80,'2-Kosten per locatie'!$A$14:$C$20,3,FALSE)</f>
        <v>0</v>
      </c>
      <c r="M80" s="305">
        <f>IF(K80="nio",0,IF(K80&gt;0,VLOOKUP(G80,'3-Productie normen'!A:M,VLOOKUP(K80,'3-Productie normen'!$B$25:$C$33,2,FALSE),FALSE)))</f>
        <v>0</v>
      </c>
      <c r="N80" s="306"/>
      <c r="P80" s="307">
        <f t="shared" si="5"/>
        <v>0</v>
      </c>
    </row>
    <row r="81" spans="1:16" ht="14.1" customHeight="1">
      <c r="A81" s="71">
        <v>81</v>
      </c>
      <c r="B81" s="269" t="s">
        <v>31</v>
      </c>
      <c r="C81" s="269" t="s">
        <v>159</v>
      </c>
      <c r="D81" s="458"/>
      <c r="E81" s="231" t="s">
        <v>160</v>
      </c>
      <c r="F81" s="83" t="s">
        <v>55</v>
      </c>
      <c r="G81" s="467" t="s">
        <v>55</v>
      </c>
      <c r="H81" s="84" t="s">
        <v>161</v>
      </c>
      <c r="I81" s="225">
        <v>13.22</v>
      </c>
      <c r="J81" s="304">
        <f t="shared" si="4"/>
        <v>225</v>
      </c>
      <c r="K81" s="234">
        <v>225</v>
      </c>
      <c r="L81" s="233" t="e">
        <f>IF(K81="nio",0,IF(K81&gt;0,K81*I81/M81,0))*VLOOKUP(B81,'2-Kosten per locatie'!$A$14:$C$20,3,FALSE)</f>
        <v>#DIV/0!</v>
      </c>
      <c r="M81" s="305">
        <f>IF(K81="nio",0,IF(K81&gt;0,VLOOKUP(G81,'3-Productie normen'!A:M,VLOOKUP(K81,'3-Productie normen'!$B$25:$C$33,2,FALSE),FALSE)))</f>
        <v>0</v>
      </c>
      <c r="N81" s="306"/>
      <c r="P81" s="307">
        <f t="shared" si="5"/>
        <v>2974.5</v>
      </c>
    </row>
    <row r="82" spans="1:16" ht="14.1" customHeight="1">
      <c r="A82" s="71">
        <v>82</v>
      </c>
      <c r="B82" s="269" t="s">
        <v>31</v>
      </c>
      <c r="C82" s="269" t="s">
        <v>159</v>
      </c>
      <c r="D82" s="458"/>
      <c r="E82" s="231" t="s">
        <v>162</v>
      </c>
      <c r="F82" s="83" t="s">
        <v>55</v>
      </c>
      <c r="G82" s="467" t="s">
        <v>55</v>
      </c>
      <c r="H82" s="84" t="s">
        <v>161</v>
      </c>
      <c r="I82" s="225">
        <v>13.22</v>
      </c>
      <c r="J82" s="304">
        <f t="shared" si="4"/>
        <v>225</v>
      </c>
      <c r="K82" s="234">
        <v>225</v>
      </c>
      <c r="L82" s="233" t="e">
        <f>IF(K82="nio",0,IF(K82&gt;0,K82*I82/M82,0))*VLOOKUP(B82,'2-Kosten per locatie'!$A$14:$C$20,3,FALSE)</f>
        <v>#DIV/0!</v>
      </c>
      <c r="M82" s="305">
        <f>IF(K82="nio",0,IF(K82&gt;0,VLOOKUP(G82,'3-Productie normen'!A:M,VLOOKUP(K82,'3-Productie normen'!$B$25:$C$33,2,FALSE),FALSE)))</f>
        <v>0</v>
      </c>
      <c r="N82" s="306"/>
      <c r="P82" s="307">
        <f t="shared" si="5"/>
        <v>2974.5</v>
      </c>
    </row>
    <row r="83" spans="1:16" ht="14.1" customHeight="1">
      <c r="A83" s="71">
        <v>83</v>
      </c>
      <c r="B83" s="269" t="s">
        <v>31</v>
      </c>
      <c r="C83" s="269" t="s">
        <v>159</v>
      </c>
      <c r="D83" s="458"/>
      <c r="E83" s="231" t="s">
        <v>163</v>
      </c>
      <c r="F83" s="83" t="s">
        <v>164</v>
      </c>
      <c r="G83" s="83" t="s">
        <v>51</v>
      </c>
      <c r="H83" s="84" t="s">
        <v>161</v>
      </c>
      <c r="I83" s="225">
        <v>1.88</v>
      </c>
      <c r="J83" s="304">
        <f t="shared" si="4"/>
        <v>225</v>
      </c>
      <c r="K83" s="234">
        <v>225</v>
      </c>
      <c r="L83" s="233" t="e">
        <f>IF(K83="nio",0,IF(K83&gt;0,K83*I83/M83,0))*VLOOKUP(B83,'2-Kosten per locatie'!$A$14:$C$20,3,FALSE)</f>
        <v>#DIV/0!</v>
      </c>
      <c r="M83" s="305">
        <f>IF(K83="nio",0,IF(K83&gt;0,VLOOKUP(G83,'3-Productie normen'!A:M,VLOOKUP(K83,'3-Productie normen'!$B$25:$C$33,2,FALSE),FALSE)))</f>
        <v>0</v>
      </c>
      <c r="N83" s="306"/>
      <c r="P83" s="307">
        <f t="shared" si="5"/>
        <v>423</v>
      </c>
    </row>
    <row r="84" spans="1:16" ht="14.1" customHeight="1">
      <c r="A84" s="71">
        <v>84</v>
      </c>
      <c r="B84" s="269" t="s">
        <v>31</v>
      </c>
      <c r="C84" s="269" t="s">
        <v>159</v>
      </c>
      <c r="D84" s="458"/>
      <c r="E84" s="231" t="s">
        <v>165</v>
      </c>
      <c r="F84" s="83" t="s">
        <v>164</v>
      </c>
      <c r="G84" s="83" t="s">
        <v>51</v>
      </c>
      <c r="H84" s="83" t="s">
        <v>161</v>
      </c>
      <c r="I84" s="225">
        <v>1.88</v>
      </c>
      <c r="J84" s="304">
        <f t="shared" si="4"/>
        <v>225</v>
      </c>
      <c r="K84" s="234">
        <v>225</v>
      </c>
      <c r="L84" s="233" t="e">
        <f>IF(K84="nio",0,IF(K84&gt;0,K84*I84/M84,0))*VLOOKUP(B84,'2-Kosten per locatie'!$A$14:$C$20,3,FALSE)</f>
        <v>#DIV/0!</v>
      </c>
      <c r="M84" s="305">
        <f>IF(K84="nio",0,IF(K84&gt;0,VLOOKUP(G84,'3-Productie normen'!A:M,VLOOKUP(K84,'3-Productie normen'!$B$25:$C$33,2,FALSE),FALSE)))</f>
        <v>0</v>
      </c>
      <c r="N84" s="306"/>
      <c r="P84" s="307">
        <f t="shared" si="5"/>
        <v>423</v>
      </c>
    </row>
    <row r="85" spans="1:16" ht="14.1" customHeight="1">
      <c r="A85" s="71">
        <v>85</v>
      </c>
      <c r="B85" s="269" t="s">
        <v>31</v>
      </c>
      <c r="C85" s="269" t="s">
        <v>159</v>
      </c>
      <c r="D85" s="458"/>
      <c r="E85" s="231" t="s">
        <v>166</v>
      </c>
      <c r="F85" s="83" t="s">
        <v>167</v>
      </c>
      <c r="G85" s="83" t="s">
        <v>50</v>
      </c>
      <c r="H85" s="83" t="s">
        <v>161</v>
      </c>
      <c r="I85" s="225">
        <v>1.1599999999999999</v>
      </c>
      <c r="J85" s="304">
        <f t="shared" si="4"/>
        <v>225</v>
      </c>
      <c r="K85" s="234">
        <v>225</v>
      </c>
      <c r="L85" s="233" t="e">
        <f>IF(K85="nio",0,IF(K85&gt;0,K85*I85/M85,0))*VLOOKUP(B85,'2-Kosten per locatie'!$A$14:$C$20,3,FALSE)</f>
        <v>#DIV/0!</v>
      </c>
      <c r="M85" s="305">
        <f>IF(K85="nio",0,IF(K85&gt;0,VLOOKUP(G85,'3-Productie normen'!A:M,VLOOKUP(K85,'3-Productie normen'!$B$25:$C$33,2,FALSE),FALSE)))</f>
        <v>0</v>
      </c>
      <c r="N85" s="306"/>
      <c r="P85" s="307">
        <f t="shared" si="5"/>
        <v>261</v>
      </c>
    </row>
    <row r="86" spans="1:16" ht="14.1" customHeight="1">
      <c r="A86" s="71">
        <v>86</v>
      </c>
      <c r="B86" s="269" t="s">
        <v>31</v>
      </c>
      <c r="C86" s="269" t="s">
        <v>159</v>
      </c>
      <c r="D86" s="458"/>
      <c r="E86" s="231" t="s">
        <v>168</v>
      </c>
      <c r="F86" s="83" t="s">
        <v>167</v>
      </c>
      <c r="G86" s="83" t="s">
        <v>50</v>
      </c>
      <c r="H86" s="83" t="s">
        <v>161</v>
      </c>
      <c r="I86" s="225">
        <v>1.1599999999999999</v>
      </c>
      <c r="J86" s="304">
        <f t="shared" si="4"/>
        <v>225</v>
      </c>
      <c r="K86" s="234">
        <v>225</v>
      </c>
      <c r="L86" s="233" t="e">
        <f>IF(K86="nio",0,IF(K86&gt;0,K86*I86/M86,0))*VLOOKUP(B86,'2-Kosten per locatie'!$A$14:$C$20,3,FALSE)</f>
        <v>#DIV/0!</v>
      </c>
      <c r="M86" s="305">
        <f>IF(K86="nio",0,IF(K86&gt;0,VLOOKUP(G86,'3-Productie normen'!A:M,VLOOKUP(K86,'3-Productie normen'!$B$25:$C$33,2,FALSE),FALSE)))</f>
        <v>0</v>
      </c>
      <c r="N86" s="306"/>
      <c r="P86" s="307">
        <f t="shared" si="5"/>
        <v>261</v>
      </c>
    </row>
    <row r="87" spans="1:16" ht="14.1" customHeight="1">
      <c r="A87" s="71">
        <v>87</v>
      </c>
      <c r="B87" s="269" t="s">
        <v>31</v>
      </c>
      <c r="C87" s="269" t="s">
        <v>159</v>
      </c>
      <c r="D87" s="458"/>
      <c r="E87" s="231" t="s">
        <v>169</v>
      </c>
      <c r="F87" s="83" t="s">
        <v>167</v>
      </c>
      <c r="G87" s="83" t="s">
        <v>50</v>
      </c>
      <c r="H87" s="83" t="s">
        <v>161</v>
      </c>
      <c r="I87" s="225">
        <v>1.1599999999999999</v>
      </c>
      <c r="J87" s="304">
        <f t="shared" si="4"/>
        <v>225</v>
      </c>
      <c r="K87" s="234">
        <v>225</v>
      </c>
      <c r="L87" s="233" t="e">
        <f>IF(K87="nio",0,IF(K87&gt;0,K87*I87/M87,0))*VLOOKUP(B87,'2-Kosten per locatie'!$A$14:$C$20,3,FALSE)</f>
        <v>#DIV/0!</v>
      </c>
      <c r="M87" s="305">
        <f>IF(K87="nio",0,IF(K87&gt;0,VLOOKUP(G87,'3-Productie normen'!A:M,VLOOKUP(K87,'3-Productie normen'!$B$25:$C$33,2,FALSE),FALSE)))</f>
        <v>0</v>
      </c>
      <c r="N87" s="306"/>
      <c r="P87" s="307">
        <f t="shared" si="5"/>
        <v>261</v>
      </c>
    </row>
    <row r="88" spans="1:16" ht="14.1" customHeight="1">
      <c r="A88" s="71">
        <v>88</v>
      </c>
      <c r="B88" s="269" t="s">
        <v>31</v>
      </c>
      <c r="C88" s="269" t="s">
        <v>159</v>
      </c>
      <c r="D88" s="458"/>
      <c r="E88" s="231" t="s">
        <v>170</v>
      </c>
      <c r="F88" s="83" t="s">
        <v>167</v>
      </c>
      <c r="G88" s="83" t="s">
        <v>50</v>
      </c>
      <c r="H88" s="83" t="s">
        <v>161</v>
      </c>
      <c r="I88" s="225">
        <v>1.1599999999999999</v>
      </c>
      <c r="J88" s="304">
        <f t="shared" si="4"/>
        <v>225</v>
      </c>
      <c r="K88" s="234">
        <v>225</v>
      </c>
      <c r="L88" s="233" t="e">
        <f>IF(K88="nio",0,IF(K88&gt;0,K88*I88/M88,0))*VLOOKUP(B88,'2-Kosten per locatie'!$A$14:$C$20,3,FALSE)</f>
        <v>#DIV/0!</v>
      </c>
      <c r="M88" s="305">
        <f>IF(K88="nio",0,IF(K88&gt;0,VLOOKUP(G88,'3-Productie normen'!A:M,VLOOKUP(K88,'3-Productie normen'!$B$25:$C$33,2,FALSE),FALSE)))</f>
        <v>0</v>
      </c>
      <c r="N88" s="306"/>
      <c r="P88" s="307">
        <f t="shared" si="5"/>
        <v>261</v>
      </c>
    </row>
    <row r="89" spans="1:16" ht="14.1" customHeight="1">
      <c r="A89" s="71">
        <v>89</v>
      </c>
      <c r="B89" s="269" t="s">
        <v>31</v>
      </c>
      <c r="C89" s="269" t="s">
        <v>159</v>
      </c>
      <c r="D89" s="458"/>
      <c r="E89" s="231" t="s">
        <v>171</v>
      </c>
      <c r="F89" s="83" t="s">
        <v>172</v>
      </c>
      <c r="G89" s="83" t="s">
        <v>57</v>
      </c>
      <c r="H89" s="83" t="s">
        <v>161</v>
      </c>
      <c r="I89" s="225">
        <v>1.63</v>
      </c>
      <c r="J89" s="304">
        <f t="shared" si="4"/>
        <v>0</v>
      </c>
      <c r="K89" s="234" t="s">
        <v>89</v>
      </c>
      <c r="L89" s="233">
        <f>IF(K89="nio",0,IF(K89&gt;0,K89*I89/M89,0))*VLOOKUP(B89,'2-Kosten per locatie'!$A$14:$C$20,3,FALSE)</f>
        <v>0</v>
      </c>
      <c r="M89" s="305">
        <f>IF(K89="nio",0,IF(K89&gt;0,VLOOKUP(G89,'3-Productie normen'!A:M,VLOOKUP(K89,'3-Productie normen'!$B$25:$C$33,2,FALSE),FALSE)))</f>
        <v>0</v>
      </c>
      <c r="N89" s="306"/>
      <c r="P89" s="307">
        <f t="shared" si="5"/>
        <v>0</v>
      </c>
    </row>
    <row r="90" spans="1:16" ht="14.1" customHeight="1">
      <c r="A90" s="71">
        <v>90</v>
      </c>
      <c r="B90" s="269" t="s">
        <v>31</v>
      </c>
      <c r="C90" s="269" t="s">
        <v>159</v>
      </c>
      <c r="D90" s="458"/>
      <c r="E90" s="231" t="s">
        <v>173</v>
      </c>
      <c r="F90" s="83" t="s">
        <v>172</v>
      </c>
      <c r="G90" s="83" t="s">
        <v>57</v>
      </c>
      <c r="H90" s="83" t="s">
        <v>161</v>
      </c>
      <c r="I90" s="225">
        <v>1.63</v>
      </c>
      <c r="J90" s="304">
        <f t="shared" si="4"/>
        <v>0</v>
      </c>
      <c r="K90" s="234" t="s">
        <v>89</v>
      </c>
      <c r="L90" s="233">
        <f>IF(K90="nio",0,IF(K90&gt;0,K90*I90/M90,0))*VLOOKUP(B90,'2-Kosten per locatie'!$A$14:$C$20,3,FALSE)</f>
        <v>0</v>
      </c>
      <c r="M90" s="305">
        <f>IF(K90="nio",0,IF(K90&gt;0,VLOOKUP(G90,'3-Productie normen'!A:M,VLOOKUP(K90,'3-Productie normen'!$B$25:$C$33,2,FALSE),FALSE)))</f>
        <v>0</v>
      </c>
      <c r="N90" s="306"/>
      <c r="P90" s="307">
        <f t="shared" si="5"/>
        <v>0</v>
      </c>
    </row>
    <row r="91" spans="1:16" ht="14.1" customHeight="1">
      <c r="A91" s="71">
        <v>91</v>
      </c>
      <c r="B91" s="269" t="s">
        <v>31</v>
      </c>
      <c r="C91" s="269" t="s">
        <v>159</v>
      </c>
      <c r="D91" s="458"/>
      <c r="E91" s="231" t="s">
        <v>174</v>
      </c>
      <c r="F91" s="83" t="s">
        <v>172</v>
      </c>
      <c r="G91" s="83" t="s">
        <v>57</v>
      </c>
      <c r="H91" s="83" t="s">
        <v>161</v>
      </c>
      <c r="I91" s="225">
        <v>1.63</v>
      </c>
      <c r="J91" s="304">
        <f t="shared" si="4"/>
        <v>0</v>
      </c>
      <c r="K91" s="234" t="s">
        <v>89</v>
      </c>
      <c r="L91" s="233">
        <f>IF(K91="nio",0,IF(K91&gt;0,K91*I91/M91,0))*VLOOKUP(B91,'2-Kosten per locatie'!$A$14:$C$20,3,FALSE)</f>
        <v>0</v>
      </c>
      <c r="M91" s="305">
        <f>IF(K91="nio",0,IF(K91&gt;0,VLOOKUP(G91,'3-Productie normen'!A:M,VLOOKUP(K91,'3-Productie normen'!$B$25:$C$33,2,FALSE),FALSE)))</f>
        <v>0</v>
      </c>
      <c r="N91" s="306"/>
      <c r="P91" s="307">
        <f t="shared" si="5"/>
        <v>0</v>
      </c>
    </row>
    <row r="92" spans="1:16" ht="14.1" customHeight="1">
      <c r="A92" s="71">
        <v>92</v>
      </c>
      <c r="B92" s="269" t="s">
        <v>31</v>
      </c>
      <c r="C92" s="269" t="s">
        <v>159</v>
      </c>
      <c r="D92" s="458"/>
      <c r="E92" s="231" t="s">
        <v>175</v>
      </c>
      <c r="F92" s="83" t="s">
        <v>176</v>
      </c>
      <c r="G92" s="83" t="s">
        <v>57</v>
      </c>
      <c r="H92" s="83" t="s">
        <v>161</v>
      </c>
      <c r="I92" s="225">
        <v>1.81</v>
      </c>
      <c r="J92" s="304">
        <f t="shared" si="4"/>
        <v>0</v>
      </c>
      <c r="K92" s="234" t="s">
        <v>89</v>
      </c>
      <c r="L92" s="233">
        <f>IF(K92="nio",0,IF(K92&gt;0,K92*I92/M92,0))*VLOOKUP(B92,'2-Kosten per locatie'!$A$14:$C$20,3,FALSE)</f>
        <v>0</v>
      </c>
      <c r="M92" s="305">
        <f>IF(K92="nio",0,IF(K92&gt;0,VLOOKUP(G92,'3-Productie normen'!A:M,VLOOKUP(K92,'3-Productie normen'!$B$25:$C$33,2,FALSE),FALSE)))</f>
        <v>0</v>
      </c>
      <c r="N92" s="306"/>
      <c r="P92" s="307">
        <f t="shared" si="5"/>
        <v>0</v>
      </c>
    </row>
    <row r="93" spans="1:16" ht="14.1" customHeight="1">
      <c r="A93" s="71">
        <v>93</v>
      </c>
      <c r="B93" s="269" t="s">
        <v>31</v>
      </c>
      <c r="C93" s="269" t="s">
        <v>159</v>
      </c>
      <c r="D93" s="458"/>
      <c r="E93" s="231" t="s">
        <v>177</v>
      </c>
      <c r="F93" s="83" t="s">
        <v>178</v>
      </c>
      <c r="G93" s="83" t="s">
        <v>51</v>
      </c>
      <c r="H93" s="83" t="s">
        <v>161</v>
      </c>
      <c r="I93" s="225">
        <v>28.73</v>
      </c>
      <c r="J93" s="304">
        <f t="shared" si="4"/>
        <v>225</v>
      </c>
      <c r="K93" s="234">
        <v>225</v>
      </c>
      <c r="L93" s="233" t="e">
        <f>IF(K93="nio",0,IF(K93&gt;0,K93*I93/M93,0))*VLOOKUP(B93,'2-Kosten per locatie'!$A$14:$C$20,3,FALSE)</f>
        <v>#DIV/0!</v>
      </c>
      <c r="M93" s="305">
        <f>IF(K93="nio",0,IF(K93&gt;0,VLOOKUP(G93,'3-Productie normen'!A:M,VLOOKUP(K93,'3-Productie normen'!$B$25:$C$33,2,FALSE),FALSE)))</f>
        <v>0</v>
      </c>
      <c r="N93" s="306"/>
      <c r="P93" s="307">
        <f t="shared" si="5"/>
        <v>6464.25</v>
      </c>
    </row>
    <row r="94" spans="1:16" ht="14.1" customHeight="1">
      <c r="A94" s="71">
        <v>94</v>
      </c>
      <c r="B94" s="269" t="s">
        <v>31</v>
      </c>
      <c r="C94" s="269" t="s">
        <v>159</v>
      </c>
      <c r="D94" s="458"/>
      <c r="E94" s="231" t="s">
        <v>179</v>
      </c>
      <c r="F94" s="83" t="s">
        <v>178</v>
      </c>
      <c r="G94" s="83" t="s">
        <v>51</v>
      </c>
      <c r="H94" s="83" t="s">
        <v>161</v>
      </c>
      <c r="I94" s="225">
        <v>28.73</v>
      </c>
      <c r="J94" s="304">
        <f t="shared" si="4"/>
        <v>225</v>
      </c>
      <c r="K94" s="234">
        <v>225</v>
      </c>
      <c r="L94" s="233" t="e">
        <f>IF(K94="nio",0,IF(K94&gt;0,K94*I94/M94,0))*VLOOKUP(B94,'2-Kosten per locatie'!$A$14:$C$20,3,FALSE)</f>
        <v>#DIV/0!</v>
      </c>
      <c r="M94" s="305">
        <f>IF(K94="nio",0,IF(K94&gt;0,VLOOKUP(G94,'3-Productie normen'!A:M,VLOOKUP(K94,'3-Productie normen'!$B$25:$C$33,2,FALSE),FALSE)))</f>
        <v>0</v>
      </c>
      <c r="N94" s="306"/>
      <c r="P94" s="307">
        <f t="shared" si="5"/>
        <v>6464.25</v>
      </c>
    </row>
    <row r="95" spans="1:16" ht="14.1" customHeight="1">
      <c r="A95" s="71">
        <v>95</v>
      </c>
      <c r="B95" s="269" t="s">
        <v>31</v>
      </c>
      <c r="C95" s="269" t="s">
        <v>159</v>
      </c>
      <c r="D95" s="458"/>
      <c r="E95" s="231" t="s">
        <v>180</v>
      </c>
      <c r="F95" s="83" t="s">
        <v>181</v>
      </c>
      <c r="G95" s="83" t="s">
        <v>51</v>
      </c>
      <c r="H95" s="83" t="s">
        <v>161</v>
      </c>
      <c r="I95" s="225">
        <v>35</v>
      </c>
      <c r="J95" s="304">
        <f t="shared" si="4"/>
        <v>225</v>
      </c>
      <c r="K95" s="234">
        <v>225</v>
      </c>
      <c r="L95" s="233" t="e">
        <f>IF(K95="nio",0,IF(K95&gt;0,K95*I95/M95,0))*VLOOKUP(B95,'2-Kosten per locatie'!$A$14:$C$20,3,FALSE)</f>
        <v>#DIV/0!</v>
      </c>
      <c r="M95" s="305">
        <f>IF(K95="nio",0,IF(K95&gt;0,VLOOKUP(G95,'3-Productie normen'!A:M,VLOOKUP(K95,'3-Productie normen'!$B$25:$C$33,2,FALSE),FALSE)))</f>
        <v>0</v>
      </c>
      <c r="N95" s="306"/>
      <c r="P95" s="307">
        <f t="shared" si="5"/>
        <v>7875</v>
      </c>
    </row>
    <row r="96" spans="1:16" ht="14.1" customHeight="1">
      <c r="A96" s="71">
        <v>96</v>
      </c>
      <c r="B96" s="269" t="s">
        <v>31</v>
      </c>
      <c r="C96" s="269" t="s">
        <v>159</v>
      </c>
      <c r="D96" s="458"/>
      <c r="E96" s="231" t="s">
        <v>182</v>
      </c>
      <c r="F96" s="83" t="s">
        <v>181</v>
      </c>
      <c r="G96" s="83" t="s">
        <v>51</v>
      </c>
      <c r="H96" s="83" t="s">
        <v>161</v>
      </c>
      <c r="I96" s="225">
        <v>35</v>
      </c>
      <c r="J96" s="304">
        <f t="shared" si="4"/>
        <v>225</v>
      </c>
      <c r="K96" s="234">
        <v>225</v>
      </c>
      <c r="L96" s="233" t="e">
        <f>IF(K96="nio",0,IF(K96&gt;0,K96*I96/M96,0))*VLOOKUP(B96,'2-Kosten per locatie'!$A$14:$C$20,3,FALSE)</f>
        <v>#DIV/0!</v>
      </c>
      <c r="M96" s="305">
        <f>IF(K96="nio",0,IF(K96&gt;0,VLOOKUP(G96,'3-Productie normen'!A:M,VLOOKUP(K96,'3-Productie normen'!$B$25:$C$33,2,FALSE),FALSE)))</f>
        <v>0</v>
      </c>
      <c r="N96" s="306"/>
      <c r="P96" s="307">
        <f t="shared" si="5"/>
        <v>7875</v>
      </c>
    </row>
    <row r="97" spans="1:16" ht="14.1" customHeight="1">
      <c r="A97" s="71">
        <v>97</v>
      </c>
      <c r="B97" s="269" t="s">
        <v>31</v>
      </c>
      <c r="C97" s="269" t="s">
        <v>159</v>
      </c>
      <c r="D97" s="458"/>
      <c r="E97" s="231" t="s">
        <v>183</v>
      </c>
      <c r="F97" s="83" t="s">
        <v>181</v>
      </c>
      <c r="G97" s="83" t="s">
        <v>51</v>
      </c>
      <c r="H97" s="83" t="s">
        <v>161</v>
      </c>
      <c r="I97" s="225">
        <v>35</v>
      </c>
      <c r="J97" s="304">
        <f t="shared" si="4"/>
        <v>225</v>
      </c>
      <c r="K97" s="234">
        <v>225</v>
      </c>
      <c r="L97" s="233" t="e">
        <f>IF(K97="nio",0,IF(K97&gt;0,K97*I97/M97,0))*VLOOKUP(B97,'2-Kosten per locatie'!$A$14:$C$20,3,FALSE)</f>
        <v>#DIV/0!</v>
      </c>
      <c r="M97" s="305">
        <f>IF(K97="nio",0,IF(K97&gt;0,VLOOKUP(G97,'3-Productie normen'!A:M,VLOOKUP(K97,'3-Productie normen'!$B$25:$C$33,2,FALSE),FALSE)))</f>
        <v>0</v>
      </c>
      <c r="N97" s="306"/>
      <c r="P97" s="307">
        <f t="shared" si="5"/>
        <v>7875</v>
      </c>
    </row>
    <row r="98" spans="1:16" ht="14.1" customHeight="1">
      <c r="A98" s="71">
        <v>98</v>
      </c>
      <c r="B98" s="269" t="s">
        <v>31</v>
      </c>
      <c r="C98" s="269" t="s">
        <v>159</v>
      </c>
      <c r="D98" s="458"/>
      <c r="E98" s="231" t="s">
        <v>184</v>
      </c>
      <c r="F98" s="83" t="s">
        <v>181</v>
      </c>
      <c r="G98" s="83" t="s">
        <v>51</v>
      </c>
      <c r="H98" s="83" t="s">
        <v>161</v>
      </c>
      <c r="I98" s="225">
        <v>35</v>
      </c>
      <c r="J98" s="304">
        <f t="shared" si="4"/>
        <v>225</v>
      </c>
      <c r="K98" s="234">
        <v>225</v>
      </c>
      <c r="L98" s="233" t="e">
        <f>IF(K98="nio",0,IF(K98&gt;0,K98*I98/M98,0))*VLOOKUP(B98,'2-Kosten per locatie'!$A$14:$C$20,3,FALSE)</f>
        <v>#DIV/0!</v>
      </c>
      <c r="M98" s="305">
        <f>IF(K98="nio",0,IF(K98&gt;0,VLOOKUP(G98,'3-Productie normen'!A:M,VLOOKUP(K98,'3-Productie normen'!$B$25:$C$33,2,FALSE),FALSE)))</f>
        <v>0</v>
      </c>
      <c r="N98" s="306"/>
      <c r="P98" s="307">
        <f t="shared" si="5"/>
        <v>7875</v>
      </c>
    </row>
    <row r="99" spans="1:16" ht="14.1" customHeight="1">
      <c r="A99" s="71">
        <v>99</v>
      </c>
      <c r="B99" s="269" t="s">
        <v>31</v>
      </c>
      <c r="C99" s="269" t="s">
        <v>159</v>
      </c>
      <c r="D99" s="458"/>
      <c r="E99" s="232" t="s">
        <v>185</v>
      </c>
      <c r="F99" s="85" t="s">
        <v>186</v>
      </c>
      <c r="G99" s="467" t="s">
        <v>56</v>
      </c>
      <c r="H99" s="83" t="s">
        <v>161</v>
      </c>
      <c r="I99" s="225">
        <v>14.9</v>
      </c>
      <c r="J99" s="304">
        <f t="shared" si="4"/>
        <v>225</v>
      </c>
      <c r="K99" s="234">
        <v>225</v>
      </c>
      <c r="L99" s="233" t="e">
        <f>IF(K99="nio",0,IF(K99&gt;0,K99*I99/M99,0))*VLOOKUP(B99,'2-Kosten per locatie'!$A$14:$C$20,3,FALSE)</f>
        <v>#DIV/0!</v>
      </c>
      <c r="M99" s="305">
        <f>IF(K99="nio",0,IF(K99&gt;0,VLOOKUP(G99,'3-Productie normen'!A:M,VLOOKUP(K99,'3-Productie normen'!$B$25:$C$33,2,FALSE),FALSE)))</f>
        <v>0</v>
      </c>
      <c r="N99" s="306"/>
      <c r="P99" s="307">
        <f t="shared" si="5"/>
        <v>3352.5</v>
      </c>
    </row>
    <row r="100" spans="1:16" ht="14.1" customHeight="1">
      <c r="A100" s="71">
        <v>100</v>
      </c>
      <c r="B100" s="269" t="s">
        <v>31</v>
      </c>
      <c r="C100" s="269" t="s">
        <v>159</v>
      </c>
      <c r="D100" s="458"/>
      <c r="E100" s="231" t="s">
        <v>187</v>
      </c>
      <c r="F100" s="83" t="s">
        <v>186</v>
      </c>
      <c r="G100" s="467" t="s">
        <v>56</v>
      </c>
      <c r="H100" s="83" t="s">
        <v>161</v>
      </c>
      <c r="I100" s="225">
        <v>14.9</v>
      </c>
      <c r="J100" s="304">
        <f t="shared" si="4"/>
        <v>225</v>
      </c>
      <c r="K100" s="234">
        <v>225</v>
      </c>
      <c r="L100" s="233" t="e">
        <f>IF(K100="nio",0,IF(K100&gt;0,K100*I100/M100,0))*VLOOKUP(B100,'2-Kosten per locatie'!$A$14:$C$20,3,FALSE)</f>
        <v>#DIV/0!</v>
      </c>
      <c r="M100" s="305">
        <f>IF(K100="nio",0,IF(K100&gt;0,VLOOKUP(G100,'3-Productie normen'!A:M,VLOOKUP(K100,'3-Productie normen'!$B$25:$C$33,2,FALSE),FALSE)))</f>
        <v>0</v>
      </c>
      <c r="N100" s="306"/>
      <c r="P100" s="307">
        <f t="shared" si="5"/>
        <v>3352.5</v>
      </c>
    </row>
    <row r="101" spans="1:16" ht="14.1" customHeight="1">
      <c r="A101" s="71">
        <v>101</v>
      </c>
      <c r="B101" s="269" t="s">
        <v>31</v>
      </c>
      <c r="C101" s="269" t="s">
        <v>159</v>
      </c>
      <c r="D101" s="458"/>
      <c r="E101" s="231" t="s">
        <v>188</v>
      </c>
      <c r="F101" s="83" t="s">
        <v>186</v>
      </c>
      <c r="G101" s="467" t="s">
        <v>56</v>
      </c>
      <c r="H101" s="83" t="s">
        <v>161</v>
      </c>
      <c r="I101" s="225">
        <v>14.9</v>
      </c>
      <c r="J101" s="304">
        <f t="shared" si="4"/>
        <v>225</v>
      </c>
      <c r="K101" s="234">
        <v>225</v>
      </c>
      <c r="L101" s="233" t="e">
        <f>IF(K101="nio",0,IF(K101&gt;0,K101*I101/M101,0))*VLOOKUP(B101,'2-Kosten per locatie'!$A$14:$C$20,3,FALSE)</f>
        <v>#DIV/0!</v>
      </c>
      <c r="M101" s="305">
        <f>IF(K101="nio",0,IF(K101&gt;0,VLOOKUP(G101,'3-Productie normen'!A:M,VLOOKUP(K101,'3-Productie normen'!$B$25:$C$33,2,FALSE),FALSE)))</f>
        <v>0</v>
      </c>
      <c r="N101" s="306"/>
      <c r="P101" s="307">
        <f t="shared" si="5"/>
        <v>3352.5</v>
      </c>
    </row>
    <row r="102" spans="1:16" ht="14.1" customHeight="1">
      <c r="A102" s="71">
        <v>102</v>
      </c>
      <c r="B102" s="269" t="s">
        <v>31</v>
      </c>
      <c r="C102" s="269" t="s">
        <v>159</v>
      </c>
      <c r="D102" s="458"/>
      <c r="E102" s="231" t="s">
        <v>189</v>
      </c>
      <c r="F102" s="83" t="s">
        <v>186</v>
      </c>
      <c r="G102" s="467" t="s">
        <v>56</v>
      </c>
      <c r="H102" s="83" t="s">
        <v>161</v>
      </c>
      <c r="I102" s="225">
        <v>14.9</v>
      </c>
      <c r="J102" s="304">
        <f t="shared" si="4"/>
        <v>225</v>
      </c>
      <c r="K102" s="234">
        <v>225</v>
      </c>
      <c r="L102" s="233" t="e">
        <f>IF(K102="nio",0,IF(K102&gt;0,K102*I102/M102,0))*VLOOKUP(B102,'2-Kosten per locatie'!$A$14:$C$20,3,FALSE)</f>
        <v>#DIV/0!</v>
      </c>
      <c r="M102" s="305">
        <f>IF(K102="nio",0,IF(K102&gt;0,VLOOKUP(G102,'3-Productie normen'!A:M,VLOOKUP(K102,'3-Productie normen'!$B$25:$C$33,2,FALSE),FALSE)))</f>
        <v>0</v>
      </c>
      <c r="N102" s="306"/>
      <c r="P102" s="307">
        <f t="shared" si="5"/>
        <v>3352.5</v>
      </c>
    </row>
    <row r="103" spans="1:16" ht="14.1" customHeight="1">
      <c r="A103" s="71">
        <v>103</v>
      </c>
      <c r="B103" s="269" t="s">
        <v>31</v>
      </c>
      <c r="C103" s="269" t="s">
        <v>159</v>
      </c>
      <c r="D103" s="458"/>
      <c r="E103" s="231" t="s">
        <v>190</v>
      </c>
      <c r="F103" s="83" t="s">
        <v>191</v>
      </c>
      <c r="G103" s="83" t="s">
        <v>51</v>
      </c>
      <c r="H103" s="83" t="s">
        <v>161</v>
      </c>
      <c r="I103" s="225">
        <v>2.1800000000000002</v>
      </c>
      <c r="J103" s="304">
        <f t="shared" si="4"/>
        <v>225</v>
      </c>
      <c r="K103" s="234">
        <v>225</v>
      </c>
      <c r="L103" s="233" t="e">
        <f>IF(K103="nio",0,IF(K103&gt;0,K103*I103/M103,0))*VLOOKUP(B103,'2-Kosten per locatie'!$A$14:$C$20,3,FALSE)</f>
        <v>#DIV/0!</v>
      </c>
      <c r="M103" s="305">
        <f>IF(K103="nio",0,IF(K103&gt;0,VLOOKUP(G103,'3-Productie normen'!A:M,VLOOKUP(K103,'3-Productie normen'!$B$25:$C$33,2,FALSE),FALSE)))</f>
        <v>0</v>
      </c>
      <c r="N103" s="306"/>
      <c r="P103" s="307">
        <f t="shared" si="5"/>
        <v>490.50000000000006</v>
      </c>
    </row>
    <row r="104" spans="1:16" ht="14.1" customHeight="1">
      <c r="A104" s="71">
        <v>104</v>
      </c>
      <c r="B104" s="269" t="s">
        <v>31</v>
      </c>
      <c r="C104" s="269" t="s">
        <v>159</v>
      </c>
      <c r="D104" s="458"/>
      <c r="E104" s="231" t="s">
        <v>192</v>
      </c>
      <c r="F104" s="83" t="s">
        <v>191</v>
      </c>
      <c r="G104" s="83" t="s">
        <v>51</v>
      </c>
      <c r="H104" s="83" t="s">
        <v>161</v>
      </c>
      <c r="I104" s="225">
        <v>2.1800000000000002</v>
      </c>
      <c r="J104" s="304">
        <f t="shared" si="4"/>
        <v>225</v>
      </c>
      <c r="K104" s="234">
        <v>225</v>
      </c>
      <c r="L104" s="233" t="e">
        <f>IF(K104="nio",0,IF(K104&gt;0,K104*I104/M104,0))*VLOOKUP(B104,'2-Kosten per locatie'!$A$14:$C$20,3,FALSE)</f>
        <v>#DIV/0!</v>
      </c>
      <c r="M104" s="305">
        <f>IF(K104="nio",0,IF(K104&gt;0,VLOOKUP(G104,'3-Productie normen'!A:M,VLOOKUP(K104,'3-Productie normen'!$B$25:$C$33,2,FALSE),FALSE)))</f>
        <v>0</v>
      </c>
      <c r="N104" s="306"/>
      <c r="P104" s="307">
        <f t="shared" si="5"/>
        <v>490.50000000000006</v>
      </c>
    </row>
    <row r="105" spans="1:16" ht="14.1" customHeight="1">
      <c r="A105" s="71">
        <v>105</v>
      </c>
      <c r="B105" s="269" t="s">
        <v>31</v>
      </c>
      <c r="C105" s="269" t="s">
        <v>159</v>
      </c>
      <c r="D105" s="458"/>
      <c r="E105" s="231" t="s">
        <v>193</v>
      </c>
      <c r="F105" s="83" t="s">
        <v>191</v>
      </c>
      <c r="G105" s="83" t="s">
        <v>51</v>
      </c>
      <c r="H105" s="83" t="s">
        <v>161</v>
      </c>
      <c r="I105" s="225">
        <v>2.1800000000000002</v>
      </c>
      <c r="J105" s="304">
        <f t="shared" si="4"/>
        <v>225</v>
      </c>
      <c r="K105" s="234">
        <v>225</v>
      </c>
      <c r="L105" s="233" t="e">
        <f>IF(K105="nio",0,IF(K105&gt;0,K105*I105/M105,0))*VLOOKUP(B105,'2-Kosten per locatie'!$A$14:$C$20,3,FALSE)</f>
        <v>#DIV/0!</v>
      </c>
      <c r="M105" s="305">
        <f>IF(K105="nio",0,IF(K105&gt;0,VLOOKUP(G105,'3-Productie normen'!A:M,VLOOKUP(K105,'3-Productie normen'!$B$25:$C$33,2,FALSE),FALSE)))</f>
        <v>0</v>
      </c>
      <c r="N105" s="306"/>
      <c r="P105" s="307">
        <f t="shared" si="5"/>
        <v>490.50000000000006</v>
      </c>
    </row>
    <row r="106" spans="1:16" ht="14.1" customHeight="1">
      <c r="A106" s="71">
        <v>106</v>
      </c>
      <c r="B106" s="269" t="s">
        <v>31</v>
      </c>
      <c r="C106" s="269" t="s">
        <v>159</v>
      </c>
      <c r="D106" s="458"/>
      <c r="E106" s="231" t="s">
        <v>194</v>
      </c>
      <c r="F106" s="83" t="s">
        <v>191</v>
      </c>
      <c r="G106" s="83" t="s">
        <v>51</v>
      </c>
      <c r="H106" s="83" t="s">
        <v>161</v>
      </c>
      <c r="I106" s="225">
        <v>2.1800000000000002</v>
      </c>
      <c r="J106" s="304">
        <f t="shared" ref="J106:J137" si="6">SUM(K106:K106)</f>
        <v>225</v>
      </c>
      <c r="K106" s="234">
        <v>225</v>
      </c>
      <c r="L106" s="233" t="e">
        <f>IF(K106="nio",0,IF(K106&gt;0,K106*I106/M106,0))*VLOOKUP(B106,'2-Kosten per locatie'!$A$14:$C$20,3,FALSE)</f>
        <v>#DIV/0!</v>
      </c>
      <c r="M106" s="305">
        <f>IF(K106="nio",0,IF(K106&gt;0,VLOOKUP(G106,'3-Productie normen'!A:M,VLOOKUP(K106,'3-Productie normen'!$B$25:$C$33,2,FALSE),FALSE)))</f>
        <v>0</v>
      </c>
      <c r="N106" s="306"/>
      <c r="P106" s="307">
        <f t="shared" ref="P106:P137" si="7">J106*I106</f>
        <v>490.50000000000006</v>
      </c>
    </row>
    <row r="107" spans="1:16" ht="14.1" customHeight="1">
      <c r="A107" s="71">
        <v>107</v>
      </c>
      <c r="B107" s="269" t="s">
        <v>31</v>
      </c>
      <c r="C107" s="269" t="s">
        <v>159</v>
      </c>
      <c r="D107" s="458"/>
      <c r="E107" s="231" t="s">
        <v>195</v>
      </c>
      <c r="F107" s="83" t="s">
        <v>191</v>
      </c>
      <c r="G107" s="83" t="s">
        <v>51</v>
      </c>
      <c r="H107" s="83" t="s">
        <v>161</v>
      </c>
      <c r="I107" s="225">
        <v>3.25</v>
      </c>
      <c r="J107" s="304">
        <f t="shared" si="6"/>
        <v>225</v>
      </c>
      <c r="K107" s="234">
        <v>225</v>
      </c>
      <c r="L107" s="233" t="e">
        <f>IF(K107="nio",0,IF(K107&gt;0,K107*I107/M107,0))*VLOOKUP(B107,'2-Kosten per locatie'!$A$14:$C$20,3,FALSE)</f>
        <v>#DIV/0!</v>
      </c>
      <c r="M107" s="305">
        <f>IF(K107="nio",0,IF(K107&gt;0,VLOOKUP(G107,'3-Productie normen'!A:M,VLOOKUP(K107,'3-Productie normen'!$B$25:$C$33,2,FALSE),FALSE)))</f>
        <v>0</v>
      </c>
      <c r="N107" s="306"/>
      <c r="P107" s="307">
        <f t="shared" si="7"/>
        <v>731.25</v>
      </c>
    </row>
    <row r="108" spans="1:16" ht="14.1" customHeight="1">
      <c r="A108" s="71">
        <v>108</v>
      </c>
      <c r="B108" s="269" t="s">
        <v>31</v>
      </c>
      <c r="C108" s="269" t="s">
        <v>159</v>
      </c>
      <c r="D108" s="458"/>
      <c r="E108" s="231" t="s">
        <v>196</v>
      </c>
      <c r="F108" s="83" t="s">
        <v>191</v>
      </c>
      <c r="G108" s="83" t="s">
        <v>51</v>
      </c>
      <c r="H108" s="83" t="s">
        <v>161</v>
      </c>
      <c r="I108" s="225">
        <v>3.25</v>
      </c>
      <c r="J108" s="304">
        <f t="shared" si="6"/>
        <v>225</v>
      </c>
      <c r="K108" s="234">
        <v>225</v>
      </c>
      <c r="L108" s="233" t="e">
        <f>IF(K108="nio",0,IF(K108&gt;0,K108*I108/M108,0))*VLOOKUP(B108,'2-Kosten per locatie'!$A$14:$C$20,3,FALSE)</f>
        <v>#DIV/0!</v>
      </c>
      <c r="M108" s="305">
        <f>IF(K108="nio",0,IF(K108&gt;0,VLOOKUP(G108,'3-Productie normen'!A:M,VLOOKUP(K108,'3-Productie normen'!$B$25:$C$33,2,FALSE),FALSE)))</f>
        <v>0</v>
      </c>
      <c r="N108" s="306"/>
      <c r="P108" s="307">
        <f t="shared" si="7"/>
        <v>731.25</v>
      </c>
    </row>
    <row r="109" spans="1:16" ht="14.1" customHeight="1">
      <c r="A109" s="71">
        <v>109</v>
      </c>
      <c r="B109" s="269" t="s">
        <v>31</v>
      </c>
      <c r="C109" s="269" t="s">
        <v>159</v>
      </c>
      <c r="D109" s="458"/>
      <c r="E109" s="231" t="s">
        <v>197</v>
      </c>
      <c r="F109" s="83" t="s">
        <v>191</v>
      </c>
      <c r="G109" s="83" t="s">
        <v>51</v>
      </c>
      <c r="H109" s="83" t="s">
        <v>161</v>
      </c>
      <c r="I109" s="225">
        <v>3.25</v>
      </c>
      <c r="J109" s="304">
        <f t="shared" si="6"/>
        <v>225</v>
      </c>
      <c r="K109" s="234">
        <v>225</v>
      </c>
      <c r="L109" s="233" t="e">
        <f>IF(K109="nio",0,IF(K109&gt;0,K109*I109/M109,0))*VLOOKUP(B109,'2-Kosten per locatie'!$A$14:$C$20,3,FALSE)</f>
        <v>#DIV/0!</v>
      </c>
      <c r="M109" s="305">
        <f>IF(K109="nio",0,IF(K109&gt;0,VLOOKUP(G109,'3-Productie normen'!A:M,VLOOKUP(K109,'3-Productie normen'!$B$25:$C$33,2,FALSE),FALSE)))</f>
        <v>0</v>
      </c>
      <c r="N109" s="306"/>
      <c r="P109" s="307">
        <f t="shared" si="7"/>
        <v>731.25</v>
      </c>
    </row>
    <row r="110" spans="1:16" ht="14.1" customHeight="1">
      <c r="A110" s="71">
        <v>110</v>
      </c>
      <c r="B110" s="269" t="s">
        <v>31</v>
      </c>
      <c r="C110" s="269" t="s">
        <v>159</v>
      </c>
      <c r="D110" s="458"/>
      <c r="E110" s="231" t="s">
        <v>198</v>
      </c>
      <c r="F110" s="83" t="s">
        <v>191</v>
      </c>
      <c r="G110" s="83" t="s">
        <v>51</v>
      </c>
      <c r="H110" s="83" t="s">
        <v>161</v>
      </c>
      <c r="I110" s="225">
        <v>3.25</v>
      </c>
      <c r="J110" s="304">
        <f t="shared" si="6"/>
        <v>225</v>
      </c>
      <c r="K110" s="234">
        <v>225</v>
      </c>
      <c r="L110" s="233" t="e">
        <f>IF(K110="nio",0,IF(K110&gt;0,K110*I110/M110,0))*VLOOKUP(B110,'2-Kosten per locatie'!$A$14:$C$20,3,FALSE)</f>
        <v>#DIV/0!</v>
      </c>
      <c r="M110" s="305">
        <f>IF(K110="nio",0,IF(K110&gt;0,VLOOKUP(G110,'3-Productie normen'!A:M,VLOOKUP(K110,'3-Productie normen'!$B$25:$C$33,2,FALSE),FALSE)))</f>
        <v>0</v>
      </c>
      <c r="N110" s="306"/>
      <c r="P110" s="307">
        <f t="shared" si="7"/>
        <v>731.25</v>
      </c>
    </row>
    <row r="111" spans="1:16" ht="14.1" customHeight="1">
      <c r="A111" s="71">
        <v>111</v>
      </c>
      <c r="B111" s="269" t="s">
        <v>31</v>
      </c>
      <c r="C111" s="269" t="s">
        <v>159</v>
      </c>
      <c r="D111" s="458"/>
      <c r="E111" s="231" t="s">
        <v>199</v>
      </c>
      <c r="F111" s="83" t="s">
        <v>200</v>
      </c>
      <c r="G111" s="284" t="s">
        <v>49</v>
      </c>
      <c r="H111" s="83" t="s">
        <v>161</v>
      </c>
      <c r="I111" s="225">
        <v>13.06</v>
      </c>
      <c r="J111" s="304">
        <f t="shared" si="6"/>
        <v>225</v>
      </c>
      <c r="K111" s="234">
        <v>225</v>
      </c>
      <c r="L111" s="233" t="e">
        <f>IF(K111="nio",0,IF(K111&gt;0,K111*I111/M111,0))*VLOOKUP(B111,'2-Kosten per locatie'!$A$14:$C$20,3,FALSE)</f>
        <v>#DIV/0!</v>
      </c>
      <c r="M111" s="305">
        <f>IF(K111="nio",0,IF(K111&gt;0,VLOOKUP(G111,'3-Productie normen'!A:M,VLOOKUP(K111,'3-Productie normen'!$B$25:$C$33,2,FALSE),FALSE)))</f>
        <v>0</v>
      </c>
      <c r="N111" s="306"/>
      <c r="P111" s="307">
        <f t="shared" si="7"/>
        <v>2938.5</v>
      </c>
    </row>
    <row r="112" spans="1:16" ht="14.1" customHeight="1">
      <c r="A112" s="71">
        <v>112</v>
      </c>
      <c r="B112" s="269" t="s">
        <v>31</v>
      </c>
      <c r="C112" s="269" t="s">
        <v>159</v>
      </c>
      <c r="D112" s="458"/>
      <c r="E112" s="231" t="s">
        <v>201</v>
      </c>
      <c r="F112" s="83" t="s">
        <v>200</v>
      </c>
      <c r="G112" s="284" t="s">
        <v>49</v>
      </c>
      <c r="H112" s="83" t="s">
        <v>161</v>
      </c>
      <c r="I112" s="225">
        <v>13.06</v>
      </c>
      <c r="J112" s="304">
        <f t="shared" si="6"/>
        <v>225</v>
      </c>
      <c r="K112" s="234">
        <v>225</v>
      </c>
      <c r="L112" s="233" t="e">
        <f>IF(K112="nio",0,IF(K112&gt;0,K112*I112/M112,0))*VLOOKUP(B112,'2-Kosten per locatie'!$A$14:$C$20,3,FALSE)</f>
        <v>#DIV/0!</v>
      </c>
      <c r="M112" s="305">
        <f>IF(K112="nio",0,IF(K112&gt;0,VLOOKUP(G112,'3-Productie normen'!A:M,VLOOKUP(K112,'3-Productie normen'!$B$25:$C$33,2,FALSE),FALSE)))</f>
        <v>0</v>
      </c>
      <c r="N112" s="306"/>
      <c r="P112" s="307">
        <f t="shared" si="7"/>
        <v>2938.5</v>
      </c>
    </row>
    <row r="113" spans="1:16" ht="14.1" customHeight="1">
      <c r="A113" s="71">
        <v>113</v>
      </c>
      <c r="B113" s="269" t="s">
        <v>31</v>
      </c>
      <c r="C113" s="269" t="s">
        <v>159</v>
      </c>
      <c r="D113" s="458"/>
      <c r="E113" s="231" t="s">
        <v>202</v>
      </c>
      <c r="F113" s="83" t="s">
        <v>203</v>
      </c>
      <c r="G113" s="67" t="s">
        <v>56</v>
      </c>
      <c r="H113" s="83" t="s">
        <v>161</v>
      </c>
      <c r="I113" s="225">
        <v>2.6</v>
      </c>
      <c r="J113" s="304">
        <f t="shared" si="6"/>
        <v>225</v>
      </c>
      <c r="K113" s="234">
        <v>225</v>
      </c>
      <c r="L113" s="233" t="e">
        <f>IF(K113="nio",0,IF(K113&gt;0,K113*I113/M113,0))*VLOOKUP(B113,'2-Kosten per locatie'!$A$14:$C$20,3,FALSE)</f>
        <v>#DIV/0!</v>
      </c>
      <c r="M113" s="305">
        <f>IF(K113="nio",0,IF(K113&gt;0,VLOOKUP(G113,'3-Productie normen'!A:M,VLOOKUP(K113,'3-Productie normen'!$B$25:$C$33,2,FALSE),FALSE)))</f>
        <v>0</v>
      </c>
      <c r="N113" s="306"/>
      <c r="P113" s="307">
        <f t="shared" si="7"/>
        <v>585</v>
      </c>
    </row>
    <row r="114" spans="1:16" ht="14.1" customHeight="1">
      <c r="A114" s="71">
        <v>114</v>
      </c>
      <c r="B114" s="269" t="s">
        <v>31</v>
      </c>
      <c r="C114" s="269" t="s">
        <v>159</v>
      </c>
      <c r="D114" s="458"/>
      <c r="E114" s="231" t="s">
        <v>204</v>
      </c>
      <c r="F114" s="83" t="s">
        <v>203</v>
      </c>
      <c r="G114" s="67" t="s">
        <v>56</v>
      </c>
      <c r="H114" s="83" t="s">
        <v>161</v>
      </c>
      <c r="I114" s="225">
        <v>2.63</v>
      </c>
      <c r="J114" s="304">
        <f t="shared" si="6"/>
        <v>225</v>
      </c>
      <c r="K114" s="234">
        <v>225</v>
      </c>
      <c r="L114" s="233" t="e">
        <f>IF(K114="nio",0,IF(K114&gt;0,K114*I114/M114,0))*VLOOKUP(B114,'2-Kosten per locatie'!$A$14:$C$20,3,FALSE)</f>
        <v>#DIV/0!</v>
      </c>
      <c r="M114" s="305">
        <f>IF(K114="nio",0,IF(K114&gt;0,VLOOKUP(G114,'3-Productie normen'!A:M,VLOOKUP(K114,'3-Productie normen'!$B$25:$C$33,2,FALSE),FALSE)))</f>
        <v>0</v>
      </c>
      <c r="N114" s="306"/>
      <c r="P114" s="307">
        <f t="shared" si="7"/>
        <v>591.75</v>
      </c>
    </row>
    <row r="115" spans="1:16" ht="14.1" customHeight="1">
      <c r="A115" s="71">
        <v>115</v>
      </c>
      <c r="B115" s="269" t="s">
        <v>31</v>
      </c>
      <c r="C115" s="269" t="s">
        <v>159</v>
      </c>
      <c r="D115" s="458"/>
      <c r="E115" s="231" t="s">
        <v>205</v>
      </c>
      <c r="F115" s="83" t="s">
        <v>206</v>
      </c>
      <c r="G115" s="284" t="s">
        <v>54</v>
      </c>
      <c r="H115" s="83" t="s">
        <v>207</v>
      </c>
      <c r="I115" s="225">
        <v>616</v>
      </c>
      <c r="J115" s="304">
        <f t="shared" si="6"/>
        <v>225</v>
      </c>
      <c r="K115" s="234">
        <v>225</v>
      </c>
      <c r="L115" s="233" t="e">
        <f>IF(K115="nio",0,IF(K115&gt;0,K115*I115/M115,0))*VLOOKUP(B115,'2-Kosten per locatie'!$A$14:$C$20,3,FALSE)</f>
        <v>#DIV/0!</v>
      </c>
      <c r="M115" s="305">
        <f>IF(K115="nio",0,IF(K115&gt;0,VLOOKUP(G115,'3-Productie normen'!A:M,VLOOKUP(K115,'3-Productie normen'!$B$25:$C$33,2,FALSE),FALSE)))</f>
        <v>0</v>
      </c>
      <c r="N115" s="306"/>
      <c r="P115" s="307">
        <f t="shared" si="7"/>
        <v>138600</v>
      </c>
    </row>
    <row r="116" spans="1:16" ht="14.1" customHeight="1">
      <c r="A116" s="71">
        <v>116</v>
      </c>
      <c r="B116" s="269" t="s">
        <v>31</v>
      </c>
      <c r="C116" s="269" t="s">
        <v>159</v>
      </c>
      <c r="D116" s="458"/>
      <c r="E116" s="231" t="s">
        <v>208</v>
      </c>
      <c r="F116" s="83" t="s">
        <v>209</v>
      </c>
      <c r="G116" s="83" t="s">
        <v>51</v>
      </c>
      <c r="H116" s="83" t="s">
        <v>207</v>
      </c>
      <c r="I116" s="225">
        <v>84.8</v>
      </c>
      <c r="J116" s="304">
        <f t="shared" si="6"/>
        <v>12</v>
      </c>
      <c r="K116" s="234">
        <v>12</v>
      </c>
      <c r="L116" s="233" t="e">
        <f>IF(K116="nio",0,IF(K116&gt;0,K116*I116/M116,0))*VLOOKUP(B116,'2-Kosten per locatie'!$A$14:$C$20,3,FALSE)</f>
        <v>#DIV/0!</v>
      </c>
      <c r="M116" s="305">
        <f>IF(K116="nio",0,IF(K116&gt;0,VLOOKUP(G116,'3-Productie normen'!A:M,VLOOKUP(K116,'3-Productie normen'!$B$25:$C$33,2,FALSE),FALSE)))</f>
        <v>0</v>
      </c>
      <c r="N116" s="306"/>
      <c r="P116" s="307">
        <f t="shared" si="7"/>
        <v>1017.5999999999999</v>
      </c>
    </row>
    <row r="117" spans="1:16" ht="14.1" customHeight="1">
      <c r="A117" s="71">
        <v>117</v>
      </c>
      <c r="B117" s="269" t="s">
        <v>31</v>
      </c>
      <c r="C117" s="269" t="s">
        <v>159</v>
      </c>
      <c r="D117" s="458"/>
      <c r="E117" s="231" t="s">
        <v>210</v>
      </c>
      <c r="F117" s="83" t="s">
        <v>211</v>
      </c>
      <c r="G117" s="83" t="s">
        <v>57</v>
      </c>
      <c r="H117" s="83" t="s">
        <v>161</v>
      </c>
      <c r="I117" s="225">
        <v>14.06</v>
      </c>
      <c r="J117" s="304">
        <f t="shared" si="6"/>
        <v>0</v>
      </c>
      <c r="K117" s="234" t="s">
        <v>89</v>
      </c>
      <c r="L117" s="233">
        <f>IF(K117="nio",0,IF(K117&gt;0,K117*I117/M117,0))*VLOOKUP(B117,'2-Kosten per locatie'!$A$14:$C$20,3,FALSE)</f>
        <v>0</v>
      </c>
      <c r="M117" s="305">
        <f>IF(K117="nio",0,IF(K117&gt;0,VLOOKUP(G117,'3-Productie normen'!A:M,VLOOKUP(K117,'3-Productie normen'!$B$25:$C$33,2,FALSE),FALSE)))</f>
        <v>0</v>
      </c>
      <c r="N117" s="306"/>
      <c r="P117" s="307">
        <f t="shared" si="7"/>
        <v>0</v>
      </c>
    </row>
    <row r="118" spans="1:16" ht="14.1" customHeight="1">
      <c r="A118" s="71">
        <v>118</v>
      </c>
      <c r="B118" s="269" t="s">
        <v>31</v>
      </c>
      <c r="C118" s="269" t="s">
        <v>159</v>
      </c>
      <c r="D118" s="458"/>
      <c r="E118" s="231" t="s">
        <v>212</v>
      </c>
      <c r="F118" s="83" t="s">
        <v>211</v>
      </c>
      <c r="G118" s="83" t="s">
        <v>57</v>
      </c>
      <c r="H118" s="83" t="s">
        <v>161</v>
      </c>
      <c r="I118" s="225">
        <v>5.27</v>
      </c>
      <c r="J118" s="304">
        <f t="shared" si="6"/>
        <v>0</v>
      </c>
      <c r="K118" s="234" t="s">
        <v>89</v>
      </c>
      <c r="L118" s="233">
        <f>IF(K118="nio",0,IF(K118&gt;0,K118*I118/M118,0))*VLOOKUP(B118,'2-Kosten per locatie'!$A$14:$C$20,3,FALSE)</f>
        <v>0</v>
      </c>
      <c r="M118" s="305">
        <f>IF(K118="nio",0,IF(K118&gt;0,VLOOKUP(G118,'3-Productie normen'!A:M,VLOOKUP(K118,'3-Productie normen'!$B$25:$C$33,2,FALSE),FALSE)))</f>
        <v>0</v>
      </c>
      <c r="N118" s="306"/>
      <c r="P118" s="307">
        <f t="shared" si="7"/>
        <v>0</v>
      </c>
    </row>
    <row r="119" spans="1:16" ht="14.1" customHeight="1">
      <c r="A119" s="71">
        <v>119</v>
      </c>
      <c r="B119" s="269" t="s">
        <v>29</v>
      </c>
      <c r="C119" s="269" t="s">
        <v>213</v>
      </c>
      <c r="D119" s="301" t="s">
        <v>85</v>
      </c>
      <c r="E119" s="302">
        <v>1</v>
      </c>
      <c r="F119" s="467" t="s">
        <v>55</v>
      </c>
      <c r="G119" s="467" t="s">
        <v>55</v>
      </c>
      <c r="H119" s="67"/>
      <c r="I119" s="468">
        <v>9.07</v>
      </c>
      <c r="J119" s="304">
        <f t="shared" si="6"/>
        <v>80</v>
      </c>
      <c r="K119" s="234">
        <v>80</v>
      </c>
      <c r="L119" s="233" t="e">
        <f>IF(K119="nio",0,IF(K119&gt;0,K119*I119/M119,0))*VLOOKUP(B119,'2-Kosten per locatie'!$A$14:$C$20,3,FALSE)</f>
        <v>#DIV/0!</v>
      </c>
      <c r="M119" s="305">
        <f>IF(K119="nio",0,IF(K119&gt;0,VLOOKUP(G119,'3-Productie normen'!A:M,VLOOKUP(K119,'3-Productie normen'!$B$25:$C$33,2,FALSE),FALSE)))</f>
        <v>0</v>
      </c>
      <c r="N119" s="306"/>
      <c r="P119" s="307">
        <f t="shared" si="7"/>
        <v>725.6</v>
      </c>
    </row>
    <row r="120" spans="1:16" ht="14.1" customHeight="1">
      <c r="A120" s="71">
        <v>120</v>
      </c>
      <c r="B120" s="269" t="s">
        <v>29</v>
      </c>
      <c r="C120" s="269" t="s">
        <v>213</v>
      </c>
      <c r="D120" s="301" t="s">
        <v>85</v>
      </c>
      <c r="E120" s="302">
        <v>2</v>
      </c>
      <c r="F120" s="467" t="s">
        <v>172</v>
      </c>
      <c r="G120" s="467" t="s">
        <v>57</v>
      </c>
      <c r="H120" s="67"/>
      <c r="I120" s="468">
        <v>0</v>
      </c>
      <c r="J120" s="304">
        <f t="shared" si="6"/>
        <v>0</v>
      </c>
      <c r="K120" s="234" t="s">
        <v>57</v>
      </c>
      <c r="L120" s="233">
        <f>IF(K120="nio",0,IF(K120&gt;0,K120*I120/M120,0))*VLOOKUP(B120,'2-Kosten per locatie'!$A$14:$C$20,3,FALSE)</f>
        <v>0</v>
      </c>
      <c r="M120" s="305">
        <f>IF(K120="nio",0,IF(K120&gt;0,VLOOKUP(G120,'3-Productie normen'!A:M,VLOOKUP(K120,'3-Productie normen'!$B$25:$C$33,2,FALSE),FALSE)))</f>
        <v>0</v>
      </c>
      <c r="N120" s="306"/>
      <c r="P120" s="307">
        <f t="shared" si="7"/>
        <v>0</v>
      </c>
    </row>
    <row r="121" spans="1:16" ht="14.1" customHeight="1">
      <c r="A121" s="71">
        <v>121</v>
      </c>
      <c r="B121" s="269" t="s">
        <v>29</v>
      </c>
      <c r="C121" s="269" t="s">
        <v>213</v>
      </c>
      <c r="D121" s="301" t="s">
        <v>85</v>
      </c>
      <c r="E121" s="302">
        <v>3</v>
      </c>
      <c r="F121" s="467" t="s">
        <v>176</v>
      </c>
      <c r="G121" s="467" t="s">
        <v>57</v>
      </c>
      <c r="H121" s="67"/>
      <c r="I121" s="468">
        <v>0</v>
      </c>
      <c r="J121" s="304">
        <f t="shared" si="6"/>
        <v>0</v>
      </c>
      <c r="K121" s="234" t="s">
        <v>57</v>
      </c>
      <c r="L121" s="233">
        <f>IF(K121="nio",0,IF(K121&gt;0,K121*I121/M121,0))*VLOOKUP(B121,'2-Kosten per locatie'!$A$14:$C$20,3,FALSE)</f>
        <v>0</v>
      </c>
      <c r="M121" s="305">
        <f>IF(K121="nio",0,IF(K121&gt;0,VLOOKUP(G121,'3-Productie normen'!A:M,VLOOKUP(K121,'3-Productie normen'!$B$25:$C$33,2,FALSE),FALSE)))</f>
        <v>0</v>
      </c>
      <c r="N121" s="306"/>
      <c r="P121" s="307">
        <f t="shared" si="7"/>
        <v>0</v>
      </c>
    </row>
    <row r="122" spans="1:16" ht="14.1" customHeight="1">
      <c r="A122" s="71">
        <v>122</v>
      </c>
      <c r="B122" s="269" t="s">
        <v>29</v>
      </c>
      <c r="C122" s="269" t="s">
        <v>213</v>
      </c>
      <c r="D122" s="301" t="s">
        <v>85</v>
      </c>
      <c r="E122" s="302">
        <v>4</v>
      </c>
      <c r="F122" s="467" t="s">
        <v>214</v>
      </c>
      <c r="G122" s="467" t="s">
        <v>50</v>
      </c>
      <c r="H122" s="67"/>
      <c r="I122" s="468">
        <v>1.1299999999999999</v>
      </c>
      <c r="J122" s="304">
        <f t="shared" si="6"/>
        <v>120</v>
      </c>
      <c r="K122" s="234">
        <v>120</v>
      </c>
      <c r="L122" s="233" t="e">
        <f>IF(K122="nio",0,IF(K122&gt;0,K122*I122/M122,0))*VLOOKUP(B122,'2-Kosten per locatie'!$A$14:$C$20,3,FALSE)</f>
        <v>#DIV/0!</v>
      </c>
      <c r="M122" s="305">
        <f>IF(K122="nio",0,IF(K122&gt;0,VLOOKUP(G122,'3-Productie normen'!A:M,VLOOKUP(K122,'3-Productie normen'!$B$25:$C$33,2,FALSE),FALSE)))</f>
        <v>0</v>
      </c>
      <c r="N122" s="306"/>
      <c r="P122" s="307">
        <f t="shared" si="7"/>
        <v>135.6</v>
      </c>
    </row>
    <row r="123" spans="1:16" ht="14.1" customHeight="1">
      <c r="A123" s="71">
        <v>123</v>
      </c>
      <c r="B123" s="269" t="s">
        <v>29</v>
      </c>
      <c r="C123" s="269" t="s">
        <v>213</v>
      </c>
      <c r="D123" s="301" t="s">
        <v>85</v>
      </c>
      <c r="E123" s="302">
        <v>5</v>
      </c>
      <c r="F123" s="467" t="s">
        <v>215</v>
      </c>
      <c r="G123" s="467" t="s">
        <v>52</v>
      </c>
      <c r="H123" s="67"/>
      <c r="I123" s="468">
        <v>28.9</v>
      </c>
      <c r="J123" s="304">
        <f t="shared" si="6"/>
        <v>120</v>
      </c>
      <c r="K123" s="234">
        <v>120</v>
      </c>
      <c r="L123" s="233" t="e">
        <f>IF(K123="nio",0,IF(K123&gt;0,K123*I123/M123,0))*VLOOKUP(B123,'2-Kosten per locatie'!$A$14:$C$20,3,FALSE)</f>
        <v>#DIV/0!</v>
      </c>
      <c r="M123" s="305">
        <f>IF(K123="nio",0,IF(K123&gt;0,VLOOKUP(G123,'3-Productie normen'!A:M,VLOOKUP(K123,'3-Productie normen'!$B$25:$C$33,2,FALSE),FALSE)))</f>
        <v>0</v>
      </c>
      <c r="N123" s="306"/>
      <c r="P123" s="307">
        <f t="shared" si="7"/>
        <v>3468</v>
      </c>
    </row>
    <row r="124" spans="1:16" ht="14.1" customHeight="1">
      <c r="A124" s="71">
        <v>124</v>
      </c>
      <c r="B124" s="269" t="s">
        <v>29</v>
      </c>
      <c r="C124" s="269" t="s">
        <v>213</v>
      </c>
      <c r="D124" s="301" t="s">
        <v>85</v>
      </c>
      <c r="E124" s="302">
        <v>6</v>
      </c>
      <c r="F124" s="467" t="s">
        <v>216</v>
      </c>
      <c r="G124" s="467" t="s">
        <v>52</v>
      </c>
      <c r="H124" s="67"/>
      <c r="I124" s="468">
        <v>28.9</v>
      </c>
      <c r="J124" s="304">
        <f t="shared" si="6"/>
        <v>120</v>
      </c>
      <c r="K124" s="234">
        <v>120</v>
      </c>
      <c r="L124" s="233" t="e">
        <f>IF(K124="nio",0,IF(K124&gt;0,K124*I124/M124,0))*VLOOKUP(B124,'2-Kosten per locatie'!$A$14:$C$20,3,FALSE)</f>
        <v>#DIV/0!</v>
      </c>
      <c r="M124" s="305">
        <f>IF(K124="nio",0,IF(K124&gt;0,VLOOKUP(G124,'3-Productie normen'!A:M,VLOOKUP(K124,'3-Productie normen'!$B$25:$C$33,2,FALSE),FALSE)))</f>
        <v>0</v>
      </c>
      <c r="N124" s="306"/>
      <c r="P124" s="307">
        <f t="shared" si="7"/>
        <v>3468</v>
      </c>
    </row>
    <row r="125" spans="1:16" ht="14.1" customHeight="1">
      <c r="A125" s="71">
        <v>125</v>
      </c>
      <c r="B125" s="269" t="s">
        <v>29</v>
      </c>
      <c r="C125" s="269" t="s">
        <v>213</v>
      </c>
      <c r="D125" s="301" t="s">
        <v>85</v>
      </c>
      <c r="E125" s="302">
        <v>7</v>
      </c>
      <c r="F125" s="467" t="s">
        <v>217</v>
      </c>
      <c r="G125" s="67" t="s">
        <v>56</v>
      </c>
      <c r="H125" s="67"/>
      <c r="I125" s="468">
        <v>19.3</v>
      </c>
      <c r="J125" s="304">
        <f t="shared" si="6"/>
        <v>120</v>
      </c>
      <c r="K125" s="234">
        <v>120</v>
      </c>
      <c r="L125" s="233" t="e">
        <f>IF(K125="nio",0,IF(K125&gt;0,K125*I125/M125,0))*VLOOKUP(B125,'2-Kosten per locatie'!$A$14:$C$20,3,FALSE)</f>
        <v>#DIV/0!</v>
      </c>
      <c r="M125" s="305">
        <f>IF(K125="nio",0,IF(K125&gt;0,VLOOKUP(G125,'3-Productie normen'!A:M,VLOOKUP(K125,'3-Productie normen'!$B$25:$C$33,2,FALSE),FALSE)))</f>
        <v>0</v>
      </c>
      <c r="N125" s="306"/>
      <c r="P125" s="307">
        <f t="shared" si="7"/>
        <v>2316</v>
      </c>
    </row>
    <row r="126" spans="1:16" ht="14.1" customHeight="1">
      <c r="A126" s="71">
        <v>126</v>
      </c>
      <c r="B126" s="269" t="s">
        <v>29</v>
      </c>
      <c r="C126" s="269" t="s">
        <v>213</v>
      </c>
      <c r="D126" s="301" t="s">
        <v>85</v>
      </c>
      <c r="E126" s="302">
        <v>8</v>
      </c>
      <c r="F126" s="467" t="s">
        <v>218</v>
      </c>
      <c r="G126" s="67" t="s">
        <v>56</v>
      </c>
      <c r="H126" s="67"/>
      <c r="I126" s="468">
        <v>19.3</v>
      </c>
      <c r="J126" s="304">
        <f t="shared" si="6"/>
        <v>120</v>
      </c>
      <c r="K126" s="234">
        <v>120</v>
      </c>
      <c r="L126" s="233" t="e">
        <f>IF(K126="nio",0,IF(K126&gt;0,K126*I126/M126,0))*VLOOKUP(B126,'2-Kosten per locatie'!$A$14:$C$20,3,FALSE)</f>
        <v>#DIV/0!</v>
      </c>
      <c r="M126" s="305">
        <f>IF(K126="nio",0,IF(K126&gt;0,VLOOKUP(G126,'3-Productie normen'!A:M,VLOOKUP(K126,'3-Productie normen'!$B$25:$C$33,2,FALSE),FALSE)))</f>
        <v>0</v>
      </c>
      <c r="N126" s="306"/>
      <c r="P126" s="307">
        <f t="shared" si="7"/>
        <v>2316</v>
      </c>
    </row>
    <row r="127" spans="1:16" ht="14.1" customHeight="1">
      <c r="A127" s="71">
        <v>127</v>
      </c>
      <c r="B127" s="269" t="s">
        <v>29</v>
      </c>
      <c r="C127" s="269" t="s">
        <v>213</v>
      </c>
      <c r="D127" s="301" t="s">
        <v>85</v>
      </c>
      <c r="E127" s="302">
        <v>9</v>
      </c>
      <c r="F127" s="467" t="s">
        <v>219</v>
      </c>
      <c r="G127" s="467" t="s">
        <v>50</v>
      </c>
      <c r="H127" s="67"/>
      <c r="I127" s="468">
        <v>2.61</v>
      </c>
      <c r="J127" s="304">
        <f t="shared" si="6"/>
        <v>120</v>
      </c>
      <c r="K127" s="234">
        <v>120</v>
      </c>
      <c r="L127" s="233" t="e">
        <f>IF(K127="nio",0,IF(K127&gt;0,K127*I127/M127,0))*VLOOKUP(B127,'2-Kosten per locatie'!$A$14:$C$20,3,FALSE)</f>
        <v>#DIV/0!</v>
      </c>
      <c r="M127" s="305">
        <f>IF(K127="nio",0,IF(K127&gt;0,VLOOKUP(G127,'3-Productie normen'!A:M,VLOOKUP(K127,'3-Productie normen'!$B$25:$C$33,2,FALSE),FALSE)))</f>
        <v>0</v>
      </c>
      <c r="N127" s="306"/>
      <c r="P127" s="307">
        <f t="shared" si="7"/>
        <v>313.2</v>
      </c>
    </row>
    <row r="128" spans="1:16" ht="14.1" customHeight="1">
      <c r="A128" s="71">
        <v>128</v>
      </c>
      <c r="B128" s="269" t="s">
        <v>29</v>
      </c>
      <c r="C128" s="269" t="s">
        <v>213</v>
      </c>
      <c r="D128" s="301" t="s">
        <v>85</v>
      </c>
      <c r="E128" s="302">
        <v>10</v>
      </c>
      <c r="F128" s="467" t="s">
        <v>220</v>
      </c>
      <c r="G128" s="467" t="s">
        <v>50</v>
      </c>
      <c r="H128" s="67"/>
      <c r="I128" s="468">
        <v>2.61</v>
      </c>
      <c r="J128" s="304">
        <f t="shared" si="6"/>
        <v>120</v>
      </c>
      <c r="K128" s="234">
        <v>120</v>
      </c>
      <c r="L128" s="233" t="e">
        <f>IF(K128="nio",0,IF(K128&gt;0,K128*I128/M128,0))*VLOOKUP(B128,'2-Kosten per locatie'!$A$14:$C$20,3,FALSE)</f>
        <v>#DIV/0!</v>
      </c>
      <c r="M128" s="305">
        <f>IF(K128="nio",0,IF(K128&gt;0,VLOOKUP(G128,'3-Productie normen'!A:M,VLOOKUP(K128,'3-Productie normen'!$B$25:$C$33,2,FALSE),FALSE)))</f>
        <v>0</v>
      </c>
      <c r="N128" s="306"/>
      <c r="P128" s="307">
        <f t="shared" si="7"/>
        <v>313.2</v>
      </c>
    </row>
    <row r="129" spans="1:16" ht="14.1" customHeight="1">
      <c r="A129" s="71">
        <v>129</v>
      </c>
      <c r="B129" s="269" t="s">
        <v>29</v>
      </c>
      <c r="C129" s="269" t="s">
        <v>213</v>
      </c>
      <c r="D129" s="301" t="s">
        <v>85</v>
      </c>
      <c r="E129" s="302">
        <v>11</v>
      </c>
      <c r="F129" s="467" t="s">
        <v>206</v>
      </c>
      <c r="G129" s="284" t="s">
        <v>54</v>
      </c>
      <c r="H129" s="67"/>
      <c r="I129" s="468">
        <v>252</v>
      </c>
      <c r="J129" s="304">
        <f t="shared" si="6"/>
        <v>120</v>
      </c>
      <c r="K129" s="234">
        <v>120</v>
      </c>
      <c r="L129" s="233" t="e">
        <f>IF(K129="nio",0,IF(K129&gt;0,K129*I129/M129,0))*VLOOKUP(B129,'2-Kosten per locatie'!$A$14:$C$20,3,FALSE)</f>
        <v>#DIV/0!</v>
      </c>
      <c r="M129" s="305">
        <f>IF(K129="nio",0,IF(K129&gt;0,VLOOKUP(G129,'3-Productie normen'!A:M,VLOOKUP(K129,'3-Productie normen'!$B$25:$C$33,2,FALSE),FALSE)))</f>
        <v>0</v>
      </c>
      <c r="N129" s="306"/>
      <c r="P129" s="307">
        <f t="shared" si="7"/>
        <v>30240</v>
      </c>
    </row>
    <row r="130" spans="1:16" ht="14.1" customHeight="1">
      <c r="A130" s="71">
        <v>130</v>
      </c>
      <c r="B130" s="269" t="s">
        <v>29</v>
      </c>
      <c r="C130" s="269" t="s">
        <v>213</v>
      </c>
      <c r="D130" s="301" t="s">
        <v>85</v>
      </c>
      <c r="E130" s="302">
        <v>12</v>
      </c>
      <c r="F130" s="467" t="s">
        <v>221</v>
      </c>
      <c r="G130" s="284" t="s">
        <v>53</v>
      </c>
      <c r="H130" s="67"/>
      <c r="I130" s="468">
        <v>40.799999999999997</v>
      </c>
      <c r="J130" s="304">
        <f t="shared" si="6"/>
        <v>12</v>
      </c>
      <c r="K130" s="234">
        <v>12</v>
      </c>
      <c r="L130" s="233" t="e">
        <f>IF(K130="nio",0,IF(K130&gt;0,K130*I130/M130,0))*VLOOKUP(B130,'2-Kosten per locatie'!$A$14:$C$20,3,FALSE)</f>
        <v>#DIV/0!</v>
      </c>
      <c r="M130" s="305">
        <f>IF(K130="nio",0,IF(K130&gt;0,VLOOKUP(G130,'3-Productie normen'!A:M,VLOOKUP(K130,'3-Productie normen'!$B$25:$C$33,2,FALSE),FALSE)))</f>
        <v>0</v>
      </c>
      <c r="N130" s="306"/>
      <c r="P130" s="307">
        <f t="shared" si="7"/>
        <v>489.59999999999997</v>
      </c>
    </row>
    <row r="131" spans="1:16" ht="14.1" customHeight="1">
      <c r="A131" s="71">
        <v>131</v>
      </c>
      <c r="B131" s="269" t="s">
        <v>29</v>
      </c>
      <c r="C131" s="269" t="s">
        <v>213</v>
      </c>
      <c r="D131" s="301" t="s">
        <v>85</v>
      </c>
      <c r="E131" s="302">
        <v>13</v>
      </c>
      <c r="F131" s="467" t="s">
        <v>222</v>
      </c>
      <c r="G131" s="284" t="s">
        <v>49</v>
      </c>
      <c r="H131" s="67"/>
      <c r="I131" s="468">
        <v>9.09</v>
      </c>
      <c r="J131" s="304">
        <f t="shared" si="6"/>
        <v>40</v>
      </c>
      <c r="K131" s="234">
        <v>40</v>
      </c>
      <c r="L131" s="233" t="e">
        <f>IF(K131="nio",0,IF(K131&gt;0,K131*I131/M131,0))*VLOOKUP(B131,'2-Kosten per locatie'!$A$14:$C$20,3,FALSE)</f>
        <v>#DIV/0!</v>
      </c>
      <c r="M131" s="305">
        <f>IF(K131="nio",0,IF(K131&gt;0,VLOOKUP(G131,'3-Productie normen'!A:M,VLOOKUP(K131,'3-Productie normen'!$B$25:$C$33,2,FALSE),FALSE)))</f>
        <v>0</v>
      </c>
      <c r="N131" s="306"/>
      <c r="P131" s="307">
        <f t="shared" si="7"/>
        <v>363.6</v>
      </c>
    </row>
    <row r="132" spans="1:16" ht="14.1" customHeight="1">
      <c r="A132" s="71">
        <v>132</v>
      </c>
      <c r="B132" s="269" t="s">
        <v>29</v>
      </c>
      <c r="C132" s="269" t="s">
        <v>213</v>
      </c>
      <c r="D132" s="301" t="s">
        <v>85</v>
      </c>
      <c r="E132" s="302">
        <v>14</v>
      </c>
      <c r="F132" s="467" t="s">
        <v>136</v>
      </c>
      <c r="G132" s="467" t="s">
        <v>50</v>
      </c>
      <c r="H132" s="67"/>
      <c r="I132" s="468">
        <v>1.1299999999999999</v>
      </c>
      <c r="J132" s="304">
        <f t="shared" si="6"/>
        <v>120</v>
      </c>
      <c r="K132" s="234">
        <v>120</v>
      </c>
      <c r="L132" s="233" t="e">
        <f>IF(K132="nio",0,IF(K132&gt;0,K132*I132/M132,0))*VLOOKUP(B132,'2-Kosten per locatie'!$A$14:$C$20,3,FALSE)</f>
        <v>#DIV/0!</v>
      </c>
      <c r="M132" s="305">
        <f>IF(K132="nio",0,IF(K132&gt;0,VLOOKUP(G132,'3-Productie normen'!A:M,VLOOKUP(K132,'3-Productie normen'!$B$25:$C$33,2,FALSE),FALSE)))</f>
        <v>0</v>
      </c>
      <c r="N132" s="306"/>
      <c r="P132" s="307">
        <f t="shared" si="7"/>
        <v>135.6</v>
      </c>
    </row>
    <row r="133" spans="1:16" ht="14.1" customHeight="1">
      <c r="A133" s="71">
        <v>133</v>
      </c>
      <c r="B133" s="269" t="s">
        <v>29</v>
      </c>
      <c r="C133" s="269" t="s">
        <v>213</v>
      </c>
      <c r="D133" s="301" t="s">
        <v>85</v>
      </c>
      <c r="E133" s="302">
        <v>15</v>
      </c>
      <c r="F133" s="467" t="s">
        <v>178</v>
      </c>
      <c r="G133" s="467" t="s">
        <v>51</v>
      </c>
      <c r="H133" s="67"/>
      <c r="I133" s="468">
        <v>2.5</v>
      </c>
      <c r="J133" s="304">
        <f t="shared" si="6"/>
        <v>120</v>
      </c>
      <c r="K133" s="234">
        <v>120</v>
      </c>
      <c r="L133" s="233" t="e">
        <f>IF(K133="nio",0,IF(K133&gt;0,K133*I133/M133,0))*VLOOKUP(B133,'2-Kosten per locatie'!$A$14:$C$20,3,FALSE)</f>
        <v>#DIV/0!</v>
      </c>
      <c r="M133" s="305">
        <f>IF(K133="nio",0,IF(K133&gt;0,VLOOKUP(G133,'3-Productie normen'!A:M,VLOOKUP(K133,'3-Productie normen'!$B$25:$C$33,2,FALSE),FALSE)))</f>
        <v>0</v>
      </c>
      <c r="N133" s="306"/>
      <c r="P133" s="307">
        <f t="shared" si="7"/>
        <v>300</v>
      </c>
    </row>
    <row r="134" spans="1:16" ht="14.1" customHeight="1">
      <c r="A134" s="71">
        <v>134</v>
      </c>
      <c r="B134" s="269" t="s">
        <v>34</v>
      </c>
      <c r="C134" s="269" t="s">
        <v>223</v>
      </c>
      <c r="D134" s="301" t="s">
        <v>85</v>
      </c>
      <c r="E134" s="302" t="s">
        <v>224</v>
      </c>
      <c r="F134" s="467" t="s">
        <v>225</v>
      </c>
      <c r="G134" s="467" t="s">
        <v>54</v>
      </c>
      <c r="H134" s="67"/>
      <c r="I134" s="468">
        <v>942</v>
      </c>
      <c r="J134" s="304">
        <f t="shared" si="6"/>
        <v>40</v>
      </c>
      <c r="K134" s="234">
        <v>40</v>
      </c>
      <c r="L134" s="233" t="e">
        <f>IF(K134="nio",0,IF(K134&gt;0,K134*I134/M134,0))*VLOOKUP(B134,'2-Kosten per locatie'!$A$14:$C$20,3,FALSE)</f>
        <v>#DIV/0!</v>
      </c>
      <c r="M134" s="305">
        <f>IF(K134="nio",0,IF(K134&gt;0,VLOOKUP(G134,'3-Productie normen'!A:M,VLOOKUP(K134,'3-Productie normen'!$B$25:$C$33,2,FALSE),FALSE)))</f>
        <v>0</v>
      </c>
      <c r="N134" s="306"/>
      <c r="P134" s="307">
        <f t="shared" si="7"/>
        <v>37680</v>
      </c>
    </row>
    <row r="135" spans="1:16" ht="14.1" customHeight="1">
      <c r="A135" s="71">
        <v>135</v>
      </c>
      <c r="B135" s="269" t="s">
        <v>34</v>
      </c>
      <c r="C135" s="269" t="s">
        <v>223</v>
      </c>
      <c r="D135" s="301" t="s">
        <v>85</v>
      </c>
      <c r="E135" s="302" t="s">
        <v>226</v>
      </c>
      <c r="F135" s="467" t="s">
        <v>227</v>
      </c>
      <c r="G135" s="467" t="s">
        <v>52</v>
      </c>
      <c r="H135" s="67"/>
      <c r="I135" s="468">
        <v>5.36</v>
      </c>
      <c r="J135" s="304">
        <f t="shared" si="6"/>
        <v>40</v>
      </c>
      <c r="K135" s="234">
        <v>40</v>
      </c>
      <c r="L135" s="233" t="e">
        <f>IF(K135="nio",0,IF(K135&gt;0,K135*I135/M135,0))*VLOOKUP(B135,'2-Kosten per locatie'!$A$14:$C$20,3,FALSE)</f>
        <v>#DIV/0!</v>
      </c>
      <c r="M135" s="305">
        <f>IF(K135="nio",0,IF(K135&gt;0,VLOOKUP(G135,'3-Productie normen'!A:M,VLOOKUP(K135,'3-Productie normen'!$B$25:$C$33,2,FALSE),FALSE)))</f>
        <v>0</v>
      </c>
      <c r="N135" s="306"/>
      <c r="P135" s="307">
        <f t="shared" si="7"/>
        <v>214.4</v>
      </c>
    </row>
    <row r="136" spans="1:16" ht="14.1" customHeight="1">
      <c r="A136" s="71">
        <v>136</v>
      </c>
      <c r="B136" s="269" t="s">
        <v>34</v>
      </c>
      <c r="C136" s="269" t="s">
        <v>223</v>
      </c>
      <c r="D136" s="301" t="s">
        <v>85</v>
      </c>
      <c r="E136" s="302" t="s">
        <v>228</v>
      </c>
      <c r="F136" s="467" t="s">
        <v>229</v>
      </c>
      <c r="G136" s="467" t="s">
        <v>57</v>
      </c>
      <c r="H136" s="67"/>
      <c r="I136" s="468">
        <v>2.75</v>
      </c>
      <c r="J136" s="304">
        <f t="shared" si="6"/>
        <v>0</v>
      </c>
      <c r="K136" s="234" t="s">
        <v>89</v>
      </c>
      <c r="L136" s="233">
        <f>IF(K136="nio",0,IF(K136&gt;0,K136*I136/M136,0))*VLOOKUP(B136,'2-Kosten per locatie'!$A$14:$C$20,3,FALSE)</f>
        <v>0</v>
      </c>
      <c r="M136" s="305">
        <f>IF(K136="nio",0,IF(K136&gt;0,VLOOKUP(G136,'3-Productie normen'!A:M,VLOOKUP(K136,'3-Productie normen'!$B$25:$C$33,2,FALSE),FALSE)))</f>
        <v>0</v>
      </c>
      <c r="N136" s="306"/>
      <c r="P136" s="307">
        <f t="shared" si="7"/>
        <v>0</v>
      </c>
    </row>
    <row r="137" spans="1:16" ht="14.1" customHeight="1">
      <c r="A137" s="71">
        <v>137</v>
      </c>
      <c r="B137" s="269" t="s">
        <v>34</v>
      </c>
      <c r="C137" s="269" t="s">
        <v>223</v>
      </c>
      <c r="D137" s="301" t="s">
        <v>85</v>
      </c>
      <c r="E137" s="302" t="s">
        <v>230</v>
      </c>
      <c r="F137" s="467" t="s">
        <v>231</v>
      </c>
      <c r="G137" s="284" t="s">
        <v>52</v>
      </c>
      <c r="H137" s="67"/>
      <c r="I137" s="468">
        <v>25.84</v>
      </c>
      <c r="J137" s="304">
        <f t="shared" si="6"/>
        <v>40</v>
      </c>
      <c r="K137" s="234">
        <v>40</v>
      </c>
      <c r="L137" s="233" t="e">
        <f>IF(K137="nio",0,IF(K137&gt;0,K137*I137/M137,0))*VLOOKUP(B137,'2-Kosten per locatie'!$A$14:$C$20,3,FALSE)</f>
        <v>#DIV/0!</v>
      </c>
      <c r="M137" s="305">
        <f>IF(K137="nio",0,IF(K137&gt;0,VLOOKUP(G137,'3-Productie normen'!A:M,VLOOKUP(K137,'3-Productie normen'!$B$25:$C$33,2,FALSE),FALSE)))</f>
        <v>0</v>
      </c>
      <c r="N137" s="306"/>
      <c r="P137" s="307">
        <f t="shared" si="7"/>
        <v>1033.5999999999999</v>
      </c>
    </row>
    <row r="138" spans="1:16" ht="14.1" customHeight="1">
      <c r="A138" s="71">
        <v>138</v>
      </c>
      <c r="B138" s="269" t="s">
        <v>34</v>
      </c>
      <c r="C138" s="269" t="s">
        <v>223</v>
      </c>
      <c r="D138" s="301" t="s">
        <v>85</v>
      </c>
      <c r="E138" s="302" t="s">
        <v>232</v>
      </c>
      <c r="F138" s="467" t="s">
        <v>233</v>
      </c>
      <c r="G138" s="467" t="s">
        <v>51</v>
      </c>
      <c r="H138" s="67"/>
      <c r="I138" s="468">
        <v>2.59</v>
      </c>
      <c r="J138" s="304">
        <f t="shared" ref="J138:J169" si="8">SUM(K138:K138)</f>
        <v>40</v>
      </c>
      <c r="K138" s="234">
        <v>40</v>
      </c>
      <c r="L138" s="233" t="e">
        <f>IF(K138="nio",0,IF(K138&gt;0,K138*I138/M138,0))*VLOOKUP(B138,'2-Kosten per locatie'!$A$14:$C$20,3,FALSE)</f>
        <v>#DIV/0!</v>
      </c>
      <c r="M138" s="305">
        <f>IF(K138="nio",0,IF(K138&gt;0,VLOOKUP(G138,'3-Productie normen'!A:M,VLOOKUP(K138,'3-Productie normen'!$B$25:$C$33,2,FALSE),FALSE)))</f>
        <v>0</v>
      </c>
      <c r="N138" s="306"/>
      <c r="P138" s="307">
        <f t="shared" ref="P138:P169" si="9">J138*I138</f>
        <v>103.6</v>
      </c>
    </row>
    <row r="139" spans="1:16" ht="14.1" customHeight="1">
      <c r="A139" s="71">
        <v>139</v>
      </c>
      <c r="B139" s="269" t="s">
        <v>34</v>
      </c>
      <c r="C139" s="269" t="s">
        <v>223</v>
      </c>
      <c r="D139" s="301" t="s">
        <v>85</v>
      </c>
      <c r="E139" s="302" t="s">
        <v>234</v>
      </c>
      <c r="F139" s="467" t="s">
        <v>235</v>
      </c>
      <c r="G139" s="467" t="s">
        <v>50</v>
      </c>
      <c r="H139" s="67"/>
      <c r="I139" s="468">
        <v>1.06</v>
      </c>
      <c r="J139" s="304">
        <f t="shared" si="8"/>
        <v>40</v>
      </c>
      <c r="K139" s="234">
        <v>40</v>
      </c>
      <c r="L139" s="233" t="e">
        <f>IF(K139="nio",0,IF(K139&gt;0,K139*I139/M139,0))*VLOOKUP(B139,'2-Kosten per locatie'!$A$14:$C$20,3,FALSE)</f>
        <v>#DIV/0!</v>
      </c>
      <c r="M139" s="305">
        <f>IF(K139="nio",0,IF(K139&gt;0,VLOOKUP(G139,'3-Productie normen'!A:M,VLOOKUP(K139,'3-Productie normen'!$B$25:$C$33,2,FALSE),FALSE)))</f>
        <v>0</v>
      </c>
      <c r="N139" s="306"/>
      <c r="P139" s="307">
        <f t="shared" si="9"/>
        <v>42.400000000000006</v>
      </c>
    </row>
    <row r="140" spans="1:16" ht="14.1" customHeight="1">
      <c r="A140" s="71">
        <v>140</v>
      </c>
      <c r="B140" s="269" t="s">
        <v>34</v>
      </c>
      <c r="C140" s="269" t="s">
        <v>223</v>
      </c>
      <c r="D140" s="301" t="s">
        <v>85</v>
      </c>
      <c r="E140" s="302" t="s">
        <v>236</v>
      </c>
      <c r="F140" s="467" t="s">
        <v>237</v>
      </c>
      <c r="G140" s="467" t="s">
        <v>56</v>
      </c>
      <c r="H140" s="67"/>
      <c r="I140" s="468">
        <v>8.32</v>
      </c>
      <c r="J140" s="304">
        <f t="shared" si="8"/>
        <v>0</v>
      </c>
      <c r="K140" s="234" t="s">
        <v>57</v>
      </c>
      <c r="L140" s="233">
        <f>IF(K140="nio",0,IF(K140&gt;0,K140*I140/M140,0))*VLOOKUP(B140,'2-Kosten per locatie'!$A$14:$C$20,3,FALSE)</f>
        <v>0</v>
      </c>
      <c r="M140" s="305">
        <f>IF(K140="nio",0,IF(K140&gt;0,VLOOKUP(G140,'3-Productie normen'!A:M,VLOOKUP(K140,'3-Productie normen'!$B$25:$C$33,2,FALSE),FALSE)))</f>
        <v>0</v>
      </c>
      <c r="N140" s="306"/>
      <c r="P140" s="307">
        <f t="shared" si="9"/>
        <v>0</v>
      </c>
    </row>
    <row r="141" spans="1:16" ht="14.1" customHeight="1">
      <c r="A141" s="71">
        <v>141</v>
      </c>
      <c r="B141" s="269" t="s">
        <v>34</v>
      </c>
      <c r="C141" s="269" t="s">
        <v>223</v>
      </c>
      <c r="D141" s="301" t="s">
        <v>85</v>
      </c>
      <c r="E141" s="302" t="s">
        <v>238</v>
      </c>
      <c r="F141" s="467" t="s">
        <v>237</v>
      </c>
      <c r="G141" s="467" t="s">
        <v>56</v>
      </c>
      <c r="H141" s="67"/>
      <c r="I141" s="468">
        <v>8.32</v>
      </c>
      <c r="J141" s="304">
        <f t="shared" si="8"/>
        <v>0</v>
      </c>
      <c r="K141" s="234" t="s">
        <v>57</v>
      </c>
      <c r="L141" s="233">
        <f>IF(K141="nio",0,IF(K141&gt;0,K141*I141/M141,0))*VLOOKUP(B141,'2-Kosten per locatie'!$A$14:$C$20,3,FALSE)</f>
        <v>0</v>
      </c>
      <c r="M141" s="305">
        <f>IF(K141="nio",0,IF(K141&gt;0,VLOOKUP(G141,'3-Productie normen'!A:M,VLOOKUP(K141,'3-Productie normen'!$B$25:$C$33,2,FALSE),FALSE)))</f>
        <v>0</v>
      </c>
      <c r="N141" s="306"/>
      <c r="P141" s="307">
        <f t="shared" si="9"/>
        <v>0</v>
      </c>
    </row>
    <row r="142" spans="1:16" ht="14.1" customHeight="1">
      <c r="A142" s="71">
        <v>142</v>
      </c>
      <c r="B142" s="67" t="s">
        <v>34</v>
      </c>
      <c r="C142" s="67" t="s">
        <v>223</v>
      </c>
      <c r="D142" s="469" t="s">
        <v>85</v>
      </c>
      <c r="E142" s="388" t="s">
        <v>239</v>
      </c>
      <c r="F142" s="67" t="s">
        <v>233</v>
      </c>
      <c r="G142" s="67" t="s">
        <v>51</v>
      </c>
      <c r="H142" s="67"/>
      <c r="I142" s="67">
        <v>2.59</v>
      </c>
      <c r="J142" s="304">
        <f t="shared" si="8"/>
        <v>40</v>
      </c>
      <c r="K142" s="234">
        <v>40</v>
      </c>
      <c r="L142" s="233" t="e">
        <f>IF(K142="nio",0,IF(K142&gt;0,K142*I142/M142,0))*VLOOKUP(B142,'2-Kosten per locatie'!$A$14:$C$20,3,FALSE)</f>
        <v>#DIV/0!</v>
      </c>
      <c r="M142" s="305">
        <f>IF(K142="nio",0,IF(K142&gt;0,VLOOKUP(G142,'3-Productie normen'!A:M,VLOOKUP(K142,'3-Productie normen'!$B$25:$C$33,2,FALSE),FALSE)))</f>
        <v>0</v>
      </c>
      <c r="N142" s="306"/>
      <c r="P142" s="307">
        <f t="shared" si="9"/>
        <v>103.6</v>
      </c>
    </row>
    <row r="143" spans="1:16" ht="14.1" customHeight="1">
      <c r="A143" s="71">
        <v>143</v>
      </c>
      <c r="B143" s="67" t="s">
        <v>34</v>
      </c>
      <c r="C143" s="67" t="s">
        <v>223</v>
      </c>
      <c r="D143" s="469" t="s">
        <v>85</v>
      </c>
      <c r="E143" s="388" t="s">
        <v>240</v>
      </c>
      <c r="F143" s="67" t="s">
        <v>241</v>
      </c>
      <c r="G143" s="67" t="s">
        <v>50</v>
      </c>
      <c r="H143" s="67"/>
      <c r="I143" s="67">
        <v>1.06</v>
      </c>
      <c r="J143" s="304">
        <f t="shared" si="8"/>
        <v>40</v>
      </c>
      <c r="K143" s="234">
        <v>40</v>
      </c>
      <c r="L143" s="233" t="e">
        <f>IF(K143="nio",0,IF(K143&gt;0,K143*I143/M143,0))*VLOOKUP(B143,'2-Kosten per locatie'!$A$14:$C$20,3,FALSE)</f>
        <v>#DIV/0!</v>
      </c>
      <c r="M143" s="305">
        <f>IF(K143="nio",0,IF(K143&gt;0,VLOOKUP(G143,'3-Productie normen'!A:M,VLOOKUP(K143,'3-Productie normen'!$B$25:$C$33,2,FALSE),FALSE)))</f>
        <v>0</v>
      </c>
      <c r="N143" s="306"/>
      <c r="P143" s="307">
        <f t="shared" si="9"/>
        <v>42.400000000000006</v>
      </c>
    </row>
    <row r="144" spans="1:16" ht="14.1" customHeight="1">
      <c r="A144" s="71">
        <v>144</v>
      </c>
      <c r="B144" s="67" t="s">
        <v>34</v>
      </c>
      <c r="C144" s="67" t="s">
        <v>223</v>
      </c>
      <c r="D144" s="469" t="s">
        <v>85</v>
      </c>
      <c r="E144" s="388" t="s">
        <v>242</v>
      </c>
      <c r="F144" s="67" t="s">
        <v>231</v>
      </c>
      <c r="G144" s="284" t="s">
        <v>52</v>
      </c>
      <c r="H144" s="67"/>
      <c r="I144" s="67">
        <v>24.53</v>
      </c>
      <c r="J144" s="304">
        <f t="shared" si="8"/>
        <v>40</v>
      </c>
      <c r="K144" s="234">
        <v>40</v>
      </c>
      <c r="L144" s="233" t="e">
        <f>IF(K144="nio",0,IF(K144&gt;0,K144*I144/M144,0))*VLOOKUP(B144,'2-Kosten per locatie'!$A$14:$C$20,3,FALSE)</f>
        <v>#DIV/0!</v>
      </c>
      <c r="M144" s="305">
        <f>IF(K144="nio",0,IF(K144&gt;0,VLOOKUP(G144,'3-Productie normen'!A:M,VLOOKUP(K144,'3-Productie normen'!$B$25:$C$33,2,FALSE),FALSE)))</f>
        <v>0</v>
      </c>
      <c r="N144" s="306"/>
      <c r="P144" s="307">
        <f t="shared" si="9"/>
        <v>981.2</v>
      </c>
    </row>
    <row r="145" spans="1:16" ht="14.1" customHeight="1">
      <c r="A145" s="71">
        <v>145</v>
      </c>
      <c r="B145" s="67" t="s">
        <v>34</v>
      </c>
      <c r="C145" s="67" t="s">
        <v>223</v>
      </c>
      <c r="D145" s="469" t="s">
        <v>85</v>
      </c>
      <c r="E145" s="388" t="s">
        <v>243</v>
      </c>
      <c r="F145" s="67" t="s">
        <v>244</v>
      </c>
      <c r="G145" s="284" t="s">
        <v>53</v>
      </c>
      <c r="H145" s="67"/>
      <c r="I145" s="67">
        <v>35.24</v>
      </c>
      <c r="J145" s="304">
        <f t="shared" si="8"/>
        <v>40</v>
      </c>
      <c r="K145" s="234">
        <v>40</v>
      </c>
      <c r="L145" s="233" t="e">
        <f>IF(K145="nio",0,IF(K145&gt;0,K145*I145/M145,0))*VLOOKUP(B145,'2-Kosten per locatie'!$A$14:$C$20,3,FALSE)</f>
        <v>#DIV/0!</v>
      </c>
      <c r="M145" s="305">
        <f>IF(K145="nio",0,IF(K145&gt;0,VLOOKUP(G145,'3-Productie normen'!A:M,VLOOKUP(K145,'3-Productie normen'!$B$25:$C$33,2,FALSE),FALSE)))</f>
        <v>0</v>
      </c>
      <c r="N145" s="306"/>
      <c r="P145" s="307">
        <f t="shared" si="9"/>
        <v>1409.6000000000001</v>
      </c>
    </row>
    <row r="146" spans="1:16" ht="14.1" customHeight="1">
      <c r="A146" s="71">
        <v>146</v>
      </c>
      <c r="B146" s="67" t="s">
        <v>34</v>
      </c>
      <c r="C146" s="67" t="s">
        <v>223</v>
      </c>
      <c r="D146" s="469" t="s">
        <v>85</v>
      </c>
      <c r="E146" s="388" t="s">
        <v>245</v>
      </c>
      <c r="F146" s="67" t="s">
        <v>246</v>
      </c>
      <c r="G146" s="284" t="s">
        <v>49</v>
      </c>
      <c r="H146" s="67"/>
      <c r="I146" s="67">
        <v>18.77</v>
      </c>
      <c r="J146" s="304">
        <f t="shared" si="8"/>
        <v>0</v>
      </c>
      <c r="K146" s="234" t="s">
        <v>57</v>
      </c>
      <c r="L146" s="233">
        <f>IF(K146="nio",0,IF(K146&gt;0,K146*I146/M146,0))*VLOOKUP(B146,'2-Kosten per locatie'!$A$14:$C$20,3,FALSE)</f>
        <v>0</v>
      </c>
      <c r="M146" s="305">
        <f>IF(K146="nio",0,IF(K146&gt;0,VLOOKUP(G146,'3-Productie normen'!A:M,VLOOKUP(K146,'3-Productie normen'!$B$25:$C$33,2,FALSE),FALSE)))</f>
        <v>0</v>
      </c>
      <c r="N146" s="306"/>
      <c r="P146" s="307">
        <f t="shared" si="9"/>
        <v>0</v>
      </c>
    </row>
    <row r="147" spans="1:16" ht="14.1" customHeight="1">
      <c r="A147" s="71">
        <v>147</v>
      </c>
      <c r="B147" s="67" t="s">
        <v>34</v>
      </c>
      <c r="C147" s="67" t="s">
        <v>223</v>
      </c>
      <c r="D147" s="469" t="s">
        <v>85</v>
      </c>
      <c r="E147" s="388" t="s">
        <v>247</v>
      </c>
      <c r="F147" s="67" t="s">
        <v>97</v>
      </c>
      <c r="G147" s="67" t="s">
        <v>51</v>
      </c>
      <c r="H147" s="67"/>
      <c r="I147" s="67">
        <v>24.11</v>
      </c>
      <c r="J147" s="304">
        <f t="shared" si="8"/>
        <v>40</v>
      </c>
      <c r="K147" s="234">
        <v>40</v>
      </c>
      <c r="L147" s="233" t="e">
        <f>IF(K147="nio",0,IF(K147&gt;0,K147*I147/M147,0))*VLOOKUP(B147,'2-Kosten per locatie'!$A$14:$C$20,3,FALSE)</f>
        <v>#DIV/0!</v>
      </c>
      <c r="M147" s="305">
        <f>IF(K147="nio",0,IF(K147&gt;0,VLOOKUP(G147,'3-Productie normen'!A:M,VLOOKUP(K147,'3-Productie normen'!$B$25:$C$33,2,FALSE),FALSE)))</f>
        <v>0</v>
      </c>
      <c r="N147" s="306"/>
      <c r="P147" s="307">
        <f t="shared" si="9"/>
        <v>964.4</v>
      </c>
    </row>
    <row r="148" spans="1:16" ht="14.1" customHeight="1">
      <c r="A148" s="71">
        <v>148</v>
      </c>
      <c r="B148" s="67" t="s">
        <v>34</v>
      </c>
      <c r="C148" s="67" t="s">
        <v>223</v>
      </c>
      <c r="D148" s="469" t="s">
        <v>85</v>
      </c>
      <c r="E148" s="388" t="s">
        <v>248</v>
      </c>
      <c r="F148" s="67" t="s">
        <v>249</v>
      </c>
      <c r="G148" s="67" t="s">
        <v>115</v>
      </c>
      <c r="H148" s="67"/>
      <c r="I148" s="67">
        <v>16.43</v>
      </c>
      <c r="J148" s="304">
        <f t="shared" si="8"/>
        <v>0</v>
      </c>
      <c r="K148" s="234" t="s">
        <v>57</v>
      </c>
      <c r="L148" s="233">
        <f>IF(K148="nio",0,IF(K148&gt;0,K148*I148/M148,0))*VLOOKUP(B148,'2-Kosten per locatie'!$A$14:$C$20,3,FALSE)</f>
        <v>0</v>
      </c>
      <c r="M148" s="305">
        <f>IF(K148="nio",0,IF(K148&gt;0,VLOOKUP(G148,'3-Productie normen'!A:M,VLOOKUP(K148,'3-Productie normen'!$B$25:$C$33,2,FALSE),FALSE)))</f>
        <v>0</v>
      </c>
      <c r="N148" s="306"/>
      <c r="P148" s="307">
        <f t="shared" si="9"/>
        <v>0</v>
      </c>
    </row>
    <row r="149" spans="1:16" ht="14.1" customHeight="1">
      <c r="A149" s="71">
        <v>149</v>
      </c>
      <c r="B149" s="67" t="s">
        <v>34</v>
      </c>
      <c r="C149" s="67" t="s">
        <v>223</v>
      </c>
      <c r="D149" s="469" t="s">
        <v>85</v>
      </c>
      <c r="E149" s="388" t="s">
        <v>250</v>
      </c>
      <c r="F149" s="67" t="s">
        <v>251</v>
      </c>
      <c r="G149" s="67" t="s">
        <v>52</v>
      </c>
      <c r="H149" s="67"/>
      <c r="I149" s="67">
        <v>14.52</v>
      </c>
      <c r="J149" s="304">
        <f t="shared" si="8"/>
        <v>200</v>
      </c>
      <c r="K149" s="234">
        <v>200</v>
      </c>
      <c r="L149" s="233" t="e">
        <f>IF(K149="nio",0,IF(K149&gt;0,K149*I149/M149,0))*VLOOKUP(B149,'2-Kosten per locatie'!$A$14:$C$20,3,FALSE)</f>
        <v>#DIV/0!</v>
      </c>
      <c r="M149" s="305">
        <f>IF(K149="nio",0,IF(K149&gt;0,VLOOKUP(G149,'3-Productie normen'!A:M,VLOOKUP(K149,'3-Productie normen'!$B$25:$C$33,2,FALSE),FALSE)))</f>
        <v>0</v>
      </c>
      <c r="N149" s="306"/>
      <c r="P149" s="307">
        <f t="shared" si="9"/>
        <v>2904</v>
      </c>
    </row>
    <row r="150" spans="1:16" ht="14.1" customHeight="1">
      <c r="A150" s="71">
        <v>150</v>
      </c>
      <c r="B150" s="67" t="s">
        <v>34</v>
      </c>
      <c r="C150" s="67" t="s">
        <v>223</v>
      </c>
      <c r="D150" s="469" t="s">
        <v>85</v>
      </c>
      <c r="E150" s="388" t="s">
        <v>252</v>
      </c>
      <c r="F150" s="67" t="s">
        <v>253</v>
      </c>
      <c r="G150" s="467" t="s">
        <v>56</v>
      </c>
      <c r="H150" s="67"/>
      <c r="I150" s="67">
        <v>8.83</v>
      </c>
      <c r="J150" s="304">
        <f t="shared" si="8"/>
        <v>200</v>
      </c>
      <c r="K150" s="234">
        <v>200</v>
      </c>
      <c r="L150" s="233" t="e">
        <f>IF(K150="nio",0,IF(K150&gt;0,K150*I150/M150,0))*VLOOKUP(B150,'2-Kosten per locatie'!$A$14:$C$20,3,FALSE)</f>
        <v>#DIV/0!</v>
      </c>
      <c r="M150" s="305">
        <f>IF(K150="nio",0,IF(K150&gt;0,VLOOKUP(G150,'3-Productie normen'!A:M,VLOOKUP(K150,'3-Productie normen'!$B$25:$C$33,2,FALSE),FALSE)))</f>
        <v>0</v>
      </c>
      <c r="N150" s="306"/>
      <c r="P150" s="307">
        <f t="shared" si="9"/>
        <v>1766</v>
      </c>
    </row>
    <row r="151" spans="1:16" ht="14.1" customHeight="1">
      <c r="A151" s="71">
        <v>151</v>
      </c>
      <c r="B151" s="67" t="s">
        <v>34</v>
      </c>
      <c r="C151" s="67" t="s">
        <v>223</v>
      </c>
      <c r="D151" s="469" t="s">
        <v>85</v>
      </c>
      <c r="E151" s="388" t="s">
        <v>254</v>
      </c>
      <c r="F151" s="67" t="s">
        <v>255</v>
      </c>
      <c r="G151" s="67" t="s">
        <v>50</v>
      </c>
      <c r="H151" s="67"/>
      <c r="I151" s="67">
        <v>1.06</v>
      </c>
      <c r="J151" s="304">
        <f t="shared" si="8"/>
        <v>200</v>
      </c>
      <c r="K151" s="234">
        <v>200</v>
      </c>
      <c r="L151" s="233" t="e">
        <f>IF(K151="nio",0,IF(K151&gt;0,K151*I151/M151,0))*VLOOKUP(B151,'2-Kosten per locatie'!$A$14:$C$20,3,FALSE)</f>
        <v>#DIV/0!</v>
      </c>
      <c r="M151" s="305">
        <f>IF(K151="nio",0,IF(K151&gt;0,VLOOKUP(G151,'3-Productie normen'!A:M,VLOOKUP(K151,'3-Productie normen'!$B$25:$C$33,2,FALSE),FALSE)))</f>
        <v>0</v>
      </c>
      <c r="N151" s="306"/>
      <c r="P151" s="307">
        <f t="shared" si="9"/>
        <v>212</v>
      </c>
    </row>
    <row r="152" spans="1:16" ht="14.1" customHeight="1">
      <c r="A152" s="71">
        <v>152</v>
      </c>
      <c r="B152" s="67" t="s">
        <v>34</v>
      </c>
      <c r="C152" s="67" t="s">
        <v>223</v>
      </c>
      <c r="D152" s="469" t="s">
        <v>85</v>
      </c>
      <c r="E152" s="388" t="s">
        <v>256</v>
      </c>
      <c r="F152" s="67" t="s">
        <v>257</v>
      </c>
      <c r="G152" s="67" t="s">
        <v>52</v>
      </c>
      <c r="H152" s="67"/>
      <c r="I152" s="67">
        <v>14.52</v>
      </c>
      <c r="J152" s="304">
        <f t="shared" si="8"/>
        <v>200</v>
      </c>
      <c r="K152" s="234">
        <v>200</v>
      </c>
      <c r="L152" s="233" t="e">
        <f>IF(K152="nio",0,IF(K152&gt;0,K152*I152/M152,0))*VLOOKUP(B152,'2-Kosten per locatie'!$A$14:$C$20,3,FALSE)</f>
        <v>#DIV/0!</v>
      </c>
      <c r="M152" s="305">
        <f>IF(K152="nio",0,IF(K152&gt;0,VLOOKUP(G152,'3-Productie normen'!A:M,VLOOKUP(K152,'3-Productie normen'!$B$25:$C$33,2,FALSE),FALSE)))</f>
        <v>0</v>
      </c>
      <c r="N152" s="306"/>
      <c r="P152" s="307">
        <f t="shared" si="9"/>
        <v>2904</v>
      </c>
    </row>
    <row r="153" spans="1:16" ht="14.1" customHeight="1">
      <c r="A153" s="71">
        <v>153</v>
      </c>
      <c r="B153" s="67" t="s">
        <v>34</v>
      </c>
      <c r="C153" s="67" t="s">
        <v>223</v>
      </c>
      <c r="D153" s="469" t="s">
        <v>85</v>
      </c>
      <c r="E153" s="388" t="s">
        <v>258</v>
      </c>
      <c r="F153" s="67" t="s">
        <v>259</v>
      </c>
      <c r="G153" s="467" t="s">
        <v>56</v>
      </c>
      <c r="H153" s="67"/>
      <c r="I153" s="67">
        <v>8.83</v>
      </c>
      <c r="J153" s="304">
        <f t="shared" si="8"/>
        <v>200</v>
      </c>
      <c r="K153" s="234">
        <v>200</v>
      </c>
      <c r="L153" s="233" t="e">
        <f>IF(K153="nio",0,IF(K153&gt;0,K153*I153/M153,0))*VLOOKUP(B153,'2-Kosten per locatie'!$A$14:$C$20,3,FALSE)</f>
        <v>#DIV/0!</v>
      </c>
      <c r="M153" s="305">
        <f>IF(K153="nio",0,IF(K153&gt;0,VLOOKUP(G153,'3-Productie normen'!A:M,VLOOKUP(K153,'3-Productie normen'!$B$25:$C$33,2,FALSE),FALSE)))</f>
        <v>0</v>
      </c>
      <c r="N153" s="306"/>
      <c r="P153" s="307">
        <f t="shared" si="9"/>
        <v>1766</v>
      </c>
    </row>
    <row r="154" spans="1:16" ht="14.1" customHeight="1">
      <c r="A154" s="71">
        <v>154</v>
      </c>
      <c r="B154" s="67" t="s">
        <v>34</v>
      </c>
      <c r="C154" s="67" t="s">
        <v>223</v>
      </c>
      <c r="D154" s="469" t="s">
        <v>85</v>
      </c>
      <c r="E154" s="388" t="s">
        <v>260</v>
      </c>
      <c r="F154" s="67" t="s">
        <v>261</v>
      </c>
      <c r="G154" s="67" t="s">
        <v>50</v>
      </c>
      <c r="H154" s="67"/>
      <c r="I154" s="67">
        <v>1.06</v>
      </c>
      <c r="J154" s="304">
        <f t="shared" si="8"/>
        <v>200</v>
      </c>
      <c r="K154" s="234">
        <v>200</v>
      </c>
      <c r="L154" s="233" t="e">
        <f>IF(K154="nio",0,IF(K154&gt;0,K154*I154/M154,0))*VLOOKUP(B154,'2-Kosten per locatie'!$A$14:$C$20,3,FALSE)</f>
        <v>#DIV/0!</v>
      </c>
      <c r="M154" s="305">
        <f>IF(K154="nio",0,IF(K154&gt;0,VLOOKUP(G154,'3-Productie normen'!A:M,VLOOKUP(K154,'3-Productie normen'!$B$25:$C$33,2,FALSE),FALSE)))</f>
        <v>0</v>
      </c>
      <c r="N154" s="306"/>
      <c r="P154" s="307">
        <f t="shared" si="9"/>
        <v>212</v>
      </c>
    </row>
    <row r="155" spans="1:16" ht="14.1" customHeight="1">
      <c r="A155" s="71">
        <v>155</v>
      </c>
      <c r="B155" s="67" t="s">
        <v>34</v>
      </c>
      <c r="C155" s="67" t="s">
        <v>223</v>
      </c>
      <c r="D155" s="469" t="s">
        <v>85</v>
      </c>
      <c r="E155" s="388" t="s">
        <v>262</v>
      </c>
      <c r="F155" s="67" t="s">
        <v>263</v>
      </c>
      <c r="G155" s="67" t="s">
        <v>115</v>
      </c>
      <c r="H155" s="67"/>
      <c r="I155" s="67">
        <v>37.479999999999997</v>
      </c>
      <c r="J155" s="304">
        <f t="shared" si="8"/>
        <v>0</v>
      </c>
      <c r="K155" s="234" t="s">
        <v>89</v>
      </c>
      <c r="L155" s="233">
        <f>IF(K155="nio",0,IF(K155&gt;0,K155*I155/M155,0))*VLOOKUP(B155,'2-Kosten per locatie'!$A$14:$C$20,3,FALSE)</f>
        <v>0</v>
      </c>
      <c r="M155" s="305">
        <f>IF(K155="nio",0,IF(K155&gt;0,VLOOKUP(G155,'3-Productie normen'!A:M,VLOOKUP(K155,'3-Productie normen'!$B$25:$C$33,2,FALSE),FALSE)))</f>
        <v>0</v>
      </c>
      <c r="N155" s="306"/>
      <c r="P155" s="307">
        <f t="shared" si="9"/>
        <v>0</v>
      </c>
    </row>
    <row r="156" spans="1:16" ht="14.1" customHeight="1">
      <c r="A156" s="71">
        <v>156</v>
      </c>
      <c r="B156" s="67" t="s">
        <v>34</v>
      </c>
      <c r="C156" s="67" t="s">
        <v>223</v>
      </c>
      <c r="D156" s="469" t="s">
        <v>85</v>
      </c>
      <c r="E156" s="388" t="s">
        <v>264</v>
      </c>
      <c r="F156" s="67" t="s">
        <v>227</v>
      </c>
      <c r="G156" s="67" t="s">
        <v>52</v>
      </c>
      <c r="H156" s="67"/>
      <c r="I156" s="67">
        <v>5.12</v>
      </c>
      <c r="J156" s="304">
        <f t="shared" si="8"/>
        <v>40</v>
      </c>
      <c r="K156" s="234">
        <v>40</v>
      </c>
      <c r="L156" s="233" t="e">
        <f>IF(K156="nio",0,IF(K156&gt;0,K156*I156/M156,0))*VLOOKUP(B156,'2-Kosten per locatie'!$A$14:$C$20,3,FALSE)</f>
        <v>#DIV/0!</v>
      </c>
      <c r="M156" s="305">
        <f>IF(K156="nio",0,IF(K156&gt;0,VLOOKUP(G156,'3-Productie normen'!A:M,VLOOKUP(K156,'3-Productie normen'!$B$25:$C$33,2,FALSE),FALSE)))</f>
        <v>0</v>
      </c>
      <c r="N156" s="306"/>
      <c r="P156" s="307">
        <f t="shared" si="9"/>
        <v>204.8</v>
      </c>
    </row>
    <row r="157" spans="1:16" ht="14.1" customHeight="1">
      <c r="A157" s="71">
        <v>157</v>
      </c>
      <c r="B157" s="67" t="s">
        <v>34</v>
      </c>
      <c r="C157" s="67" t="s">
        <v>223</v>
      </c>
      <c r="D157" s="469" t="s">
        <v>85</v>
      </c>
      <c r="E157" s="388" t="s">
        <v>265</v>
      </c>
      <c r="F157" s="67" t="s">
        <v>227</v>
      </c>
      <c r="G157" s="67" t="s">
        <v>52</v>
      </c>
      <c r="H157" s="67"/>
      <c r="I157" s="67">
        <v>5.67</v>
      </c>
      <c r="J157" s="304">
        <f t="shared" si="8"/>
        <v>40</v>
      </c>
      <c r="K157" s="234">
        <v>40</v>
      </c>
      <c r="L157" s="233" t="e">
        <f>IF(K157="nio",0,IF(K157&gt;0,K157*I157/M157,0))*VLOOKUP(B157,'2-Kosten per locatie'!$A$14:$C$20,3,FALSE)</f>
        <v>#DIV/0!</v>
      </c>
      <c r="M157" s="305">
        <f>IF(K157="nio",0,IF(K157&gt;0,VLOOKUP(G157,'3-Productie normen'!A:M,VLOOKUP(K157,'3-Productie normen'!$B$25:$C$33,2,FALSE),FALSE)))</f>
        <v>0</v>
      </c>
      <c r="N157" s="306"/>
      <c r="P157" s="307">
        <f t="shared" si="9"/>
        <v>226.8</v>
      </c>
    </row>
    <row r="158" spans="1:16" ht="14.1" customHeight="1">
      <c r="A158" s="71">
        <v>158</v>
      </c>
      <c r="B158" s="67" t="s">
        <v>34</v>
      </c>
      <c r="C158" s="67" t="s">
        <v>223</v>
      </c>
      <c r="D158" s="469" t="s">
        <v>85</v>
      </c>
      <c r="E158" s="388" t="s">
        <v>266</v>
      </c>
      <c r="F158" s="67" t="s">
        <v>267</v>
      </c>
      <c r="G158" s="67" t="s">
        <v>52</v>
      </c>
      <c r="H158" s="67"/>
      <c r="I158" s="67">
        <v>14.52</v>
      </c>
      <c r="J158" s="304">
        <f t="shared" si="8"/>
        <v>200</v>
      </c>
      <c r="K158" s="234">
        <v>200</v>
      </c>
      <c r="L158" s="233" t="e">
        <f>IF(K158="nio",0,IF(K158&gt;0,K158*I158/M158,0))*VLOOKUP(B158,'2-Kosten per locatie'!$A$14:$C$20,3,FALSE)</f>
        <v>#DIV/0!</v>
      </c>
      <c r="M158" s="305">
        <f>IF(K158="nio",0,IF(K158&gt;0,VLOOKUP(G158,'3-Productie normen'!A:M,VLOOKUP(K158,'3-Productie normen'!$B$25:$C$33,2,FALSE),FALSE)))</f>
        <v>0</v>
      </c>
      <c r="N158" s="306"/>
      <c r="P158" s="307">
        <f t="shared" si="9"/>
        <v>2904</v>
      </c>
    </row>
    <row r="159" spans="1:16" ht="14.1" customHeight="1">
      <c r="A159" s="71">
        <v>159</v>
      </c>
      <c r="B159" s="67" t="s">
        <v>34</v>
      </c>
      <c r="C159" s="67" t="s">
        <v>223</v>
      </c>
      <c r="D159" s="469" t="s">
        <v>85</v>
      </c>
      <c r="E159" s="388" t="s">
        <v>268</v>
      </c>
      <c r="F159" s="67" t="s">
        <v>269</v>
      </c>
      <c r="G159" s="467" t="s">
        <v>56</v>
      </c>
      <c r="H159" s="67"/>
      <c r="I159" s="67">
        <v>8.83</v>
      </c>
      <c r="J159" s="304">
        <f t="shared" si="8"/>
        <v>200</v>
      </c>
      <c r="K159" s="234">
        <v>200</v>
      </c>
      <c r="L159" s="233" t="e">
        <f>IF(K159="nio",0,IF(K159&gt;0,K159*I159/M159,0))*VLOOKUP(B159,'2-Kosten per locatie'!$A$14:$C$20,3,FALSE)</f>
        <v>#DIV/0!</v>
      </c>
      <c r="M159" s="305">
        <f>IF(K159="nio",0,IF(K159&gt;0,VLOOKUP(G159,'3-Productie normen'!A:M,VLOOKUP(K159,'3-Productie normen'!$B$25:$C$33,2,FALSE),FALSE)))</f>
        <v>0</v>
      </c>
      <c r="N159" s="306"/>
      <c r="P159" s="307">
        <f t="shared" si="9"/>
        <v>1766</v>
      </c>
    </row>
    <row r="160" spans="1:16" ht="14.1" customHeight="1">
      <c r="A160" s="71">
        <v>160</v>
      </c>
      <c r="B160" s="67" t="s">
        <v>34</v>
      </c>
      <c r="C160" s="67" t="s">
        <v>223</v>
      </c>
      <c r="D160" s="469" t="s">
        <v>85</v>
      </c>
      <c r="E160" s="388" t="s">
        <v>270</v>
      </c>
      <c r="F160" s="67" t="s">
        <v>271</v>
      </c>
      <c r="G160" s="67" t="s">
        <v>52</v>
      </c>
      <c r="H160" s="67"/>
      <c r="I160" s="67">
        <v>14.52</v>
      </c>
      <c r="J160" s="304">
        <f t="shared" si="8"/>
        <v>200</v>
      </c>
      <c r="K160" s="234">
        <v>200</v>
      </c>
      <c r="L160" s="233" t="e">
        <f>IF(K160="nio",0,IF(K160&gt;0,K160*I160/M160,0))*VLOOKUP(B160,'2-Kosten per locatie'!$A$14:$C$20,3,FALSE)</f>
        <v>#DIV/0!</v>
      </c>
      <c r="M160" s="305">
        <f>IF(K160="nio",0,IF(K160&gt;0,VLOOKUP(G160,'3-Productie normen'!A:M,VLOOKUP(K160,'3-Productie normen'!$B$25:$C$33,2,FALSE),FALSE)))</f>
        <v>0</v>
      </c>
      <c r="N160" s="306"/>
      <c r="P160" s="307">
        <f t="shared" si="9"/>
        <v>2904</v>
      </c>
    </row>
    <row r="161" spans="1:16" ht="14.1" customHeight="1">
      <c r="A161" s="71">
        <v>161</v>
      </c>
      <c r="B161" s="67" t="s">
        <v>34</v>
      </c>
      <c r="C161" s="67" t="s">
        <v>223</v>
      </c>
      <c r="D161" s="469" t="s">
        <v>85</v>
      </c>
      <c r="E161" s="388" t="s">
        <v>272</v>
      </c>
      <c r="F161" s="67" t="s">
        <v>273</v>
      </c>
      <c r="G161" s="467" t="s">
        <v>56</v>
      </c>
      <c r="H161" s="67"/>
      <c r="I161" s="67">
        <v>8.83</v>
      </c>
      <c r="J161" s="304">
        <f t="shared" si="8"/>
        <v>200</v>
      </c>
      <c r="K161" s="234">
        <v>200</v>
      </c>
      <c r="L161" s="233" t="e">
        <f>IF(K161="nio",0,IF(K161&gt;0,K161*I161/M161,0))*VLOOKUP(B161,'2-Kosten per locatie'!$A$14:$C$20,3,FALSE)</f>
        <v>#DIV/0!</v>
      </c>
      <c r="M161" s="305">
        <f>IF(K161="nio",0,IF(K161&gt;0,VLOOKUP(G161,'3-Productie normen'!A:M,VLOOKUP(K161,'3-Productie normen'!$B$25:$C$33,2,FALSE),FALSE)))</f>
        <v>0</v>
      </c>
      <c r="N161" s="306"/>
      <c r="P161" s="307">
        <f t="shared" si="9"/>
        <v>1766</v>
      </c>
    </row>
    <row r="162" spans="1:16" ht="14.1" customHeight="1">
      <c r="A162" s="71">
        <v>162</v>
      </c>
      <c r="B162" s="67" t="s">
        <v>34</v>
      </c>
      <c r="C162" s="67" t="s">
        <v>223</v>
      </c>
      <c r="D162" s="469" t="s">
        <v>85</v>
      </c>
      <c r="E162" s="388" t="s">
        <v>274</v>
      </c>
      <c r="F162" s="67" t="s">
        <v>275</v>
      </c>
      <c r="G162" s="67" t="s">
        <v>50</v>
      </c>
      <c r="H162" s="67"/>
      <c r="I162" s="67">
        <v>1.06</v>
      </c>
      <c r="J162" s="304">
        <f t="shared" si="8"/>
        <v>200</v>
      </c>
      <c r="K162" s="234">
        <v>200</v>
      </c>
      <c r="L162" s="233" t="e">
        <f>IF(K162="nio",0,IF(K162&gt;0,K162*I162/M162,0))*VLOOKUP(B162,'2-Kosten per locatie'!$A$14:$C$20,3,FALSE)</f>
        <v>#DIV/0!</v>
      </c>
      <c r="M162" s="305">
        <f>IF(K162="nio",0,IF(K162&gt;0,VLOOKUP(G162,'3-Productie normen'!A:M,VLOOKUP(K162,'3-Productie normen'!$B$25:$C$33,2,FALSE),FALSE)))</f>
        <v>0</v>
      </c>
      <c r="N162" s="306"/>
      <c r="P162" s="307">
        <f t="shared" si="9"/>
        <v>212</v>
      </c>
    </row>
    <row r="163" spans="1:16" ht="14.1" customHeight="1">
      <c r="A163" s="71">
        <v>163</v>
      </c>
      <c r="B163" s="67" t="s">
        <v>34</v>
      </c>
      <c r="C163" s="67" t="s">
        <v>223</v>
      </c>
      <c r="D163" s="469" t="s">
        <v>85</v>
      </c>
      <c r="E163" s="388" t="s">
        <v>276</v>
      </c>
      <c r="F163" s="67" t="s">
        <v>277</v>
      </c>
      <c r="G163" s="67" t="s">
        <v>50</v>
      </c>
      <c r="H163" s="67"/>
      <c r="I163" s="67">
        <v>1.06</v>
      </c>
      <c r="J163" s="304">
        <f t="shared" si="8"/>
        <v>200</v>
      </c>
      <c r="K163" s="234">
        <v>200</v>
      </c>
      <c r="L163" s="233" t="e">
        <f>IF(K163="nio",0,IF(K163&gt;0,K163*I163/M163,0))*VLOOKUP(B163,'2-Kosten per locatie'!$A$14:$C$20,3,FALSE)</f>
        <v>#DIV/0!</v>
      </c>
      <c r="M163" s="305">
        <f>IF(K163="nio",0,IF(K163&gt;0,VLOOKUP(G163,'3-Productie normen'!A:M,VLOOKUP(K163,'3-Productie normen'!$B$25:$C$33,2,FALSE),FALSE)))</f>
        <v>0</v>
      </c>
      <c r="N163" s="306"/>
      <c r="P163" s="307">
        <f t="shared" si="9"/>
        <v>212</v>
      </c>
    </row>
    <row r="164" spans="1:16" ht="14.1" customHeight="1">
      <c r="A164" s="71">
        <v>164</v>
      </c>
      <c r="B164" s="67" t="s">
        <v>34</v>
      </c>
      <c r="C164" s="67" t="s">
        <v>223</v>
      </c>
      <c r="D164" s="469" t="s">
        <v>85</v>
      </c>
      <c r="E164" s="388" t="s">
        <v>278</v>
      </c>
      <c r="F164" s="67" t="s">
        <v>279</v>
      </c>
      <c r="G164" s="284" t="s">
        <v>52</v>
      </c>
      <c r="H164" s="67"/>
      <c r="I164" s="67">
        <v>14.52</v>
      </c>
      <c r="J164" s="304">
        <f t="shared" si="8"/>
        <v>200</v>
      </c>
      <c r="K164" s="234">
        <v>200</v>
      </c>
      <c r="L164" s="233" t="e">
        <f>IF(K164="nio",0,IF(K164&gt;0,K164*I164/M164,0))*VLOOKUP(B164,'2-Kosten per locatie'!$A$14:$C$20,3,FALSE)</f>
        <v>#DIV/0!</v>
      </c>
      <c r="M164" s="305">
        <f>IF(K164="nio",0,IF(K164&gt;0,VLOOKUP(G164,'3-Productie normen'!A:M,VLOOKUP(K164,'3-Productie normen'!$B$25:$C$33,2,FALSE),FALSE)))</f>
        <v>0</v>
      </c>
      <c r="N164" s="306"/>
      <c r="P164" s="307">
        <f t="shared" si="9"/>
        <v>2904</v>
      </c>
    </row>
    <row r="165" spans="1:16" ht="14.1" customHeight="1">
      <c r="A165" s="71">
        <v>165</v>
      </c>
      <c r="B165" s="67" t="s">
        <v>34</v>
      </c>
      <c r="C165" s="67" t="s">
        <v>223</v>
      </c>
      <c r="D165" s="469" t="s">
        <v>85</v>
      </c>
      <c r="E165" s="388" t="s">
        <v>280</v>
      </c>
      <c r="F165" s="67" t="s">
        <v>281</v>
      </c>
      <c r="G165" s="467" t="s">
        <v>56</v>
      </c>
      <c r="H165" s="67"/>
      <c r="I165" s="67">
        <v>8.83</v>
      </c>
      <c r="J165" s="304">
        <f t="shared" si="8"/>
        <v>200</v>
      </c>
      <c r="K165" s="234">
        <v>200</v>
      </c>
      <c r="L165" s="233" t="e">
        <f>IF(K165="nio",0,IF(K165&gt;0,K165*I165/M165,0))*VLOOKUP(B165,'2-Kosten per locatie'!$A$14:$C$20,3,FALSE)</f>
        <v>#DIV/0!</v>
      </c>
      <c r="M165" s="305">
        <f>IF(K165="nio",0,IF(K165&gt;0,VLOOKUP(G165,'3-Productie normen'!A:M,VLOOKUP(K165,'3-Productie normen'!$B$25:$C$33,2,FALSE),FALSE)))</f>
        <v>0</v>
      </c>
      <c r="N165" s="306"/>
      <c r="P165" s="307">
        <f t="shared" si="9"/>
        <v>1766</v>
      </c>
    </row>
    <row r="166" spans="1:16" ht="14.1" customHeight="1">
      <c r="A166" s="71">
        <v>166</v>
      </c>
      <c r="B166" s="67" t="s">
        <v>34</v>
      </c>
      <c r="C166" s="67" t="s">
        <v>223</v>
      </c>
      <c r="D166" s="469" t="s">
        <v>85</v>
      </c>
      <c r="E166" s="388" t="s">
        <v>282</v>
      </c>
      <c r="F166" s="67" t="s">
        <v>283</v>
      </c>
      <c r="G166" s="67" t="s">
        <v>50</v>
      </c>
      <c r="H166" s="67"/>
      <c r="I166" s="67">
        <v>1.06</v>
      </c>
      <c r="J166" s="304">
        <f t="shared" si="8"/>
        <v>200</v>
      </c>
      <c r="K166" s="234">
        <v>200</v>
      </c>
      <c r="L166" s="233" t="e">
        <f>IF(K166="nio",0,IF(K166&gt;0,K166*I166/M166,0))*VLOOKUP(B166,'2-Kosten per locatie'!$A$14:$C$20,3,FALSE)</f>
        <v>#DIV/0!</v>
      </c>
      <c r="M166" s="305">
        <f>IF(K166="nio",0,IF(K166&gt;0,VLOOKUP(G166,'3-Productie normen'!A:M,VLOOKUP(K166,'3-Productie normen'!$B$25:$C$33,2,FALSE),FALSE)))</f>
        <v>0</v>
      </c>
      <c r="N166" s="306"/>
      <c r="P166" s="307">
        <f t="shared" si="9"/>
        <v>212</v>
      </c>
    </row>
    <row r="167" spans="1:16" ht="14.1" customHeight="1">
      <c r="A167" s="71">
        <v>167</v>
      </c>
      <c r="B167" s="67" t="s">
        <v>34</v>
      </c>
      <c r="C167" s="67" t="s">
        <v>223</v>
      </c>
      <c r="D167" s="469" t="s">
        <v>85</v>
      </c>
      <c r="E167" s="388" t="s">
        <v>284</v>
      </c>
      <c r="F167" s="67" t="s">
        <v>285</v>
      </c>
      <c r="G167" s="67" t="s">
        <v>50</v>
      </c>
      <c r="H167" s="67"/>
      <c r="I167" s="67">
        <v>1.06</v>
      </c>
      <c r="J167" s="304">
        <f t="shared" si="8"/>
        <v>200</v>
      </c>
      <c r="K167" s="234">
        <v>200</v>
      </c>
      <c r="L167" s="233" t="e">
        <f>IF(K167="nio",0,IF(K167&gt;0,K167*I167/M167,0))*VLOOKUP(B167,'2-Kosten per locatie'!$A$14:$C$20,3,FALSE)</f>
        <v>#DIV/0!</v>
      </c>
      <c r="M167" s="305">
        <f>IF(K167="nio",0,IF(K167&gt;0,VLOOKUP(G167,'3-Productie normen'!A:M,VLOOKUP(K167,'3-Productie normen'!$B$25:$C$33,2,FALSE),FALSE)))</f>
        <v>0</v>
      </c>
      <c r="N167" s="306"/>
      <c r="P167" s="307">
        <f t="shared" si="9"/>
        <v>212</v>
      </c>
    </row>
    <row r="168" spans="1:16" ht="14.1" customHeight="1">
      <c r="A168" s="71">
        <v>168</v>
      </c>
      <c r="B168" s="67" t="s">
        <v>34</v>
      </c>
      <c r="C168" s="67" t="s">
        <v>223</v>
      </c>
      <c r="D168" s="469" t="s">
        <v>85</v>
      </c>
      <c r="E168" s="388" t="s">
        <v>286</v>
      </c>
      <c r="F168" s="67" t="s">
        <v>287</v>
      </c>
      <c r="G168" s="467" t="s">
        <v>56</v>
      </c>
      <c r="H168" s="67"/>
      <c r="I168" s="67">
        <v>8.83</v>
      </c>
      <c r="J168" s="304">
        <f t="shared" si="8"/>
        <v>200</v>
      </c>
      <c r="K168" s="234">
        <v>200</v>
      </c>
      <c r="L168" s="233" t="e">
        <f>IF(K168="nio",0,IF(K168&gt;0,K168*I168/M168,0))*VLOOKUP(B168,'2-Kosten per locatie'!$A$14:$C$20,3,FALSE)</f>
        <v>#DIV/0!</v>
      </c>
      <c r="M168" s="305">
        <f>IF(K168="nio",0,IF(K168&gt;0,VLOOKUP(G168,'3-Productie normen'!A:M,VLOOKUP(K168,'3-Productie normen'!$B$25:$C$33,2,FALSE),FALSE)))</f>
        <v>0</v>
      </c>
      <c r="N168" s="306"/>
      <c r="P168" s="307">
        <f t="shared" si="9"/>
        <v>1766</v>
      </c>
    </row>
    <row r="169" spans="1:16" ht="14.1" customHeight="1">
      <c r="A169" s="71">
        <v>169</v>
      </c>
      <c r="B169" s="67" t="s">
        <v>34</v>
      </c>
      <c r="C169" s="67" t="s">
        <v>223</v>
      </c>
      <c r="D169" s="469" t="s">
        <v>85</v>
      </c>
      <c r="E169" s="388" t="s">
        <v>288</v>
      </c>
      <c r="F169" s="67" t="s">
        <v>289</v>
      </c>
      <c r="G169" s="284" t="s">
        <v>52</v>
      </c>
      <c r="H169" s="67"/>
      <c r="I169" s="67">
        <v>14.52</v>
      </c>
      <c r="J169" s="304">
        <f t="shared" si="8"/>
        <v>200</v>
      </c>
      <c r="K169" s="234">
        <v>200</v>
      </c>
      <c r="L169" s="233" t="e">
        <f>IF(K169="nio",0,IF(K169&gt;0,K169*I169/M169,0))*VLOOKUP(B169,'2-Kosten per locatie'!$A$14:$C$20,3,FALSE)</f>
        <v>#DIV/0!</v>
      </c>
      <c r="M169" s="305">
        <f>IF(K169="nio",0,IF(K169&gt;0,VLOOKUP(G169,'3-Productie normen'!A:M,VLOOKUP(K169,'3-Productie normen'!$B$25:$C$33,2,FALSE),FALSE)))</f>
        <v>0</v>
      </c>
      <c r="N169" s="306"/>
      <c r="P169" s="307">
        <f t="shared" si="9"/>
        <v>2904</v>
      </c>
    </row>
    <row r="170" spans="1:16" ht="14.1" customHeight="1">
      <c r="A170" s="71">
        <v>170</v>
      </c>
      <c r="B170" s="67" t="s">
        <v>34</v>
      </c>
      <c r="C170" s="67" t="s">
        <v>223</v>
      </c>
      <c r="D170" s="469" t="s">
        <v>85</v>
      </c>
      <c r="E170" s="388" t="s">
        <v>290</v>
      </c>
      <c r="F170" s="67" t="s">
        <v>231</v>
      </c>
      <c r="G170" s="284" t="s">
        <v>52</v>
      </c>
      <c r="H170" s="67"/>
      <c r="I170" s="67">
        <v>18.649999999999999</v>
      </c>
      <c r="J170" s="304">
        <f t="shared" ref="J170:J192" si="10">SUM(K170:K170)</f>
        <v>40</v>
      </c>
      <c r="K170" s="234">
        <v>40</v>
      </c>
      <c r="L170" s="233" t="e">
        <f>IF(K170="nio",0,IF(K170&gt;0,K170*I170/M170,0))*VLOOKUP(B170,'2-Kosten per locatie'!$A$14:$C$20,3,FALSE)</f>
        <v>#DIV/0!</v>
      </c>
      <c r="M170" s="305">
        <f>IF(K170="nio",0,IF(K170&gt;0,VLOOKUP(G170,'3-Productie normen'!A:M,VLOOKUP(K170,'3-Productie normen'!$B$25:$C$33,2,FALSE),FALSE)))</f>
        <v>0</v>
      </c>
      <c r="N170" s="306"/>
      <c r="P170" s="307">
        <f t="shared" ref="P170:P184" si="11">J170*I170</f>
        <v>746</v>
      </c>
    </row>
    <row r="171" spans="1:16" ht="14.1" customHeight="1">
      <c r="A171" s="71">
        <v>171</v>
      </c>
      <c r="B171" s="67" t="s">
        <v>34</v>
      </c>
      <c r="C171" s="67" t="s">
        <v>223</v>
      </c>
      <c r="D171" s="469" t="s">
        <v>85</v>
      </c>
      <c r="E171" s="388" t="s">
        <v>291</v>
      </c>
      <c r="F171" s="67" t="s">
        <v>292</v>
      </c>
      <c r="G171" s="284" t="s">
        <v>52</v>
      </c>
      <c r="H171" s="67"/>
      <c r="I171" s="67">
        <v>14.52</v>
      </c>
      <c r="J171" s="304">
        <f t="shared" si="10"/>
        <v>200</v>
      </c>
      <c r="K171" s="234">
        <v>200</v>
      </c>
      <c r="L171" s="233" t="e">
        <f>IF(K171="nio",0,IF(K171&gt;0,K171*I171/M171,0))*VLOOKUP(B171,'2-Kosten per locatie'!$A$14:$C$20,3,FALSE)</f>
        <v>#DIV/0!</v>
      </c>
      <c r="M171" s="305">
        <f>IF(K171="nio",0,IF(K171&gt;0,VLOOKUP(G171,'3-Productie normen'!A:M,VLOOKUP(K171,'3-Productie normen'!$B$25:$C$33,2,FALSE),FALSE)))</f>
        <v>0</v>
      </c>
      <c r="N171" s="306"/>
      <c r="P171" s="307">
        <f t="shared" si="11"/>
        <v>2904</v>
      </c>
    </row>
    <row r="172" spans="1:16" ht="14.1" customHeight="1">
      <c r="A172" s="71">
        <v>172</v>
      </c>
      <c r="B172" s="67" t="s">
        <v>34</v>
      </c>
      <c r="C172" s="67" t="s">
        <v>223</v>
      </c>
      <c r="D172" s="469" t="s">
        <v>85</v>
      </c>
      <c r="E172" s="388" t="s">
        <v>293</v>
      </c>
      <c r="F172" s="67" t="s">
        <v>294</v>
      </c>
      <c r="G172" s="467" t="s">
        <v>56</v>
      </c>
      <c r="H172" s="67"/>
      <c r="I172" s="67">
        <v>8.83</v>
      </c>
      <c r="J172" s="304">
        <f t="shared" si="10"/>
        <v>200</v>
      </c>
      <c r="K172" s="234">
        <v>200</v>
      </c>
      <c r="L172" s="233" t="e">
        <f>IF(K172="nio",0,IF(K172&gt;0,K172*I172/M172,0))*VLOOKUP(B172,'2-Kosten per locatie'!$A$14:$C$20,3,FALSE)</f>
        <v>#DIV/0!</v>
      </c>
      <c r="M172" s="305">
        <f>IF(K172="nio",0,IF(K172&gt;0,VLOOKUP(G172,'3-Productie normen'!A:M,VLOOKUP(K172,'3-Productie normen'!$B$25:$C$33,2,FALSE),FALSE)))</f>
        <v>0</v>
      </c>
      <c r="N172" s="306"/>
      <c r="P172" s="307">
        <f t="shared" si="11"/>
        <v>1766</v>
      </c>
    </row>
    <row r="173" spans="1:16" ht="14.1" customHeight="1">
      <c r="A173" s="71">
        <v>173</v>
      </c>
      <c r="B173" s="67" t="s">
        <v>34</v>
      </c>
      <c r="C173" s="67" t="s">
        <v>223</v>
      </c>
      <c r="D173" s="469" t="s">
        <v>85</v>
      </c>
      <c r="E173" s="388" t="s">
        <v>295</v>
      </c>
      <c r="F173" s="67" t="s">
        <v>296</v>
      </c>
      <c r="G173" s="467" t="s">
        <v>56</v>
      </c>
      <c r="H173" s="67"/>
      <c r="I173" s="67">
        <v>8.83</v>
      </c>
      <c r="J173" s="304">
        <f t="shared" si="10"/>
        <v>200</v>
      </c>
      <c r="K173" s="234">
        <v>200</v>
      </c>
      <c r="L173" s="233" t="e">
        <f>IF(K173="nio",0,IF(K173&gt;0,K173*I173/M173,0))*VLOOKUP(B173,'2-Kosten per locatie'!$A$14:$C$20,3,FALSE)</f>
        <v>#DIV/0!</v>
      </c>
      <c r="M173" s="305">
        <f>IF(K173="nio",0,IF(K173&gt;0,VLOOKUP(G173,'3-Productie normen'!A:M,VLOOKUP(K173,'3-Productie normen'!$B$25:$C$33,2,FALSE),FALSE)))</f>
        <v>0</v>
      </c>
      <c r="N173" s="306"/>
      <c r="P173" s="307">
        <f t="shared" si="11"/>
        <v>1766</v>
      </c>
    </row>
    <row r="174" spans="1:16" ht="14.1" customHeight="1">
      <c r="A174" s="71">
        <v>174</v>
      </c>
      <c r="B174" s="67" t="s">
        <v>34</v>
      </c>
      <c r="C174" s="67" t="s">
        <v>223</v>
      </c>
      <c r="D174" s="469" t="s">
        <v>85</v>
      </c>
      <c r="E174" s="388" t="s">
        <v>297</v>
      </c>
      <c r="F174" s="67" t="s">
        <v>298</v>
      </c>
      <c r="G174" s="67" t="s">
        <v>52</v>
      </c>
      <c r="H174" s="67"/>
      <c r="I174" s="67">
        <v>14.52</v>
      </c>
      <c r="J174" s="304">
        <f t="shared" si="10"/>
        <v>200</v>
      </c>
      <c r="K174" s="234">
        <v>200</v>
      </c>
      <c r="L174" s="233" t="e">
        <f>IF(K174="nio",0,IF(K174&gt;0,K174*I174/M174,0))*VLOOKUP(B174,'2-Kosten per locatie'!$A$14:$C$20,3,FALSE)</f>
        <v>#DIV/0!</v>
      </c>
      <c r="M174" s="305">
        <f>IF(K174="nio",0,IF(K174&gt;0,VLOOKUP(G174,'3-Productie normen'!A:M,VLOOKUP(K174,'3-Productie normen'!$B$25:$C$33,2,FALSE),FALSE)))</f>
        <v>0</v>
      </c>
      <c r="N174" s="306"/>
      <c r="P174" s="307">
        <f t="shared" si="11"/>
        <v>2904</v>
      </c>
    </row>
    <row r="175" spans="1:16" ht="14.1" customHeight="1">
      <c r="A175" s="71">
        <v>175</v>
      </c>
      <c r="B175" s="67" t="s">
        <v>34</v>
      </c>
      <c r="C175" s="67" t="s">
        <v>223</v>
      </c>
      <c r="D175" s="469" t="s">
        <v>85</v>
      </c>
      <c r="E175" s="388" t="s">
        <v>299</v>
      </c>
      <c r="F175" s="67" t="s">
        <v>300</v>
      </c>
      <c r="G175" s="67" t="s">
        <v>50</v>
      </c>
      <c r="H175" s="67"/>
      <c r="I175" s="67">
        <v>1.06</v>
      </c>
      <c r="J175" s="304">
        <f t="shared" si="10"/>
        <v>200</v>
      </c>
      <c r="K175" s="234">
        <v>200</v>
      </c>
      <c r="L175" s="233" t="e">
        <f>IF(K175="nio",0,IF(K175&gt;0,K175*I175/M175,0))*VLOOKUP(B175,'2-Kosten per locatie'!$A$14:$C$20,3,FALSE)</f>
        <v>#DIV/0!</v>
      </c>
      <c r="M175" s="305">
        <f>IF(K175="nio",0,IF(K175&gt;0,VLOOKUP(G175,'3-Productie normen'!A:M,VLOOKUP(K175,'3-Productie normen'!$B$25:$C$33,2,FALSE),FALSE)))</f>
        <v>0</v>
      </c>
      <c r="N175" s="306"/>
      <c r="P175" s="307">
        <f t="shared" si="11"/>
        <v>212</v>
      </c>
    </row>
    <row r="176" spans="1:16" ht="14.1" customHeight="1">
      <c r="A176" s="71">
        <v>176</v>
      </c>
      <c r="B176" s="67" t="s">
        <v>34</v>
      </c>
      <c r="C176" s="67" t="s">
        <v>223</v>
      </c>
      <c r="D176" s="469" t="s">
        <v>85</v>
      </c>
      <c r="E176" s="388" t="s">
        <v>301</v>
      </c>
      <c r="F176" s="67" t="s">
        <v>302</v>
      </c>
      <c r="G176" s="67" t="s">
        <v>50</v>
      </c>
      <c r="H176" s="67"/>
      <c r="I176" s="67">
        <v>1.06</v>
      </c>
      <c r="J176" s="304">
        <f t="shared" si="10"/>
        <v>200</v>
      </c>
      <c r="K176" s="234">
        <v>200</v>
      </c>
      <c r="L176" s="233" t="e">
        <f>IF(K176="nio",0,IF(K176&gt;0,K176*I176/M176,0))*VLOOKUP(B176,'2-Kosten per locatie'!$A$14:$C$20,3,FALSE)</f>
        <v>#DIV/0!</v>
      </c>
      <c r="M176" s="305">
        <f>IF(K176="nio",0,IF(K176&gt;0,VLOOKUP(G176,'3-Productie normen'!A:M,VLOOKUP(K176,'3-Productie normen'!$B$25:$C$33,2,FALSE),FALSE)))</f>
        <v>0</v>
      </c>
      <c r="N176" s="306"/>
      <c r="P176" s="307">
        <f t="shared" si="11"/>
        <v>212</v>
      </c>
    </row>
    <row r="177" spans="1:16" ht="14.1" customHeight="1">
      <c r="A177" s="71">
        <v>177</v>
      </c>
      <c r="B177" s="67" t="s">
        <v>34</v>
      </c>
      <c r="C177" s="67" t="s">
        <v>223</v>
      </c>
      <c r="D177" s="469" t="s">
        <v>85</v>
      </c>
      <c r="E177" s="388" t="s">
        <v>303</v>
      </c>
      <c r="F177" s="67" t="s">
        <v>241</v>
      </c>
      <c r="G177" s="67" t="s">
        <v>50</v>
      </c>
      <c r="H177" s="67"/>
      <c r="I177" s="67">
        <v>2.59</v>
      </c>
      <c r="J177" s="304">
        <f t="shared" si="10"/>
        <v>40</v>
      </c>
      <c r="K177" s="234">
        <v>40</v>
      </c>
      <c r="L177" s="233" t="e">
        <f>IF(K177="nio",0,IF(K177&gt;0,K177*I177/M177,0))*VLOOKUP(B177,'2-Kosten per locatie'!$A$14:$C$20,3,FALSE)</f>
        <v>#DIV/0!</v>
      </c>
      <c r="M177" s="305">
        <f>IF(K177="nio",0,IF(K177&gt;0,VLOOKUP(G177,'3-Productie normen'!A:M,VLOOKUP(K177,'3-Productie normen'!$B$25:$C$33,2,FALSE),FALSE)))</f>
        <v>0</v>
      </c>
      <c r="N177" s="306"/>
      <c r="P177" s="307">
        <f t="shared" si="11"/>
        <v>103.6</v>
      </c>
    </row>
    <row r="178" spans="1:16" ht="14.1" customHeight="1">
      <c r="A178" s="71">
        <v>178</v>
      </c>
      <c r="B178" s="67" t="s">
        <v>34</v>
      </c>
      <c r="C178" s="67" t="s">
        <v>223</v>
      </c>
      <c r="D178" s="469" t="s">
        <v>85</v>
      </c>
      <c r="E178" s="388" t="s">
        <v>304</v>
      </c>
      <c r="F178" s="67" t="s">
        <v>237</v>
      </c>
      <c r="G178" s="467" t="s">
        <v>56</v>
      </c>
      <c r="H178" s="67"/>
      <c r="I178" s="67">
        <v>8.32</v>
      </c>
      <c r="J178" s="304">
        <f t="shared" si="10"/>
        <v>40</v>
      </c>
      <c r="K178" s="234">
        <v>40</v>
      </c>
      <c r="L178" s="233" t="e">
        <f>IF(K178="nio",0,IF(K178&gt;0,K178*I178/M178,0))*VLOOKUP(B178,'2-Kosten per locatie'!$A$14:$C$20,3,FALSE)</f>
        <v>#DIV/0!</v>
      </c>
      <c r="M178" s="305">
        <f>IF(K178="nio",0,IF(K178&gt;0,VLOOKUP(G178,'3-Productie normen'!A:M,VLOOKUP(K178,'3-Productie normen'!$B$25:$C$33,2,FALSE),FALSE)))</f>
        <v>0</v>
      </c>
      <c r="N178" s="306"/>
      <c r="P178" s="307">
        <f t="shared" si="11"/>
        <v>332.8</v>
      </c>
    </row>
    <row r="179" spans="1:16" ht="14.1" customHeight="1">
      <c r="A179" s="71">
        <v>179</v>
      </c>
      <c r="B179" s="67" t="s">
        <v>34</v>
      </c>
      <c r="C179" s="67" t="s">
        <v>223</v>
      </c>
      <c r="D179" s="469" t="s">
        <v>85</v>
      </c>
      <c r="E179" s="388" t="s">
        <v>305</v>
      </c>
      <c r="F179" s="67" t="s">
        <v>237</v>
      </c>
      <c r="G179" s="467" t="s">
        <v>56</v>
      </c>
      <c r="H179" s="67"/>
      <c r="I179" s="67">
        <v>8.32</v>
      </c>
      <c r="J179" s="304">
        <f t="shared" si="10"/>
        <v>40</v>
      </c>
      <c r="K179" s="234">
        <v>40</v>
      </c>
      <c r="L179" s="233" t="e">
        <f>IF(K179="nio",0,IF(K179&gt;0,K179*I179/M179,0))*VLOOKUP(B179,'2-Kosten per locatie'!$A$14:$C$20,3,FALSE)</f>
        <v>#DIV/0!</v>
      </c>
      <c r="M179" s="305">
        <f>IF(K179="nio",0,IF(K179&gt;0,VLOOKUP(G179,'3-Productie normen'!A:M,VLOOKUP(K179,'3-Productie normen'!$B$25:$C$33,2,FALSE),FALSE)))</f>
        <v>0</v>
      </c>
      <c r="N179" s="306"/>
      <c r="P179" s="307">
        <f t="shared" si="11"/>
        <v>332.8</v>
      </c>
    </row>
    <row r="180" spans="1:16" ht="14.1" customHeight="1">
      <c r="A180" s="71">
        <v>180</v>
      </c>
      <c r="B180" s="67" t="s">
        <v>34</v>
      </c>
      <c r="C180" s="67" t="s">
        <v>223</v>
      </c>
      <c r="D180" s="469" t="s">
        <v>85</v>
      </c>
      <c r="E180" s="388" t="s">
        <v>306</v>
      </c>
      <c r="F180" s="67" t="s">
        <v>241</v>
      </c>
      <c r="G180" s="67" t="s">
        <v>50</v>
      </c>
      <c r="H180" s="67"/>
      <c r="I180" s="67">
        <v>2.59</v>
      </c>
      <c r="J180" s="304">
        <f t="shared" si="10"/>
        <v>40</v>
      </c>
      <c r="K180" s="234">
        <v>40</v>
      </c>
      <c r="L180" s="233" t="e">
        <f>IF(K180="nio",0,IF(K180&gt;0,K180*I180/M180,0))*VLOOKUP(B180,'2-Kosten per locatie'!$A$14:$C$20,3,FALSE)</f>
        <v>#DIV/0!</v>
      </c>
      <c r="M180" s="305">
        <f>IF(K180="nio",0,IF(K180&gt;0,VLOOKUP(G180,'3-Productie normen'!A:M,VLOOKUP(K180,'3-Productie normen'!$B$25:$C$33,2,FALSE),FALSE)))</f>
        <v>0</v>
      </c>
      <c r="N180" s="306"/>
      <c r="P180" s="307">
        <f t="shared" si="11"/>
        <v>103.6</v>
      </c>
    </row>
    <row r="181" spans="1:16" ht="14.1" customHeight="1">
      <c r="A181" s="71">
        <v>181</v>
      </c>
      <c r="B181" s="67" t="s">
        <v>34</v>
      </c>
      <c r="C181" s="67" t="s">
        <v>223</v>
      </c>
      <c r="D181" s="469" t="s">
        <v>85</v>
      </c>
      <c r="E181" s="388" t="s">
        <v>307</v>
      </c>
      <c r="F181" s="67" t="s">
        <v>308</v>
      </c>
      <c r="G181" s="67" t="s">
        <v>52</v>
      </c>
      <c r="H181" s="67"/>
      <c r="I181" s="67">
        <v>14.52</v>
      </c>
      <c r="J181" s="304">
        <f t="shared" si="10"/>
        <v>200</v>
      </c>
      <c r="K181" s="234">
        <v>200</v>
      </c>
      <c r="L181" s="233" t="e">
        <f>IF(K181="nio",0,IF(K181&gt;0,K181*I181/M181,0))*VLOOKUP(B181,'2-Kosten per locatie'!$A$14:$C$20,3,FALSE)</f>
        <v>#DIV/0!</v>
      </c>
      <c r="M181" s="305">
        <f>IF(K181="nio",0,IF(K181&gt;0,VLOOKUP(G181,'3-Productie normen'!A:M,VLOOKUP(K181,'3-Productie normen'!$B$25:$C$33,2,FALSE),FALSE)))</f>
        <v>0</v>
      </c>
      <c r="N181" s="306"/>
      <c r="P181" s="307">
        <f t="shared" si="11"/>
        <v>2904</v>
      </c>
    </row>
    <row r="182" spans="1:16" ht="14.1" customHeight="1">
      <c r="A182" s="71">
        <v>182</v>
      </c>
      <c r="B182" s="67" t="s">
        <v>34</v>
      </c>
      <c r="C182" s="67" t="s">
        <v>223</v>
      </c>
      <c r="D182" s="469" t="s">
        <v>85</v>
      </c>
      <c r="E182" s="388" t="s">
        <v>309</v>
      </c>
      <c r="F182" s="67" t="s">
        <v>310</v>
      </c>
      <c r="G182" s="467" t="s">
        <v>56</v>
      </c>
      <c r="H182" s="67"/>
      <c r="I182" s="67">
        <v>8.83</v>
      </c>
      <c r="J182" s="304">
        <f t="shared" si="10"/>
        <v>200</v>
      </c>
      <c r="K182" s="234">
        <v>200</v>
      </c>
      <c r="L182" s="233" t="e">
        <f>IF(K182="nio",0,IF(K182&gt;0,K182*I182/M182,0))*VLOOKUP(B182,'2-Kosten per locatie'!$A$14:$C$20,3,FALSE)</f>
        <v>#DIV/0!</v>
      </c>
      <c r="M182" s="305">
        <f>IF(K182="nio",0,IF(K182&gt;0,VLOOKUP(G182,'3-Productie normen'!A:M,VLOOKUP(K182,'3-Productie normen'!$B$25:$C$33,2,FALSE),FALSE)))</f>
        <v>0</v>
      </c>
      <c r="N182" s="306"/>
      <c r="P182" s="307">
        <f t="shared" si="11"/>
        <v>1766</v>
      </c>
    </row>
    <row r="183" spans="1:16" ht="14.1" customHeight="1">
      <c r="A183" s="71">
        <v>183</v>
      </c>
      <c r="B183" s="67" t="s">
        <v>34</v>
      </c>
      <c r="C183" s="67" t="s">
        <v>223</v>
      </c>
      <c r="D183" s="469" t="s">
        <v>85</v>
      </c>
      <c r="E183" s="388" t="s">
        <v>311</v>
      </c>
      <c r="F183" s="67" t="s">
        <v>312</v>
      </c>
      <c r="G183" s="467" t="s">
        <v>56</v>
      </c>
      <c r="H183" s="67"/>
      <c r="I183" s="67">
        <v>8.83</v>
      </c>
      <c r="J183" s="304">
        <f t="shared" si="10"/>
        <v>200</v>
      </c>
      <c r="K183" s="234">
        <v>200</v>
      </c>
      <c r="L183" s="233" t="e">
        <f>IF(K183="nio",0,IF(K183&gt;0,K183*I183/M183,0))*VLOOKUP(B183,'2-Kosten per locatie'!$A$14:$C$20,3,FALSE)</f>
        <v>#DIV/0!</v>
      </c>
      <c r="M183" s="305">
        <f>IF(K183="nio",0,IF(K183&gt;0,VLOOKUP(G183,'3-Productie normen'!A:M,VLOOKUP(K183,'3-Productie normen'!$B$25:$C$33,2,FALSE),FALSE)))</f>
        <v>0</v>
      </c>
      <c r="N183" s="306"/>
      <c r="P183" s="307">
        <f t="shared" si="11"/>
        <v>1766</v>
      </c>
    </row>
    <row r="184" spans="1:16" ht="14.1" customHeight="1">
      <c r="A184" s="71">
        <v>184</v>
      </c>
      <c r="B184" s="67" t="s">
        <v>34</v>
      </c>
      <c r="C184" s="67" t="s">
        <v>223</v>
      </c>
      <c r="D184" s="469" t="s">
        <v>85</v>
      </c>
      <c r="E184" s="388" t="s">
        <v>313</v>
      </c>
      <c r="F184" s="67" t="s">
        <v>314</v>
      </c>
      <c r="G184" s="67" t="s">
        <v>52</v>
      </c>
      <c r="H184" s="67"/>
      <c r="I184" s="67">
        <v>14.52</v>
      </c>
      <c r="J184" s="304">
        <f t="shared" si="10"/>
        <v>200</v>
      </c>
      <c r="K184" s="234">
        <v>200</v>
      </c>
      <c r="L184" s="233" t="e">
        <f>IF(K184="nio",0,IF(K184&gt;0,K184*I184/M184,0))*VLOOKUP(B184,'2-Kosten per locatie'!$A$14:$C$20,3,FALSE)</f>
        <v>#DIV/0!</v>
      </c>
      <c r="M184" s="305">
        <f>IF(K184="nio",0,IF(K184&gt;0,VLOOKUP(G184,'3-Productie normen'!A:M,VLOOKUP(K184,'3-Productie normen'!$B$25:$C$33,2,FALSE),FALSE)))</f>
        <v>0</v>
      </c>
      <c r="N184" s="306"/>
      <c r="P184" s="307">
        <f t="shared" si="11"/>
        <v>2904</v>
      </c>
    </row>
    <row r="185" spans="1:16" ht="14.1" customHeight="1">
      <c r="A185" s="71">
        <v>185</v>
      </c>
      <c r="B185" s="67" t="s">
        <v>34</v>
      </c>
      <c r="C185" s="67" t="s">
        <v>223</v>
      </c>
      <c r="D185" s="469" t="s">
        <v>85</v>
      </c>
      <c r="E185" s="388" t="s">
        <v>315</v>
      </c>
      <c r="F185" s="67" t="s">
        <v>316</v>
      </c>
      <c r="G185" s="67" t="s">
        <v>50</v>
      </c>
      <c r="H185" s="67"/>
      <c r="I185" s="67">
        <v>1.06</v>
      </c>
      <c r="J185" s="304">
        <f t="shared" si="10"/>
        <v>200</v>
      </c>
      <c r="K185" s="234">
        <v>200</v>
      </c>
      <c r="L185" s="233" t="e">
        <f>IF(K185="nio",0,IF(K185&gt;0,K185*I185/M185,0))*VLOOKUP(B185,'2-Kosten per locatie'!$A$14:$C$20,3,FALSE)</f>
        <v>#DIV/0!</v>
      </c>
      <c r="M185" s="305">
        <f>IF(K185="nio",0,IF(K185&gt;0,VLOOKUP(G185,'3-Productie normen'!A:M,VLOOKUP(K185,'3-Productie normen'!$B$25:$C$33,2,FALSE),FALSE)))</f>
        <v>0</v>
      </c>
      <c r="N185" s="306"/>
      <c r="P185" s="307">
        <f t="shared" ref="P185:P192" si="12">J185*I185</f>
        <v>212</v>
      </c>
    </row>
    <row r="186" spans="1:16" ht="14.1" customHeight="1">
      <c r="A186" s="71">
        <v>186</v>
      </c>
      <c r="B186" s="67" t="s">
        <v>34</v>
      </c>
      <c r="C186" s="67" t="s">
        <v>223</v>
      </c>
      <c r="D186" s="469" t="s">
        <v>85</v>
      </c>
      <c r="E186" s="388" t="s">
        <v>317</v>
      </c>
      <c r="F186" s="67" t="s">
        <v>318</v>
      </c>
      <c r="G186" s="67" t="s">
        <v>50</v>
      </c>
      <c r="H186" s="67"/>
      <c r="I186" s="67">
        <v>1.06</v>
      </c>
      <c r="J186" s="304">
        <f t="shared" si="10"/>
        <v>200</v>
      </c>
      <c r="K186" s="234">
        <v>200</v>
      </c>
      <c r="L186" s="233" t="e">
        <f>IF(K186="nio",0,IF(K186&gt;0,K186*I186/M186,0))*VLOOKUP(B186,'2-Kosten per locatie'!$A$14:$C$20,3,FALSE)</f>
        <v>#DIV/0!</v>
      </c>
      <c r="M186" s="305">
        <f>IF(K186="nio",0,IF(K186&gt;0,VLOOKUP(G186,'3-Productie normen'!A:M,VLOOKUP(K186,'3-Productie normen'!$B$25:$C$33,2,FALSE),FALSE)))</f>
        <v>0</v>
      </c>
      <c r="N186" s="306"/>
      <c r="P186" s="307">
        <f t="shared" si="12"/>
        <v>212</v>
      </c>
    </row>
    <row r="187" spans="1:16" ht="14.1" customHeight="1">
      <c r="A187" s="71">
        <v>187</v>
      </c>
      <c r="B187" s="67" t="s">
        <v>34</v>
      </c>
      <c r="C187" s="67" t="s">
        <v>223</v>
      </c>
      <c r="D187" s="469" t="s">
        <v>85</v>
      </c>
      <c r="E187" s="388" t="s">
        <v>319</v>
      </c>
      <c r="F187" s="67" t="s">
        <v>231</v>
      </c>
      <c r="G187" s="67" t="s">
        <v>52</v>
      </c>
      <c r="H187" s="67"/>
      <c r="I187" s="67">
        <v>25.62</v>
      </c>
      <c r="J187" s="304">
        <f t="shared" si="10"/>
        <v>40</v>
      </c>
      <c r="K187" s="234">
        <v>40</v>
      </c>
      <c r="L187" s="233" t="e">
        <f>IF(K187="nio",0,IF(K187&gt;0,K187*I187/M187,0))*VLOOKUP(B187,'2-Kosten per locatie'!$A$14:$C$20,3,FALSE)</f>
        <v>#DIV/0!</v>
      </c>
      <c r="M187" s="305">
        <f>IF(K187="nio",0,IF(K187&gt;0,VLOOKUP(G187,'3-Productie normen'!A:M,VLOOKUP(K187,'3-Productie normen'!$B$25:$C$33,2,FALSE),FALSE)))</f>
        <v>0</v>
      </c>
      <c r="N187" s="306"/>
      <c r="P187" s="307">
        <f t="shared" si="12"/>
        <v>1024.8</v>
      </c>
    </row>
    <row r="188" spans="1:16" ht="14.1" customHeight="1">
      <c r="A188" s="71">
        <v>188</v>
      </c>
      <c r="B188" s="67" t="s">
        <v>34</v>
      </c>
      <c r="C188" s="67" t="s">
        <v>223</v>
      </c>
      <c r="D188" s="469" t="s">
        <v>85</v>
      </c>
      <c r="E188" s="388" t="s">
        <v>320</v>
      </c>
      <c r="F188" s="67" t="s">
        <v>227</v>
      </c>
      <c r="G188" s="67" t="s">
        <v>52</v>
      </c>
      <c r="H188" s="67"/>
      <c r="I188" s="67">
        <v>7.48</v>
      </c>
      <c r="J188" s="304">
        <f t="shared" si="10"/>
        <v>40</v>
      </c>
      <c r="K188" s="234">
        <v>40</v>
      </c>
      <c r="L188" s="233" t="e">
        <f>IF(K188="nio",0,IF(K188&gt;0,K188*I188/M188,0))*VLOOKUP(B188,'2-Kosten per locatie'!$A$14:$C$20,3,FALSE)</f>
        <v>#DIV/0!</v>
      </c>
      <c r="M188" s="305">
        <f>IF(K188="nio",0,IF(K188&gt;0,VLOOKUP(G188,'3-Productie normen'!A:M,VLOOKUP(K188,'3-Productie normen'!$B$25:$C$33,2,FALSE),FALSE)))</f>
        <v>0</v>
      </c>
      <c r="N188" s="306"/>
      <c r="P188" s="307">
        <f t="shared" si="12"/>
        <v>299.20000000000005</v>
      </c>
    </row>
    <row r="189" spans="1:16" ht="14.1" customHeight="1">
      <c r="A189" s="71">
        <v>189</v>
      </c>
      <c r="B189" s="67" t="s">
        <v>34</v>
      </c>
      <c r="C189" s="67" t="s">
        <v>223</v>
      </c>
      <c r="D189" s="469" t="s">
        <v>85</v>
      </c>
      <c r="E189" s="388" t="s">
        <v>321</v>
      </c>
      <c r="F189" s="67" t="s">
        <v>227</v>
      </c>
      <c r="G189" s="67" t="s">
        <v>52</v>
      </c>
      <c r="H189" s="67"/>
      <c r="I189" s="67">
        <v>7.48</v>
      </c>
      <c r="J189" s="304">
        <f t="shared" si="10"/>
        <v>40</v>
      </c>
      <c r="K189" s="234">
        <v>40</v>
      </c>
      <c r="L189" s="233" t="e">
        <f>IF(K189="nio",0,IF(K189&gt;0,K189*I189/M189,0))*VLOOKUP(B189,'2-Kosten per locatie'!$A$14:$C$20,3,FALSE)</f>
        <v>#DIV/0!</v>
      </c>
      <c r="M189" s="305">
        <f>IF(K189="nio",0,IF(K189&gt;0,VLOOKUP(G189,'3-Productie normen'!A:M,VLOOKUP(K189,'3-Productie normen'!$B$25:$C$33,2,FALSE),FALSE)))</f>
        <v>0</v>
      </c>
      <c r="N189" s="306"/>
      <c r="P189" s="307">
        <f t="shared" si="12"/>
        <v>299.20000000000005</v>
      </c>
    </row>
    <row r="190" spans="1:16" ht="14.1" customHeight="1">
      <c r="A190" s="71">
        <v>190</v>
      </c>
      <c r="B190" s="67" t="s">
        <v>34</v>
      </c>
      <c r="C190" s="67" t="s">
        <v>223</v>
      </c>
      <c r="D190" s="469" t="s">
        <v>85</v>
      </c>
      <c r="E190" s="388" t="s">
        <v>322</v>
      </c>
      <c r="F190" s="67" t="s">
        <v>227</v>
      </c>
      <c r="G190" s="67" t="s">
        <v>52</v>
      </c>
      <c r="H190" s="67"/>
      <c r="I190" s="67">
        <v>5.36</v>
      </c>
      <c r="J190" s="304">
        <f t="shared" si="10"/>
        <v>40</v>
      </c>
      <c r="K190" s="234">
        <v>40</v>
      </c>
      <c r="L190" s="233" t="e">
        <f>IF(K190="nio",0,IF(K190&gt;0,K190*I190/M190,0))*VLOOKUP(B190,'2-Kosten per locatie'!$A$14:$C$20,3,FALSE)</f>
        <v>#DIV/0!</v>
      </c>
      <c r="M190" s="305">
        <f>IF(K190="nio",0,IF(K190&gt;0,VLOOKUP(G190,'3-Productie normen'!A:M,VLOOKUP(K190,'3-Productie normen'!$B$25:$C$33,2,FALSE),FALSE)))</f>
        <v>0</v>
      </c>
      <c r="N190" s="306"/>
      <c r="P190" s="307">
        <f t="shared" si="12"/>
        <v>214.4</v>
      </c>
    </row>
    <row r="191" spans="1:16" ht="14.1" customHeight="1">
      <c r="A191" s="71">
        <v>191</v>
      </c>
      <c r="B191" s="67" t="s">
        <v>34</v>
      </c>
      <c r="C191" s="67" t="s">
        <v>223</v>
      </c>
      <c r="D191" s="469" t="s">
        <v>85</v>
      </c>
      <c r="E191" s="388" t="s">
        <v>323</v>
      </c>
      <c r="F191" s="67" t="s">
        <v>229</v>
      </c>
      <c r="G191" s="67" t="s">
        <v>57</v>
      </c>
      <c r="H191" s="67"/>
      <c r="I191" s="67">
        <v>2.57</v>
      </c>
      <c r="J191" s="304">
        <f t="shared" si="10"/>
        <v>0</v>
      </c>
      <c r="K191" s="234" t="s">
        <v>57</v>
      </c>
      <c r="L191" s="233">
        <f>IF(K191="nio",0,IF(K191&gt;0,K191*I191/M191,0))*VLOOKUP(B191,'2-Kosten per locatie'!$A$14:$C$20,3,FALSE)</f>
        <v>0</v>
      </c>
      <c r="M191" s="305">
        <f>IF(K191="nio",0,IF(K191&gt;0,VLOOKUP(G191,'3-Productie normen'!A:M,VLOOKUP(K191,'3-Productie normen'!$B$25:$C$33,2,FALSE),FALSE)))</f>
        <v>0</v>
      </c>
      <c r="N191" s="306"/>
      <c r="P191" s="307">
        <f t="shared" si="12"/>
        <v>0</v>
      </c>
    </row>
    <row r="192" spans="1:16" ht="14.1" customHeight="1">
      <c r="A192" s="71">
        <v>192</v>
      </c>
      <c r="B192" s="67" t="s">
        <v>34</v>
      </c>
      <c r="C192" s="67" t="s">
        <v>223</v>
      </c>
      <c r="D192" s="469" t="s">
        <v>85</v>
      </c>
      <c r="E192" s="388" t="s">
        <v>324</v>
      </c>
      <c r="F192" s="67" t="s">
        <v>97</v>
      </c>
      <c r="G192" s="67" t="s">
        <v>51</v>
      </c>
      <c r="H192" s="67"/>
      <c r="I192" s="67">
        <v>37.68</v>
      </c>
      <c r="J192" s="304">
        <f t="shared" si="10"/>
        <v>0</v>
      </c>
      <c r="K192" s="234" t="s">
        <v>57</v>
      </c>
      <c r="L192" s="233">
        <f>IF(K192="nio",0,IF(K192&gt;0,K192*I192/M192,0))*VLOOKUP(B192,'2-Kosten per locatie'!$A$14:$C$20,3,FALSE)</f>
        <v>0</v>
      </c>
      <c r="M192" s="305">
        <f>IF(K192="nio",0,IF(K192&gt;0,VLOOKUP(G192,'3-Productie normen'!A:M,VLOOKUP(K192,'3-Productie normen'!$B$25:$C$33,2,FALSE),FALSE)))</f>
        <v>0</v>
      </c>
      <c r="N192" s="306"/>
      <c r="P192" s="307">
        <f t="shared" si="12"/>
        <v>0</v>
      </c>
    </row>
  </sheetData>
  <autoFilter ref="B9:P192"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2" manualBreakCount="2">
    <brk id="55" min="1" max="21" man="1"/>
    <brk id="104"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33203125" defaultRowHeight="13.2"/>
  <cols>
    <col min="1" max="1" width="45.5546875" style="57" customWidth="1"/>
    <col min="2" max="2" width="18.33203125" style="57" customWidth="1"/>
    <col min="3" max="3" width="18.44140625" style="57"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450" t="s">
        <v>4</v>
      </c>
      <c r="B1" s="87"/>
      <c r="C1" s="88"/>
      <c r="D1" s="1"/>
      <c r="E1" s="1"/>
      <c r="F1" s="1"/>
      <c r="G1" s="1"/>
    </row>
    <row r="2" spans="1:8">
      <c r="A2" s="88"/>
      <c r="B2" s="88"/>
      <c r="C2" s="88"/>
      <c r="D2" s="1"/>
      <c r="E2" s="1"/>
      <c r="F2" s="1"/>
      <c r="G2" s="1"/>
    </row>
    <row r="3" spans="1:8" ht="15.6">
      <c r="A3" s="37" t="str">
        <f>'2-Kosten per locatie'!A3</f>
        <v>Naam opdrachtgever</v>
      </c>
      <c r="B3" s="46" t="str">
        <f>'2-Kosten per locatie'!B3</f>
        <v>Gemeente Westerkwartier</v>
      </c>
      <c r="C3" s="88"/>
      <c r="D3" s="1"/>
      <c r="E3" s="30"/>
      <c r="F3" s="1"/>
      <c r="G3" s="1"/>
    </row>
    <row r="4" spans="1:8" ht="15.6">
      <c r="A4" s="37" t="str">
        <f>'2-Kosten per locatie'!A4</f>
        <v>Calculatie onderdeel</v>
      </c>
      <c r="B4" s="46" t="str">
        <f ca="1">MID(CELL("bestandsnaam",$C$9),SEARCH("]",CELL("bestandsnaam",$C$9),1)+1,256)</f>
        <v>5-Premies en opslagen</v>
      </c>
      <c r="C4" s="89"/>
      <c r="D4" s="14"/>
      <c r="E4" s="4"/>
      <c r="F4" s="4"/>
      <c r="G4" s="4"/>
    </row>
    <row r="5" spans="1:8" ht="15.6">
      <c r="A5" s="37" t="str">
        <f>'2-Kosten per locatie'!A5</f>
        <v>Gebouw/plaats</v>
      </c>
      <c r="B5" s="46" t="str">
        <f>'2-Kosten per locatie'!B5</f>
        <v>Perceel 2 sportlocaties</v>
      </c>
      <c r="C5" s="37"/>
      <c r="D5" s="8"/>
      <c r="E5" s="15"/>
      <c r="F5" s="5"/>
      <c r="G5" s="4"/>
    </row>
    <row r="6" spans="1:8" ht="15.6">
      <c r="A6" s="37" t="str">
        <f>'2-Kosten per locatie'!A6</f>
        <v>Referentie nummer</v>
      </c>
      <c r="B6" s="46">
        <f>'2-Kosten per locatie'!B6</f>
        <v>0</v>
      </c>
      <c r="C6" s="73"/>
      <c r="D6" s="8"/>
      <c r="E6" s="32"/>
      <c r="F6" s="31"/>
      <c r="G6" s="33"/>
      <c r="H6" s="34"/>
    </row>
    <row r="7" spans="1:8" ht="15.6">
      <c r="A7" s="37" t="str">
        <f>'2-Kosten per locatie'!A7</f>
        <v>Naam dienstverlener</v>
      </c>
      <c r="B7" s="46">
        <f>'2-Kosten per locatie'!B7</f>
        <v>0</v>
      </c>
      <c r="C7" s="73"/>
      <c r="D7" s="8"/>
      <c r="E7" s="15"/>
      <c r="F7" s="5"/>
      <c r="G7" s="4"/>
    </row>
    <row r="8" spans="1:8" ht="15.6">
      <c r="A8" s="37" t="str">
        <f>'2-Kosten per locatie'!A8</f>
        <v>Prijspeil</v>
      </c>
      <c r="B8" s="235">
        <f>'2-Kosten per locatie'!B8</f>
        <v>46023</v>
      </c>
      <c r="C8" s="90"/>
      <c r="D8" s="15"/>
      <c r="E8" s="15"/>
      <c r="F8" s="5"/>
      <c r="G8" s="4"/>
    </row>
    <row r="9" spans="1:8" ht="18.600000000000001">
      <c r="A9" s="187"/>
      <c r="B9" s="90"/>
      <c r="C9" s="90"/>
      <c r="D9" s="15"/>
      <c r="E9" s="15"/>
      <c r="F9" s="5"/>
      <c r="G9" s="4"/>
    </row>
    <row r="10" spans="1:8" ht="21">
      <c r="A10" s="311" t="s">
        <v>325</v>
      </c>
      <c r="B10" s="312"/>
      <c r="C10" s="313"/>
      <c r="D10" s="15"/>
      <c r="E10" s="15"/>
      <c r="F10" s="5"/>
      <c r="G10" s="4"/>
    </row>
    <row r="11" spans="1:8">
      <c r="A11" s="91"/>
      <c r="B11" s="92"/>
      <c r="C11" s="92"/>
      <c r="D11" s="15"/>
      <c r="E11" s="15"/>
      <c r="F11" s="4"/>
      <c r="G11" s="4"/>
    </row>
    <row r="12" spans="1:8">
      <c r="A12" s="314"/>
      <c r="B12" s="308"/>
      <c r="C12" s="315" t="s">
        <v>326</v>
      </c>
      <c r="D12" s="15"/>
      <c r="E12" s="15"/>
      <c r="F12" s="5"/>
      <c r="G12" s="4"/>
    </row>
    <row r="13" spans="1:8">
      <c r="A13" s="93" t="s">
        <v>327</v>
      </c>
      <c r="B13" s="308"/>
      <c r="C13" s="236"/>
      <c r="D13" s="15"/>
      <c r="E13" s="15"/>
      <c r="F13" s="16"/>
      <c r="G13" s="4"/>
    </row>
    <row r="14" spans="1:8">
      <c r="A14" s="93" t="s">
        <v>328</v>
      </c>
      <c r="B14" s="308"/>
      <c r="C14" s="236"/>
      <c r="D14" s="15"/>
      <c r="E14" s="15"/>
      <c r="F14" s="16"/>
      <c r="G14" s="4"/>
    </row>
    <row r="15" spans="1:8">
      <c r="A15" s="93" t="s">
        <v>329</v>
      </c>
      <c r="B15" s="308"/>
      <c r="C15" s="236"/>
      <c r="D15" s="15"/>
      <c r="E15" s="15"/>
      <c r="F15" s="16"/>
      <c r="G15" s="4"/>
    </row>
    <row r="16" spans="1:8">
      <c r="A16" s="316" t="s">
        <v>35</v>
      </c>
      <c r="B16" s="317"/>
      <c r="C16" s="318">
        <f>SUM(C13:C15)</f>
        <v>0</v>
      </c>
      <c r="D16" s="15"/>
      <c r="E16" s="15"/>
      <c r="F16" s="4"/>
    </row>
    <row r="17" spans="1:7">
      <c r="A17" s="316"/>
      <c r="B17" s="317"/>
      <c r="C17" s="318"/>
      <c r="D17" s="15"/>
      <c r="E17" s="15"/>
      <c r="F17" s="4"/>
    </row>
    <row r="18" spans="1:7">
      <c r="A18" s="477" t="s">
        <v>330</v>
      </c>
      <c r="B18" s="478"/>
      <c r="C18" s="236"/>
      <c r="D18" s="15"/>
      <c r="E18" s="15"/>
      <c r="F18" s="4"/>
    </row>
    <row r="19" spans="1:7">
      <c r="A19" s="93" t="s">
        <v>331</v>
      </c>
      <c r="B19" s="94"/>
      <c r="C19" s="236"/>
      <c r="D19" s="15"/>
      <c r="E19" s="15"/>
      <c r="F19" s="4"/>
    </row>
    <row r="20" spans="1:7">
      <c r="A20" s="477" t="s">
        <v>332</v>
      </c>
      <c r="B20" s="478"/>
      <c r="C20" s="236"/>
      <c r="D20" s="15"/>
      <c r="E20" s="15"/>
      <c r="F20" s="4"/>
    </row>
    <row r="21" spans="1:7">
      <c r="A21" s="477" t="s">
        <v>333</v>
      </c>
      <c r="B21" s="478"/>
      <c r="C21" s="319" t="e">
        <f>C34</f>
        <v>#DIV/0!</v>
      </c>
      <c r="D21" s="15"/>
      <c r="E21" s="15"/>
      <c r="F21" s="4"/>
    </row>
    <row r="22" spans="1:7">
      <c r="A22" s="477" t="s">
        <v>334</v>
      </c>
      <c r="B22" s="478"/>
      <c r="C22" s="236"/>
      <c r="D22" s="15"/>
      <c r="E22" s="15"/>
      <c r="F22" s="4"/>
    </row>
    <row r="23" spans="1:7">
      <c r="A23" s="477" t="s">
        <v>335</v>
      </c>
      <c r="B23" s="478"/>
      <c r="C23" s="236"/>
      <c r="D23" s="15"/>
      <c r="E23" s="15"/>
      <c r="F23" s="4"/>
    </row>
    <row r="24" spans="1:7">
      <c r="A24" s="479" t="s">
        <v>336</v>
      </c>
      <c r="B24" s="480"/>
      <c r="C24" s="320" t="e">
        <f>SUM(C16:C23)</f>
        <v>#DIV/0!</v>
      </c>
      <c r="D24" s="15"/>
      <c r="E24" s="15"/>
      <c r="F24" s="4"/>
    </row>
    <row r="25" spans="1:7">
      <c r="A25" s="95"/>
      <c r="B25" s="96"/>
      <c r="C25" s="97"/>
      <c r="D25" s="15"/>
      <c r="E25" s="15"/>
      <c r="F25" s="7"/>
      <c r="G25" s="4"/>
    </row>
    <row r="26" spans="1:7" ht="21">
      <c r="A26" s="311" t="s">
        <v>337</v>
      </c>
      <c r="B26" s="312"/>
      <c r="C26" s="313"/>
      <c r="D26" s="15"/>
      <c r="E26" s="15"/>
      <c r="F26" s="5"/>
      <c r="G26" s="4"/>
    </row>
    <row r="27" spans="1:7">
      <c r="A27" s="91"/>
      <c r="B27" s="92"/>
      <c r="C27" s="92"/>
      <c r="D27" s="15"/>
      <c r="E27" s="15"/>
      <c r="F27" s="4"/>
      <c r="G27" s="4"/>
    </row>
    <row r="28" spans="1:7">
      <c r="A28" s="92"/>
      <c r="B28" s="92"/>
      <c r="C28" s="321" t="s">
        <v>338</v>
      </c>
      <c r="D28" s="15"/>
      <c r="E28" s="15"/>
      <c r="F28" s="4"/>
      <c r="G28" s="4"/>
    </row>
    <row r="29" spans="1:7">
      <c r="A29" s="93" t="s">
        <v>339</v>
      </c>
      <c r="B29" s="308"/>
      <c r="C29" s="322">
        <f>'6-Opbouw uurtarief productie'!E21</f>
        <v>0</v>
      </c>
      <c r="D29" s="15"/>
      <c r="E29" s="15"/>
      <c r="G29" s="4"/>
    </row>
    <row r="30" spans="1:7">
      <c r="A30" s="93" t="s">
        <v>340</v>
      </c>
      <c r="B30" s="98" t="s">
        <v>341</v>
      </c>
      <c r="C30" s="323"/>
      <c r="D30" s="15"/>
      <c r="E30" s="15"/>
      <c r="F30" s="5"/>
      <c r="G30" s="4"/>
    </row>
    <row r="31" spans="1:7">
      <c r="A31" s="93" t="s">
        <v>342</v>
      </c>
      <c r="B31" s="308"/>
      <c r="C31" s="237">
        <f>C29+C30</f>
        <v>0</v>
      </c>
      <c r="D31" s="15"/>
      <c r="E31" s="15"/>
      <c r="F31" s="5"/>
      <c r="G31" s="4"/>
    </row>
    <row r="32" spans="1:7">
      <c r="A32" s="324" t="s">
        <v>343</v>
      </c>
      <c r="B32" s="99"/>
      <c r="C32" s="325"/>
      <c r="E32" s="17"/>
      <c r="F32" s="5"/>
      <c r="G32" s="4"/>
    </row>
    <row r="33" spans="1:7">
      <c r="A33" s="91"/>
      <c r="B33" s="326"/>
      <c r="C33" s="238"/>
      <c r="E33" s="3"/>
      <c r="F33" s="4"/>
      <c r="G33" s="4"/>
    </row>
    <row r="34" spans="1:7">
      <c r="A34" s="327" t="s">
        <v>344</v>
      </c>
      <c r="B34" s="328"/>
      <c r="C34" s="329" t="e">
        <f>(C31/C29)*C32</f>
        <v>#DIV/0!</v>
      </c>
      <c r="E34" s="18"/>
      <c r="F34" s="5"/>
      <c r="G34" s="19"/>
    </row>
    <row r="35" spans="1:7">
      <c r="A35" s="91"/>
      <c r="B35" s="92"/>
      <c r="C35" s="92"/>
      <c r="E35" s="18"/>
      <c r="F35" s="5"/>
      <c r="G35" s="4"/>
    </row>
    <row r="36" spans="1:7" ht="21">
      <c r="A36" s="330" t="s">
        <v>345</v>
      </c>
      <c r="B36" s="331"/>
      <c r="C36" s="332"/>
      <c r="E36" s="18"/>
      <c r="F36" s="5"/>
      <c r="G36" s="4"/>
    </row>
    <row r="37" spans="1:7">
      <c r="A37" s="95"/>
      <c r="B37" s="96"/>
      <c r="C37" s="97"/>
      <c r="E37" s="18"/>
      <c r="F37" s="5"/>
      <c r="G37" s="4"/>
    </row>
    <row r="38" spans="1:7" ht="16.2">
      <c r="A38" s="95"/>
      <c r="B38" s="333" t="s">
        <v>346</v>
      </c>
      <c r="C38" s="97"/>
      <c r="E38" s="18"/>
      <c r="F38" s="5"/>
      <c r="G38" s="4"/>
    </row>
    <row r="39" spans="1:7">
      <c r="A39" s="334" t="s">
        <v>347</v>
      </c>
      <c r="B39" s="335">
        <v>365</v>
      </c>
      <c r="C39" s="97"/>
      <c r="E39" s="18"/>
      <c r="F39" s="5"/>
      <c r="G39" s="9"/>
    </row>
    <row r="40" spans="1:7">
      <c r="A40" s="334" t="s">
        <v>348</v>
      </c>
      <c r="B40" s="335">
        <v>104</v>
      </c>
      <c r="C40" s="97"/>
      <c r="E40" s="18"/>
      <c r="F40" s="5"/>
      <c r="G40" s="9"/>
    </row>
    <row r="41" spans="1:7">
      <c r="A41" s="336" t="s">
        <v>349</v>
      </c>
      <c r="B41" s="337">
        <f>B39-B40</f>
        <v>261</v>
      </c>
      <c r="C41" s="97"/>
      <c r="E41" s="18"/>
      <c r="F41" s="5"/>
      <c r="G41" s="6"/>
    </row>
    <row r="42" spans="1:7">
      <c r="A42" s="338"/>
      <c r="B42" s="339"/>
      <c r="C42" s="97"/>
      <c r="E42" s="18"/>
      <c r="F42" s="5"/>
      <c r="G42" s="6"/>
    </row>
    <row r="43" spans="1:7">
      <c r="A43" s="334" t="s">
        <v>350</v>
      </c>
      <c r="B43" s="340"/>
      <c r="C43" s="97"/>
      <c r="E43" s="18"/>
      <c r="F43" s="5"/>
      <c r="G43" s="6"/>
    </row>
    <row r="44" spans="1:7">
      <c r="A44" s="334" t="s">
        <v>351</v>
      </c>
      <c r="B44" s="340"/>
      <c r="C44" s="97"/>
      <c r="E44" s="18"/>
      <c r="F44" s="5"/>
      <c r="G44" s="6"/>
    </row>
    <row r="45" spans="1:7">
      <c r="A45" s="334" t="s">
        <v>352</v>
      </c>
      <c r="B45" s="340"/>
      <c r="C45" s="97"/>
      <c r="E45" s="18"/>
      <c r="F45" s="5"/>
      <c r="G45" s="6"/>
    </row>
    <row r="46" spans="1:7">
      <c r="A46" s="334" t="s">
        <v>353</v>
      </c>
      <c r="B46" s="340"/>
      <c r="C46" s="97"/>
      <c r="E46" s="18"/>
      <c r="F46" s="5"/>
      <c r="G46" s="6"/>
    </row>
    <row r="47" spans="1:7">
      <c r="A47" s="336" t="s">
        <v>354</v>
      </c>
      <c r="B47" s="337">
        <f>B41-SUM(B43:B46)</f>
        <v>261</v>
      </c>
      <c r="C47" s="97"/>
      <c r="E47" s="18"/>
      <c r="F47" s="5"/>
      <c r="G47" s="6"/>
    </row>
    <row r="48" spans="1:7">
      <c r="A48" s="341"/>
      <c r="B48" s="339"/>
      <c r="C48" s="97"/>
      <c r="E48" s="18"/>
      <c r="F48" s="5"/>
      <c r="G48" s="6"/>
    </row>
    <row r="49" spans="1:7">
      <c r="A49" s="342" t="s">
        <v>355</v>
      </c>
      <c r="B49" s="343">
        <f>IF(B43=0,0,B43/$B$47)</f>
        <v>0</v>
      </c>
      <c r="C49" s="97"/>
      <c r="E49" s="18"/>
      <c r="F49" s="5"/>
      <c r="G49" s="6"/>
    </row>
    <row r="50" spans="1:7">
      <c r="A50" s="342" t="s">
        <v>351</v>
      </c>
      <c r="B50" s="343">
        <f>IF(B44=0,0,B44/$B$47)</f>
        <v>0</v>
      </c>
      <c r="C50" s="97"/>
      <c r="E50" s="18"/>
      <c r="F50" s="5"/>
      <c r="G50" s="6"/>
    </row>
    <row r="51" spans="1:7">
      <c r="A51" s="334" t="s">
        <v>352</v>
      </c>
      <c r="B51" s="343">
        <f>IF(B45=0,0,B45/$B$47)</f>
        <v>0</v>
      </c>
      <c r="C51" s="97"/>
      <c r="E51" s="18"/>
      <c r="F51" s="5"/>
      <c r="G51" s="6"/>
    </row>
    <row r="52" spans="1:7">
      <c r="A52" s="342" t="s">
        <v>353</v>
      </c>
      <c r="B52" s="343">
        <f>IF(B46=0,0,B46/$B$47)</f>
        <v>0</v>
      </c>
      <c r="C52" s="97"/>
      <c r="E52" s="18"/>
      <c r="F52" s="5"/>
      <c r="G52" s="10"/>
    </row>
    <row r="53" spans="1:7">
      <c r="A53" s="336" t="s">
        <v>356</v>
      </c>
      <c r="B53" s="344">
        <f>SUM(B49:B52)</f>
        <v>0</v>
      </c>
      <c r="C53" s="97"/>
      <c r="E53" s="18"/>
      <c r="F53" s="5"/>
      <c r="G53" s="11"/>
    </row>
    <row r="54" spans="1:7">
      <c r="A54" s="100"/>
      <c r="B54" s="100"/>
      <c r="C54" s="100"/>
      <c r="E54" s="18"/>
      <c r="F54" s="5"/>
      <c r="G54" s="1"/>
    </row>
    <row r="55" spans="1:7" ht="31.2" customHeight="1">
      <c r="A55" s="474" t="s">
        <v>357</v>
      </c>
      <c r="B55" s="475"/>
      <c r="C55" s="476"/>
      <c r="E55" s="18"/>
      <c r="F55" s="5"/>
      <c r="G55" s="1"/>
    </row>
    <row r="58" spans="1:7" ht="13.8">
      <c r="A58" s="101"/>
      <c r="B58" s="102"/>
    </row>
    <row r="59" spans="1:7" ht="13.8">
      <c r="A59" s="101"/>
      <c r="B59" s="102"/>
    </row>
    <row r="60" spans="1:7" ht="13.8">
      <c r="A60" s="101"/>
      <c r="B60" s="102"/>
    </row>
    <row r="61" spans="1:7" ht="13.8">
      <c r="A61" s="101"/>
      <c r="B61" s="102"/>
    </row>
    <row r="62" spans="1:7" ht="13.8">
      <c r="A62" s="103"/>
      <c r="B62" s="102"/>
    </row>
    <row r="63" spans="1:7" ht="13.8">
      <c r="A63" s="102"/>
      <c r="B63" s="102"/>
    </row>
    <row r="64" spans="1:7" ht="13.8">
      <c r="A64" s="102"/>
      <c r="B64" s="102"/>
    </row>
    <row r="65" spans="1:3" ht="13.8">
      <c r="A65" s="102"/>
      <c r="B65" s="102"/>
    </row>
    <row r="66" spans="1:3" ht="13.8">
      <c r="A66" s="102"/>
      <c r="B66" s="102"/>
    </row>
    <row r="67" spans="1:3" ht="13.8">
      <c r="A67" s="102"/>
      <c r="B67" s="102"/>
    </row>
    <row r="68" spans="1:3" ht="13.8">
      <c r="A68" s="102"/>
      <c r="B68" s="102"/>
    </row>
    <row r="69" spans="1:3" ht="13.8">
      <c r="A69" s="102"/>
      <c r="B69" s="102"/>
    </row>
    <row r="70" spans="1:3" ht="13.8">
      <c r="A70" s="102"/>
      <c r="B70" s="104"/>
    </row>
    <row r="71" spans="1:3" ht="13.8">
      <c r="A71" s="102"/>
      <c r="B71" s="102"/>
    </row>
    <row r="72" spans="1:3" ht="13.8">
      <c r="B72" s="102"/>
    </row>
    <row r="73" spans="1:3" ht="13.8">
      <c r="A73" s="102"/>
      <c r="B73" s="102"/>
      <c r="C73" s="102"/>
    </row>
    <row r="74" spans="1:3" ht="13.8">
      <c r="A74" s="105"/>
      <c r="B74" s="102"/>
      <c r="C74" s="105"/>
    </row>
    <row r="75" spans="1:3" ht="13.8">
      <c r="A75" s="102"/>
      <c r="B75" s="102"/>
      <c r="C75" s="102"/>
    </row>
    <row r="76" spans="1:3" ht="13.8">
      <c r="A76" s="102"/>
      <c r="B76" s="102"/>
      <c r="C76" s="102"/>
    </row>
    <row r="77" spans="1:3" ht="13.8">
      <c r="A77" s="102"/>
      <c r="B77" s="102"/>
      <c r="C77" s="102"/>
    </row>
    <row r="78" spans="1:3" ht="13.8">
      <c r="A78" s="105"/>
      <c r="B78" s="102"/>
      <c r="C78" s="105"/>
    </row>
    <row r="79" spans="1:3" ht="13.8">
      <c r="A79" s="105"/>
      <c r="B79" s="102"/>
      <c r="C79" s="105"/>
    </row>
    <row r="80" spans="1:3" ht="13.8">
      <c r="A80" s="105"/>
      <c r="B80" s="102"/>
      <c r="C80" s="105"/>
    </row>
    <row r="81" spans="1:2" ht="13.8">
      <c r="A81" s="102"/>
      <c r="B81" s="102"/>
    </row>
    <row r="82" spans="1:2" ht="13.8">
      <c r="A82" s="102"/>
      <c r="B82" s="102"/>
    </row>
    <row r="83" spans="1:2" ht="13.8">
      <c r="A83" s="102"/>
      <c r="B83" s="102"/>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D72"/>
  <sheetViews>
    <sheetView showGridLines="0" showZeros="0" showOutlineSymbols="0" zoomScale="90" zoomScaleNormal="90" zoomScalePageLayoutView="50" workbookViewId="0">
      <pane ySplit="10" topLeftCell="A11" activePane="bottomLeft" state="frozen"/>
      <selection activeCell="B1" sqref="B1"/>
      <selection pane="bottomLeft"/>
    </sheetView>
  </sheetViews>
  <sheetFormatPr defaultColWidth="11.44140625" defaultRowHeight="13.2"/>
  <cols>
    <col min="1" max="1" width="35.88671875" style="57" customWidth="1"/>
    <col min="2" max="2" width="21.6640625" style="57" customWidth="1"/>
    <col min="3" max="3" width="19.33203125" style="57" bestFit="1" customWidth="1"/>
    <col min="4" max="4" width="2" style="57" customWidth="1"/>
    <col min="5" max="5" width="14.44140625" style="57" customWidth="1"/>
    <col min="6" max="6" width="12.33203125" style="57" customWidth="1"/>
    <col min="7" max="7" width="6" style="57" customWidth="1"/>
    <col min="8" max="8" width="27.5546875" style="57" customWidth="1"/>
    <col min="9" max="15" width="11.44140625" style="57"/>
    <col min="16" max="16" width="14" style="57" customWidth="1"/>
    <col min="17" max="17" width="11.44140625" style="57"/>
    <col min="18" max="18" width="13.44140625" style="57" customWidth="1"/>
    <col min="19" max="21" width="11.44140625" style="57"/>
    <col min="22" max="16384" width="11.44140625" style="2"/>
  </cols>
  <sheetData>
    <row r="1" spans="1:30" ht="12.75" customHeight="1">
      <c r="A1" s="450" t="s">
        <v>4</v>
      </c>
      <c r="B1" s="87"/>
      <c r="C1" s="88"/>
      <c r="D1" s="88"/>
      <c r="E1" s="88"/>
      <c r="F1" s="88"/>
      <c r="H1" s="485"/>
      <c r="I1" s="485"/>
      <c r="J1" s="485"/>
      <c r="K1" s="485"/>
      <c r="L1" s="485"/>
      <c r="M1" s="485"/>
      <c r="N1" s="485"/>
      <c r="P1" s="445"/>
    </row>
    <row r="2" spans="1:30">
      <c r="A2" s="88"/>
      <c r="B2" s="106"/>
      <c r="C2" s="107"/>
      <c r="D2" s="106"/>
      <c r="E2" s="108"/>
      <c r="F2" s="109"/>
      <c r="H2" s="485"/>
      <c r="I2" s="485"/>
      <c r="J2" s="485"/>
      <c r="K2" s="485"/>
      <c r="L2" s="485"/>
      <c r="M2" s="485"/>
      <c r="N2" s="485"/>
      <c r="P2" s="445"/>
    </row>
    <row r="3" spans="1:30" ht="14.25" customHeight="1">
      <c r="A3" s="37" t="str">
        <f>'2-Kosten per locatie'!A3</f>
        <v>Naam opdrachtgever</v>
      </c>
      <c r="B3" s="110" t="str">
        <f>'2-Kosten per locatie'!B3</f>
        <v>Gemeente Westerkwartier</v>
      </c>
      <c r="C3" s="111"/>
      <c r="D3" s="106"/>
      <c r="E3" s="112"/>
      <c r="F3" s="113"/>
      <c r="H3" s="485"/>
      <c r="I3" s="485"/>
      <c r="J3" s="485"/>
      <c r="K3" s="485"/>
      <c r="L3" s="485"/>
      <c r="M3" s="485"/>
      <c r="N3" s="485"/>
      <c r="P3" s="445"/>
    </row>
    <row r="4" spans="1:30" ht="15.75" customHeight="1">
      <c r="A4" s="37" t="str">
        <f>'2-Kosten per locatie'!A4</f>
        <v>Calculatie onderdeel</v>
      </c>
      <c r="B4" s="114" t="str">
        <f ca="1">MID(CELL("bestandsnaam",$C$9),SEARCH("]",CELL("bestandsnaam",$C$9),1)+1,256)</f>
        <v>6-Opbouw uurtarief productie</v>
      </c>
      <c r="C4" s="115"/>
      <c r="D4" s="116"/>
      <c r="H4" s="485"/>
      <c r="I4" s="485"/>
      <c r="J4" s="485"/>
      <c r="K4" s="485"/>
      <c r="L4" s="485"/>
      <c r="M4" s="485"/>
      <c r="N4" s="485"/>
      <c r="P4" s="445"/>
    </row>
    <row r="5" spans="1:30" ht="15.6">
      <c r="A5" s="37" t="str">
        <f>'2-Kosten per locatie'!A5</f>
        <v>Gebouw/plaats</v>
      </c>
      <c r="B5" s="110" t="str">
        <f>'2-Kosten per locatie'!B5</f>
        <v>Perceel 2 sportlocaties</v>
      </c>
      <c r="C5" s="115"/>
      <c r="D5" s="116"/>
      <c r="H5" s="485"/>
      <c r="I5" s="485"/>
      <c r="J5" s="485"/>
      <c r="K5" s="485"/>
      <c r="L5" s="485"/>
      <c r="M5" s="485"/>
      <c r="N5" s="485"/>
      <c r="P5" s="445"/>
    </row>
    <row r="6" spans="1:30" ht="15.6">
      <c r="A6" s="37" t="str">
        <f>'2-Kosten per locatie'!A6</f>
        <v>Referentie nummer</v>
      </c>
      <c r="B6" s="110">
        <f>'2-Kosten per locatie'!B6</f>
        <v>0</v>
      </c>
      <c r="C6" s="115"/>
      <c r="D6" s="116"/>
      <c r="H6" s="117"/>
      <c r="I6" s="117"/>
      <c r="J6" s="117"/>
      <c r="K6" s="117"/>
      <c r="L6" s="117"/>
      <c r="M6" s="117"/>
      <c r="N6" s="117"/>
      <c r="P6" s="445"/>
    </row>
    <row r="7" spans="1:30" ht="15.6">
      <c r="A7" s="37" t="str">
        <f>'2-Kosten per locatie'!A7</f>
        <v>Naam dienstverlener</v>
      </c>
      <c r="B7" s="110">
        <f>'2-Kosten per locatie'!B7</f>
        <v>0</v>
      </c>
      <c r="C7" s="115"/>
      <c r="D7" s="116"/>
      <c r="H7" s="117"/>
      <c r="I7" s="117"/>
      <c r="J7" s="117"/>
      <c r="K7" s="117"/>
      <c r="L7" s="117"/>
      <c r="M7" s="117"/>
      <c r="N7" s="117"/>
      <c r="P7" s="445"/>
    </row>
    <row r="8" spans="1:30" ht="15.6">
      <c r="A8" s="37" t="str">
        <f>'2-Kosten per locatie'!A8</f>
        <v>Prijspeil</v>
      </c>
      <c r="B8" s="257">
        <f>'2-Kosten per locatie'!B8</f>
        <v>46023</v>
      </c>
      <c r="C8" s="115"/>
      <c r="D8" s="116"/>
      <c r="J8" s="117"/>
      <c r="K8" s="117"/>
      <c r="L8" s="117"/>
      <c r="M8" s="117"/>
      <c r="N8" s="117"/>
      <c r="O8" s="118"/>
      <c r="P8" s="445"/>
    </row>
    <row r="9" spans="1:30" ht="15.6">
      <c r="A9" s="119"/>
      <c r="B9" s="120"/>
      <c r="C9" s="121"/>
      <c r="D9" s="116"/>
      <c r="E9" s="122"/>
      <c r="F9" s="123"/>
      <c r="P9" s="445"/>
    </row>
    <row r="10" spans="1:30" s="20" customFormat="1" ht="30.75" customHeight="1">
      <c r="A10" s="190" t="s">
        <v>358</v>
      </c>
      <c r="B10" s="345"/>
      <c r="C10" s="346"/>
      <c r="D10" s="188"/>
      <c r="E10" s="483" t="s">
        <v>359</v>
      </c>
      <c r="F10" s="484"/>
      <c r="G10" s="189"/>
      <c r="H10" s="190" t="s">
        <v>360</v>
      </c>
      <c r="I10" s="481" t="s">
        <v>361</v>
      </c>
      <c r="J10" s="482"/>
      <c r="K10" s="482"/>
      <c r="L10" s="482"/>
      <c r="M10" s="482"/>
      <c r="N10" s="482"/>
      <c r="O10" s="118"/>
      <c r="P10" s="445"/>
      <c r="Q10" s="57"/>
      <c r="R10" s="57"/>
      <c r="S10" s="57"/>
      <c r="T10" s="57"/>
      <c r="U10" s="57"/>
      <c r="V10" s="2"/>
    </row>
    <row r="11" spans="1:30" ht="30" customHeight="1">
      <c r="A11" s="131"/>
      <c r="B11" s="347" t="s">
        <v>362</v>
      </c>
      <c r="C11" s="348" t="s">
        <v>362</v>
      </c>
      <c r="D11" s="116"/>
      <c r="E11" s="239"/>
      <c r="F11" s="349"/>
      <c r="H11" s="131"/>
      <c r="I11" s="260">
        <v>1</v>
      </c>
      <c r="J11" s="260">
        <v>2</v>
      </c>
      <c r="K11" s="260">
        <v>3</v>
      </c>
      <c r="L11" s="260">
        <v>4</v>
      </c>
      <c r="M11" s="260">
        <v>5</v>
      </c>
      <c r="N11" s="260">
        <v>6</v>
      </c>
      <c r="P11" s="446"/>
    </row>
    <row r="12" spans="1:30">
      <c r="A12" s="131" t="s">
        <v>363</v>
      </c>
      <c r="B12" s="350" t="s">
        <v>364</v>
      </c>
      <c r="C12" s="351"/>
      <c r="D12" s="116"/>
      <c r="E12" s="240">
        <f>SUM(I40:N40)</f>
        <v>0</v>
      </c>
      <c r="F12" s="241"/>
      <c r="H12" s="131" t="s">
        <v>365</v>
      </c>
      <c r="I12" s="261"/>
      <c r="J12" s="261"/>
      <c r="K12" s="261"/>
      <c r="L12" s="261"/>
      <c r="M12" s="261"/>
      <c r="N12" s="261"/>
      <c r="P12" s="447"/>
      <c r="W12" s="444"/>
      <c r="X12" s="444"/>
      <c r="Y12" s="444"/>
      <c r="Z12" s="444"/>
      <c r="AA12" s="444"/>
      <c r="AB12" s="444"/>
      <c r="AC12" s="444"/>
      <c r="AD12" s="444"/>
    </row>
    <row r="13" spans="1:30">
      <c r="A13" s="131" t="s">
        <v>366</v>
      </c>
      <c r="B13" s="350" t="s">
        <v>364</v>
      </c>
      <c r="C13" s="352"/>
      <c r="D13" s="116"/>
      <c r="E13" s="242"/>
      <c r="F13" s="241"/>
      <c r="H13" s="131" t="s">
        <v>367</v>
      </c>
      <c r="I13" s="261"/>
      <c r="J13" s="261"/>
      <c r="K13" s="261"/>
      <c r="L13" s="261"/>
      <c r="M13" s="261"/>
      <c r="N13" s="261"/>
      <c r="P13" s="448"/>
      <c r="W13" s="444"/>
      <c r="X13" s="444"/>
      <c r="Y13" s="444"/>
      <c r="Z13" s="444"/>
      <c r="AA13" s="444"/>
      <c r="AB13" s="444"/>
      <c r="AC13" s="444"/>
      <c r="AD13" s="444"/>
    </row>
    <row r="14" spans="1:30">
      <c r="A14" s="126" t="s">
        <v>368</v>
      </c>
      <c r="B14" s="350" t="s">
        <v>364</v>
      </c>
      <c r="C14" s="127"/>
      <c r="D14" s="116"/>
      <c r="E14" s="242"/>
      <c r="F14" s="241"/>
      <c r="H14" s="131" t="s">
        <v>369</v>
      </c>
      <c r="I14" s="261"/>
      <c r="J14" s="261"/>
      <c r="K14" s="261"/>
      <c r="L14" s="261"/>
      <c r="M14" s="261"/>
      <c r="N14" s="261"/>
      <c r="W14" s="444"/>
      <c r="X14" s="444"/>
      <c r="Y14" s="444"/>
      <c r="Z14" s="444"/>
      <c r="AA14" s="444"/>
      <c r="AB14" s="444"/>
      <c r="AC14" s="444"/>
      <c r="AD14" s="444"/>
    </row>
    <row r="15" spans="1:30">
      <c r="A15" s="353" t="s">
        <v>370</v>
      </c>
      <c r="B15" s="354"/>
      <c r="C15" s="355"/>
      <c r="D15" s="128"/>
      <c r="E15" s="243">
        <f>SUM(E12:E14)</f>
        <v>0</v>
      </c>
      <c r="F15" s="241"/>
      <c r="H15" s="131" t="s">
        <v>371</v>
      </c>
      <c r="I15" s="261"/>
      <c r="J15" s="261"/>
      <c r="K15" s="261"/>
      <c r="L15" s="261"/>
      <c r="M15" s="261"/>
      <c r="N15" s="261"/>
      <c r="W15" s="444"/>
      <c r="X15" s="444"/>
      <c r="Y15" s="444"/>
      <c r="Z15" s="444"/>
      <c r="AA15" s="444"/>
      <c r="AB15" s="444"/>
      <c r="AC15" s="444"/>
      <c r="AD15" s="444"/>
    </row>
    <row r="16" spans="1:30">
      <c r="A16" s="126"/>
      <c r="B16" s="356"/>
      <c r="C16" s="357"/>
      <c r="D16" s="116"/>
      <c r="E16" s="244"/>
      <c r="F16" s="241"/>
      <c r="H16" s="131" t="s">
        <v>372</v>
      </c>
      <c r="I16" s="261"/>
      <c r="J16" s="261"/>
      <c r="K16" s="261"/>
      <c r="L16" s="261"/>
      <c r="M16" s="261"/>
      <c r="N16" s="261"/>
      <c r="W16" s="444"/>
      <c r="X16" s="444"/>
      <c r="Y16" s="444"/>
      <c r="Z16" s="444"/>
      <c r="AA16" s="444"/>
      <c r="AB16" s="444"/>
      <c r="AC16" s="444"/>
      <c r="AD16" s="444"/>
    </row>
    <row r="17" spans="1:30">
      <c r="A17" s="358" t="s">
        <v>373</v>
      </c>
      <c r="B17" s="350" t="s">
        <v>364</v>
      </c>
      <c r="C17" s="359"/>
      <c r="D17" s="116"/>
      <c r="E17" s="245">
        <f>$C17*E15</f>
        <v>0</v>
      </c>
      <c r="F17" s="241"/>
      <c r="H17" s="131" t="s">
        <v>374</v>
      </c>
      <c r="I17" s="261"/>
      <c r="J17" s="261"/>
      <c r="K17" s="261"/>
      <c r="L17" s="261"/>
      <c r="M17" s="261"/>
      <c r="N17" s="261"/>
      <c r="W17" s="444"/>
      <c r="X17" s="444"/>
      <c r="Y17" s="444"/>
      <c r="Z17" s="444"/>
      <c r="AA17" s="444"/>
      <c r="AB17" s="444"/>
      <c r="AC17" s="444"/>
      <c r="AD17" s="444"/>
    </row>
    <row r="18" spans="1:30">
      <c r="A18" s="358" t="s">
        <v>375</v>
      </c>
      <c r="B18" s="350" t="s">
        <v>364</v>
      </c>
      <c r="C18" s="359"/>
      <c r="D18" s="116"/>
      <c r="E18" s="246">
        <f>$C18*E15</f>
        <v>0</v>
      </c>
      <c r="F18" s="241"/>
      <c r="H18" s="131" t="s">
        <v>376</v>
      </c>
      <c r="I18" s="261"/>
      <c r="J18" s="261"/>
      <c r="K18" s="261"/>
      <c r="L18" s="261"/>
      <c r="M18" s="261"/>
      <c r="N18" s="261"/>
      <c r="W18" s="444"/>
      <c r="X18" s="444"/>
      <c r="Y18" s="444"/>
      <c r="Z18" s="444"/>
      <c r="AA18" s="444"/>
      <c r="AB18" s="444"/>
      <c r="AC18" s="444"/>
      <c r="AD18" s="444"/>
    </row>
    <row r="19" spans="1:30">
      <c r="A19" s="353" t="s">
        <v>377</v>
      </c>
      <c r="B19" s="360"/>
      <c r="C19" s="127"/>
      <c r="D19" s="116"/>
      <c r="E19" s="243">
        <f>SUM(E15:E18)</f>
        <v>0</v>
      </c>
      <c r="F19" s="361">
        <f>IF(E19=0,0,E19/E$47)</f>
        <v>0</v>
      </c>
      <c r="W19" s="444"/>
      <c r="X19" s="444"/>
      <c r="Y19" s="444"/>
      <c r="Z19" s="444"/>
      <c r="AA19" s="444"/>
      <c r="AB19" s="444"/>
      <c r="AC19" s="444"/>
      <c r="AD19" s="444"/>
    </row>
    <row r="20" spans="1:30" ht="15">
      <c r="A20" s="126"/>
      <c r="B20" s="356"/>
      <c r="C20" s="357"/>
      <c r="D20" s="116"/>
      <c r="E20" s="244"/>
      <c r="F20" s="241"/>
      <c r="H20" s="190" t="s">
        <v>360</v>
      </c>
      <c r="I20" s="486" t="s">
        <v>378</v>
      </c>
      <c r="J20" s="487"/>
      <c r="K20" s="487"/>
      <c r="L20" s="487"/>
      <c r="M20" s="487"/>
      <c r="N20" s="488"/>
      <c r="W20" s="444"/>
      <c r="X20" s="444"/>
      <c r="Y20" s="444"/>
      <c r="Z20" s="444"/>
      <c r="AA20" s="444"/>
      <c r="AB20" s="444"/>
      <c r="AC20" s="444"/>
      <c r="AD20" s="444"/>
    </row>
    <row r="21" spans="1:30">
      <c r="A21" s="362" t="s">
        <v>379</v>
      </c>
      <c r="B21" s="363"/>
      <c r="C21" s="357"/>
      <c r="D21" s="129"/>
      <c r="E21" s="247">
        <f>E19*0.96</f>
        <v>0</v>
      </c>
      <c r="F21" s="248"/>
      <c r="G21" s="130"/>
      <c r="H21" s="131"/>
      <c r="I21" s="260">
        <v>1</v>
      </c>
      <c r="J21" s="260">
        <v>2</v>
      </c>
      <c r="K21" s="260">
        <v>3</v>
      </c>
      <c r="L21" s="260">
        <v>4</v>
      </c>
      <c r="M21" s="260">
        <v>5</v>
      </c>
      <c r="N21" s="260">
        <v>6</v>
      </c>
      <c r="O21" s="256"/>
      <c r="W21" s="444"/>
      <c r="X21" s="444"/>
      <c r="Y21" s="444"/>
      <c r="Z21" s="444"/>
      <c r="AA21" s="444"/>
      <c r="AB21" s="444"/>
      <c r="AC21" s="444"/>
      <c r="AD21" s="444"/>
    </row>
    <row r="22" spans="1:30" s="13" customFormat="1">
      <c r="A22" s="358" t="s">
        <v>380</v>
      </c>
      <c r="B22" s="363"/>
      <c r="C22" s="364" t="s">
        <v>381</v>
      </c>
      <c r="D22" s="116"/>
      <c r="E22" s="245" t="e">
        <f>E21*'5-Premies en opslagen'!$C24</f>
        <v>#DIV/0!</v>
      </c>
      <c r="F22" s="241"/>
      <c r="G22" s="57"/>
      <c r="H22" s="131" t="s">
        <v>365</v>
      </c>
      <c r="I22" s="453"/>
      <c r="J22" s="453"/>
      <c r="K22" s="453"/>
      <c r="L22" s="453"/>
      <c r="M22" s="453"/>
      <c r="N22" s="453"/>
      <c r="O22" s="224"/>
      <c r="P22" s="57"/>
      <c r="Q22" s="57"/>
      <c r="R22" s="57"/>
      <c r="S22" s="57"/>
      <c r="T22" s="57"/>
      <c r="U22" s="57"/>
      <c r="V22" s="2"/>
      <c r="W22" s="444"/>
      <c r="X22" s="444"/>
      <c r="Y22" s="444"/>
      <c r="Z22" s="444"/>
      <c r="AA22" s="444"/>
      <c r="AB22" s="444"/>
      <c r="AC22" s="444"/>
      <c r="AD22" s="444"/>
    </row>
    <row r="23" spans="1:30" ht="14.25" customHeight="1">
      <c r="A23" s="353" t="s">
        <v>382</v>
      </c>
      <c r="B23" s="366"/>
      <c r="C23" s="127"/>
      <c r="D23" s="116"/>
      <c r="E23" s="243" t="e">
        <f>E22+E19</f>
        <v>#DIV/0!</v>
      </c>
      <c r="F23" s="361" t="e">
        <f>IF(E23=0,0,E23/E$47)</f>
        <v>#DIV/0!</v>
      </c>
      <c r="H23" s="131" t="s">
        <v>367</v>
      </c>
      <c r="I23" s="454"/>
      <c r="J23" s="454"/>
      <c r="K23" s="454"/>
      <c r="L23" s="453"/>
      <c r="M23" s="453"/>
      <c r="N23" s="453"/>
      <c r="O23" s="224"/>
      <c r="W23" s="444"/>
      <c r="X23" s="444"/>
      <c r="Y23" s="444"/>
      <c r="Z23" s="444"/>
      <c r="AA23" s="444"/>
      <c r="AB23" s="444"/>
      <c r="AC23" s="444"/>
      <c r="AD23" s="444"/>
    </row>
    <row r="24" spans="1:30" ht="12.75" customHeight="1">
      <c r="A24" s="126"/>
      <c r="B24" s="360"/>
      <c r="C24" s="127"/>
      <c r="D24" s="116"/>
      <c r="E24" s="239"/>
      <c r="F24" s="241"/>
      <c r="H24" s="131" t="s">
        <v>369</v>
      </c>
      <c r="I24" s="454"/>
      <c r="J24" s="454"/>
      <c r="K24" s="454"/>
      <c r="L24" s="453"/>
      <c r="M24" s="453"/>
      <c r="N24" s="453"/>
      <c r="O24" s="224"/>
      <c r="W24" s="444"/>
      <c r="X24" s="444"/>
      <c r="Y24" s="444"/>
      <c r="Z24" s="444"/>
      <c r="AA24" s="444"/>
      <c r="AB24" s="444"/>
      <c r="AC24" s="444"/>
      <c r="AD24" s="444"/>
    </row>
    <row r="25" spans="1:30" ht="12.75" customHeight="1">
      <c r="A25" s="358" t="s">
        <v>383</v>
      </c>
      <c r="B25" s="363"/>
      <c r="C25" s="364" t="s">
        <v>381</v>
      </c>
      <c r="D25" s="116"/>
      <c r="E25" s="245" t="e">
        <f>E23*'5-Premies en opslagen'!$B53</f>
        <v>#DIV/0!</v>
      </c>
      <c r="F25" s="241"/>
      <c r="H25" s="131" t="s">
        <v>371</v>
      </c>
      <c r="I25" s="454"/>
      <c r="J25" s="454"/>
      <c r="K25" s="454"/>
      <c r="L25" s="453"/>
      <c r="M25" s="453"/>
      <c r="N25" s="453"/>
      <c r="O25" s="224"/>
    </row>
    <row r="26" spans="1:30">
      <c r="A26" s="353" t="s">
        <v>384</v>
      </c>
      <c r="B26" s="360"/>
      <c r="C26" s="127"/>
      <c r="D26" s="116"/>
      <c r="E26" s="243" t="e">
        <f>SUM(E23:E25)</f>
        <v>#DIV/0!</v>
      </c>
      <c r="F26" s="361" t="e">
        <f>IF(E26=0,0,E26/E$47)</f>
        <v>#DIV/0!</v>
      </c>
      <c r="H26" s="131" t="s">
        <v>372</v>
      </c>
      <c r="I26" s="454"/>
      <c r="J26" s="454"/>
      <c r="K26" s="454"/>
      <c r="L26" s="453"/>
      <c r="M26" s="453"/>
      <c r="N26" s="453"/>
      <c r="O26" s="224"/>
    </row>
    <row r="27" spans="1:30">
      <c r="A27" s="126"/>
      <c r="B27" s="360"/>
      <c r="C27" s="127"/>
      <c r="D27" s="116"/>
      <c r="E27" s="239"/>
      <c r="F27" s="241"/>
      <c r="H27" s="131" t="s">
        <v>374</v>
      </c>
      <c r="I27" s="454"/>
      <c r="J27" s="454"/>
      <c r="K27" s="454"/>
      <c r="L27" s="453"/>
      <c r="M27" s="453"/>
      <c r="N27" s="453"/>
      <c r="O27" s="224"/>
    </row>
    <row r="28" spans="1:30">
      <c r="A28" s="126" t="s">
        <v>385</v>
      </c>
      <c r="B28" s="367"/>
      <c r="C28" s="352" t="s">
        <v>386</v>
      </c>
      <c r="D28" s="116"/>
      <c r="E28" s="242"/>
      <c r="F28" s="241">
        <v>0</v>
      </c>
      <c r="H28" s="131" t="s">
        <v>376</v>
      </c>
      <c r="I28" s="454"/>
      <c r="J28" s="454"/>
      <c r="K28" s="454"/>
      <c r="L28" s="453"/>
      <c r="M28" s="453"/>
      <c r="N28" s="453"/>
      <c r="O28" s="224"/>
    </row>
    <row r="29" spans="1:30">
      <c r="A29" s="126" t="s">
        <v>387</v>
      </c>
      <c r="B29" s="368"/>
      <c r="C29" s="352" t="s">
        <v>386</v>
      </c>
      <c r="D29" s="116"/>
      <c r="E29" s="242"/>
      <c r="F29" s="241">
        <v>0</v>
      </c>
      <c r="H29" s="132" t="s">
        <v>388</v>
      </c>
      <c r="I29" s="369">
        <f t="shared" ref="I29:N29" si="0">SUM(I22:I28)</f>
        <v>0</v>
      </c>
      <c r="J29" s="369">
        <f t="shared" si="0"/>
        <v>0</v>
      </c>
      <c r="K29" s="369">
        <f t="shared" si="0"/>
        <v>0</v>
      </c>
      <c r="L29" s="369">
        <f t="shared" si="0"/>
        <v>0</v>
      </c>
      <c r="M29" s="369">
        <f t="shared" si="0"/>
        <v>0</v>
      </c>
      <c r="N29" s="369">
        <f t="shared" si="0"/>
        <v>0</v>
      </c>
      <c r="O29" s="370">
        <f>SUM(I29:N29)</f>
        <v>0</v>
      </c>
    </row>
    <row r="30" spans="1:30">
      <c r="A30" s="126" t="s">
        <v>389</v>
      </c>
      <c r="B30" s="360"/>
      <c r="C30" s="127" t="s">
        <v>362</v>
      </c>
      <c r="D30" s="116"/>
      <c r="E30" s="242"/>
      <c r="F30" s="241"/>
      <c r="H30" s="130"/>
      <c r="I30" s="130"/>
      <c r="J30" s="130"/>
      <c r="K30" s="130"/>
      <c r="L30" s="130"/>
      <c r="M30" s="130"/>
      <c r="N30" s="130"/>
    </row>
    <row r="31" spans="1:30" ht="12.75" customHeight="1">
      <c r="A31" s="371"/>
      <c r="B31" s="372"/>
      <c r="C31" s="373" t="s">
        <v>362</v>
      </c>
      <c r="D31" s="116"/>
      <c r="E31" s="242"/>
      <c r="F31" s="241"/>
      <c r="H31" s="190" t="s">
        <v>360</v>
      </c>
      <c r="I31" s="481" t="s">
        <v>390</v>
      </c>
      <c r="J31" s="482"/>
      <c r="K31" s="482"/>
      <c r="L31" s="482"/>
      <c r="M31" s="482"/>
      <c r="N31" s="482"/>
    </row>
    <row r="32" spans="1:30" ht="12.75" customHeight="1">
      <c r="A32" s="353" t="s">
        <v>391</v>
      </c>
      <c r="B32" s="360"/>
      <c r="C32" s="127"/>
      <c r="D32" s="116"/>
      <c r="E32" s="243" t="e">
        <f>SUM(E26:E31)</f>
        <v>#DIV/0!</v>
      </c>
      <c r="F32" s="361" t="e">
        <f>IF(E32=0,0,E32/E$47)</f>
        <v>#DIV/0!</v>
      </c>
      <c r="H32" s="131"/>
      <c r="I32" s="125">
        <v>1</v>
      </c>
      <c r="J32" s="125">
        <v>2</v>
      </c>
      <c r="K32" s="125">
        <v>3</v>
      </c>
      <c r="L32" s="125">
        <v>4</v>
      </c>
      <c r="M32" s="125">
        <v>5</v>
      </c>
      <c r="N32" s="125">
        <v>6</v>
      </c>
    </row>
    <row r="33" spans="1:15" ht="12.75" customHeight="1">
      <c r="A33" s="126"/>
      <c r="B33" s="360"/>
      <c r="C33" s="127"/>
      <c r="D33" s="116"/>
      <c r="E33" s="239"/>
      <c r="F33" s="241"/>
      <c r="H33" s="131" t="s">
        <v>365</v>
      </c>
      <c r="I33" s="258">
        <f>I22*I12</f>
        <v>0</v>
      </c>
      <c r="J33" s="258">
        <f t="shared" ref="J33:N33" si="1">J22*J12</f>
        <v>0</v>
      </c>
      <c r="K33" s="258">
        <f t="shared" si="1"/>
        <v>0</v>
      </c>
      <c r="L33" s="258">
        <f t="shared" si="1"/>
        <v>0</v>
      </c>
      <c r="M33" s="258">
        <f t="shared" si="1"/>
        <v>0</v>
      </c>
      <c r="N33" s="451">
        <f t="shared" si="1"/>
        <v>0</v>
      </c>
    </row>
    <row r="34" spans="1:15" ht="12.75" customHeight="1">
      <c r="A34" s="126" t="s">
        <v>392</v>
      </c>
      <c r="B34" s="360"/>
      <c r="C34" s="374"/>
      <c r="D34" s="116"/>
      <c r="E34" s="242"/>
      <c r="F34" s="249" t="e">
        <f t="shared" ref="F34:F42" si="2">E34/$E$47</f>
        <v>#DIV/0!</v>
      </c>
      <c r="H34" s="131" t="s">
        <v>367</v>
      </c>
      <c r="I34" s="258">
        <f t="shared" ref="I34:N34" si="3">I23*I13</f>
        <v>0</v>
      </c>
      <c r="J34" s="258">
        <f t="shared" si="3"/>
        <v>0</v>
      </c>
      <c r="K34" s="258">
        <f t="shared" si="3"/>
        <v>0</v>
      </c>
      <c r="L34" s="258">
        <f t="shared" si="3"/>
        <v>0</v>
      </c>
      <c r="M34" s="258">
        <f t="shared" si="3"/>
        <v>0</v>
      </c>
      <c r="N34" s="451">
        <f t="shared" si="3"/>
        <v>0</v>
      </c>
    </row>
    <row r="35" spans="1:15" ht="12.75" customHeight="1">
      <c r="A35" s="126" t="s">
        <v>393</v>
      </c>
      <c r="B35" s="360"/>
      <c r="C35" s="374"/>
      <c r="D35" s="116"/>
      <c r="E35" s="242"/>
      <c r="F35" s="249" t="e">
        <f t="shared" si="2"/>
        <v>#DIV/0!</v>
      </c>
      <c r="H35" s="131" t="s">
        <v>369</v>
      </c>
      <c r="I35" s="258">
        <f t="shared" ref="I35:N35" si="4">I24*I14</f>
        <v>0</v>
      </c>
      <c r="J35" s="258">
        <f t="shared" si="4"/>
        <v>0</v>
      </c>
      <c r="K35" s="258">
        <f t="shared" si="4"/>
        <v>0</v>
      </c>
      <c r="L35" s="258">
        <f t="shared" si="4"/>
        <v>0</v>
      </c>
      <c r="M35" s="258">
        <f t="shared" si="4"/>
        <v>0</v>
      </c>
      <c r="N35" s="451">
        <f t="shared" si="4"/>
        <v>0</v>
      </c>
      <c r="O35" s="130"/>
    </row>
    <row r="36" spans="1:15" ht="14.25" customHeight="1">
      <c r="A36" s="126" t="s">
        <v>394</v>
      </c>
      <c r="B36" s="360"/>
      <c r="C36" s="374"/>
      <c r="D36" s="116"/>
      <c r="E36" s="242"/>
      <c r="F36" s="249" t="e">
        <f t="shared" si="2"/>
        <v>#DIV/0!</v>
      </c>
      <c r="H36" s="131" t="s">
        <v>371</v>
      </c>
      <c r="I36" s="258">
        <f t="shared" ref="I36:N36" si="5">I25*I15</f>
        <v>0</v>
      </c>
      <c r="J36" s="258">
        <f t="shared" si="5"/>
        <v>0</v>
      </c>
      <c r="K36" s="258">
        <f t="shared" si="5"/>
        <v>0</v>
      </c>
      <c r="L36" s="258">
        <f t="shared" si="5"/>
        <v>0</v>
      </c>
      <c r="M36" s="258">
        <f t="shared" si="5"/>
        <v>0</v>
      </c>
      <c r="N36" s="451">
        <f t="shared" si="5"/>
        <v>0</v>
      </c>
      <c r="O36" s="130"/>
    </row>
    <row r="37" spans="1:15">
      <c r="A37" s="126" t="s">
        <v>395</v>
      </c>
      <c r="B37" s="360"/>
      <c r="C37" s="375"/>
      <c r="D37" s="116"/>
      <c r="E37" s="242"/>
      <c r="F37" s="249" t="e">
        <f t="shared" si="2"/>
        <v>#DIV/0!</v>
      </c>
      <c r="H37" s="131" t="s">
        <v>372</v>
      </c>
      <c r="I37" s="258">
        <f t="shared" ref="I37:N37" si="6">I26*I16</f>
        <v>0</v>
      </c>
      <c r="J37" s="258">
        <f t="shared" si="6"/>
        <v>0</v>
      </c>
      <c r="K37" s="258">
        <f t="shared" si="6"/>
        <v>0</v>
      </c>
      <c r="L37" s="258">
        <f t="shared" si="6"/>
        <v>0</v>
      </c>
      <c r="M37" s="258">
        <f t="shared" si="6"/>
        <v>0</v>
      </c>
      <c r="N37" s="451">
        <f t="shared" si="6"/>
        <v>0</v>
      </c>
      <c r="O37" s="130"/>
    </row>
    <row r="38" spans="1:15">
      <c r="A38" s="126" t="s">
        <v>396</v>
      </c>
      <c r="B38" s="360"/>
      <c r="C38" s="374"/>
      <c r="D38" s="116"/>
      <c r="E38" s="242"/>
      <c r="F38" s="249" t="e">
        <f t="shared" si="2"/>
        <v>#DIV/0!</v>
      </c>
      <c r="H38" s="131" t="s">
        <v>374</v>
      </c>
      <c r="I38" s="258">
        <f t="shared" ref="I38:N38" si="7">I27*I17</f>
        <v>0</v>
      </c>
      <c r="J38" s="258">
        <f t="shared" si="7"/>
        <v>0</v>
      </c>
      <c r="K38" s="258">
        <f t="shared" si="7"/>
        <v>0</v>
      </c>
      <c r="L38" s="258">
        <f t="shared" si="7"/>
        <v>0</v>
      </c>
      <c r="M38" s="258">
        <f t="shared" si="7"/>
        <v>0</v>
      </c>
      <c r="N38" s="451">
        <f t="shared" si="7"/>
        <v>0</v>
      </c>
      <c r="O38" s="130"/>
    </row>
    <row r="39" spans="1:15">
      <c r="A39" s="126" t="s">
        <v>397</v>
      </c>
      <c r="B39" s="360"/>
      <c r="C39" s="375"/>
      <c r="D39" s="116"/>
      <c r="E39" s="242"/>
      <c r="F39" s="249" t="e">
        <f t="shared" si="2"/>
        <v>#DIV/0!</v>
      </c>
      <c r="H39" s="131" t="s">
        <v>376</v>
      </c>
      <c r="I39" s="258">
        <f t="shared" ref="I39:N39" si="8">I28*I18</f>
        <v>0</v>
      </c>
      <c r="J39" s="258">
        <f t="shared" si="8"/>
        <v>0</v>
      </c>
      <c r="K39" s="258">
        <f t="shared" si="8"/>
        <v>0</v>
      </c>
      <c r="L39" s="258">
        <f t="shared" si="8"/>
        <v>0</v>
      </c>
      <c r="M39" s="258">
        <f t="shared" si="8"/>
        <v>0</v>
      </c>
      <c r="N39" s="451">
        <f t="shared" si="8"/>
        <v>0</v>
      </c>
      <c r="O39" s="130"/>
    </row>
    <row r="40" spans="1:15">
      <c r="A40" s="126" t="s">
        <v>398</v>
      </c>
      <c r="B40" s="360"/>
      <c r="C40" s="352" t="s">
        <v>386</v>
      </c>
      <c r="D40" s="116"/>
      <c r="E40" s="242"/>
      <c r="F40" s="249" t="e">
        <f t="shared" si="2"/>
        <v>#DIV/0!</v>
      </c>
      <c r="H40" s="132" t="s">
        <v>388</v>
      </c>
      <c r="I40" s="259">
        <f t="shared" ref="I40:N40" si="9">SUM(I33:I39)</f>
        <v>0</v>
      </c>
      <c r="J40" s="259">
        <f t="shared" si="9"/>
        <v>0</v>
      </c>
      <c r="K40" s="259">
        <f t="shared" si="9"/>
        <v>0</v>
      </c>
      <c r="L40" s="259">
        <f t="shared" si="9"/>
        <v>0</v>
      </c>
      <c r="M40" s="259">
        <f t="shared" si="9"/>
        <v>0</v>
      </c>
      <c r="N40" s="259">
        <f t="shared" si="9"/>
        <v>0</v>
      </c>
      <c r="O40" s="130"/>
    </row>
    <row r="41" spans="1:15">
      <c r="A41" s="126" t="s">
        <v>399</v>
      </c>
      <c r="B41" s="360"/>
      <c r="C41" s="352"/>
      <c r="D41" s="116"/>
      <c r="E41" s="242"/>
      <c r="F41" s="249" t="e">
        <f t="shared" si="2"/>
        <v>#DIV/0!</v>
      </c>
      <c r="H41" s="130"/>
      <c r="I41" s="130"/>
      <c r="J41" s="130"/>
      <c r="K41" s="130"/>
      <c r="L41" s="130"/>
      <c r="M41" s="130"/>
      <c r="N41" s="130"/>
      <c r="O41" s="130"/>
    </row>
    <row r="42" spans="1:15">
      <c r="A42" s="371"/>
      <c r="B42" s="372"/>
      <c r="C42" s="376"/>
      <c r="D42" s="116"/>
      <c r="E42" s="242"/>
      <c r="F42" s="241" t="e">
        <f t="shared" si="2"/>
        <v>#DIV/0!</v>
      </c>
      <c r="H42" s="130"/>
      <c r="I42" s="130"/>
      <c r="J42" s="130"/>
      <c r="K42" s="130"/>
      <c r="L42" s="130"/>
      <c r="M42" s="130"/>
      <c r="N42" s="130"/>
      <c r="O42" s="130"/>
    </row>
    <row r="43" spans="1:15" ht="45">
      <c r="A43" s="353" t="s">
        <v>400</v>
      </c>
      <c r="B43" s="360"/>
      <c r="C43" s="127"/>
      <c r="D43" s="116"/>
      <c r="E43" s="243" t="e">
        <f>SUM(E32:E42)</f>
        <v>#DIV/0!</v>
      </c>
      <c r="F43" s="361" t="e">
        <f>IF(E43=0,0,E43/E$47)</f>
        <v>#DIV/0!</v>
      </c>
      <c r="H43" s="190" t="s">
        <v>401</v>
      </c>
      <c r="I43" s="345"/>
      <c r="J43" s="346"/>
      <c r="K43" s="191" t="s">
        <v>359</v>
      </c>
      <c r="L43" s="130"/>
      <c r="M43" s="130"/>
      <c r="N43" s="130"/>
    </row>
    <row r="44" spans="1:15">
      <c r="A44" s="126"/>
      <c r="B44" s="360"/>
      <c r="C44" s="127"/>
      <c r="D44" s="116"/>
      <c r="E44" s="239"/>
      <c r="F44" s="250"/>
      <c r="H44" s="131"/>
      <c r="I44" s="347" t="s">
        <v>362</v>
      </c>
      <c r="J44" s="348" t="s">
        <v>362</v>
      </c>
      <c r="K44" s="239"/>
      <c r="L44" s="130"/>
      <c r="M44" s="130"/>
      <c r="N44" s="130"/>
    </row>
    <row r="45" spans="1:15">
      <c r="A45" s="126" t="s">
        <v>402</v>
      </c>
      <c r="B45" s="360"/>
      <c r="C45" s="375"/>
      <c r="D45" s="116"/>
      <c r="E45" s="242"/>
      <c r="F45" s="361">
        <f>(IF(E45=0,0,E45/E$47))</f>
        <v>0</v>
      </c>
      <c r="H45" s="134" t="s">
        <v>370</v>
      </c>
      <c r="I45" s="135"/>
      <c r="J45" s="136"/>
      <c r="K45" s="243">
        <f>E15</f>
        <v>0</v>
      </c>
      <c r="L45" s="130"/>
      <c r="M45" s="130"/>
      <c r="N45" s="130"/>
    </row>
    <row r="46" spans="1:15" ht="30" customHeight="1">
      <c r="A46" s="126"/>
      <c r="B46" s="377"/>
      <c r="C46" s="127"/>
      <c r="D46" s="116"/>
      <c r="E46" s="239"/>
      <c r="F46" s="241"/>
      <c r="H46" s="137" t="s">
        <v>373</v>
      </c>
      <c r="I46" s="138"/>
      <c r="J46" s="139"/>
      <c r="K46" s="245">
        <f>E17</f>
        <v>0</v>
      </c>
      <c r="L46" s="130"/>
      <c r="M46" s="130"/>
      <c r="N46" s="130"/>
    </row>
    <row r="47" spans="1:15">
      <c r="A47" s="353" t="s">
        <v>403</v>
      </c>
      <c r="B47" s="378"/>
      <c r="C47" s="379"/>
      <c r="D47" s="116"/>
      <c r="E47" s="251" t="e">
        <f>SUM(E43:E46)</f>
        <v>#DIV/0!</v>
      </c>
      <c r="F47" s="252" t="e">
        <f>SUM(F43:F46)</f>
        <v>#DIV/0!</v>
      </c>
      <c r="H47" s="358" t="s">
        <v>375</v>
      </c>
      <c r="I47" s="138"/>
      <c r="J47" s="139"/>
      <c r="K47" s="246">
        <f>E18</f>
        <v>0</v>
      </c>
      <c r="L47" s="130"/>
      <c r="M47" s="130"/>
      <c r="N47" s="130"/>
      <c r="O47" s="130"/>
    </row>
    <row r="48" spans="1:15">
      <c r="B48" s="133"/>
      <c r="C48" s="380"/>
      <c r="D48" s="116"/>
      <c r="E48" s="224"/>
      <c r="F48" s="253"/>
      <c r="H48" s="358" t="s">
        <v>380</v>
      </c>
      <c r="I48" s="138"/>
      <c r="J48" s="139"/>
      <c r="K48" s="245" t="e">
        <f>E22</f>
        <v>#DIV/0!</v>
      </c>
      <c r="L48" s="130"/>
      <c r="M48" s="130"/>
      <c r="N48" s="130"/>
      <c r="O48" s="130"/>
    </row>
    <row r="49" spans="1:26">
      <c r="A49" s="381" t="s">
        <v>404</v>
      </c>
      <c r="B49" s="382"/>
      <c r="C49" s="383"/>
      <c r="D49" s="130"/>
      <c r="E49" s="254" t="e">
        <f>(E$26*1.3)+($E$47-$E$26)</f>
        <v>#DIV/0!</v>
      </c>
      <c r="F49" s="255"/>
      <c r="G49" s="130"/>
      <c r="H49" s="358" t="s">
        <v>383</v>
      </c>
      <c r="I49" s="363"/>
      <c r="J49" s="364"/>
      <c r="K49" s="245" t="e">
        <f>E25</f>
        <v>#DIV/0!</v>
      </c>
      <c r="L49" s="130"/>
      <c r="M49" s="130"/>
      <c r="N49" s="130"/>
      <c r="O49" s="130"/>
    </row>
    <row r="50" spans="1:26" s="13" customFormat="1">
      <c r="A50" s="130"/>
      <c r="B50" s="140"/>
      <c r="C50" s="141"/>
      <c r="D50" s="130"/>
      <c r="E50" s="256"/>
      <c r="F50" s="256"/>
      <c r="G50" s="130"/>
      <c r="H50" s="126" t="s">
        <v>385</v>
      </c>
      <c r="I50" s="367"/>
      <c r="J50" s="352"/>
      <c r="K50" s="240">
        <f>E28</f>
        <v>0</v>
      </c>
      <c r="L50" s="130"/>
      <c r="M50" s="130"/>
      <c r="N50" s="130"/>
      <c r="O50" s="130"/>
      <c r="P50" s="57"/>
      <c r="Q50" s="57"/>
      <c r="R50" s="57"/>
      <c r="S50" s="57"/>
      <c r="T50" s="57"/>
      <c r="U50" s="57"/>
      <c r="V50" s="2"/>
      <c r="W50" s="2"/>
      <c r="X50" s="2"/>
      <c r="Y50" s="2"/>
      <c r="Z50" s="2"/>
    </row>
    <row r="51" spans="1:26" s="13" customFormat="1">
      <c r="A51" s="381" t="s">
        <v>405</v>
      </c>
      <c r="B51" s="382"/>
      <c r="C51" s="383"/>
      <c r="D51" s="130"/>
      <c r="E51" s="254" t="e">
        <f>(E$26*1.5)+($E$47-$E$26)</f>
        <v>#DIV/0!</v>
      </c>
      <c r="F51" s="255"/>
      <c r="G51" s="130"/>
      <c r="H51" s="126" t="s">
        <v>387</v>
      </c>
      <c r="I51" s="368"/>
      <c r="J51" s="352"/>
      <c r="K51" s="240">
        <f t="shared" ref="K51:K52" si="10">E29</f>
        <v>0</v>
      </c>
      <c r="L51" s="130"/>
      <c r="M51" s="57"/>
      <c r="N51" s="130"/>
      <c r="O51" s="130"/>
      <c r="P51" s="130"/>
      <c r="Q51" s="130"/>
      <c r="R51" s="130"/>
      <c r="S51" s="130"/>
      <c r="T51" s="130"/>
      <c r="U51" s="130"/>
    </row>
    <row r="52" spans="1:26" s="13" customFormat="1">
      <c r="A52" s="130"/>
      <c r="B52" s="140"/>
      <c r="C52" s="141"/>
      <c r="D52" s="130"/>
      <c r="E52" s="256"/>
      <c r="F52" s="256"/>
      <c r="G52" s="130"/>
      <c r="H52" s="126" t="s">
        <v>389</v>
      </c>
      <c r="I52" s="360"/>
      <c r="J52" s="127" t="s">
        <v>362</v>
      </c>
      <c r="K52" s="240">
        <f t="shared" si="10"/>
        <v>0</v>
      </c>
      <c r="L52" s="130"/>
      <c r="M52" s="57"/>
      <c r="N52" s="130"/>
      <c r="O52" s="130"/>
      <c r="P52" s="130"/>
      <c r="Q52" s="130"/>
      <c r="R52" s="130"/>
      <c r="S52" s="130"/>
      <c r="T52" s="130"/>
      <c r="U52" s="130"/>
    </row>
    <row r="53" spans="1:26" s="13" customFormat="1">
      <c r="A53" s="381" t="s">
        <v>406</v>
      </c>
      <c r="B53" s="382"/>
      <c r="C53" s="383"/>
      <c r="D53" s="130"/>
      <c r="E53" s="254" t="e">
        <f>(E$26*2.5)+($E$47-$E$26)</f>
        <v>#DIV/0!</v>
      </c>
      <c r="F53" s="256"/>
      <c r="G53" s="130"/>
      <c r="H53" s="126" t="s">
        <v>392</v>
      </c>
      <c r="I53" s="360"/>
      <c r="J53" s="374"/>
      <c r="K53" s="240">
        <f>E34</f>
        <v>0</v>
      </c>
      <c r="L53" s="130"/>
      <c r="M53" s="57"/>
      <c r="N53" s="130"/>
      <c r="O53" s="130"/>
      <c r="P53" s="130"/>
      <c r="Q53" s="130"/>
      <c r="R53" s="130"/>
      <c r="S53" s="130"/>
      <c r="T53" s="130"/>
      <c r="U53" s="130"/>
    </row>
    <row r="54" spans="1:26" s="13" customFormat="1">
      <c r="A54" s="130"/>
      <c r="B54" s="140"/>
      <c r="C54" s="142"/>
      <c r="D54" s="130"/>
      <c r="E54" s="130"/>
      <c r="F54" s="143"/>
      <c r="G54" s="130"/>
      <c r="H54" s="126" t="s">
        <v>393</v>
      </c>
      <c r="I54" s="360"/>
      <c r="J54" s="374"/>
      <c r="K54" s="240">
        <f t="shared" ref="K54:K60" si="11">E35</f>
        <v>0</v>
      </c>
      <c r="L54" s="130"/>
      <c r="M54" s="57"/>
      <c r="N54" s="130"/>
      <c r="O54" s="130"/>
      <c r="P54" s="130"/>
      <c r="Q54" s="130"/>
      <c r="R54" s="130"/>
      <c r="S54" s="130"/>
      <c r="T54" s="130"/>
      <c r="U54" s="130"/>
    </row>
    <row r="55" spans="1:26" s="13" customFormat="1">
      <c r="A55" s="130"/>
      <c r="B55" s="140"/>
      <c r="C55" s="142"/>
      <c r="D55" s="130"/>
      <c r="E55" s="130"/>
      <c r="F55" s="143"/>
      <c r="G55" s="130"/>
      <c r="H55" s="126" t="s">
        <v>394</v>
      </c>
      <c r="I55" s="360"/>
      <c r="J55" s="374"/>
      <c r="K55" s="240">
        <f t="shared" si="11"/>
        <v>0</v>
      </c>
      <c r="L55" s="130"/>
      <c r="M55" s="57"/>
      <c r="N55" s="130"/>
      <c r="O55" s="130"/>
      <c r="P55" s="130"/>
      <c r="Q55" s="130"/>
      <c r="R55" s="130"/>
      <c r="S55" s="130"/>
      <c r="T55" s="130"/>
      <c r="U55" s="130"/>
    </row>
    <row r="56" spans="1:26" s="13" customFormat="1">
      <c r="A56" s="130"/>
      <c r="B56" s="130"/>
      <c r="C56" s="144"/>
      <c r="D56" s="130"/>
      <c r="E56" s="130"/>
      <c r="F56" s="143"/>
      <c r="G56" s="130"/>
      <c r="H56" s="126" t="s">
        <v>395</v>
      </c>
      <c r="I56" s="360"/>
      <c r="J56" s="375"/>
      <c r="K56" s="240">
        <f t="shared" si="11"/>
        <v>0</v>
      </c>
      <c r="L56" s="130"/>
      <c r="M56" s="57"/>
      <c r="N56" s="130"/>
      <c r="O56" s="130"/>
      <c r="P56" s="130"/>
      <c r="Q56" s="130"/>
      <c r="R56" s="130"/>
      <c r="S56" s="130"/>
      <c r="T56" s="130"/>
      <c r="U56" s="130"/>
    </row>
    <row r="57" spans="1:26" s="13" customFormat="1">
      <c r="A57" s="130"/>
      <c r="B57" s="130"/>
      <c r="C57" s="144"/>
      <c r="D57" s="130"/>
      <c r="E57" s="130"/>
      <c r="F57" s="143"/>
      <c r="G57" s="130"/>
      <c r="H57" s="126" t="s">
        <v>396</v>
      </c>
      <c r="I57" s="360"/>
      <c r="J57" s="374"/>
      <c r="K57" s="240">
        <f t="shared" si="11"/>
        <v>0</v>
      </c>
      <c r="L57" s="130"/>
      <c r="M57" s="57"/>
      <c r="N57" s="130"/>
      <c r="O57" s="130"/>
      <c r="P57" s="130"/>
      <c r="Q57" s="130"/>
      <c r="R57" s="130"/>
      <c r="S57" s="130"/>
      <c r="T57" s="130"/>
      <c r="U57" s="130"/>
    </row>
    <row r="58" spans="1:26" s="13" customFormat="1">
      <c r="A58" s="57"/>
      <c r="B58" s="130"/>
      <c r="C58" s="144"/>
      <c r="D58" s="130"/>
      <c r="E58" s="130"/>
      <c r="F58" s="143"/>
      <c r="G58" s="130"/>
      <c r="H58" s="126" t="s">
        <v>397</v>
      </c>
      <c r="I58" s="360"/>
      <c r="J58" s="375"/>
      <c r="K58" s="240">
        <f t="shared" si="11"/>
        <v>0</v>
      </c>
      <c r="L58" s="130"/>
      <c r="M58" s="57"/>
      <c r="N58" s="57"/>
      <c r="O58" s="130"/>
      <c r="P58" s="130"/>
      <c r="Q58" s="130"/>
      <c r="R58" s="130"/>
      <c r="S58" s="130"/>
      <c r="T58" s="130"/>
      <c r="U58" s="130"/>
    </row>
    <row r="59" spans="1:26" s="13" customFormat="1">
      <c r="A59" s="130"/>
      <c r="B59" s="130"/>
      <c r="C59" s="144"/>
      <c r="D59" s="144"/>
      <c r="E59" s="144"/>
      <c r="F59" s="144"/>
      <c r="G59" s="130"/>
      <c r="H59" s="126" t="s">
        <v>398</v>
      </c>
      <c r="I59" s="360"/>
      <c r="J59" s="352"/>
      <c r="K59" s="240">
        <f t="shared" si="11"/>
        <v>0</v>
      </c>
      <c r="L59" s="130"/>
      <c r="M59" s="57"/>
      <c r="N59" s="57"/>
      <c r="O59" s="130"/>
      <c r="P59" s="130"/>
      <c r="Q59" s="130"/>
      <c r="R59" s="130"/>
      <c r="S59" s="130"/>
      <c r="T59" s="130"/>
      <c r="U59" s="130"/>
    </row>
    <row r="60" spans="1:26" s="13" customFormat="1">
      <c r="A60" s="130"/>
      <c r="B60" s="130"/>
      <c r="C60" s="144"/>
      <c r="D60" s="130"/>
      <c r="E60" s="130"/>
      <c r="F60" s="143"/>
      <c r="G60" s="130"/>
      <c r="H60" s="126" t="s">
        <v>399</v>
      </c>
      <c r="I60" s="360"/>
      <c r="J60" s="352"/>
      <c r="K60" s="240">
        <f t="shared" si="11"/>
        <v>0</v>
      </c>
      <c r="L60" s="130"/>
      <c r="M60" s="57"/>
      <c r="N60" s="57"/>
      <c r="O60" s="130"/>
      <c r="P60" s="130"/>
      <c r="Q60" s="130"/>
      <c r="R60" s="130"/>
      <c r="S60" s="130"/>
      <c r="T60" s="130"/>
      <c r="U60" s="130"/>
    </row>
    <row r="61" spans="1:26" s="13" customFormat="1">
      <c r="A61" s="130"/>
      <c r="B61" s="130"/>
      <c r="C61" s="144"/>
      <c r="D61" s="130"/>
      <c r="E61" s="130"/>
      <c r="F61" s="143"/>
      <c r="G61" s="130"/>
      <c r="H61" s="126" t="s">
        <v>402</v>
      </c>
      <c r="I61" s="360"/>
      <c r="J61" s="375"/>
      <c r="K61" s="240">
        <f>E45</f>
        <v>0</v>
      </c>
      <c r="L61" s="130"/>
      <c r="M61" s="57"/>
      <c r="N61" s="57"/>
      <c r="O61" s="130"/>
      <c r="P61" s="130"/>
      <c r="Q61" s="130"/>
      <c r="R61" s="130"/>
      <c r="S61" s="130"/>
      <c r="T61" s="130"/>
      <c r="U61" s="130"/>
    </row>
    <row r="62" spans="1:26" s="13" customFormat="1">
      <c r="A62" s="130"/>
      <c r="B62" s="130"/>
      <c r="C62" s="144"/>
      <c r="D62" s="130"/>
      <c r="E62" s="130"/>
      <c r="F62" s="143"/>
      <c r="G62" s="130"/>
      <c r="H62" s="126"/>
      <c r="I62" s="377"/>
      <c r="J62" s="127"/>
      <c r="K62" s="239"/>
      <c r="L62" s="130"/>
      <c r="M62" s="57"/>
      <c r="N62" s="57"/>
      <c r="O62" s="130"/>
      <c r="P62" s="130"/>
      <c r="Q62" s="130"/>
      <c r="R62" s="130"/>
      <c r="S62" s="130"/>
      <c r="T62" s="130"/>
      <c r="U62" s="130"/>
    </row>
    <row r="63" spans="1:26" s="13" customFormat="1">
      <c r="A63" s="130"/>
      <c r="B63" s="130"/>
      <c r="C63" s="144"/>
      <c r="D63" s="130"/>
      <c r="E63" s="130"/>
      <c r="F63" s="143"/>
      <c r="G63" s="130"/>
      <c r="H63" s="353" t="s">
        <v>403</v>
      </c>
      <c r="I63" s="378"/>
      <c r="J63" s="379"/>
      <c r="K63" s="251" t="e">
        <f>SUM(K45:K62)</f>
        <v>#DIV/0!</v>
      </c>
      <c r="L63" s="130"/>
      <c r="M63" s="57"/>
      <c r="N63" s="57"/>
      <c r="O63" s="130"/>
      <c r="P63" s="130"/>
      <c r="Q63" s="130"/>
      <c r="R63" s="130"/>
      <c r="S63" s="130"/>
      <c r="T63" s="130"/>
      <c r="U63" s="130"/>
    </row>
    <row r="64" spans="1:26" s="13" customFormat="1">
      <c r="A64" s="130"/>
      <c r="B64" s="130"/>
      <c r="C64" s="144"/>
      <c r="D64" s="130"/>
      <c r="E64" s="130"/>
      <c r="F64" s="143"/>
      <c r="G64" s="130"/>
      <c r="H64" s="57"/>
      <c r="I64" s="133"/>
      <c r="J64" s="380"/>
      <c r="K64" s="224"/>
      <c r="L64" s="130"/>
      <c r="M64" s="57"/>
      <c r="N64" s="57"/>
      <c r="O64" s="57"/>
      <c r="P64" s="130"/>
      <c r="Q64" s="130"/>
      <c r="R64" s="130"/>
      <c r="S64" s="130"/>
      <c r="T64" s="130"/>
      <c r="U64" s="130"/>
    </row>
    <row r="65" spans="1:22" s="13" customFormat="1">
      <c r="A65" s="130"/>
      <c r="B65" s="130"/>
      <c r="C65" s="144"/>
      <c r="D65" s="130"/>
      <c r="E65" s="57"/>
      <c r="F65" s="143"/>
      <c r="G65" s="130"/>
      <c r="H65" s="381" t="s">
        <v>404</v>
      </c>
      <c r="I65" s="382"/>
      <c r="J65" s="383"/>
      <c r="K65" s="254" t="e">
        <f>E49</f>
        <v>#DIV/0!</v>
      </c>
      <c r="L65" s="130"/>
      <c r="M65" s="57"/>
      <c r="N65" s="57"/>
      <c r="O65" s="57"/>
      <c r="P65" s="57"/>
      <c r="Q65" s="130"/>
      <c r="R65" s="130"/>
      <c r="S65" s="130"/>
      <c r="T65" s="130"/>
      <c r="U65" s="130"/>
    </row>
    <row r="66" spans="1:22" s="13" customFormat="1">
      <c r="A66" s="57"/>
      <c r="B66" s="57"/>
      <c r="C66" s="57"/>
      <c r="D66" s="57"/>
      <c r="E66" s="57"/>
      <c r="F66" s="57"/>
      <c r="G66" s="57"/>
      <c r="H66" s="130"/>
      <c r="I66" s="140"/>
      <c r="J66" s="141"/>
      <c r="K66" s="256"/>
      <c r="L66" s="130"/>
      <c r="M66" s="57"/>
      <c r="N66" s="57"/>
      <c r="O66" s="57"/>
      <c r="P66" s="57"/>
      <c r="Q66" s="57"/>
      <c r="R66" s="57"/>
      <c r="S66" s="57"/>
      <c r="T66" s="57"/>
      <c r="U66" s="57"/>
      <c r="V66" s="2"/>
    </row>
    <row r="67" spans="1:22">
      <c r="H67" s="381" t="s">
        <v>405</v>
      </c>
      <c r="I67" s="382"/>
      <c r="J67" s="383"/>
      <c r="K67" s="254" t="e">
        <f>E51</f>
        <v>#DIV/0!</v>
      </c>
      <c r="L67" s="130"/>
    </row>
    <row r="68" spans="1:22">
      <c r="H68" s="130"/>
      <c r="I68" s="140"/>
      <c r="J68" s="141"/>
      <c r="K68" s="256"/>
      <c r="L68" s="130"/>
    </row>
    <row r="69" spans="1:22">
      <c r="H69" s="381" t="s">
        <v>406</v>
      </c>
      <c r="I69" s="382"/>
      <c r="J69" s="383"/>
      <c r="K69" s="254" t="e">
        <f>E53</f>
        <v>#DIV/0!</v>
      </c>
      <c r="L69" s="130"/>
    </row>
    <row r="70" spans="1:22">
      <c r="L70" s="130"/>
    </row>
    <row r="71" spans="1:22">
      <c r="L71" s="130"/>
    </row>
    <row r="72" spans="1:22">
      <c r="L72" s="130"/>
    </row>
  </sheetData>
  <dataConsolidate/>
  <mergeCells count="7">
    <mergeCell ref="I31:N31"/>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sheetView>
  </sheetViews>
  <sheetFormatPr defaultColWidth="11.44140625" defaultRowHeight="13.2"/>
  <cols>
    <col min="1" max="1" width="35.88671875" style="57" customWidth="1"/>
    <col min="2" max="2" width="21.33203125" style="57" customWidth="1"/>
    <col min="3" max="3" width="19.33203125" style="57" bestFit="1" customWidth="1"/>
    <col min="4" max="4" width="2" style="57" customWidth="1"/>
    <col min="5" max="5" width="14.44140625" style="57" customWidth="1"/>
    <col min="6" max="6" width="11.6640625" style="57" customWidth="1"/>
    <col min="7" max="7" width="6" style="57" customWidth="1"/>
    <col min="8" max="8" width="27.88671875" style="57" customWidth="1"/>
    <col min="9" max="15" width="11.44140625" style="57"/>
    <col min="16" max="16384" width="11.44140625" style="2"/>
  </cols>
  <sheetData>
    <row r="1" spans="1:15" ht="12.75" customHeight="1">
      <c r="A1" s="450" t="s">
        <v>4</v>
      </c>
      <c r="B1" s="87"/>
      <c r="C1" s="88"/>
      <c r="D1" s="88"/>
      <c r="E1" s="88"/>
      <c r="F1" s="88"/>
      <c r="H1" s="485"/>
      <c r="I1" s="485"/>
      <c r="J1" s="485"/>
      <c r="K1" s="485"/>
      <c r="L1" s="485"/>
      <c r="M1" s="485"/>
      <c r="N1" s="485"/>
    </row>
    <row r="2" spans="1:15">
      <c r="A2" s="88"/>
      <c r="B2" s="106"/>
      <c r="C2" s="107"/>
      <c r="D2" s="106"/>
      <c r="E2" s="108"/>
      <c r="F2" s="109"/>
      <c r="H2" s="485"/>
      <c r="I2" s="485"/>
      <c r="J2" s="485"/>
      <c r="K2" s="485"/>
      <c r="L2" s="485"/>
      <c r="M2" s="485"/>
      <c r="N2" s="485"/>
    </row>
    <row r="3" spans="1:15" ht="14.25" customHeight="1">
      <c r="A3" s="37" t="str">
        <f>'2-Kosten per locatie'!A3</f>
        <v>Naam opdrachtgever</v>
      </c>
      <c r="B3" s="110" t="str">
        <f>'2-Kosten per locatie'!B3</f>
        <v>Gemeente Westerkwartier</v>
      </c>
      <c r="C3" s="111"/>
      <c r="D3" s="106"/>
      <c r="E3" s="112"/>
      <c r="F3" s="113"/>
      <c r="H3" s="485"/>
      <c r="I3" s="485"/>
      <c r="J3" s="485"/>
      <c r="K3" s="485"/>
      <c r="L3" s="485"/>
      <c r="M3" s="485"/>
      <c r="N3" s="485"/>
    </row>
    <row r="4" spans="1:15" ht="15.75" customHeight="1">
      <c r="A4" s="37" t="str">
        <f>'2-Kosten per locatie'!A4</f>
        <v>Calculatie onderdeel</v>
      </c>
      <c r="B4" s="114" t="str">
        <f ca="1">MID(CELL("bestandsnaam",$C$9),SEARCH("]",CELL("bestandsnaam",$C$9),1)+1,256)</f>
        <v>7-Opbouw uurtarief toezicht</v>
      </c>
      <c r="C4" s="115"/>
      <c r="D4" s="116"/>
      <c r="H4" s="485"/>
      <c r="I4" s="485"/>
      <c r="J4" s="485"/>
      <c r="K4" s="485"/>
      <c r="L4" s="485"/>
      <c r="M4" s="485"/>
      <c r="N4" s="485"/>
    </row>
    <row r="5" spans="1:15" ht="15.6">
      <c r="A5" s="37" t="str">
        <f>'2-Kosten per locatie'!A5</f>
        <v>Gebouw/plaats</v>
      </c>
      <c r="B5" s="110" t="str">
        <f>'2-Kosten per locatie'!B5</f>
        <v>Perceel 2 sportlocaties</v>
      </c>
      <c r="C5" s="115"/>
      <c r="D5" s="116"/>
      <c r="H5" s="485"/>
      <c r="I5" s="485"/>
      <c r="J5" s="485"/>
      <c r="K5" s="485"/>
      <c r="L5" s="485"/>
      <c r="M5" s="485"/>
      <c r="N5" s="485"/>
    </row>
    <row r="6" spans="1:15" ht="15.6">
      <c r="A6" s="37" t="str">
        <f>'2-Kosten per locatie'!A6</f>
        <v>Referentie nummer</v>
      </c>
      <c r="B6" s="110">
        <f>'2-Kosten per locatie'!B6</f>
        <v>0</v>
      </c>
      <c r="C6" s="115"/>
      <c r="D6" s="116"/>
      <c r="H6" s="117"/>
      <c r="I6" s="117"/>
      <c r="J6" s="117"/>
      <c r="K6" s="117"/>
      <c r="L6" s="117"/>
      <c r="M6" s="117"/>
      <c r="N6" s="117"/>
    </row>
    <row r="7" spans="1:15" ht="15.6">
      <c r="A7" s="37" t="str">
        <f>'2-Kosten per locatie'!A7</f>
        <v>Naam dienstverlener</v>
      </c>
      <c r="B7" s="110">
        <f>'2-Kosten per locatie'!B7</f>
        <v>0</v>
      </c>
      <c r="C7" s="115"/>
      <c r="D7" s="116"/>
      <c r="H7" s="117"/>
      <c r="I7" s="117"/>
      <c r="J7" s="117"/>
      <c r="K7" s="117"/>
      <c r="L7" s="117"/>
      <c r="M7" s="117"/>
      <c r="N7" s="117"/>
    </row>
    <row r="8" spans="1:15" ht="15.6">
      <c r="A8" s="37" t="str">
        <f>'2-Kosten per locatie'!A8</f>
        <v>Prijspeil</v>
      </c>
      <c r="B8" s="257">
        <f>'2-Kosten per locatie'!B8</f>
        <v>46023</v>
      </c>
      <c r="C8" s="115"/>
      <c r="D8" s="116"/>
      <c r="J8" s="117"/>
      <c r="K8" s="117"/>
      <c r="L8" s="117"/>
      <c r="M8" s="117"/>
      <c r="N8" s="117"/>
      <c r="O8" s="118"/>
    </row>
    <row r="9" spans="1:15" ht="15.6">
      <c r="A9" s="119"/>
      <c r="B9" s="120"/>
      <c r="C9" s="121"/>
      <c r="D9" s="116"/>
      <c r="E9" s="122"/>
      <c r="F9" s="123"/>
    </row>
    <row r="10" spans="1:15" s="20" customFormat="1" ht="30.75" customHeight="1">
      <c r="A10" s="384" t="s">
        <v>407</v>
      </c>
      <c r="B10" s="345"/>
      <c r="C10" s="346"/>
      <c r="D10" s="188"/>
      <c r="E10" s="483" t="s">
        <v>408</v>
      </c>
      <c r="F10" s="484"/>
      <c r="G10" s="118"/>
      <c r="H10" s="190" t="s">
        <v>360</v>
      </c>
      <c r="I10" s="481" t="s">
        <v>361</v>
      </c>
      <c r="J10" s="482"/>
      <c r="K10" s="482"/>
      <c r="L10" s="482"/>
      <c r="M10" s="482"/>
      <c r="N10" s="482"/>
      <c r="O10" s="118"/>
    </row>
    <row r="11" spans="1:15" ht="14.4" customHeight="1">
      <c r="A11" s="131"/>
      <c r="B11" s="347" t="s">
        <v>362</v>
      </c>
      <c r="C11" s="348" t="s">
        <v>362</v>
      </c>
      <c r="D11" s="116"/>
      <c r="E11" s="124"/>
      <c r="F11" s="385"/>
      <c r="H11" s="131"/>
      <c r="I11" s="260">
        <v>1</v>
      </c>
      <c r="J11" s="260">
        <v>2</v>
      </c>
      <c r="K11" s="260">
        <v>3</v>
      </c>
      <c r="L11" s="260">
        <v>4</v>
      </c>
      <c r="M11" s="260">
        <v>5</v>
      </c>
      <c r="N11" s="260">
        <v>6</v>
      </c>
    </row>
    <row r="12" spans="1:15" ht="12.75" customHeight="1">
      <c r="A12" s="131" t="s">
        <v>363</v>
      </c>
      <c r="B12" s="350" t="s">
        <v>364</v>
      </c>
      <c r="C12" s="351"/>
      <c r="D12" s="116"/>
      <c r="E12" s="240">
        <f>SUM(I31:N31)</f>
        <v>0</v>
      </c>
      <c r="F12" s="241"/>
      <c r="H12" s="131" t="s">
        <v>371</v>
      </c>
      <c r="I12" s="261"/>
      <c r="J12" s="261"/>
      <c r="K12" s="261"/>
      <c r="L12" s="261"/>
      <c r="M12" s="261"/>
      <c r="N12" s="261"/>
    </row>
    <row r="13" spans="1:15">
      <c r="A13" s="131" t="s">
        <v>366</v>
      </c>
      <c r="B13" s="350" t="s">
        <v>364</v>
      </c>
      <c r="C13" s="352"/>
      <c r="D13" s="116"/>
      <c r="E13" s="242"/>
      <c r="F13" s="241"/>
      <c r="H13" s="131" t="s">
        <v>372</v>
      </c>
      <c r="I13" s="261"/>
      <c r="J13" s="261"/>
      <c r="K13" s="261"/>
      <c r="L13" s="261"/>
      <c r="M13" s="261"/>
      <c r="N13" s="261"/>
    </row>
    <row r="14" spans="1:15">
      <c r="A14" s="126" t="s">
        <v>368</v>
      </c>
      <c r="B14" s="350" t="s">
        <v>364</v>
      </c>
      <c r="C14" s="127"/>
      <c r="D14" s="116"/>
      <c r="E14" s="242"/>
      <c r="F14" s="241"/>
      <c r="H14" s="131" t="s">
        <v>374</v>
      </c>
      <c r="I14" s="261"/>
      <c r="J14" s="261"/>
      <c r="K14" s="261"/>
      <c r="L14" s="261"/>
      <c r="M14" s="261"/>
      <c r="N14" s="261"/>
    </row>
    <row r="15" spans="1:15">
      <c r="A15" s="353" t="s">
        <v>370</v>
      </c>
      <c r="B15" s="354"/>
      <c r="C15" s="355"/>
      <c r="D15" s="128"/>
      <c r="E15" s="243">
        <f>SUM(E12:E14)</f>
        <v>0</v>
      </c>
      <c r="F15" s="241"/>
      <c r="H15" s="131" t="s">
        <v>376</v>
      </c>
      <c r="I15" s="261"/>
      <c r="J15" s="261"/>
      <c r="K15" s="261"/>
      <c r="L15" s="261"/>
      <c r="M15" s="261"/>
      <c r="N15" s="261"/>
    </row>
    <row r="16" spans="1:15">
      <c r="A16" s="126"/>
      <c r="B16" s="356"/>
      <c r="C16" s="357"/>
      <c r="D16" s="116"/>
      <c r="E16" s="244"/>
      <c r="F16" s="241"/>
    </row>
    <row r="17" spans="1:15" ht="14.4" customHeight="1">
      <c r="A17" s="358" t="s">
        <v>373</v>
      </c>
      <c r="B17" s="350" t="s">
        <v>364</v>
      </c>
      <c r="C17" s="359"/>
      <c r="D17" s="116"/>
      <c r="E17" s="245">
        <f>$C17*E15</f>
        <v>0</v>
      </c>
      <c r="F17" s="241"/>
      <c r="H17" s="190" t="s">
        <v>360</v>
      </c>
      <c r="I17" s="486" t="s">
        <v>378</v>
      </c>
      <c r="J17" s="489"/>
      <c r="K17" s="489"/>
      <c r="L17" s="489"/>
      <c r="M17" s="489"/>
      <c r="N17" s="490"/>
    </row>
    <row r="18" spans="1:15" ht="13.2" customHeight="1">
      <c r="A18" s="358" t="s">
        <v>375</v>
      </c>
      <c r="B18" s="350" t="s">
        <v>364</v>
      </c>
      <c r="C18" s="359"/>
      <c r="D18" s="116"/>
      <c r="E18" s="246">
        <f>$C18*E15</f>
        <v>0</v>
      </c>
      <c r="F18" s="241"/>
      <c r="H18" s="131"/>
      <c r="I18" s="260">
        <v>1</v>
      </c>
      <c r="J18" s="260">
        <v>2</v>
      </c>
      <c r="K18" s="260">
        <v>3</v>
      </c>
      <c r="L18" s="260">
        <v>4</v>
      </c>
      <c r="M18" s="260">
        <v>5</v>
      </c>
      <c r="N18" s="260">
        <v>6</v>
      </c>
      <c r="O18" s="224"/>
    </row>
    <row r="19" spans="1:15">
      <c r="A19" s="353" t="s">
        <v>377</v>
      </c>
      <c r="B19" s="360"/>
      <c r="C19" s="127"/>
      <c r="D19" s="116"/>
      <c r="E19" s="243">
        <f>SUM(E15:E18)</f>
        <v>0</v>
      </c>
      <c r="F19" s="361">
        <f>IF(E19=0,0,E19/E$47)</f>
        <v>0</v>
      </c>
      <c r="H19" s="131" t="s">
        <v>371</v>
      </c>
      <c r="I19" s="365"/>
      <c r="J19" s="365"/>
      <c r="K19" s="365"/>
      <c r="L19" s="365"/>
      <c r="M19" s="365"/>
      <c r="N19" s="365"/>
      <c r="O19" s="224"/>
    </row>
    <row r="20" spans="1:15">
      <c r="A20" s="126"/>
      <c r="B20" s="356"/>
      <c r="C20" s="357"/>
      <c r="D20" s="116"/>
      <c r="E20" s="244"/>
      <c r="F20" s="241"/>
      <c r="H20" s="131" t="s">
        <v>372</v>
      </c>
      <c r="I20" s="365"/>
      <c r="J20" s="365"/>
      <c r="K20" s="365"/>
      <c r="L20" s="365"/>
      <c r="M20" s="365"/>
      <c r="N20" s="365"/>
      <c r="O20" s="256"/>
    </row>
    <row r="21" spans="1:15">
      <c r="A21" s="362" t="s">
        <v>379</v>
      </c>
      <c r="B21" s="363"/>
      <c r="C21" s="357"/>
      <c r="D21" s="129"/>
      <c r="E21" s="247">
        <f>E19*0.96</f>
        <v>0</v>
      </c>
      <c r="F21" s="248"/>
      <c r="G21" s="130"/>
      <c r="H21" s="131" t="s">
        <v>374</v>
      </c>
      <c r="I21" s="365"/>
      <c r="J21" s="365"/>
      <c r="K21" s="365"/>
      <c r="L21" s="365"/>
      <c r="M21" s="365"/>
      <c r="N21" s="365"/>
      <c r="O21" s="224"/>
    </row>
    <row r="22" spans="1:15" s="13" customFormat="1">
      <c r="A22" s="358" t="s">
        <v>380</v>
      </c>
      <c r="B22" s="363"/>
      <c r="C22" s="364" t="s">
        <v>381</v>
      </c>
      <c r="D22" s="116"/>
      <c r="E22" s="245" t="e">
        <f>E21*'5-Premies en opslagen'!$C24</f>
        <v>#DIV/0!</v>
      </c>
      <c r="F22" s="241"/>
      <c r="G22" s="57"/>
      <c r="H22" s="131" t="s">
        <v>376</v>
      </c>
      <c r="I22" s="365"/>
      <c r="J22" s="365"/>
      <c r="K22" s="365"/>
      <c r="L22" s="365"/>
      <c r="M22" s="365"/>
      <c r="N22" s="365"/>
      <c r="O22" s="224"/>
    </row>
    <row r="23" spans="1:15" ht="14.25" customHeight="1">
      <c r="A23" s="353" t="s">
        <v>382</v>
      </c>
      <c r="B23" s="366"/>
      <c r="C23" s="127"/>
      <c r="D23" s="116"/>
      <c r="E23" s="243" t="e">
        <f>E22+E19</f>
        <v>#DIV/0!</v>
      </c>
      <c r="F23" s="361" t="e">
        <f>IF(E23=0,0,E23/E$47)</f>
        <v>#DIV/0!</v>
      </c>
      <c r="H23" s="132" t="s">
        <v>388</v>
      </c>
      <c r="I23" s="369">
        <f t="shared" ref="I23:N23" si="0">SUM(I19:I22)</f>
        <v>0</v>
      </c>
      <c r="J23" s="369">
        <f t="shared" si="0"/>
        <v>0</v>
      </c>
      <c r="K23" s="369">
        <f t="shared" si="0"/>
        <v>0</v>
      </c>
      <c r="L23" s="369">
        <f t="shared" si="0"/>
        <v>0</v>
      </c>
      <c r="M23" s="369">
        <f t="shared" si="0"/>
        <v>0</v>
      </c>
      <c r="N23" s="369">
        <f t="shared" si="0"/>
        <v>0</v>
      </c>
      <c r="O23" s="370">
        <f>SUM(I23:N23)</f>
        <v>0</v>
      </c>
    </row>
    <row r="24" spans="1:15" ht="12.75" customHeight="1">
      <c r="A24" s="126"/>
      <c r="B24" s="360"/>
      <c r="C24" s="127"/>
      <c r="D24" s="116"/>
      <c r="E24" s="239"/>
      <c r="F24" s="241"/>
    </row>
    <row r="25" spans="1:15" ht="12.75" customHeight="1">
      <c r="A25" s="358" t="s">
        <v>383</v>
      </c>
      <c r="B25" s="363"/>
      <c r="C25" s="364" t="s">
        <v>381</v>
      </c>
      <c r="D25" s="116"/>
      <c r="E25" s="245" t="e">
        <f>E23*'5-Premies en opslagen'!$B53</f>
        <v>#DIV/0!</v>
      </c>
      <c r="F25" s="241"/>
      <c r="H25" s="190" t="s">
        <v>360</v>
      </c>
      <c r="I25" s="481" t="s">
        <v>390</v>
      </c>
      <c r="J25" s="482"/>
      <c r="K25" s="482"/>
      <c r="L25" s="482"/>
      <c r="M25" s="482"/>
      <c r="N25" s="482"/>
    </row>
    <row r="26" spans="1:15">
      <c r="A26" s="353" t="s">
        <v>384</v>
      </c>
      <c r="B26" s="360"/>
      <c r="C26" s="127"/>
      <c r="D26" s="116"/>
      <c r="E26" s="243" t="e">
        <f>SUM(E23:E25)</f>
        <v>#DIV/0!</v>
      </c>
      <c r="F26" s="361" t="e">
        <f>IF(E26=0,0,E26/E$47)</f>
        <v>#DIV/0!</v>
      </c>
      <c r="H26" s="262"/>
      <c r="I26" s="260">
        <v>1</v>
      </c>
      <c r="J26" s="260">
        <v>2</v>
      </c>
      <c r="K26" s="260">
        <v>3</v>
      </c>
      <c r="L26" s="260">
        <v>4</v>
      </c>
      <c r="M26" s="260">
        <v>5</v>
      </c>
      <c r="N26" s="260">
        <v>6</v>
      </c>
    </row>
    <row r="27" spans="1:15" ht="13.2" customHeight="1">
      <c r="A27" s="126"/>
      <c r="B27" s="360"/>
      <c r="C27" s="127"/>
      <c r="D27" s="116"/>
      <c r="E27" s="239"/>
      <c r="F27" s="241"/>
      <c r="H27" s="131" t="s">
        <v>371</v>
      </c>
      <c r="I27" s="452">
        <f t="shared" ref="I27:N30" si="1">I19*I12</f>
        <v>0</v>
      </c>
      <c r="J27" s="452">
        <f t="shared" si="1"/>
        <v>0</v>
      </c>
      <c r="K27" s="452">
        <f t="shared" si="1"/>
        <v>0</v>
      </c>
      <c r="L27" s="452">
        <f t="shared" si="1"/>
        <v>0</v>
      </c>
      <c r="M27" s="452">
        <f t="shared" si="1"/>
        <v>0</v>
      </c>
      <c r="N27" s="452">
        <f t="shared" si="1"/>
        <v>0</v>
      </c>
    </row>
    <row r="28" spans="1:15">
      <c r="A28" s="126" t="s">
        <v>385</v>
      </c>
      <c r="B28" s="367"/>
      <c r="C28" s="352" t="s">
        <v>386</v>
      </c>
      <c r="D28" s="116"/>
      <c r="E28" s="242"/>
      <c r="F28" s="241">
        <v>0</v>
      </c>
      <c r="H28" s="131" t="s">
        <v>372</v>
      </c>
      <c r="I28" s="452">
        <f t="shared" si="1"/>
        <v>0</v>
      </c>
      <c r="J28" s="452">
        <f t="shared" si="1"/>
        <v>0</v>
      </c>
      <c r="K28" s="452">
        <f t="shared" si="1"/>
        <v>0</v>
      </c>
      <c r="L28" s="452">
        <f t="shared" si="1"/>
        <v>0</v>
      </c>
      <c r="M28" s="452">
        <f t="shared" si="1"/>
        <v>0</v>
      </c>
      <c r="N28" s="452">
        <f t="shared" si="1"/>
        <v>0</v>
      </c>
    </row>
    <row r="29" spans="1:15">
      <c r="A29" s="126" t="s">
        <v>387</v>
      </c>
      <c r="B29" s="368"/>
      <c r="C29" s="352" t="s">
        <v>386</v>
      </c>
      <c r="D29" s="116"/>
      <c r="E29" s="242"/>
      <c r="F29" s="241">
        <v>0</v>
      </c>
      <c r="H29" s="131" t="s">
        <v>374</v>
      </c>
      <c r="I29" s="452">
        <f t="shared" si="1"/>
        <v>0</v>
      </c>
      <c r="J29" s="452">
        <f t="shared" si="1"/>
        <v>0</v>
      </c>
      <c r="K29" s="452">
        <f t="shared" si="1"/>
        <v>0</v>
      </c>
      <c r="L29" s="452">
        <f t="shared" si="1"/>
        <v>0</v>
      </c>
      <c r="M29" s="452">
        <f t="shared" si="1"/>
        <v>0</v>
      </c>
      <c r="N29" s="452">
        <f t="shared" si="1"/>
        <v>0</v>
      </c>
    </row>
    <row r="30" spans="1:15">
      <c r="A30" s="126"/>
      <c r="B30" s="360"/>
      <c r="C30" s="127"/>
      <c r="D30" s="116"/>
      <c r="E30" s="242"/>
      <c r="F30" s="241"/>
      <c r="H30" s="131" t="s">
        <v>376</v>
      </c>
      <c r="I30" s="452">
        <f t="shared" si="1"/>
        <v>0</v>
      </c>
      <c r="J30" s="452">
        <f t="shared" si="1"/>
        <v>0</v>
      </c>
      <c r="K30" s="452">
        <f t="shared" si="1"/>
        <v>0</v>
      </c>
      <c r="L30" s="452">
        <f t="shared" si="1"/>
        <v>0</v>
      </c>
      <c r="M30" s="452">
        <f t="shared" si="1"/>
        <v>0</v>
      </c>
      <c r="N30" s="452">
        <f t="shared" si="1"/>
        <v>0</v>
      </c>
    </row>
    <row r="31" spans="1:15" ht="12.75" customHeight="1">
      <c r="A31" s="371"/>
      <c r="B31" s="372"/>
      <c r="C31" s="373" t="s">
        <v>362</v>
      </c>
      <c r="D31" s="116"/>
      <c r="E31" s="242"/>
      <c r="F31" s="241"/>
      <c r="H31" s="132" t="s">
        <v>388</v>
      </c>
      <c r="I31" s="386">
        <f t="shared" ref="I31:N31" si="2">SUM(I27:I30)</f>
        <v>0</v>
      </c>
      <c r="J31" s="386">
        <f t="shared" si="2"/>
        <v>0</v>
      </c>
      <c r="K31" s="386">
        <f t="shared" si="2"/>
        <v>0</v>
      </c>
      <c r="L31" s="386">
        <f t="shared" si="2"/>
        <v>0</v>
      </c>
      <c r="M31" s="386">
        <f t="shared" si="2"/>
        <v>0</v>
      </c>
      <c r="N31" s="386">
        <f t="shared" si="2"/>
        <v>0</v>
      </c>
    </row>
    <row r="32" spans="1:15" ht="12.75" customHeight="1">
      <c r="A32" s="353" t="s">
        <v>391</v>
      </c>
      <c r="B32" s="360"/>
      <c r="C32" s="127"/>
      <c r="D32" s="116"/>
      <c r="E32" s="243" t="e">
        <f>SUM(E26:E31)</f>
        <v>#DIV/0!</v>
      </c>
      <c r="F32" s="361" t="e">
        <f>IF(E32=0,0,E32/E$47)</f>
        <v>#DIV/0!</v>
      </c>
    </row>
    <row r="33" spans="1:15" ht="12.75" customHeight="1">
      <c r="A33" s="126"/>
      <c r="B33" s="360"/>
      <c r="C33" s="127"/>
      <c r="D33" s="116"/>
      <c r="E33" s="239"/>
      <c r="F33" s="241"/>
    </row>
    <row r="34" spans="1:15" ht="12.75" customHeight="1">
      <c r="A34" s="126" t="s">
        <v>392</v>
      </c>
      <c r="B34" s="360"/>
      <c r="C34" s="374"/>
      <c r="D34" s="116"/>
      <c r="E34" s="242"/>
      <c r="F34" s="249" t="e">
        <f>E34/$E$47</f>
        <v>#DIV/0!</v>
      </c>
    </row>
    <row r="35" spans="1:15" ht="12.75" customHeight="1">
      <c r="A35" s="126" t="s">
        <v>393</v>
      </c>
      <c r="B35" s="360"/>
      <c r="C35" s="374"/>
      <c r="D35" s="116"/>
      <c r="E35" s="242"/>
      <c r="F35" s="249" t="e">
        <f t="shared" ref="F35:F41" si="3">E35/$E$47</f>
        <v>#DIV/0!</v>
      </c>
    </row>
    <row r="36" spans="1:15" ht="14.25" customHeight="1">
      <c r="A36" s="126" t="s">
        <v>394</v>
      </c>
      <c r="B36" s="360"/>
      <c r="C36" s="374"/>
      <c r="D36" s="116"/>
      <c r="E36" s="242"/>
      <c r="F36" s="249" t="e">
        <f t="shared" si="3"/>
        <v>#DIV/0!</v>
      </c>
    </row>
    <row r="37" spans="1:15">
      <c r="A37" s="126" t="s">
        <v>395</v>
      </c>
      <c r="B37" s="360"/>
      <c r="C37" s="375"/>
      <c r="D37" s="116"/>
      <c r="E37" s="242"/>
      <c r="F37" s="249" t="e">
        <f t="shared" si="3"/>
        <v>#DIV/0!</v>
      </c>
    </row>
    <row r="38" spans="1:15">
      <c r="A38" s="126" t="s">
        <v>396</v>
      </c>
      <c r="B38" s="360"/>
      <c r="C38" s="374"/>
      <c r="D38" s="116"/>
      <c r="E38" s="242"/>
      <c r="F38" s="249" t="e">
        <f t="shared" si="3"/>
        <v>#DIV/0!</v>
      </c>
    </row>
    <row r="39" spans="1:15">
      <c r="A39" s="126" t="s">
        <v>397</v>
      </c>
      <c r="B39" s="360"/>
      <c r="C39" s="375"/>
      <c r="D39" s="116"/>
      <c r="E39" s="242"/>
      <c r="F39" s="249" t="e">
        <f t="shared" si="3"/>
        <v>#DIV/0!</v>
      </c>
    </row>
    <row r="40" spans="1:15">
      <c r="A40" s="126" t="s">
        <v>398</v>
      </c>
      <c r="B40" s="360"/>
      <c r="C40" s="352" t="s">
        <v>386</v>
      </c>
      <c r="D40" s="116"/>
      <c r="E40" s="242"/>
      <c r="F40" s="249" t="e">
        <f t="shared" si="3"/>
        <v>#DIV/0!</v>
      </c>
    </row>
    <row r="41" spans="1:15">
      <c r="A41" s="126" t="s">
        <v>399</v>
      </c>
      <c r="B41" s="360"/>
      <c r="C41" s="352"/>
      <c r="D41" s="116"/>
      <c r="E41" s="242"/>
      <c r="F41" s="249" t="e">
        <f t="shared" si="3"/>
        <v>#DIV/0!</v>
      </c>
      <c r="H41" s="130"/>
      <c r="I41" s="130"/>
      <c r="J41" s="130"/>
      <c r="K41" s="130"/>
      <c r="L41" s="130"/>
      <c r="M41" s="130"/>
      <c r="N41" s="130"/>
      <c r="O41" s="130"/>
    </row>
    <row r="42" spans="1:15">
      <c r="A42" s="371"/>
      <c r="B42" s="372"/>
      <c r="C42" s="376"/>
      <c r="D42" s="116"/>
      <c r="E42" s="242"/>
      <c r="F42" s="241"/>
      <c r="H42" s="130"/>
      <c r="I42" s="130"/>
      <c r="J42" s="130"/>
      <c r="K42" s="130"/>
      <c r="L42" s="130"/>
      <c r="M42" s="130"/>
      <c r="N42" s="130"/>
      <c r="O42" s="130"/>
    </row>
    <row r="43" spans="1:15" ht="45">
      <c r="A43" s="353" t="s">
        <v>400</v>
      </c>
      <c r="B43" s="360"/>
      <c r="C43" s="127"/>
      <c r="D43" s="116"/>
      <c r="E43" s="243" t="e">
        <f>SUM(E32:E42)</f>
        <v>#DIV/0!</v>
      </c>
      <c r="F43" s="361" t="e">
        <f>IF(E43=0,0,E43/E$47)</f>
        <v>#DIV/0!</v>
      </c>
      <c r="H43" s="384" t="s">
        <v>401</v>
      </c>
      <c r="I43" s="345"/>
      <c r="J43" s="346"/>
      <c r="K43" s="191" t="s">
        <v>359</v>
      </c>
      <c r="L43" s="130"/>
      <c r="M43" s="130"/>
      <c r="N43" s="130"/>
    </row>
    <row r="44" spans="1:15">
      <c r="A44" s="126"/>
      <c r="B44" s="360"/>
      <c r="C44" s="127"/>
      <c r="D44" s="116"/>
      <c r="E44" s="239"/>
      <c r="F44" s="250"/>
      <c r="H44" s="131"/>
      <c r="I44" s="347" t="s">
        <v>362</v>
      </c>
      <c r="J44" s="348" t="s">
        <v>362</v>
      </c>
      <c r="K44" s="239"/>
      <c r="L44" s="130"/>
      <c r="M44" s="130"/>
      <c r="N44" s="130"/>
    </row>
    <row r="45" spans="1:15">
      <c r="A45" s="126" t="s">
        <v>402</v>
      </c>
      <c r="B45" s="360"/>
      <c r="C45" s="375"/>
      <c r="D45" s="116"/>
      <c r="E45" s="242"/>
      <c r="F45" s="361">
        <f>(IF(E45=0,0,E45/E$47))</f>
        <v>0</v>
      </c>
      <c r="H45" s="134" t="s">
        <v>370</v>
      </c>
      <c r="I45" s="135"/>
      <c r="J45" s="136"/>
      <c r="K45" s="243">
        <f>E15</f>
        <v>0</v>
      </c>
      <c r="L45" s="130"/>
      <c r="M45" s="130"/>
      <c r="N45" s="130"/>
    </row>
    <row r="46" spans="1:15">
      <c r="A46" s="126"/>
      <c r="B46" s="377"/>
      <c r="C46" s="127"/>
      <c r="D46" s="116"/>
      <c r="E46" s="239"/>
      <c r="F46" s="241"/>
      <c r="H46" s="137" t="s">
        <v>373</v>
      </c>
      <c r="I46" s="138"/>
      <c r="J46" s="139"/>
      <c r="K46" s="245">
        <f>E17</f>
        <v>0</v>
      </c>
      <c r="L46" s="130"/>
      <c r="M46" s="130"/>
      <c r="N46" s="130"/>
    </row>
    <row r="47" spans="1:15">
      <c r="A47" s="353" t="s">
        <v>403</v>
      </c>
      <c r="B47" s="378"/>
      <c r="C47" s="379"/>
      <c r="D47" s="116"/>
      <c r="E47" s="251" t="e">
        <f>SUM(E43:E46)</f>
        <v>#DIV/0!</v>
      </c>
      <c r="F47" s="252" t="e">
        <f>SUM(F43:F46)</f>
        <v>#DIV/0!</v>
      </c>
      <c r="H47" s="358" t="s">
        <v>375</v>
      </c>
      <c r="I47" s="138"/>
      <c r="J47" s="139"/>
      <c r="K47" s="246">
        <f>E18</f>
        <v>0</v>
      </c>
      <c r="L47" s="130"/>
      <c r="M47" s="130"/>
      <c r="N47" s="130"/>
      <c r="O47" s="130"/>
    </row>
    <row r="48" spans="1:15">
      <c r="B48" s="133"/>
      <c r="C48" s="380"/>
      <c r="D48" s="116"/>
      <c r="E48" s="224"/>
      <c r="F48" s="253"/>
      <c r="H48" s="358" t="s">
        <v>380</v>
      </c>
      <c r="I48" s="138"/>
      <c r="J48" s="139"/>
      <c r="K48" s="245" t="e">
        <f>E22</f>
        <v>#DIV/0!</v>
      </c>
      <c r="L48" s="130"/>
      <c r="M48" s="130"/>
      <c r="N48" s="130"/>
      <c r="O48" s="130"/>
    </row>
    <row r="49" spans="1:15">
      <c r="A49" s="381" t="s">
        <v>404</v>
      </c>
      <c r="B49" s="382"/>
      <c r="C49" s="383"/>
      <c r="D49" s="130"/>
      <c r="E49" s="254" t="e">
        <f>(E$26*1.3)+($E$47-$E$26)</f>
        <v>#DIV/0!</v>
      </c>
      <c r="F49" s="255"/>
      <c r="G49" s="130"/>
      <c r="H49" s="358" t="s">
        <v>383</v>
      </c>
      <c r="I49" s="363"/>
      <c r="J49" s="364"/>
      <c r="K49" s="245" t="e">
        <f>E25</f>
        <v>#DIV/0!</v>
      </c>
      <c r="L49" s="130"/>
      <c r="M49" s="130"/>
      <c r="N49" s="130"/>
      <c r="O49" s="130"/>
    </row>
    <row r="50" spans="1:15" s="13" customFormat="1">
      <c r="A50" s="130"/>
      <c r="B50" s="140"/>
      <c r="C50" s="141"/>
      <c r="D50" s="130"/>
      <c r="E50" s="256"/>
      <c r="F50" s="256"/>
      <c r="G50" s="130"/>
      <c r="H50" s="126" t="s">
        <v>385</v>
      </c>
      <c r="I50" s="367"/>
      <c r="J50" s="352"/>
      <c r="K50" s="240">
        <f>E28</f>
        <v>0</v>
      </c>
      <c r="L50" s="130"/>
      <c r="M50" s="130"/>
      <c r="N50" s="130"/>
      <c r="O50" s="130"/>
    </row>
    <row r="51" spans="1:15" s="13" customFormat="1">
      <c r="A51" s="381" t="s">
        <v>405</v>
      </c>
      <c r="B51" s="382"/>
      <c r="C51" s="383"/>
      <c r="D51" s="130"/>
      <c r="E51" s="254" t="e">
        <f>(E$26*1.5)+($E$47-$E$26)</f>
        <v>#DIV/0!</v>
      </c>
      <c r="F51" s="255"/>
      <c r="G51" s="130"/>
      <c r="H51" s="126" t="s">
        <v>387</v>
      </c>
      <c r="I51" s="368"/>
      <c r="J51" s="352"/>
      <c r="K51" s="240">
        <f t="shared" ref="K51:K52" si="4">E29</f>
        <v>0</v>
      </c>
      <c r="L51" s="130"/>
      <c r="M51" s="57"/>
      <c r="N51" s="130"/>
      <c r="O51" s="130"/>
    </row>
    <row r="52" spans="1:15" s="13" customFormat="1">
      <c r="A52" s="130"/>
      <c r="B52" s="140"/>
      <c r="C52" s="141"/>
      <c r="D52" s="130"/>
      <c r="E52" s="256"/>
      <c r="F52" s="256"/>
      <c r="G52" s="130"/>
      <c r="H52" s="126" t="s">
        <v>389</v>
      </c>
      <c r="I52" s="360"/>
      <c r="J52" s="127" t="s">
        <v>362</v>
      </c>
      <c r="K52" s="240">
        <f t="shared" si="4"/>
        <v>0</v>
      </c>
      <c r="L52" s="130"/>
      <c r="M52" s="57"/>
      <c r="N52" s="130"/>
      <c r="O52" s="130"/>
    </row>
    <row r="53" spans="1:15" s="13" customFormat="1">
      <c r="A53" s="381" t="s">
        <v>406</v>
      </c>
      <c r="B53" s="382"/>
      <c r="C53" s="383"/>
      <c r="D53" s="130"/>
      <c r="E53" s="254" t="e">
        <f>(E$26*2.5)+($E$47-$E$26)</f>
        <v>#DIV/0!</v>
      </c>
      <c r="F53" s="256"/>
      <c r="G53" s="130"/>
      <c r="H53" s="126" t="s">
        <v>392</v>
      </c>
      <c r="I53" s="360"/>
      <c r="J53" s="374"/>
      <c r="K53" s="240">
        <f>E34</f>
        <v>0</v>
      </c>
      <c r="L53" s="130"/>
      <c r="M53" s="57"/>
      <c r="N53" s="130"/>
      <c r="O53" s="130"/>
    </row>
    <row r="54" spans="1:15" s="13" customFormat="1">
      <c r="A54" s="130"/>
      <c r="B54" s="140"/>
      <c r="C54" s="142"/>
      <c r="D54" s="130"/>
      <c r="E54" s="130"/>
      <c r="F54" s="143"/>
      <c r="G54" s="130"/>
      <c r="H54" s="126" t="s">
        <v>393</v>
      </c>
      <c r="I54" s="360"/>
      <c r="J54" s="374"/>
      <c r="K54" s="240">
        <f t="shared" ref="K54:K60" si="5">E35</f>
        <v>0</v>
      </c>
      <c r="L54" s="130"/>
      <c r="M54" s="57"/>
      <c r="N54" s="130"/>
      <c r="O54" s="130"/>
    </row>
    <row r="55" spans="1:15" s="13" customFormat="1">
      <c r="A55" s="130"/>
      <c r="B55" s="140"/>
      <c r="C55" s="142"/>
      <c r="D55" s="130"/>
      <c r="E55" s="130"/>
      <c r="F55" s="143"/>
      <c r="G55" s="130"/>
      <c r="H55" s="126" t="s">
        <v>394</v>
      </c>
      <c r="I55" s="360"/>
      <c r="J55" s="374"/>
      <c r="K55" s="240">
        <f t="shared" si="5"/>
        <v>0</v>
      </c>
      <c r="L55" s="130"/>
      <c r="M55" s="57"/>
      <c r="N55" s="130"/>
      <c r="O55" s="130"/>
    </row>
    <row r="56" spans="1:15" s="13" customFormat="1">
      <c r="A56" s="130"/>
      <c r="B56" s="130"/>
      <c r="C56" s="144"/>
      <c r="D56" s="130"/>
      <c r="E56" s="130"/>
      <c r="F56" s="143"/>
      <c r="G56" s="130"/>
      <c r="H56" s="126" t="s">
        <v>395</v>
      </c>
      <c r="I56" s="360"/>
      <c r="J56" s="375"/>
      <c r="K56" s="240">
        <f t="shared" si="5"/>
        <v>0</v>
      </c>
      <c r="L56" s="130"/>
      <c r="M56" s="57"/>
      <c r="N56" s="130"/>
      <c r="O56" s="130"/>
    </row>
    <row r="57" spans="1:15" s="13" customFormat="1">
      <c r="A57" s="130"/>
      <c r="B57" s="130"/>
      <c r="C57" s="144"/>
      <c r="D57" s="130"/>
      <c r="E57" s="130"/>
      <c r="F57" s="143"/>
      <c r="G57" s="130"/>
      <c r="H57" s="126" t="s">
        <v>396</v>
      </c>
      <c r="I57" s="360"/>
      <c r="J57" s="374"/>
      <c r="K57" s="240">
        <f t="shared" si="5"/>
        <v>0</v>
      </c>
      <c r="L57" s="130"/>
      <c r="M57" s="57"/>
      <c r="N57" s="130"/>
      <c r="O57" s="130"/>
    </row>
    <row r="58" spans="1:15" s="13" customFormat="1">
      <c r="A58" s="57"/>
      <c r="B58" s="130"/>
      <c r="C58" s="144"/>
      <c r="D58" s="130"/>
      <c r="E58" s="130"/>
      <c r="F58" s="143"/>
      <c r="G58" s="130"/>
      <c r="H58" s="126" t="s">
        <v>397</v>
      </c>
      <c r="I58" s="360"/>
      <c r="J58" s="375"/>
      <c r="K58" s="240">
        <f t="shared" si="5"/>
        <v>0</v>
      </c>
      <c r="L58" s="130"/>
      <c r="M58" s="57"/>
      <c r="N58" s="57"/>
      <c r="O58" s="130"/>
    </row>
    <row r="59" spans="1:15" s="13" customFormat="1">
      <c r="A59" s="130"/>
      <c r="B59" s="130"/>
      <c r="C59" s="144"/>
      <c r="D59" s="130"/>
      <c r="E59" s="130"/>
      <c r="F59" s="143"/>
      <c r="G59" s="130"/>
      <c r="H59" s="126" t="s">
        <v>398</v>
      </c>
      <c r="I59" s="360"/>
      <c r="J59" s="352"/>
      <c r="K59" s="240">
        <f t="shared" si="5"/>
        <v>0</v>
      </c>
      <c r="L59" s="130"/>
      <c r="M59" s="57"/>
      <c r="N59" s="57"/>
      <c r="O59" s="130"/>
    </row>
    <row r="60" spans="1:15" s="13" customFormat="1">
      <c r="A60" s="130"/>
      <c r="B60" s="130"/>
      <c r="C60" s="144"/>
      <c r="D60" s="130"/>
      <c r="E60" s="130"/>
      <c r="F60" s="143"/>
      <c r="G60" s="130"/>
      <c r="H60" s="126" t="s">
        <v>399</v>
      </c>
      <c r="I60" s="360"/>
      <c r="J60" s="352"/>
      <c r="K60" s="240">
        <f t="shared" si="5"/>
        <v>0</v>
      </c>
      <c r="L60" s="130"/>
      <c r="M60" s="57"/>
      <c r="N60" s="57"/>
      <c r="O60" s="130"/>
    </row>
    <row r="61" spans="1:15" s="13" customFormat="1">
      <c r="A61" s="130"/>
      <c r="B61" s="130"/>
      <c r="C61" s="144"/>
      <c r="D61" s="130"/>
      <c r="E61" s="130"/>
      <c r="F61" s="143"/>
      <c r="G61" s="130"/>
      <c r="H61" s="126" t="s">
        <v>402</v>
      </c>
      <c r="I61" s="360"/>
      <c r="J61" s="375"/>
      <c r="K61" s="240">
        <f>E45</f>
        <v>0</v>
      </c>
      <c r="L61" s="130"/>
      <c r="M61" s="57"/>
      <c r="N61" s="57"/>
      <c r="O61" s="130"/>
    </row>
    <row r="62" spans="1:15" s="13" customFormat="1">
      <c r="A62" s="130"/>
      <c r="B62" s="130"/>
      <c r="C62" s="144"/>
      <c r="D62" s="130"/>
      <c r="E62" s="130"/>
      <c r="F62" s="143"/>
      <c r="G62" s="130"/>
      <c r="H62" s="126"/>
      <c r="I62" s="377"/>
      <c r="J62" s="127"/>
      <c r="K62" s="239"/>
      <c r="L62" s="130"/>
      <c r="M62" s="57"/>
      <c r="N62" s="57"/>
      <c r="O62" s="130"/>
    </row>
    <row r="63" spans="1:15" s="13" customFormat="1">
      <c r="A63" s="130"/>
      <c r="B63" s="130"/>
      <c r="C63" s="144"/>
      <c r="D63" s="130"/>
      <c r="E63" s="130"/>
      <c r="F63" s="143"/>
      <c r="G63" s="130"/>
      <c r="H63" s="353" t="s">
        <v>403</v>
      </c>
      <c r="I63" s="378"/>
      <c r="J63" s="379"/>
      <c r="K63" s="251" t="e">
        <f>SUM(K45:K62)</f>
        <v>#DIV/0!</v>
      </c>
      <c r="L63" s="130"/>
      <c r="M63" s="57"/>
      <c r="N63" s="57"/>
      <c r="O63" s="130"/>
    </row>
    <row r="64" spans="1:15" s="13" customFormat="1">
      <c r="A64" s="130"/>
      <c r="B64" s="130"/>
      <c r="C64" s="144"/>
      <c r="D64" s="130"/>
      <c r="E64" s="130"/>
      <c r="F64" s="143"/>
      <c r="G64" s="130"/>
      <c r="H64" s="57"/>
      <c r="I64" s="133"/>
      <c r="J64" s="380"/>
      <c r="K64" s="224"/>
      <c r="L64" s="130"/>
      <c r="M64" s="57"/>
      <c r="N64" s="57"/>
      <c r="O64" s="57"/>
    </row>
    <row r="65" spans="1:15" s="13" customFormat="1">
      <c r="A65" s="130"/>
      <c r="B65" s="130"/>
      <c r="C65" s="144"/>
      <c r="D65" s="130"/>
      <c r="E65" s="57"/>
      <c r="F65" s="143"/>
      <c r="G65" s="130"/>
      <c r="H65" s="381" t="s">
        <v>404</v>
      </c>
      <c r="I65" s="382"/>
      <c r="J65" s="383"/>
      <c r="K65" s="254" t="e">
        <f>E49</f>
        <v>#DIV/0!</v>
      </c>
      <c r="L65" s="130"/>
      <c r="M65" s="57"/>
      <c r="N65" s="57"/>
      <c r="O65" s="57"/>
    </row>
    <row r="66" spans="1:15">
      <c r="H66" s="130"/>
      <c r="I66" s="140"/>
      <c r="J66" s="141"/>
      <c r="K66" s="256"/>
      <c r="L66" s="130"/>
    </row>
    <row r="67" spans="1:15">
      <c r="H67" s="381" t="s">
        <v>405</v>
      </c>
      <c r="I67" s="382"/>
      <c r="J67" s="383"/>
      <c r="K67" s="254" t="e">
        <f>E51</f>
        <v>#DIV/0!</v>
      </c>
      <c r="L67" s="130"/>
    </row>
    <row r="68" spans="1:15">
      <c r="H68" s="130"/>
      <c r="I68" s="140"/>
      <c r="J68" s="141"/>
      <c r="K68" s="256"/>
      <c r="L68" s="130"/>
    </row>
    <row r="69" spans="1:15">
      <c r="H69" s="381" t="s">
        <v>406</v>
      </c>
      <c r="I69" s="382"/>
      <c r="J69" s="383"/>
      <c r="K69" s="254" t="e">
        <f>E53</f>
        <v>#DIV/0!</v>
      </c>
      <c r="L69" s="130"/>
    </row>
    <row r="70" spans="1:15">
      <c r="L70" s="130"/>
      <c r="O70" s="130"/>
    </row>
    <row r="71" spans="1:15">
      <c r="O71" s="130"/>
    </row>
    <row r="72" spans="1:15">
      <c r="O72" s="130"/>
    </row>
    <row r="73" spans="1:15">
      <c r="O73" s="130"/>
    </row>
    <row r="74" spans="1:15">
      <c r="O74" s="130"/>
    </row>
    <row r="75" spans="1:15">
      <c r="O75" s="130"/>
    </row>
    <row r="76" spans="1:15">
      <c r="O76" s="130"/>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20"/>
  <sheetViews>
    <sheetView showGridLines="0" zoomScaleNormal="100" workbookViewId="0">
      <pane ySplit="10" topLeftCell="A11" activePane="bottomLeft" state="frozen"/>
      <selection activeCell="B1" sqref="B1"/>
      <selection pane="bottomLeft"/>
    </sheetView>
  </sheetViews>
  <sheetFormatPr defaultColWidth="9.109375" defaultRowHeight="13.2"/>
  <cols>
    <col min="1" max="1" width="28.109375" style="57" customWidth="1"/>
    <col min="2" max="2" width="55.33203125" style="57" bestFit="1" customWidth="1"/>
    <col min="3" max="3" width="15.88671875" style="57" customWidth="1"/>
    <col min="4" max="4" width="19.5546875" style="57" customWidth="1"/>
    <col min="5" max="5" width="15.33203125" style="57" customWidth="1"/>
    <col min="6" max="6" width="12.88671875" style="57" customWidth="1"/>
    <col min="7" max="7" width="12.33203125" style="57" bestFit="1" customWidth="1"/>
    <col min="8" max="8" width="13.6640625" style="57" bestFit="1" customWidth="1"/>
    <col min="9" max="9" width="19.88671875" style="2" customWidth="1"/>
    <col min="10" max="16384" width="9.109375" style="2"/>
  </cols>
  <sheetData>
    <row r="1" spans="1:9" ht="16.2">
      <c r="A1" s="450" t="s">
        <v>4</v>
      </c>
      <c r="D1" s="192" t="s">
        <v>409</v>
      </c>
      <c r="E1" s="193"/>
      <c r="F1" s="193"/>
      <c r="G1" s="194"/>
      <c r="H1" s="195" t="s">
        <v>410</v>
      </c>
    </row>
    <row r="2" spans="1:9">
      <c r="A2" s="88"/>
      <c r="D2" s="145" t="s">
        <v>411</v>
      </c>
      <c r="E2" s="146"/>
      <c r="F2" s="146"/>
      <c r="G2" s="147"/>
      <c r="H2" s="263"/>
    </row>
    <row r="3" spans="1:9" ht="15.6">
      <c r="A3" s="37" t="str">
        <f>'2-Kosten per locatie'!A3</f>
        <v>Naam opdrachtgever</v>
      </c>
      <c r="B3" s="148" t="str">
        <f>'2-Kosten per locatie'!B3</f>
        <v>Gemeente Westerkwartier</v>
      </c>
      <c r="D3" s="145" t="s">
        <v>412</v>
      </c>
      <c r="E3" s="146"/>
      <c r="F3" s="146"/>
      <c r="G3" s="147"/>
      <c r="H3" s="263"/>
    </row>
    <row r="4" spans="1:9" ht="15.6">
      <c r="A4" s="37" t="str">
        <f>'2-Kosten per locatie'!A4</f>
        <v>Calculatie onderdeel</v>
      </c>
      <c r="B4" s="46" t="str">
        <f ca="1">MID(CELL("bestandsnaam",$C$9),SEARCH("]",CELL("bestandsnaam",$C$9),1)+1,256)</f>
        <v>8-Additionele kosten</v>
      </c>
      <c r="D4" s="145" t="s">
        <v>413</v>
      </c>
      <c r="E4" s="146"/>
      <c r="F4" s="146"/>
      <c r="G4" s="147"/>
      <c r="H4" s="263"/>
    </row>
    <row r="5" spans="1:9" ht="15.6">
      <c r="A5" s="37" t="str">
        <f>'2-Kosten per locatie'!A5</f>
        <v>Gebouw/plaats</v>
      </c>
      <c r="B5" s="148" t="str">
        <f>'2-Kosten per locatie'!B5</f>
        <v>Perceel 2 sportlocaties</v>
      </c>
      <c r="D5" s="145" t="s">
        <v>490</v>
      </c>
      <c r="E5" s="146"/>
      <c r="F5" s="146"/>
      <c r="G5" s="147"/>
      <c r="H5" s="263"/>
    </row>
    <row r="6" spans="1:9" ht="15.6">
      <c r="A6" s="37" t="str">
        <f>'2-Kosten per locatie'!A6</f>
        <v>Referentie nummer</v>
      </c>
      <c r="B6" s="148">
        <f>'2-Kosten per locatie'!B6</f>
        <v>0</v>
      </c>
      <c r="D6" s="145" t="s">
        <v>491</v>
      </c>
      <c r="E6" s="146"/>
      <c r="F6" s="146"/>
      <c r="G6" s="147"/>
      <c r="H6" s="263"/>
    </row>
    <row r="7" spans="1:9" ht="15" customHeight="1">
      <c r="A7" s="37" t="str">
        <f>'2-Kosten per locatie'!A7</f>
        <v>Naam dienstverlener</v>
      </c>
      <c r="B7" s="148">
        <f>'2-Kosten per locatie'!B7</f>
        <v>0</v>
      </c>
      <c r="I7" s="21"/>
    </row>
    <row r="8" spans="1:9" ht="15.6">
      <c r="A8" s="37" t="str">
        <f>'2-Kosten per locatie'!A8</f>
        <v>Prijspeil</v>
      </c>
      <c r="B8" s="264">
        <f>'2-Kosten per locatie'!B8</f>
        <v>46023</v>
      </c>
      <c r="I8" s="21"/>
    </row>
    <row r="10" spans="1:9" ht="32.4">
      <c r="A10" s="387" t="s">
        <v>22</v>
      </c>
      <c r="B10" s="387" t="s">
        <v>414</v>
      </c>
      <c r="C10" s="387" t="s">
        <v>415</v>
      </c>
      <c r="D10" s="387" t="s">
        <v>416</v>
      </c>
      <c r="E10" s="387" t="s">
        <v>417</v>
      </c>
      <c r="F10" s="387" t="s">
        <v>418</v>
      </c>
      <c r="G10" s="387" t="s">
        <v>419</v>
      </c>
      <c r="H10" s="387" t="s">
        <v>420</v>
      </c>
    </row>
    <row r="11" spans="1:9">
      <c r="A11" s="271" t="s">
        <v>33</v>
      </c>
      <c r="B11" s="67" t="s">
        <v>421</v>
      </c>
      <c r="C11" s="460">
        <f>'2-Kosten per locatie'!B19</f>
        <v>1414.3200000000002</v>
      </c>
      <c r="D11" s="388">
        <v>1</v>
      </c>
      <c r="E11" s="266"/>
      <c r="F11" s="389">
        <f t="shared" ref="F11:F18" si="0">E11*D11</f>
        <v>0</v>
      </c>
      <c r="G11" s="390">
        <f>H6</f>
        <v>0</v>
      </c>
      <c r="H11" s="209">
        <f t="shared" ref="H11:H18" si="1">G11*F11</f>
        <v>0</v>
      </c>
    </row>
    <row r="12" spans="1:9">
      <c r="A12" s="271" t="s">
        <v>34</v>
      </c>
      <c r="B12" s="67" t="s">
        <v>422</v>
      </c>
      <c r="C12" s="460">
        <v>1538</v>
      </c>
      <c r="D12" s="388">
        <v>1</v>
      </c>
      <c r="E12" s="266"/>
      <c r="F12" s="389">
        <f t="shared" ref="F12" si="2">E12*D12</f>
        <v>0</v>
      </c>
      <c r="G12" s="390">
        <f>H5</f>
        <v>0</v>
      </c>
      <c r="H12" s="209">
        <f t="shared" si="1"/>
        <v>0</v>
      </c>
    </row>
    <row r="13" spans="1:9">
      <c r="A13" s="271" t="s">
        <v>30</v>
      </c>
      <c r="B13" s="67" t="s">
        <v>422</v>
      </c>
      <c r="C13" s="460">
        <v>1430</v>
      </c>
      <c r="D13" s="388">
        <v>1</v>
      </c>
      <c r="E13" s="266"/>
      <c r="F13" s="389">
        <f t="shared" si="0"/>
        <v>0</v>
      </c>
      <c r="G13" s="390">
        <f>H5</f>
        <v>0</v>
      </c>
      <c r="H13" s="209">
        <f t="shared" si="1"/>
        <v>0</v>
      </c>
    </row>
    <row r="14" spans="1:9">
      <c r="A14" s="271" t="s">
        <v>31</v>
      </c>
      <c r="B14" s="67" t="s">
        <v>422</v>
      </c>
      <c r="C14" s="460">
        <v>1072</v>
      </c>
      <c r="D14" s="388">
        <v>1</v>
      </c>
      <c r="E14" s="266"/>
      <c r="F14" s="389">
        <f t="shared" ref="F14" si="3">E14*D14</f>
        <v>0</v>
      </c>
      <c r="G14" s="390">
        <f>H5</f>
        <v>0</v>
      </c>
      <c r="H14" s="209">
        <f t="shared" ref="H14" si="4">G14*F14</f>
        <v>0</v>
      </c>
      <c r="I14" s="35"/>
    </row>
    <row r="15" spans="1:9">
      <c r="A15" s="271" t="s">
        <v>32</v>
      </c>
      <c r="B15" s="67" t="s">
        <v>422</v>
      </c>
      <c r="C15" s="460">
        <v>408</v>
      </c>
      <c r="D15" s="388">
        <v>1</v>
      </c>
      <c r="E15" s="266"/>
      <c r="F15" s="389">
        <f t="shared" si="0"/>
        <v>0</v>
      </c>
      <c r="G15" s="390">
        <f>H5</f>
        <v>0</v>
      </c>
      <c r="H15" s="209">
        <f t="shared" si="1"/>
        <v>0</v>
      </c>
    </row>
    <row r="16" spans="1:9">
      <c r="A16" s="271" t="s">
        <v>29</v>
      </c>
      <c r="B16" s="67" t="s">
        <v>422</v>
      </c>
      <c r="C16" s="460">
        <v>417</v>
      </c>
      <c r="D16" s="388">
        <v>1</v>
      </c>
      <c r="E16" s="266"/>
      <c r="F16" s="389">
        <f t="shared" si="0"/>
        <v>0</v>
      </c>
      <c r="G16" s="390">
        <f>H5</f>
        <v>0</v>
      </c>
      <c r="H16" s="209">
        <f t="shared" si="1"/>
        <v>0</v>
      </c>
    </row>
    <row r="17" spans="1:8">
      <c r="A17" s="271"/>
      <c r="B17" s="67"/>
      <c r="C17" s="388"/>
      <c r="D17" s="388"/>
      <c r="E17" s="266"/>
      <c r="F17" s="389">
        <f t="shared" si="0"/>
        <v>0</v>
      </c>
      <c r="G17" s="390">
        <v>0</v>
      </c>
      <c r="H17" s="209">
        <f t="shared" si="1"/>
        <v>0</v>
      </c>
    </row>
    <row r="18" spans="1:8">
      <c r="A18" s="271"/>
      <c r="B18" s="67"/>
      <c r="C18" s="388"/>
      <c r="D18" s="388"/>
      <c r="E18" s="266"/>
      <c r="F18" s="389">
        <f t="shared" si="0"/>
        <v>0</v>
      </c>
      <c r="G18" s="390">
        <v>0</v>
      </c>
      <c r="H18" s="209">
        <f t="shared" si="1"/>
        <v>0</v>
      </c>
    </row>
    <row r="19" spans="1:8">
      <c r="A19" s="86"/>
      <c r="C19" s="80"/>
      <c r="D19" s="80"/>
      <c r="E19" s="80"/>
      <c r="F19" s="80"/>
      <c r="G19" s="80"/>
      <c r="H19" s="80"/>
    </row>
    <row r="20" spans="1:8" s="12" customFormat="1">
      <c r="A20" s="316" t="s">
        <v>35</v>
      </c>
      <c r="B20" s="328"/>
      <c r="C20" s="328"/>
      <c r="D20" s="328"/>
      <c r="E20" s="328"/>
      <c r="F20" s="391">
        <f>SUM(F11:F18)</f>
        <v>0</v>
      </c>
      <c r="G20" s="328"/>
      <c r="H20" s="259">
        <f>SUM(H11:H19)</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57"/>
  <sheetViews>
    <sheetView showGridLines="0" showZeros="0" zoomScaleNormal="100" zoomScaleSheetLayoutView="75" zoomScalePageLayoutView="50" workbookViewId="0">
      <pane ySplit="10" topLeftCell="A11" activePane="bottomLeft" state="frozen"/>
      <selection activeCell="B1" sqref="B1"/>
      <selection pane="bottomLeft"/>
    </sheetView>
  </sheetViews>
  <sheetFormatPr defaultColWidth="11.44140625" defaultRowHeight="13.2"/>
  <cols>
    <col min="1" max="1" width="39" style="57" customWidth="1"/>
    <col min="2" max="2" width="20.33203125" style="57" customWidth="1"/>
    <col min="3" max="6" width="17.5546875" style="57" customWidth="1"/>
    <col min="7" max="16384" width="11.44140625" style="2"/>
  </cols>
  <sheetData>
    <row r="1" spans="1:6">
      <c r="A1" s="450" t="s">
        <v>4</v>
      </c>
      <c r="B1" s="149"/>
      <c r="C1" s="149"/>
      <c r="D1" s="150"/>
    </row>
    <row r="2" spans="1:6">
      <c r="A2" s="88"/>
    </row>
    <row r="3" spans="1:6" ht="15.6">
      <c r="A3" s="37" t="str">
        <f>'2-Kosten per locatie'!A3</f>
        <v>Naam opdrachtgever</v>
      </c>
      <c r="B3" s="46" t="str">
        <f>'2-Kosten per locatie'!B3</f>
        <v>Gemeente Westerkwartier</v>
      </c>
      <c r="C3" s="151"/>
      <c r="D3" s="151"/>
    </row>
    <row r="4" spans="1:6" ht="15.6">
      <c r="A4" s="37" t="str">
        <f>'2-Kosten per locatie'!A4</f>
        <v>Calculatie onderdeel</v>
      </c>
      <c r="B4" s="46" t="str">
        <f ca="1">MID(CELL("bestandsnaam",$C$9),SEARCH("]",CELL("bestandsnaam",$C$9),1)+1,256)</f>
        <v>9-Afroepprijs</v>
      </c>
      <c r="C4" s="152"/>
      <c r="D4" s="153"/>
    </row>
    <row r="5" spans="1:6" ht="15.6">
      <c r="A5" s="37" t="str">
        <f>'2-Kosten per locatie'!A5</f>
        <v>Gebouw/plaats</v>
      </c>
      <c r="B5" s="46" t="str">
        <f>'2-Kosten per locatie'!B5</f>
        <v>Perceel 2 sportlocaties</v>
      </c>
      <c r="C5" s="152"/>
      <c r="D5" s="153"/>
    </row>
    <row r="6" spans="1:6" ht="15.6">
      <c r="A6" s="37" t="str">
        <f>'2-Kosten per locatie'!A6</f>
        <v>Referentie nummer</v>
      </c>
      <c r="B6" s="46">
        <f>'2-Kosten per locatie'!B6</f>
        <v>0</v>
      </c>
      <c r="C6" s="152"/>
      <c r="D6" s="153"/>
    </row>
    <row r="7" spans="1:6" ht="15.6">
      <c r="A7" s="37" t="str">
        <f>'2-Kosten per locatie'!A7</f>
        <v>Naam dienstverlener</v>
      </c>
      <c r="B7" s="46">
        <f>'2-Kosten per locatie'!B7</f>
        <v>0</v>
      </c>
      <c r="C7" s="152"/>
      <c r="D7" s="153"/>
    </row>
    <row r="8" spans="1:6" ht="15.6">
      <c r="A8" s="37" t="str">
        <f>'2-Kosten per locatie'!A8</f>
        <v>Prijspeil</v>
      </c>
      <c r="B8" s="235">
        <f>'2-Kosten per locatie'!B8</f>
        <v>46023</v>
      </c>
      <c r="C8" s="152"/>
      <c r="D8" s="153"/>
    </row>
    <row r="9" spans="1:6" ht="15.6">
      <c r="A9" s="154"/>
      <c r="B9" s="155"/>
      <c r="C9" s="152"/>
      <c r="D9" s="153"/>
    </row>
    <row r="10" spans="1:6">
      <c r="A10" s="156"/>
      <c r="B10" s="157"/>
      <c r="C10" s="157"/>
      <c r="D10" s="157"/>
    </row>
    <row r="11" spans="1:6" ht="18.600000000000001">
      <c r="A11" s="392" t="s">
        <v>423</v>
      </c>
      <c r="B11" s="393"/>
      <c r="C11" s="393"/>
      <c r="D11" s="394"/>
      <c r="E11" s="394"/>
      <c r="F11" s="395"/>
    </row>
    <row r="13" spans="1:6">
      <c r="A13" s="396"/>
      <c r="B13" s="397"/>
      <c r="C13" s="491" t="s">
        <v>424</v>
      </c>
      <c r="D13" s="492"/>
      <c r="E13" s="492"/>
      <c r="F13" s="493"/>
    </row>
    <row r="14" spans="1:6">
      <c r="A14" s="398" t="s">
        <v>425</v>
      </c>
      <c r="B14" s="398" t="s">
        <v>426</v>
      </c>
      <c r="C14" s="399" t="s">
        <v>427</v>
      </c>
      <c r="D14" s="388" t="s">
        <v>428</v>
      </c>
      <c r="E14" s="388" t="s">
        <v>429</v>
      </c>
      <c r="F14" s="388" t="s">
        <v>430</v>
      </c>
    </row>
    <row r="15" spans="1:6">
      <c r="A15" s="400" t="s">
        <v>431</v>
      </c>
      <c r="B15" s="400" t="s">
        <v>432</v>
      </c>
      <c r="C15" s="401"/>
      <c r="D15" s="401"/>
      <c r="E15" s="401"/>
      <c r="F15" s="401"/>
    </row>
    <row r="16" spans="1:6">
      <c r="A16" s="400" t="s">
        <v>433</v>
      </c>
      <c r="B16" s="400" t="s">
        <v>432</v>
      </c>
      <c r="C16" s="401"/>
      <c r="D16" s="401"/>
      <c r="E16" s="401"/>
      <c r="F16" s="401"/>
    </row>
    <row r="17" spans="1:6">
      <c r="A17" s="400" t="s">
        <v>434</v>
      </c>
      <c r="B17" s="400" t="s">
        <v>435</v>
      </c>
      <c r="C17" s="401"/>
      <c r="D17" s="401"/>
      <c r="E17" s="401"/>
      <c r="F17" s="401"/>
    </row>
    <row r="18" spans="1:6">
      <c r="A18" s="398" t="s">
        <v>436</v>
      </c>
      <c r="B18" s="402"/>
      <c r="C18" s="401"/>
      <c r="D18" s="401"/>
      <c r="E18" s="401"/>
      <c r="F18" s="401"/>
    </row>
    <row r="19" spans="1:6">
      <c r="A19" s="398" t="s">
        <v>437</v>
      </c>
      <c r="B19" s="402"/>
      <c r="C19" s="401"/>
      <c r="D19" s="401"/>
      <c r="E19" s="401"/>
      <c r="F19" s="401"/>
    </row>
    <row r="20" spans="1:6">
      <c r="A20" s="158"/>
      <c r="B20" s="158"/>
      <c r="C20" s="158"/>
      <c r="D20" s="149"/>
    </row>
    <row r="21" spans="1:6" ht="18.600000000000001">
      <c r="A21" s="392" t="s">
        <v>438</v>
      </c>
      <c r="B21" s="403"/>
      <c r="C21" s="403"/>
      <c r="D21" s="403"/>
      <c r="E21" s="403"/>
      <c r="F21" s="404"/>
    </row>
    <row r="22" spans="1:6">
      <c r="A22" s="159"/>
      <c r="B22" s="158"/>
      <c r="C22" s="158"/>
      <c r="D22" s="149"/>
      <c r="E22" s="491" t="s">
        <v>439</v>
      </c>
      <c r="F22" s="493"/>
    </row>
    <row r="23" spans="1:6">
      <c r="A23" s="398" t="s">
        <v>440</v>
      </c>
      <c r="B23" s="405" t="s">
        <v>426</v>
      </c>
      <c r="C23" s="406"/>
      <c r="D23" s="407"/>
      <c r="E23" s="408" t="s">
        <v>441</v>
      </c>
      <c r="F23" s="408" t="s">
        <v>442</v>
      </c>
    </row>
    <row r="24" spans="1:6">
      <c r="A24" s="400" t="s">
        <v>443</v>
      </c>
      <c r="B24" s="402" t="s">
        <v>444</v>
      </c>
      <c r="C24" s="180"/>
      <c r="D24" s="180"/>
      <c r="E24" s="401"/>
      <c r="F24" s="401"/>
    </row>
    <row r="25" spans="1:6">
      <c r="A25" s="400" t="s">
        <v>445</v>
      </c>
      <c r="B25" s="402" t="s">
        <v>444</v>
      </c>
      <c r="C25" s="409"/>
      <c r="D25" s="409"/>
      <c r="E25" s="401"/>
      <c r="F25" s="401"/>
    </row>
    <row r="26" spans="1:6">
      <c r="A26" s="400" t="s">
        <v>446</v>
      </c>
      <c r="B26" s="402" t="s">
        <v>444</v>
      </c>
      <c r="C26" s="409"/>
      <c r="D26" s="409"/>
      <c r="E26" s="401"/>
      <c r="F26" s="401"/>
    </row>
    <row r="27" spans="1:6">
      <c r="A27" s="400" t="s">
        <v>447</v>
      </c>
      <c r="B27" s="402" t="s">
        <v>444</v>
      </c>
      <c r="C27" s="410"/>
      <c r="D27" s="409"/>
      <c r="E27" s="401"/>
      <c r="F27" s="401"/>
    </row>
    <row r="28" spans="1:6">
      <c r="A28" s="400" t="s">
        <v>448</v>
      </c>
      <c r="B28" s="402" t="s">
        <v>444</v>
      </c>
      <c r="C28" s="410"/>
      <c r="D28" s="409"/>
      <c r="E28" s="401"/>
      <c r="F28" s="401"/>
    </row>
    <row r="29" spans="1:6">
      <c r="A29" s="160"/>
      <c r="B29" s="161"/>
      <c r="C29" s="161"/>
      <c r="D29" s="160"/>
    </row>
    <row r="30" spans="1:6" ht="18.600000000000001">
      <c r="A30" s="392" t="s">
        <v>449</v>
      </c>
      <c r="B30" s="403"/>
      <c r="C30" s="403"/>
      <c r="D30" s="403"/>
      <c r="E30" s="403"/>
      <c r="F30" s="404"/>
    </row>
    <row r="31" spans="1:6">
      <c r="A31" s="411"/>
      <c r="B31" s="411"/>
      <c r="C31" s="411"/>
      <c r="D31" s="411"/>
    </row>
    <row r="32" spans="1:6" ht="26.4">
      <c r="A32" s="412" t="s">
        <v>450</v>
      </c>
      <c r="B32" s="413" t="s">
        <v>426</v>
      </c>
      <c r="C32" s="406"/>
      <c r="D32" s="407"/>
      <c r="E32" s="414" t="s">
        <v>451</v>
      </c>
      <c r="F32" s="415" t="s">
        <v>452</v>
      </c>
    </row>
    <row r="33" spans="1:6">
      <c r="A33" s="400" t="s">
        <v>453</v>
      </c>
      <c r="B33" s="402" t="s">
        <v>444</v>
      </c>
      <c r="C33" s="180"/>
      <c r="D33" s="180"/>
      <c r="E33" s="401"/>
      <c r="F33" s="401"/>
    </row>
    <row r="34" spans="1:6">
      <c r="A34" s="400" t="s">
        <v>454</v>
      </c>
      <c r="B34" s="402" t="s">
        <v>444</v>
      </c>
      <c r="C34" s="409"/>
      <c r="D34" s="409"/>
      <c r="E34" s="401"/>
      <c r="F34" s="401"/>
    </row>
    <row r="35" spans="1:6">
      <c r="A35" s="400" t="s">
        <v>455</v>
      </c>
      <c r="B35" s="402" t="s">
        <v>444</v>
      </c>
      <c r="C35" s="410"/>
      <c r="D35" s="409"/>
      <c r="E35" s="401"/>
      <c r="F35" s="401"/>
    </row>
    <row r="36" spans="1:6">
      <c r="A36" s="400" t="s">
        <v>456</v>
      </c>
      <c r="B36" s="402" t="s">
        <v>444</v>
      </c>
      <c r="C36" s="410"/>
      <c r="D36" s="409"/>
      <c r="E36" s="401"/>
      <c r="F36" s="401"/>
    </row>
    <row r="37" spans="1:6">
      <c r="A37" s="400" t="s">
        <v>457</v>
      </c>
      <c r="B37" s="402" t="s">
        <v>444</v>
      </c>
      <c r="C37" s="410"/>
      <c r="D37" s="409"/>
      <c r="E37" s="401"/>
      <c r="F37" s="401"/>
    </row>
    <row r="39" spans="1:6" ht="18.600000000000001">
      <c r="A39" s="392" t="s">
        <v>458</v>
      </c>
      <c r="B39" s="403"/>
      <c r="C39" s="403"/>
      <c r="D39" s="403"/>
      <c r="E39" s="403"/>
      <c r="F39" s="404"/>
    </row>
    <row r="40" spans="1:6">
      <c r="A40" s="159"/>
      <c r="B40" s="158"/>
      <c r="C40" s="158"/>
      <c r="D40" s="149"/>
    </row>
    <row r="41" spans="1:6">
      <c r="A41" s="398" t="s">
        <v>425</v>
      </c>
      <c r="B41" s="396" t="s">
        <v>426</v>
      </c>
      <c r="C41" s="411"/>
      <c r="D41" s="411"/>
      <c r="E41" s="411"/>
      <c r="F41" s="416" t="s">
        <v>459</v>
      </c>
    </row>
    <row r="42" spans="1:6">
      <c r="A42" s="400" t="s">
        <v>460</v>
      </c>
      <c r="B42" s="162" t="s">
        <v>411</v>
      </c>
      <c r="C42" s="162"/>
      <c r="D42" s="162"/>
      <c r="E42" s="162"/>
      <c r="F42" s="401"/>
    </row>
    <row r="43" spans="1:6">
      <c r="A43" s="400" t="s">
        <v>460</v>
      </c>
      <c r="B43" s="162" t="s">
        <v>412</v>
      </c>
      <c r="C43" s="162"/>
      <c r="D43" s="162"/>
      <c r="E43" s="162"/>
      <c r="F43" s="401"/>
    </row>
    <row r="44" spans="1:6">
      <c r="A44" s="400" t="s">
        <v>460</v>
      </c>
      <c r="B44" s="162" t="s">
        <v>413</v>
      </c>
      <c r="C44" s="162"/>
      <c r="D44" s="162"/>
      <c r="E44" s="162"/>
      <c r="F44" s="401"/>
    </row>
    <row r="45" spans="1:6">
      <c r="A45" s="400" t="s">
        <v>461</v>
      </c>
      <c r="B45" s="162" t="s">
        <v>411</v>
      </c>
      <c r="C45" s="162"/>
      <c r="D45" s="162"/>
      <c r="E45" s="162"/>
      <c r="F45" s="401"/>
    </row>
    <row r="46" spans="1:6">
      <c r="A46" s="158"/>
      <c r="B46" s="149"/>
      <c r="C46" s="149"/>
      <c r="D46" s="158"/>
    </row>
    <row r="47" spans="1:6" ht="15.6">
      <c r="A47" s="196" t="s">
        <v>462</v>
      </c>
      <c r="B47" s="149"/>
      <c r="C47" s="149"/>
      <c r="D47" s="158"/>
    </row>
    <row r="48" spans="1:6">
      <c r="A48" s="158" t="s">
        <v>463</v>
      </c>
    </row>
    <row r="49" spans="1:4">
      <c r="A49" s="158" t="s">
        <v>464</v>
      </c>
      <c r="B49" s="149"/>
      <c r="C49" s="149"/>
      <c r="D49" s="158"/>
    </row>
    <row r="50" spans="1:4" ht="12.75" customHeight="1">
      <c r="A50" s="158"/>
      <c r="B50" s="149"/>
      <c r="C50" s="149"/>
      <c r="D50" s="158"/>
    </row>
    <row r="51" spans="1:4">
      <c r="A51" s="158"/>
      <c r="B51" s="149"/>
      <c r="C51" s="149"/>
      <c r="D51" s="158"/>
    </row>
    <row r="52" spans="1:4">
      <c r="A52" s="158"/>
      <c r="B52" s="149"/>
      <c r="C52" s="149"/>
      <c r="D52" s="158"/>
    </row>
    <row r="54" spans="1:4">
      <c r="A54" s="163"/>
      <c r="B54" s="149"/>
      <c r="C54" s="149"/>
      <c r="D54" s="149"/>
    </row>
    <row r="55" spans="1:4">
      <c r="A55" s="163"/>
    </row>
    <row r="56" spans="1:4">
      <c r="A56" s="163"/>
    </row>
    <row r="57" spans="1:4">
      <c r="A57" s="163"/>
    </row>
  </sheetData>
  <mergeCells count="2">
    <mergeCell ref="C13:F13"/>
    <mergeCell ref="E22:F22"/>
  </mergeCells>
  <phoneticPr fontId="11"/>
  <conditionalFormatting sqref="E24:F37">
    <cfRule type="cellIs" dxfId="1" priority="3" stopIfTrue="1" operator="equal">
      <formula>"nvt"</formula>
    </cfRule>
  </conditionalFormatting>
  <conditionalFormatting sqref="F42:F4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51A0487DC660498D91D72092D9D42B" ma:contentTypeVersion="3" ma:contentTypeDescription="Een nieuw document maken." ma:contentTypeScope="" ma:versionID="ff1a2be79990da09ae57ac044e267df6">
  <xsd:schema xmlns:xsd="http://www.w3.org/2001/XMLSchema" xmlns:xs="http://www.w3.org/2001/XMLSchema" xmlns:p="http://schemas.microsoft.com/office/2006/metadata/properties" xmlns:ns2="28408a7f-0aa2-4e5e-9955-8bd8376ec665" targetNamespace="http://schemas.microsoft.com/office/2006/metadata/properties" ma:root="true" ma:fieldsID="b998fa3833adf9568331a0968fa82fcb" ns2:_="">
    <xsd:import namespace="28408a7f-0aa2-4e5e-9955-8bd8376ec66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408a7f-0aa2-4e5e-9955-8bd8376ec6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3E4837-CE50-4A32-A54A-9639DA900BA8}">
  <ds:schemaRefs>
    <ds:schemaRef ds:uri="http://schemas.microsoft.com/office/2006/documentManagement/types"/>
    <ds:schemaRef ds:uri="http://purl.org/dc/terms/"/>
    <ds:schemaRef ds:uri="2bdcc3f3-49a5-47c4-ae00-3e6a3f4b5f23"/>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96af1940-cf19-4b50-92f4-053594182cfa"/>
  </ds:schemaRefs>
</ds:datastoreItem>
</file>

<file path=customXml/itemProps2.xml><?xml version="1.0" encoding="utf-8"?>
<ds:datastoreItem xmlns:ds="http://schemas.openxmlformats.org/officeDocument/2006/customXml" ds:itemID="{DF30FBCC-CA02-4D07-906B-7CE51DFED3C7}"/>
</file>

<file path=customXml/itemProps3.xml><?xml version="1.0" encoding="utf-8"?>
<ds:datastoreItem xmlns:ds="http://schemas.openxmlformats.org/officeDocument/2006/customXml" ds:itemID="{CB9357A0-74EE-4EF5-91F0-DC5FEC2CAE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17</vt:i4>
      </vt:variant>
    </vt:vector>
  </HeadingPairs>
  <TitlesOfParts>
    <vt:vector size="28"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11-Vloeronderhoud</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'11-Vloeronderhoud'!Afdruktitels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Matthijs Bergers</cp:lastModifiedBy>
  <cp:revision/>
  <dcterms:created xsi:type="dcterms:W3CDTF">1999-10-05T12:28:40Z</dcterms:created>
  <dcterms:modified xsi:type="dcterms:W3CDTF">2025-09-04T19:06:32Z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0x0101002E51A0487DC660498D91D72092D9D42B</vt:lpwstr>
  </property>
  <property fmtid="{D5CDD505-2E9C-101B-9397-08002B2CF9AE}" pid="3" name="MediaServiceImageTags">
    <vt:lpwstr/>
  </property>
</Properties>
</file>