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ustomProperty1.bin" ContentType="application/vnd.openxmlformats-officedocument.spreadsheetml.customProperty"/>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adjustconsulting.sharepoint.com/sites/BUInkada/Gedeelde documenten/10 Projecten/Gemeente Raalte/Schoonmaak opvanglocaties 2025/4. Leidraad/"/>
    </mc:Choice>
  </mc:AlternateContent>
  <xr:revisionPtr revIDLastSave="1182" documentId="13_ncr:1_{5DA71EA9-2134-41E5-A488-8D77C9D1A221}" xr6:coauthVersionLast="47" xr6:coauthVersionMax="47" xr10:uidLastSave="{777637AC-BFE8-4C38-96DD-E736D91324C2}"/>
  <bookViews>
    <workbookView xWindow="-120" yWindow="-120" windowWidth="29040" windowHeight="15720" tabRatio="848" firstSheet="2" activeTab="11" xr2:uid="{00000000-000D-0000-FFFF-FFFF00000000}"/>
  </bookViews>
  <sheets>
    <sheet name="Overnamegegevens" sheetId="28" r:id="rId1"/>
    <sheet name="Legenda Handelingen" sheetId="29" r:id="rId2"/>
    <sheet name="Werkprogramma dieptereiniging" sheetId="41" r:id="rId3"/>
    <sheet name="Programma" sheetId="39" r:id="rId4"/>
    <sheet name="Tariefsopbouw" sheetId="31" r:id="rId5"/>
    <sheet name="Prestatiefactoren" sheetId="11" r:id="rId6"/>
    <sheet name="Ruimtestaat" sheetId="13" r:id="rId7"/>
    <sheet name="Vloeronderhoud" sheetId="38" r:id="rId8"/>
    <sheet name="Glasbewassing" sheetId="22" r:id="rId9"/>
    <sheet name="Sanitaire voorzieningen" sheetId="40" r:id="rId10"/>
    <sheet name="Regie en afroep" sheetId="24" r:id="rId11"/>
    <sheet name="Totalisatie" sheetId="19" r:id="rId12"/>
  </sheets>
  <externalReferences>
    <externalReference r:id="rId13"/>
    <externalReference r:id="rId14"/>
  </externalReferences>
  <definedNames>
    <definedName name="_1F" localSheetId="1" hidden="1">[1]Psychiatrie!#REF!</definedName>
    <definedName name="_1F" localSheetId="4" hidden="1">[1]Psychiatrie!#REF!</definedName>
    <definedName name="_1F" localSheetId="7" hidden="1">[1]Psychiatrie!#REF!</definedName>
    <definedName name="_1F" hidden="1">[1]Psychiatrie!#REF!</definedName>
    <definedName name="_2_0_F" localSheetId="1" hidden="1">[1]Psychiatrie!#REF!</definedName>
    <definedName name="_2_0_F" localSheetId="7" hidden="1">[1]Psychiatrie!#REF!</definedName>
    <definedName name="_2_0_F" hidden="1">[1]Psychiatrie!#REF!</definedName>
    <definedName name="_Dist_Bin" localSheetId="1" hidden="1">#REF!</definedName>
    <definedName name="_Dist_Bin" localSheetId="4" hidden="1">#REF!</definedName>
    <definedName name="_Dist_Bin" localSheetId="7" hidden="1">#REF!</definedName>
    <definedName name="_Dist_Bin" hidden="1">#REF!</definedName>
    <definedName name="_Dist_Values" localSheetId="7" hidden="1">#REF!</definedName>
    <definedName name="_Dist_Values" hidden="1">#REF!</definedName>
    <definedName name="_Fill" localSheetId="7" hidden="1">'[2]#REF'!#REF!</definedName>
    <definedName name="_Fill" hidden="1">'[2]#REF'!#REF!</definedName>
    <definedName name="_xlnm._FilterDatabase" localSheetId="11" hidden="1">Totalisatie!#REF!</definedName>
    <definedName name="_Key1" localSheetId="1" hidden="1">'[2]#REF'!#REF!</definedName>
    <definedName name="_Key1" localSheetId="7" hidden="1">'[2]#REF'!#REF!</definedName>
    <definedName name="_Key1" hidden="1">'[2]#REF'!#REF!</definedName>
    <definedName name="_Order1" hidden="1">255</definedName>
    <definedName name="_Sort" localSheetId="1" hidden="1">#REF!</definedName>
    <definedName name="_Sort" localSheetId="4" hidden="1">#REF!</definedName>
    <definedName name="_Sort" localSheetId="7" hidden="1">#REF!</definedName>
    <definedName name="_Sort" hidden="1">#REF!</definedName>
    <definedName name="_Table1_In1" localSheetId="7" hidden="1">#REF!</definedName>
    <definedName name="_Table1_In1" hidden="1">#REF!</definedName>
    <definedName name="_Table1_Out" localSheetId="7" hidden="1">#REF!</definedName>
    <definedName name="_Table1_Out" hidden="1">#REF!</definedName>
    <definedName name="_Toc534973915" localSheetId="1">'Legenda Handelingen'!$A$98</definedName>
    <definedName name="_Toc534973916" localSheetId="1">'Legenda Handelingen'!$A$100</definedName>
    <definedName name="_Toc534973917" localSheetId="1">'Legenda Handelingen'!$A$102</definedName>
    <definedName name="_Toc534973918" localSheetId="1">'Legenda Handelingen'!#REF!</definedName>
    <definedName name="_Toc534973919" localSheetId="1">'Legenda Handelingen'!$A$106</definedName>
    <definedName name="_Toc534973920" localSheetId="1">'Legenda Handelingen'!$A$107</definedName>
    <definedName name="_Toc534973921" localSheetId="1">'Legenda Handelingen'!$A$109</definedName>
    <definedName name="_Toc534973922" localSheetId="1">'Legenda Handelingen'!$A$111</definedName>
    <definedName name="_Toc534973923" localSheetId="1">'Legenda Handelingen'!$A$113</definedName>
    <definedName name="_Toc534973924" localSheetId="1">'Legenda Handelingen'!$A$115</definedName>
    <definedName name="_Toc534973925" localSheetId="1">'Legenda Handelingen'!#REF!</definedName>
    <definedName name="_Toc534973926" localSheetId="1">'Legenda Handelingen'!$A$117</definedName>
    <definedName name="_Toc534973927" localSheetId="1">'Legenda Handelingen'!$A$119</definedName>
    <definedName name="_Toc534973928" localSheetId="1">'Legenda Handelingen'!#REF!</definedName>
    <definedName name="_Toc534973929" localSheetId="1">'Legenda Handelingen'!$A$121</definedName>
    <definedName name="_Toc534973930" localSheetId="1">'Legenda Handelingen'!$A$123</definedName>
    <definedName name="_Toc534973931" localSheetId="1">'Legenda Handelingen'!$A$125</definedName>
    <definedName name="_Toc534973932" localSheetId="1">'Legenda Handelingen'!$A$130</definedName>
    <definedName name="_Toc534973933" localSheetId="1">'Legenda Handelingen'!$A$132</definedName>
    <definedName name="_Toc534973934" localSheetId="1">'Legenda Handelingen'!$A$134</definedName>
    <definedName name="AccessDatabase" hidden="1">"C:\data\excel\BASISWP.mdb"</definedName>
    <definedName name="_xlnm.Print_Area" localSheetId="8">Glasbewassing!$A$1:$I$34</definedName>
    <definedName name="_xlnm.Print_Area" localSheetId="1">'Legenda Handelingen'!$A$1:$B$136</definedName>
    <definedName name="_xlnm.Print_Area" localSheetId="5">Prestatiefactoren!$A$1:$F$52</definedName>
    <definedName name="_xlnm.Print_Area" localSheetId="10">'Regie en afroep'!$A$1:$I$79</definedName>
    <definedName name="_xlnm.Print_Area" localSheetId="6">'Ruimtestaat'!$A$1:$BV$244</definedName>
    <definedName name="_xlnm.Print_Area" localSheetId="4">Tariefsopbouw!$A$1:$Q$42</definedName>
    <definedName name="_xlnm.Print_Area" localSheetId="11">Totalisatie!$A$1:$I$25</definedName>
    <definedName name="_xlnm.Print_Area" localSheetId="7">Vloeronderhoud!$A$1:$I$30</definedName>
    <definedName name="_xlnm.Print_Area" localSheetId="2">'Werkprogramma dieptereiniging'!$A$1:$B$35</definedName>
    <definedName name="_xlnm.Print_Titles" localSheetId="6">'Ruimtestaat'!$2:$4</definedName>
    <definedName name="Glas" hidden="1">[1]Psychiatrie!#REF!</definedName>
    <definedName name="Invulglas1">Glasbewassing!$A$9:$I$19</definedName>
    <definedName name="Invulvloer1" localSheetId="7">Vloeronderhoud!$A$9:$I$18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6" i="22" l="1"/>
  <c r="D25" i="22"/>
  <c r="D29" i="22"/>
  <c r="D30" i="22"/>
  <c r="D31" i="22"/>
  <c r="D32" i="22"/>
  <c r="D33" i="22"/>
  <c r="D27" i="22"/>
  <c r="D28" i="22"/>
  <c r="D24" i="22"/>
  <c r="D23" i="22"/>
  <c r="D22" i="22"/>
  <c r="B19" i="40" l="1"/>
  <c r="D19" i="40"/>
  <c r="G19" i="40"/>
  <c r="H19" i="40" s="1"/>
  <c r="G26" i="22" l="1"/>
  <c r="H26" i="22" s="1"/>
  <c r="G25" i="22"/>
  <c r="H25" i="22" s="1"/>
  <c r="BC6" i="13" l="1"/>
  <c r="BE6" i="13" s="1"/>
  <c r="BC7" i="13"/>
  <c r="BU7" i="13" s="1"/>
  <c r="BC8" i="13"/>
  <c r="BD8" i="13" s="1"/>
  <c r="BC9" i="13"/>
  <c r="BE9" i="13" s="1"/>
  <c r="BC10" i="13"/>
  <c r="BD10" i="13" s="1"/>
  <c r="BC11" i="13"/>
  <c r="BC12" i="13"/>
  <c r="BD12" i="13" s="1"/>
  <c r="BC13" i="13"/>
  <c r="BC14" i="13"/>
  <c r="BI14" i="13" s="1"/>
  <c r="BC15" i="13"/>
  <c r="BU15" i="13" s="1"/>
  <c r="BC16" i="13"/>
  <c r="BF16" i="13" s="1"/>
  <c r="BC17" i="13"/>
  <c r="BE17" i="13" s="1"/>
  <c r="BC18" i="13"/>
  <c r="BJ18" i="13" s="1"/>
  <c r="BC19" i="13"/>
  <c r="BC20" i="13"/>
  <c r="BL20" i="13" s="1"/>
  <c r="BC21" i="13"/>
  <c r="BS21" i="13" s="1"/>
  <c r="BC22" i="13"/>
  <c r="BP22" i="13" s="1"/>
  <c r="BC23" i="13"/>
  <c r="BM23" i="13" s="1"/>
  <c r="BC24" i="13"/>
  <c r="BP24" i="13" s="1"/>
  <c r="BC25" i="13"/>
  <c r="BO25" i="13" s="1"/>
  <c r="BC26" i="13"/>
  <c r="BP26" i="13" s="1"/>
  <c r="BC27" i="13"/>
  <c r="BV27" i="13" s="1"/>
  <c r="BC28" i="13"/>
  <c r="BI28" i="13" s="1"/>
  <c r="BC29" i="13"/>
  <c r="BP29" i="13" s="1"/>
  <c r="BC30" i="13"/>
  <c r="BC31" i="13"/>
  <c r="BG31" i="13" s="1"/>
  <c r="BC32" i="13"/>
  <c r="BP32" i="13" s="1"/>
  <c r="BC33" i="13"/>
  <c r="BF33" i="13" s="1"/>
  <c r="BC34" i="13"/>
  <c r="BE34" i="13" s="1"/>
  <c r="BC35" i="13"/>
  <c r="BP35" i="13" s="1"/>
  <c r="BC36" i="13"/>
  <c r="BC37" i="13"/>
  <c r="BI37" i="13" s="1"/>
  <c r="BC38" i="13"/>
  <c r="BJ38" i="13" s="1"/>
  <c r="BC39" i="13"/>
  <c r="BE39" i="13" s="1"/>
  <c r="BC40" i="13"/>
  <c r="BF40" i="13" s="1"/>
  <c r="BC41" i="13"/>
  <c r="BF41" i="13" s="1"/>
  <c r="BC42" i="13"/>
  <c r="BD42" i="13" s="1"/>
  <c r="BC43" i="13"/>
  <c r="BI43" i="13" s="1"/>
  <c r="BC44" i="13"/>
  <c r="BN44" i="13" s="1"/>
  <c r="BC45" i="13"/>
  <c r="BN45" i="13" s="1"/>
  <c r="BC46" i="13"/>
  <c r="BC47" i="13"/>
  <c r="BO47" i="13" s="1"/>
  <c r="BC48" i="13"/>
  <c r="BC49" i="13"/>
  <c r="BQ49" i="13" s="1"/>
  <c r="BC50" i="13"/>
  <c r="BQ50" i="13" s="1"/>
  <c r="BC51" i="13"/>
  <c r="BK51" i="13" s="1"/>
  <c r="BC52" i="13"/>
  <c r="BF52" i="13" s="1"/>
  <c r="BC53" i="13"/>
  <c r="BN53" i="13" s="1"/>
  <c r="BC54" i="13"/>
  <c r="BO54" i="13" s="1"/>
  <c r="BC55" i="13"/>
  <c r="BI55" i="13" s="1"/>
  <c r="BC56" i="13"/>
  <c r="BN56" i="13" s="1"/>
  <c r="BC57" i="13"/>
  <c r="BP57" i="13" s="1"/>
  <c r="BC58" i="13"/>
  <c r="BE58" i="13" s="1"/>
  <c r="BC59" i="13"/>
  <c r="BK59" i="13" s="1"/>
  <c r="BC60" i="13"/>
  <c r="BR60" i="13" s="1"/>
  <c r="BC61" i="13"/>
  <c r="BJ61" i="13" s="1"/>
  <c r="BC62" i="13"/>
  <c r="BQ62" i="13" s="1"/>
  <c r="BC63" i="13"/>
  <c r="BU63" i="13" s="1"/>
  <c r="BC64" i="13"/>
  <c r="BD64" i="13" s="1"/>
  <c r="BC65" i="13"/>
  <c r="BT65" i="13" s="1"/>
  <c r="BC66" i="13"/>
  <c r="BG66" i="13" s="1"/>
  <c r="BC67" i="13"/>
  <c r="BC68" i="13"/>
  <c r="BC69" i="13"/>
  <c r="BE69" i="13" s="1"/>
  <c r="BC70" i="13"/>
  <c r="BH70" i="13" s="1"/>
  <c r="BC71" i="13"/>
  <c r="BN71" i="13" s="1"/>
  <c r="BC72" i="13"/>
  <c r="BC73" i="13"/>
  <c r="BJ73" i="13" s="1"/>
  <c r="BC74" i="13"/>
  <c r="BQ74" i="13" s="1"/>
  <c r="BC75" i="13"/>
  <c r="BG75" i="13" s="1"/>
  <c r="BC76" i="13"/>
  <c r="BC77" i="13"/>
  <c r="BE77" i="13" s="1"/>
  <c r="BC78" i="13"/>
  <c r="BH78" i="13" s="1"/>
  <c r="BC79" i="13"/>
  <c r="BP79" i="13" s="1"/>
  <c r="BC80" i="13"/>
  <c r="BN80" i="13" s="1"/>
  <c r="BC81" i="13"/>
  <c r="BE81" i="13" s="1"/>
  <c r="BC82" i="13"/>
  <c r="BM82" i="13" s="1"/>
  <c r="BC83" i="13"/>
  <c r="BI83" i="13" s="1"/>
  <c r="BC84" i="13"/>
  <c r="BM84" i="13" s="1"/>
  <c r="BC85" i="13"/>
  <c r="BC86" i="13"/>
  <c r="BM86" i="13" s="1"/>
  <c r="BC87" i="13"/>
  <c r="BS87" i="13" s="1"/>
  <c r="BC88" i="13"/>
  <c r="BH88" i="13" s="1"/>
  <c r="BC89" i="13"/>
  <c r="BH89" i="13" s="1"/>
  <c r="BC90" i="13"/>
  <c r="BM90" i="13" s="1"/>
  <c r="BC91" i="13"/>
  <c r="BE91" i="13" s="1"/>
  <c r="BC92" i="13"/>
  <c r="BI92" i="13" s="1"/>
  <c r="BC93" i="13"/>
  <c r="BC94" i="13"/>
  <c r="BH94" i="13" s="1"/>
  <c r="BC95" i="13"/>
  <c r="BE95" i="13" s="1"/>
  <c r="BC96" i="13"/>
  <c r="BC97" i="13"/>
  <c r="BF97" i="13" s="1"/>
  <c r="BC98" i="13"/>
  <c r="BP98" i="13" s="1"/>
  <c r="BC99" i="13"/>
  <c r="BD99" i="13" s="1"/>
  <c r="BC100" i="13"/>
  <c r="BN100" i="13" s="1"/>
  <c r="BC101" i="13"/>
  <c r="BR101" i="13" s="1"/>
  <c r="BC102" i="13"/>
  <c r="BC103" i="13"/>
  <c r="BU103" i="13" s="1"/>
  <c r="BC104" i="13"/>
  <c r="BH104" i="13" s="1"/>
  <c r="BC105" i="13"/>
  <c r="BF105" i="13" s="1"/>
  <c r="BC106" i="13"/>
  <c r="BH106" i="13" s="1"/>
  <c r="BC107" i="13"/>
  <c r="BQ107" i="13" s="1"/>
  <c r="BC108" i="13"/>
  <c r="BK108" i="13" s="1"/>
  <c r="BC109" i="13"/>
  <c r="BI109" i="13" s="1"/>
  <c r="BC110" i="13"/>
  <c r="BE110" i="13" s="1"/>
  <c r="BC111" i="13"/>
  <c r="BE111" i="13" s="1"/>
  <c r="BC112" i="13"/>
  <c r="BD112" i="13" s="1"/>
  <c r="BC113" i="13"/>
  <c r="BN113" i="13" s="1"/>
  <c r="BC114" i="13"/>
  <c r="BG114" i="13" s="1"/>
  <c r="BC115" i="13"/>
  <c r="BK115" i="13" s="1"/>
  <c r="BC116" i="13"/>
  <c r="BU116" i="13" s="1"/>
  <c r="BC117" i="13"/>
  <c r="BQ117" i="13" s="1"/>
  <c r="BC118" i="13"/>
  <c r="BU118" i="13" s="1"/>
  <c r="BC119" i="13"/>
  <c r="BF119" i="13" s="1"/>
  <c r="BC120" i="13"/>
  <c r="BE120" i="13" s="1"/>
  <c r="BD120" i="13"/>
  <c r="BC121" i="13"/>
  <c r="BK121" i="13" s="1"/>
  <c r="BC122" i="13"/>
  <c r="BP122" i="13" s="1"/>
  <c r="BC123" i="13"/>
  <c r="BG123" i="13" s="1"/>
  <c r="BC124" i="13"/>
  <c r="BC125" i="13"/>
  <c r="BC126" i="13"/>
  <c r="BC127" i="13"/>
  <c r="BI127" i="13" s="1"/>
  <c r="BC128" i="13"/>
  <c r="BQ128" i="13" s="1"/>
  <c r="BC129" i="13"/>
  <c r="BI129" i="13" s="1"/>
  <c r="BC130" i="13"/>
  <c r="BD130" i="13" s="1"/>
  <c r="BC131" i="13"/>
  <c r="BM131" i="13" s="1"/>
  <c r="BG131" i="13"/>
  <c r="BC132" i="13"/>
  <c r="BQ132" i="13" s="1"/>
  <c r="BC133" i="13"/>
  <c r="BF133" i="13" s="1"/>
  <c r="BC134" i="13"/>
  <c r="BD134" i="13" s="1"/>
  <c r="BC135" i="13"/>
  <c r="BM135" i="13" s="1"/>
  <c r="BC136" i="13"/>
  <c r="BJ136" i="13" s="1"/>
  <c r="BC137" i="13"/>
  <c r="BK137" i="13" s="1"/>
  <c r="BC138" i="13"/>
  <c r="BG138" i="13" s="1"/>
  <c r="BC139" i="13"/>
  <c r="BT139" i="13" s="1"/>
  <c r="BC140" i="13"/>
  <c r="BK140" i="13" s="1"/>
  <c r="BC141" i="13"/>
  <c r="BE141" i="13" s="1"/>
  <c r="BC142" i="13"/>
  <c r="BN142" i="13" s="1"/>
  <c r="BC143" i="13"/>
  <c r="BC144" i="13"/>
  <c r="BJ144" i="13" s="1"/>
  <c r="BC145" i="13"/>
  <c r="BL145" i="13" s="1"/>
  <c r="BC146" i="13"/>
  <c r="BH146" i="13" s="1"/>
  <c r="BC147" i="13"/>
  <c r="BC148" i="13"/>
  <c r="BE148" i="13" s="1"/>
  <c r="BC149" i="13"/>
  <c r="BC150" i="13"/>
  <c r="BC151" i="13"/>
  <c r="BH151" i="13" s="1"/>
  <c r="BC152" i="13"/>
  <c r="BE152" i="13" s="1"/>
  <c r="BC153" i="13"/>
  <c r="BD153" i="13" s="1"/>
  <c r="BC154" i="13"/>
  <c r="BH154" i="13" s="1"/>
  <c r="BC155" i="13"/>
  <c r="BF155" i="13" s="1"/>
  <c r="BC156" i="13"/>
  <c r="BM156" i="13" s="1"/>
  <c r="BC157" i="13"/>
  <c r="BR157" i="13" s="1"/>
  <c r="BC158" i="13"/>
  <c r="BM158" i="13" s="1"/>
  <c r="BC159" i="13"/>
  <c r="BG159" i="13" s="1"/>
  <c r="BC160" i="13"/>
  <c r="BR160" i="13" s="1"/>
  <c r="BC161" i="13"/>
  <c r="BD161" i="13" s="1"/>
  <c r="BC162" i="13"/>
  <c r="BC163" i="13"/>
  <c r="BQ163" i="13" s="1"/>
  <c r="BC164" i="13"/>
  <c r="BG164" i="13" s="1"/>
  <c r="BC165" i="13"/>
  <c r="BO165" i="13" s="1"/>
  <c r="BC166" i="13"/>
  <c r="BD166" i="13" s="1"/>
  <c r="BC167" i="13"/>
  <c r="BG167" i="13" s="1"/>
  <c r="BC168" i="13"/>
  <c r="BE168" i="13" s="1"/>
  <c r="BC169" i="13"/>
  <c r="BD169" i="13" s="1"/>
  <c r="BC170" i="13"/>
  <c r="BO170" i="13" s="1"/>
  <c r="BC171" i="13"/>
  <c r="BG171" i="13" s="1"/>
  <c r="BC172" i="13"/>
  <c r="BD172" i="13" s="1"/>
  <c r="BC173" i="13"/>
  <c r="BC174" i="13"/>
  <c r="BN174" i="13" s="1"/>
  <c r="BC175" i="13"/>
  <c r="BL175" i="13" s="1"/>
  <c r="BC176" i="13"/>
  <c r="BF176" i="13" s="1"/>
  <c r="BC177" i="13"/>
  <c r="BC178" i="13"/>
  <c r="BC179" i="13"/>
  <c r="BE179" i="13" s="1"/>
  <c r="BC180" i="13"/>
  <c r="BR180" i="13" s="1"/>
  <c r="BC181" i="13"/>
  <c r="BE181" i="13" s="1"/>
  <c r="BC182" i="13"/>
  <c r="BC183" i="13"/>
  <c r="BO183" i="13" s="1"/>
  <c r="BC184" i="13"/>
  <c r="BK184" i="13" s="1"/>
  <c r="BC185" i="13"/>
  <c r="BV185" i="13" s="1"/>
  <c r="BC186" i="13"/>
  <c r="BC187" i="13"/>
  <c r="BD187" i="13" s="1"/>
  <c r="BC188" i="13"/>
  <c r="BJ188" i="13" s="1"/>
  <c r="BC189" i="13"/>
  <c r="BM189" i="13" s="1"/>
  <c r="BC190" i="13"/>
  <c r="BI190" i="13" s="1"/>
  <c r="BC191" i="13"/>
  <c r="BG191" i="13" s="1"/>
  <c r="BC192" i="13"/>
  <c r="BE192" i="13" s="1"/>
  <c r="BC193" i="13"/>
  <c r="BD193" i="13" s="1"/>
  <c r="BC194" i="13"/>
  <c r="BF194" i="13" s="1"/>
  <c r="BC195" i="13"/>
  <c r="BG195" i="13" s="1"/>
  <c r="BC196" i="13"/>
  <c r="BE196" i="13" s="1"/>
  <c r="BC197" i="13"/>
  <c r="BE197" i="13" s="1"/>
  <c r="BC198" i="13"/>
  <c r="BO198" i="13" s="1"/>
  <c r="BC199" i="13"/>
  <c r="BK199" i="13" s="1"/>
  <c r="BC200" i="13"/>
  <c r="BN200" i="13" s="1"/>
  <c r="BC201" i="13"/>
  <c r="BD201" i="13" s="1"/>
  <c r="BC202" i="13"/>
  <c r="BP202" i="13" s="1"/>
  <c r="BC203" i="13"/>
  <c r="BL203" i="13" s="1"/>
  <c r="BC204" i="13"/>
  <c r="BM204" i="13" s="1"/>
  <c r="BC205" i="13"/>
  <c r="BL205" i="13" s="1"/>
  <c r="BC206" i="13"/>
  <c r="BI206" i="13" s="1"/>
  <c r="BC207" i="13"/>
  <c r="BD207" i="13" s="1"/>
  <c r="BC208" i="13"/>
  <c r="BE208" i="13" s="1"/>
  <c r="BC209" i="13"/>
  <c r="BC210" i="13"/>
  <c r="BM210" i="13" s="1"/>
  <c r="BC211" i="13"/>
  <c r="BC212" i="13"/>
  <c r="BM212" i="13" s="1"/>
  <c r="BC213" i="13"/>
  <c r="BC214" i="13"/>
  <c r="BG214" i="13" s="1"/>
  <c r="BC215" i="13"/>
  <c r="BS215" i="13" s="1"/>
  <c r="BC216" i="13"/>
  <c r="BI216" i="13" s="1"/>
  <c r="BC217" i="13"/>
  <c r="BE217" i="13" s="1"/>
  <c r="BC218" i="13"/>
  <c r="BM218" i="13" s="1"/>
  <c r="BC219" i="13"/>
  <c r="BC220" i="13"/>
  <c r="BF220" i="13" s="1"/>
  <c r="BC221" i="13"/>
  <c r="BP221" i="13" s="1"/>
  <c r="BC222" i="13"/>
  <c r="BC223" i="13"/>
  <c r="BV223" i="13" s="1"/>
  <c r="BC224" i="13"/>
  <c r="BM224" i="13" s="1"/>
  <c r="BC225" i="13"/>
  <c r="BG225" i="13" s="1"/>
  <c r="BC226" i="13"/>
  <c r="BI226" i="13" s="1"/>
  <c r="BC227" i="13"/>
  <c r="BD227" i="13" s="1"/>
  <c r="BC228" i="13"/>
  <c r="BJ228" i="13" s="1"/>
  <c r="BC229" i="13"/>
  <c r="BL229" i="13" s="1"/>
  <c r="BC230" i="13"/>
  <c r="BF230" i="13" s="1"/>
  <c r="BC231" i="13"/>
  <c r="BF231" i="13" s="1"/>
  <c r="BC232" i="13"/>
  <c r="BD232" i="13" s="1"/>
  <c r="BC233" i="13"/>
  <c r="BR233" i="13" s="1"/>
  <c r="BC234" i="13"/>
  <c r="BP234" i="13" s="1"/>
  <c r="BC235" i="13"/>
  <c r="BD235" i="13" s="1"/>
  <c r="BC236" i="13"/>
  <c r="BM236" i="13" s="1"/>
  <c r="BC237" i="13"/>
  <c r="BJ237" i="13" s="1"/>
  <c r="BC238" i="13"/>
  <c r="BE238" i="13" s="1"/>
  <c r="BO238" i="13"/>
  <c r="BC239" i="13"/>
  <c r="BC240" i="13"/>
  <c r="BG240" i="13" s="1"/>
  <c r="BC241" i="13"/>
  <c r="BO241" i="13" s="1"/>
  <c r="BC242" i="13"/>
  <c r="BQ242" i="13" s="1"/>
  <c r="BC243" i="13"/>
  <c r="BF243" i="13" s="1"/>
  <c r="BC244" i="13"/>
  <c r="BT244" i="13" s="1"/>
  <c r="Y6" i="13"/>
  <c r="Y7" i="13"/>
  <c r="Z7" i="13" s="1"/>
  <c r="AB7" i="13" s="1"/>
  <c r="AC7" i="13" s="1"/>
  <c r="Y8" i="13"/>
  <c r="Y9" i="13"/>
  <c r="Y10" i="13"/>
  <c r="Z10" i="13" s="1"/>
  <c r="AB10" i="13" s="1"/>
  <c r="Y11" i="13"/>
  <c r="Y12" i="13"/>
  <c r="Z12" i="13" s="1"/>
  <c r="AB12" i="13" s="1"/>
  <c r="Y13" i="13"/>
  <c r="Y14" i="13"/>
  <c r="Y15" i="13"/>
  <c r="Z15" i="13" s="1"/>
  <c r="AB15" i="13" s="1"/>
  <c r="Y16" i="13"/>
  <c r="Z16" i="13" s="1"/>
  <c r="AB16" i="13" s="1"/>
  <c r="Y17" i="13"/>
  <c r="Z17" i="13" s="1"/>
  <c r="AB17" i="13" s="1"/>
  <c r="Y18" i="13"/>
  <c r="Z18" i="13" s="1"/>
  <c r="AB18" i="13" s="1"/>
  <c r="AC18" i="13" s="1"/>
  <c r="Y19" i="13"/>
  <c r="Z19" i="13" s="1"/>
  <c r="AB19" i="13" s="1"/>
  <c r="AC19" i="13" s="1"/>
  <c r="Y20" i="13"/>
  <c r="Y21" i="13"/>
  <c r="Y22" i="13"/>
  <c r="Z22" i="13" s="1"/>
  <c r="AB22" i="13" s="1"/>
  <c r="Y23" i="13"/>
  <c r="Z23" i="13" s="1"/>
  <c r="AB23" i="13" s="1"/>
  <c r="Y24" i="13"/>
  <c r="Z24" i="13" s="1"/>
  <c r="AB24" i="13" s="1"/>
  <c r="AC24" i="13" s="1"/>
  <c r="Y25" i="13"/>
  <c r="Z25" i="13" s="1"/>
  <c r="AB25" i="13" s="1"/>
  <c r="Y26" i="13"/>
  <c r="Y27" i="13"/>
  <c r="Y28" i="13"/>
  <c r="Y29" i="13"/>
  <c r="Y30" i="13"/>
  <c r="Z30" i="13" s="1"/>
  <c r="AB30" i="13" s="1"/>
  <c r="AC30" i="13" s="1"/>
  <c r="Y31" i="13"/>
  <c r="Z31" i="13" s="1"/>
  <c r="AB31" i="13" s="1"/>
  <c r="AC31" i="13" s="1"/>
  <c r="Y32" i="13"/>
  <c r="Y33" i="13"/>
  <c r="Z33" i="13" s="1"/>
  <c r="AB33" i="13" s="1"/>
  <c r="Y34" i="13"/>
  <c r="Z34" i="13" s="1"/>
  <c r="AB34" i="13" s="1"/>
  <c r="Y35" i="13"/>
  <c r="Z35" i="13" s="1"/>
  <c r="AB35" i="13" s="1"/>
  <c r="AC35" i="13" s="1"/>
  <c r="Y36" i="13"/>
  <c r="Y37" i="13"/>
  <c r="Z37" i="13" s="1"/>
  <c r="AB37" i="13" s="1"/>
  <c r="AC37" i="13" s="1"/>
  <c r="Y38" i="13"/>
  <c r="Y39" i="13"/>
  <c r="Y40" i="13"/>
  <c r="Y41" i="13"/>
  <c r="Y42" i="13"/>
  <c r="Y43" i="13"/>
  <c r="Y44" i="13"/>
  <c r="Y45" i="13"/>
  <c r="Y46" i="13"/>
  <c r="Z46" i="13" s="1"/>
  <c r="AB46" i="13" s="1"/>
  <c r="AC46" i="13" s="1"/>
  <c r="Y47" i="13"/>
  <c r="Y48" i="13"/>
  <c r="Z48" i="13" s="1"/>
  <c r="AB48" i="13" s="1"/>
  <c r="AC48" i="13" s="1"/>
  <c r="Y49" i="13"/>
  <c r="Z49" i="13" s="1"/>
  <c r="AB49" i="13" s="1"/>
  <c r="Y50" i="13"/>
  <c r="Y51" i="13"/>
  <c r="Y52" i="13"/>
  <c r="Z52" i="13" s="1"/>
  <c r="AB52" i="13" s="1"/>
  <c r="Y53" i="13"/>
  <c r="Z53" i="13" s="1"/>
  <c r="AB53" i="13" s="1"/>
  <c r="AC53" i="13" s="1"/>
  <c r="Y54" i="13"/>
  <c r="Y55" i="13"/>
  <c r="Y56" i="13"/>
  <c r="Y57" i="13"/>
  <c r="Y58" i="13"/>
  <c r="Z58" i="13" s="1"/>
  <c r="AB58" i="13" s="1"/>
  <c r="Y59" i="13"/>
  <c r="Z59" i="13" s="1"/>
  <c r="AB59" i="13" s="1"/>
  <c r="Y60" i="13"/>
  <c r="Y61" i="13"/>
  <c r="Z61" i="13" s="1"/>
  <c r="AB61" i="13" s="1"/>
  <c r="AC61" i="13" s="1"/>
  <c r="Y62" i="13"/>
  <c r="Z62" i="13" s="1"/>
  <c r="AB62" i="13" s="1"/>
  <c r="AC62" i="13" s="1"/>
  <c r="Y63" i="13"/>
  <c r="Y64" i="13"/>
  <c r="Y65" i="13"/>
  <c r="Z65" i="13" s="1"/>
  <c r="AB65" i="13" s="1"/>
  <c r="AC65" i="13" s="1"/>
  <c r="Y66" i="13"/>
  <c r="Z66" i="13" s="1"/>
  <c r="AB66" i="13" s="1"/>
  <c r="Y67" i="13"/>
  <c r="Y68" i="13"/>
  <c r="Y69" i="13"/>
  <c r="Y70" i="13"/>
  <c r="Y71" i="13"/>
  <c r="Z71" i="13" s="1"/>
  <c r="AB71" i="13" s="1"/>
  <c r="AC71" i="13" s="1"/>
  <c r="Y72" i="13"/>
  <c r="Y73" i="13"/>
  <c r="Y74" i="13"/>
  <c r="Z74" i="13" s="1"/>
  <c r="AB74" i="13" s="1"/>
  <c r="AC74" i="13" s="1"/>
  <c r="Y75" i="13"/>
  <c r="AA75" i="13" s="1"/>
  <c r="Y76" i="13"/>
  <c r="Y77" i="13"/>
  <c r="Z77" i="13" s="1"/>
  <c r="AB77" i="13" s="1"/>
  <c r="Y78" i="13"/>
  <c r="Y79" i="13"/>
  <c r="Y80" i="13"/>
  <c r="Y81" i="13"/>
  <c r="Z81" i="13" s="1"/>
  <c r="AB81" i="13" s="1"/>
  <c r="Y82" i="13"/>
  <c r="Y83" i="13"/>
  <c r="AA83" i="13" s="1"/>
  <c r="Y84" i="13"/>
  <c r="Z84" i="13" s="1"/>
  <c r="AB84" i="13" s="1"/>
  <c r="AC84" i="13" s="1"/>
  <c r="Y85" i="13"/>
  <c r="Z85" i="13" s="1"/>
  <c r="AB85" i="13" s="1"/>
  <c r="AC85" i="13" s="1"/>
  <c r="Y86" i="13"/>
  <c r="Y87" i="13"/>
  <c r="AA87" i="13" s="1"/>
  <c r="Y88" i="13"/>
  <c r="AA88" i="13" s="1"/>
  <c r="Y89" i="13"/>
  <c r="Z89" i="13" s="1"/>
  <c r="AB89" i="13" s="1"/>
  <c r="Y90" i="13"/>
  <c r="AA90" i="13" s="1"/>
  <c r="Y91" i="13"/>
  <c r="AA91" i="13" s="1"/>
  <c r="Y92" i="13"/>
  <c r="Y93" i="13"/>
  <c r="Z93" i="13" s="1"/>
  <c r="AB93" i="13" s="1"/>
  <c r="AC93" i="13" s="1"/>
  <c r="Y94" i="13"/>
  <c r="Y95" i="13"/>
  <c r="Y96" i="13"/>
  <c r="Z96" i="13" s="1"/>
  <c r="AB96" i="13" s="1"/>
  <c r="Y97" i="13"/>
  <c r="AA97" i="13" s="1"/>
  <c r="Y98" i="13"/>
  <c r="Y99" i="13"/>
  <c r="Y100" i="13"/>
  <c r="Z100" i="13" s="1"/>
  <c r="AB100" i="13" s="1"/>
  <c r="Y101" i="13"/>
  <c r="Z101" i="13" s="1"/>
  <c r="AB101" i="13" s="1"/>
  <c r="Y102" i="13"/>
  <c r="AA102" i="13" s="1"/>
  <c r="Y103" i="13"/>
  <c r="AA103" i="13" s="1"/>
  <c r="Y104" i="13"/>
  <c r="AA104" i="13" s="1"/>
  <c r="Y105" i="13"/>
  <c r="Z105" i="13" s="1"/>
  <c r="AB105" i="13" s="1"/>
  <c r="Y106" i="13"/>
  <c r="Y107" i="13"/>
  <c r="Y108" i="13"/>
  <c r="Z108" i="13" s="1"/>
  <c r="AB108" i="13" s="1"/>
  <c r="Y109" i="13"/>
  <c r="Y110" i="13"/>
  <c r="Y111" i="13"/>
  <c r="AA111" i="13" s="1"/>
  <c r="Y112" i="13"/>
  <c r="Z112" i="13" s="1"/>
  <c r="AB112" i="13" s="1"/>
  <c r="Y113" i="13"/>
  <c r="Y114" i="13"/>
  <c r="Y115" i="13"/>
  <c r="Y116" i="13"/>
  <c r="AA116" i="13" s="1"/>
  <c r="Y117" i="13"/>
  <c r="Y118" i="13"/>
  <c r="Y119" i="13"/>
  <c r="Y120" i="13"/>
  <c r="AA120" i="13" s="1"/>
  <c r="Y121" i="13"/>
  <c r="Z121" i="13" s="1"/>
  <c r="AB121" i="13" s="1"/>
  <c r="Y122" i="13"/>
  <c r="Y123" i="13"/>
  <c r="Y124" i="13"/>
  <c r="AA124" i="13" s="1"/>
  <c r="Y125" i="13"/>
  <c r="Z125" i="13" s="1"/>
  <c r="AB125" i="13" s="1"/>
  <c r="Y126" i="13"/>
  <c r="Y127" i="13"/>
  <c r="AA127" i="13" s="1"/>
  <c r="Y128" i="13"/>
  <c r="Y129" i="13"/>
  <c r="Z129" i="13" s="1"/>
  <c r="AB129" i="13" s="1"/>
  <c r="AC129" i="13" s="1"/>
  <c r="Y130" i="13"/>
  <c r="Y131" i="13"/>
  <c r="Y132" i="13"/>
  <c r="Y133" i="13"/>
  <c r="Y134" i="13"/>
  <c r="Y135" i="13"/>
  <c r="Y136" i="13"/>
  <c r="Y137" i="13"/>
  <c r="Y138" i="13"/>
  <c r="Y139" i="13"/>
  <c r="AA139" i="13" s="1"/>
  <c r="Y140" i="13"/>
  <c r="AA140" i="13" s="1"/>
  <c r="Y141" i="13"/>
  <c r="Y142" i="13"/>
  <c r="AA142" i="13" s="1"/>
  <c r="Y143" i="13"/>
  <c r="Y144" i="13"/>
  <c r="Y145" i="13"/>
  <c r="AA145" i="13" s="1"/>
  <c r="Y146" i="13"/>
  <c r="AA146" i="13" s="1"/>
  <c r="Y147" i="13"/>
  <c r="Y148" i="13"/>
  <c r="AA148" i="13" s="1"/>
  <c r="Y149" i="13"/>
  <c r="Y150" i="13"/>
  <c r="Y151" i="13"/>
  <c r="Y152" i="13"/>
  <c r="Y153" i="13"/>
  <c r="AA153" i="13" s="1"/>
  <c r="Y154" i="13"/>
  <c r="Y155" i="13"/>
  <c r="AA155" i="13" s="1"/>
  <c r="Y156" i="13"/>
  <c r="Y157" i="13"/>
  <c r="AA157" i="13" s="1"/>
  <c r="Y158" i="13"/>
  <c r="Y159" i="13"/>
  <c r="AA159" i="13" s="1"/>
  <c r="Y160" i="13"/>
  <c r="AA160" i="13" s="1"/>
  <c r="Y161" i="13"/>
  <c r="Y162" i="13"/>
  <c r="Y163" i="13"/>
  <c r="Y164" i="13"/>
  <c r="AA164" i="13" s="1"/>
  <c r="Y165" i="13"/>
  <c r="Z165" i="13" s="1"/>
  <c r="AB165" i="13" s="1"/>
  <c r="Y166" i="13"/>
  <c r="Z166" i="13" s="1"/>
  <c r="AB166" i="13" s="1"/>
  <c r="AC166" i="13" s="1"/>
  <c r="Y167" i="13"/>
  <c r="Z167" i="13" s="1"/>
  <c r="AB167" i="13" s="1"/>
  <c r="AC167" i="13" s="1"/>
  <c r="Y168" i="13"/>
  <c r="AA168" i="13" s="1"/>
  <c r="Y169" i="13"/>
  <c r="Z169" i="13" s="1"/>
  <c r="AB169" i="13" s="1"/>
  <c r="Y170" i="13"/>
  <c r="AA170" i="13" s="1"/>
  <c r="Y171" i="13"/>
  <c r="AA171" i="13" s="1"/>
  <c r="Y172" i="13"/>
  <c r="Z172" i="13" s="1"/>
  <c r="AB172" i="13" s="1"/>
  <c r="Y173" i="13"/>
  <c r="Z173" i="13" s="1"/>
  <c r="AB173" i="13" s="1"/>
  <c r="AC173" i="13" s="1"/>
  <c r="Y174" i="13"/>
  <c r="AA174" i="13" s="1"/>
  <c r="Y175" i="13"/>
  <c r="Y176" i="13"/>
  <c r="Y177" i="13"/>
  <c r="AA177" i="13" s="1"/>
  <c r="Y178" i="13"/>
  <c r="Z178" i="13" s="1"/>
  <c r="AB178" i="13" s="1"/>
  <c r="Y179" i="13"/>
  <c r="Z179" i="13" s="1"/>
  <c r="AB179" i="13" s="1"/>
  <c r="AC179" i="13" s="1"/>
  <c r="Y180" i="13"/>
  <c r="Z180" i="13" s="1"/>
  <c r="AB180" i="13" s="1"/>
  <c r="AC180" i="13" s="1"/>
  <c r="Y181" i="13"/>
  <c r="AA181" i="13" s="1"/>
  <c r="Y182" i="13"/>
  <c r="AA182" i="13" s="1"/>
  <c r="Y183" i="13"/>
  <c r="Y184" i="13"/>
  <c r="Y185" i="13"/>
  <c r="AA185" i="13" s="1"/>
  <c r="Y186" i="13"/>
  <c r="Y187" i="13"/>
  <c r="AA187" i="13" s="1"/>
  <c r="Y188" i="13"/>
  <c r="Z188" i="13" s="1"/>
  <c r="AB188" i="13" s="1"/>
  <c r="Y189" i="13"/>
  <c r="Z189" i="13" s="1"/>
  <c r="AB189" i="13" s="1"/>
  <c r="AC189" i="13" s="1"/>
  <c r="Y190" i="13"/>
  <c r="AA190" i="13" s="1"/>
  <c r="Y191" i="13"/>
  <c r="AA191" i="13" s="1"/>
  <c r="Y192" i="13"/>
  <c r="Y193" i="13"/>
  <c r="Z193" i="13" s="1"/>
  <c r="AB193" i="13" s="1"/>
  <c r="AC193" i="13" s="1"/>
  <c r="Y194" i="13"/>
  <c r="AA194" i="13" s="1"/>
  <c r="Y195" i="13"/>
  <c r="AA195" i="13" s="1"/>
  <c r="Y196" i="13"/>
  <c r="Z196" i="13" s="1"/>
  <c r="AB196" i="13" s="1"/>
  <c r="Y197" i="13"/>
  <c r="AA197" i="13" s="1"/>
  <c r="Y198" i="13"/>
  <c r="AA198" i="13" s="1"/>
  <c r="Y199" i="13"/>
  <c r="Z199" i="13" s="1"/>
  <c r="AB199" i="13" s="1"/>
  <c r="AC199" i="13" s="1"/>
  <c r="Y200" i="13"/>
  <c r="Z200" i="13" s="1"/>
  <c r="AB200" i="13" s="1"/>
  <c r="AC200" i="13" s="1"/>
  <c r="Y201" i="13"/>
  <c r="Z201" i="13" s="1"/>
  <c r="AB201" i="13" s="1"/>
  <c r="Y202" i="13"/>
  <c r="Z202" i="13" s="1"/>
  <c r="AB202" i="13" s="1"/>
  <c r="Y203" i="13"/>
  <c r="AA203" i="13" s="1"/>
  <c r="Y204" i="13"/>
  <c r="AA204" i="13" s="1"/>
  <c r="Y205" i="13"/>
  <c r="Z205" i="13" s="1"/>
  <c r="AB205" i="13" s="1"/>
  <c r="AC205" i="13" s="1"/>
  <c r="Y206" i="13"/>
  <c r="AA206" i="13" s="1"/>
  <c r="Y207" i="13"/>
  <c r="Z207" i="13" s="1"/>
  <c r="AB207" i="13" s="1"/>
  <c r="AC207" i="13" s="1"/>
  <c r="Y208" i="13"/>
  <c r="Z208" i="13" s="1"/>
  <c r="AB208" i="13" s="1"/>
  <c r="Y209" i="13"/>
  <c r="Z209" i="13" s="1"/>
  <c r="AB209" i="13" s="1"/>
  <c r="Y210" i="13"/>
  <c r="Y211" i="13"/>
  <c r="Y212" i="13"/>
  <c r="Z212" i="13" s="1"/>
  <c r="AB212" i="13" s="1"/>
  <c r="AC212" i="13" s="1"/>
  <c r="Y213" i="13"/>
  <c r="Z213" i="13" s="1"/>
  <c r="AB213" i="13" s="1"/>
  <c r="AC213" i="13" s="1"/>
  <c r="Y214" i="13"/>
  <c r="Z214" i="13" s="1"/>
  <c r="AB214" i="13" s="1"/>
  <c r="Y215" i="13"/>
  <c r="AA215" i="13" s="1"/>
  <c r="Y216" i="13"/>
  <c r="Z216" i="13" s="1"/>
  <c r="AB216" i="13" s="1"/>
  <c r="Y217" i="13"/>
  <c r="Z217" i="13" s="1"/>
  <c r="AB217" i="13" s="1"/>
  <c r="AC217" i="13" s="1"/>
  <c r="Y218" i="13"/>
  <c r="AA218" i="13" s="1"/>
  <c r="Y219" i="13"/>
  <c r="AA219" i="13" s="1"/>
  <c r="Y220" i="13"/>
  <c r="Z220" i="13" s="1"/>
  <c r="AB220" i="13" s="1"/>
  <c r="Y221" i="13"/>
  <c r="Z221" i="13" s="1"/>
  <c r="AB221" i="13" s="1"/>
  <c r="Y222" i="13"/>
  <c r="AA222" i="13" s="1"/>
  <c r="Y223" i="13"/>
  <c r="Z223" i="13" s="1"/>
  <c r="AB223" i="13" s="1"/>
  <c r="Y224" i="13"/>
  <c r="Z224" i="13" s="1"/>
  <c r="AB224" i="13" s="1"/>
  <c r="AC224" i="13" s="1"/>
  <c r="Y225" i="13"/>
  <c r="AA225" i="13" s="1"/>
  <c r="Y226" i="13"/>
  <c r="Z226" i="13" s="1"/>
  <c r="AB226" i="13" s="1"/>
  <c r="Y227" i="13"/>
  <c r="Z227" i="13" s="1"/>
  <c r="AB227" i="13" s="1"/>
  <c r="AC227" i="13" s="1"/>
  <c r="Y228" i="13"/>
  <c r="Z228" i="13" s="1"/>
  <c r="AB228" i="13" s="1"/>
  <c r="AC228" i="13" s="1"/>
  <c r="Y229" i="13"/>
  <c r="Z229" i="13" s="1"/>
  <c r="AB229" i="13" s="1"/>
  <c r="AC229" i="13" s="1"/>
  <c r="Y230" i="13"/>
  <c r="Z230" i="13" s="1"/>
  <c r="AB230" i="13" s="1"/>
  <c r="Y231" i="13"/>
  <c r="AA231" i="13" s="1"/>
  <c r="Y232" i="13"/>
  <c r="Z232" i="13" s="1"/>
  <c r="AB232" i="13" s="1"/>
  <c r="AC232" i="13" s="1"/>
  <c r="Y233" i="13"/>
  <c r="AA233" i="13" s="1"/>
  <c r="Y234" i="13"/>
  <c r="AA234" i="13" s="1"/>
  <c r="Y235" i="13"/>
  <c r="AA235" i="13" s="1"/>
  <c r="Y236" i="13"/>
  <c r="Z236" i="13" s="1"/>
  <c r="AB236" i="13" s="1"/>
  <c r="Y237" i="13"/>
  <c r="Z237" i="13" s="1"/>
  <c r="AB237" i="13" s="1"/>
  <c r="AC237" i="13" s="1"/>
  <c r="Y238" i="13"/>
  <c r="Y239" i="13"/>
  <c r="Z239" i="13" s="1"/>
  <c r="AB239" i="13" s="1"/>
  <c r="Y240" i="13"/>
  <c r="Z240" i="13" s="1"/>
  <c r="AB240" i="13" s="1"/>
  <c r="Y241" i="13"/>
  <c r="AA241" i="13" s="1"/>
  <c r="Y242" i="13"/>
  <c r="Z242" i="13" s="1"/>
  <c r="AB242" i="13" s="1"/>
  <c r="AC242" i="13" s="1"/>
  <c r="Y243" i="13"/>
  <c r="AA243" i="13" s="1"/>
  <c r="Y244" i="13"/>
  <c r="AA244" i="13" s="1"/>
  <c r="BR139" i="13" l="1"/>
  <c r="Z244" i="13"/>
  <c r="AB244" i="13" s="1"/>
  <c r="BL235" i="13"/>
  <c r="Z159" i="13"/>
  <c r="AB159" i="13" s="1"/>
  <c r="AC159" i="13" s="1"/>
  <c r="BM243" i="13"/>
  <c r="BG139" i="13"/>
  <c r="BD184" i="13"/>
  <c r="BT81" i="13"/>
  <c r="BI218" i="13"/>
  <c r="BH45" i="13"/>
  <c r="Z103" i="13"/>
  <c r="AB103" i="13" s="1"/>
  <c r="AC103" i="13" s="1"/>
  <c r="BP238" i="13"/>
  <c r="BD33" i="13"/>
  <c r="AA7" i="13"/>
  <c r="Z203" i="13"/>
  <c r="AB203" i="13" s="1"/>
  <c r="BI237" i="13"/>
  <c r="Z182" i="13"/>
  <c r="AB182" i="13" s="1"/>
  <c r="AC182" i="13" s="1"/>
  <c r="BR226" i="13"/>
  <c r="Z225" i="13"/>
  <c r="AB225" i="13" s="1"/>
  <c r="AC225" i="13" s="1"/>
  <c r="Z191" i="13"/>
  <c r="AB191" i="13" s="1"/>
  <c r="AC191" i="13" s="1"/>
  <c r="Z181" i="13"/>
  <c r="AB181" i="13" s="1"/>
  <c r="AC181" i="13" s="1"/>
  <c r="BL15" i="13"/>
  <c r="BV152" i="13"/>
  <c r="BJ152" i="13"/>
  <c r="BG152" i="13"/>
  <c r="Z197" i="13"/>
  <c r="AB197" i="13" s="1"/>
  <c r="AC197" i="13" s="1"/>
  <c r="Z120" i="13"/>
  <c r="AB120" i="13" s="1"/>
  <c r="BS148" i="13"/>
  <c r="BK63" i="13"/>
  <c r="BI179" i="13"/>
  <c r="BM148" i="13"/>
  <c r="BH83" i="13"/>
  <c r="BI63" i="13"/>
  <c r="BH52" i="13"/>
  <c r="AA217" i="13"/>
  <c r="AA196" i="13"/>
  <c r="Z153" i="13"/>
  <c r="AB153" i="13" s="1"/>
  <c r="AC153" i="13" s="1"/>
  <c r="AA24" i="13"/>
  <c r="BD200" i="13"/>
  <c r="BE83" i="13"/>
  <c r="BO137" i="13"/>
  <c r="BJ148" i="13"/>
  <c r="BO57" i="13"/>
  <c r="BI24" i="13"/>
  <c r="BJ69" i="13"/>
  <c r="BE241" i="13"/>
  <c r="BD234" i="13"/>
  <c r="BD224" i="13"/>
  <c r="BO192" i="13"/>
  <c r="BF69" i="13"/>
  <c r="BF60" i="13"/>
  <c r="BI132" i="13"/>
  <c r="BI148" i="13"/>
  <c r="BD139" i="13"/>
  <c r="BD132" i="13"/>
  <c r="BE122" i="13"/>
  <c r="BE74" i="13"/>
  <c r="BJ41" i="13"/>
  <c r="Z243" i="13"/>
  <c r="AB243" i="13" s="1"/>
  <c r="AC243" i="13" s="1"/>
  <c r="AA96" i="13"/>
  <c r="AA37" i="13"/>
  <c r="BN192" i="13"/>
  <c r="BI86" i="13"/>
  <c r="BR80" i="13"/>
  <c r="BR243" i="13"/>
  <c r="BV237" i="13"/>
  <c r="BM192" i="13"/>
  <c r="BT159" i="13"/>
  <c r="BG86" i="13"/>
  <c r="BL80" i="13"/>
  <c r="BD47" i="13"/>
  <c r="BE86" i="13"/>
  <c r="BO63" i="13"/>
  <c r="BD56" i="13"/>
  <c r="BM37" i="13"/>
  <c r="BM18" i="13"/>
  <c r="Z241" i="13"/>
  <c r="AB241" i="13" s="1"/>
  <c r="AC241" i="13" s="1"/>
  <c r="Z171" i="13"/>
  <c r="AB171" i="13" s="1"/>
  <c r="AC171" i="13" s="1"/>
  <c r="BJ243" i="13"/>
  <c r="BG237" i="13"/>
  <c r="BT69" i="13"/>
  <c r="BG37" i="13"/>
  <c r="BK27" i="13"/>
  <c r="BD18" i="13"/>
  <c r="BR69" i="13"/>
  <c r="BN218" i="13"/>
  <c r="AA208" i="13"/>
  <c r="Z198" i="13"/>
  <c r="AB198" i="13" s="1"/>
  <c r="AC198" i="13" s="1"/>
  <c r="AA22" i="13"/>
  <c r="BV226" i="13"/>
  <c r="BJ218" i="13"/>
  <c r="BL156" i="13"/>
  <c r="BU148" i="13"/>
  <c r="BR134" i="13"/>
  <c r="BK104" i="13"/>
  <c r="BO69" i="13"/>
  <c r="AA202" i="13"/>
  <c r="AA100" i="13"/>
  <c r="BE237" i="13"/>
  <c r="BS223" i="13"/>
  <c r="BD218" i="13"/>
  <c r="BT208" i="13"/>
  <c r="BU199" i="13"/>
  <c r="BD171" i="13"/>
  <c r="BP152" i="13"/>
  <c r="BF148" i="13"/>
  <c r="BI139" i="13"/>
  <c r="BD128" i="13"/>
  <c r="BN99" i="13"/>
  <c r="BL88" i="13"/>
  <c r="BG45" i="13"/>
  <c r="BN18" i="13"/>
  <c r="BF10" i="13"/>
  <c r="BT223" i="13"/>
  <c r="BP223" i="13"/>
  <c r="AA201" i="13"/>
  <c r="BH227" i="13"/>
  <c r="BJ223" i="13"/>
  <c r="AA129" i="13"/>
  <c r="Z87" i="13"/>
  <c r="AB87" i="13" s="1"/>
  <c r="AC87" i="13" s="1"/>
  <c r="AA52" i="13"/>
  <c r="BM235" i="13"/>
  <c r="BD223" i="13"/>
  <c r="BD188" i="13"/>
  <c r="BJ117" i="13"/>
  <c r="BJ86" i="13"/>
  <c r="BR34" i="13"/>
  <c r="BR8" i="13"/>
  <c r="BV105" i="13"/>
  <c r="BL8" i="13"/>
  <c r="BS137" i="13"/>
  <c r="BI203" i="13"/>
  <c r="BG176" i="13"/>
  <c r="BD156" i="13"/>
  <c r="BR137" i="13"/>
  <c r="BR123" i="13"/>
  <c r="BT63" i="13"/>
  <c r="BM142" i="13"/>
  <c r="BQ137" i="13"/>
  <c r="BH131" i="13"/>
  <c r="BQ63" i="13"/>
  <c r="BU47" i="13"/>
  <c r="BV32" i="13"/>
  <c r="Z127" i="13"/>
  <c r="AB127" i="13" s="1"/>
  <c r="AC127" i="13" s="1"/>
  <c r="BL133" i="13"/>
  <c r="BT45" i="13"/>
  <c r="BS22" i="13"/>
  <c r="BO220" i="13"/>
  <c r="BK204" i="13"/>
  <c r="AA209" i="13"/>
  <c r="Z91" i="13"/>
  <c r="AB91" i="13" s="1"/>
  <c r="AC91" i="13" s="1"/>
  <c r="AA15" i="13"/>
  <c r="BJ220" i="13"/>
  <c r="BJ204" i="13"/>
  <c r="BG133" i="13"/>
  <c r="BF87" i="13"/>
  <c r="BM45" i="13"/>
  <c r="BP37" i="13"/>
  <c r="BR22" i="13"/>
  <c r="BG80" i="13"/>
  <c r="BU207" i="13"/>
  <c r="BJ207" i="13"/>
  <c r="BI207" i="13"/>
  <c r="BU229" i="13"/>
  <c r="BH207" i="13"/>
  <c r="AA221" i="13"/>
  <c r="BF229" i="13"/>
  <c r="BG207" i="13"/>
  <c r="BG200" i="13"/>
  <c r="BT192" i="13"/>
  <c r="BF129" i="13"/>
  <c r="BQ112" i="13"/>
  <c r="BD80" i="13"/>
  <c r="AA189" i="13"/>
  <c r="AA180" i="13"/>
  <c r="BN235" i="13"/>
  <c r="BD229" i="13"/>
  <c r="BF207" i="13"/>
  <c r="BE200" i="13"/>
  <c r="BP192" i="13"/>
  <c r="BD185" i="13"/>
  <c r="BL176" i="13"/>
  <c r="BP156" i="13"/>
  <c r="BR138" i="13"/>
  <c r="BN133" i="13"/>
  <c r="BU120" i="13"/>
  <c r="BH64" i="13"/>
  <c r="BR50" i="13"/>
  <c r="BU28" i="13"/>
  <c r="BU21" i="13"/>
  <c r="BO14" i="13"/>
  <c r="BF12" i="13"/>
  <c r="BS121" i="13"/>
  <c r="BR121" i="13"/>
  <c r="BF206" i="13"/>
  <c r="BJ192" i="13"/>
  <c r="BE184" i="13"/>
  <c r="BH176" i="13"/>
  <c r="BP167" i="13"/>
  <c r="BH152" i="13"/>
  <c r="BM120" i="13"/>
  <c r="BI105" i="13"/>
  <c r="BE80" i="13"/>
  <c r="BG62" i="13"/>
  <c r="BR15" i="13"/>
  <c r="BL61" i="13"/>
  <c r="BQ116" i="13"/>
  <c r="BP116" i="13"/>
  <c r="BT204" i="13"/>
  <c r="BT200" i="13"/>
  <c r="BE195" i="13"/>
  <c r="BR190" i="13"/>
  <c r="BG156" i="13"/>
  <c r="BD145" i="13"/>
  <c r="BE134" i="13"/>
  <c r="BL123" i="13"/>
  <c r="BG119" i="13"/>
  <c r="BS86" i="13"/>
  <c r="BL79" i="13"/>
  <c r="BK61" i="13"/>
  <c r="BE33" i="13"/>
  <c r="BN26" i="13"/>
  <c r="BJ20" i="13"/>
  <c r="BP14" i="13"/>
  <c r="BV200" i="13"/>
  <c r="BU200" i="13"/>
  <c r="AA223" i="13"/>
  <c r="AA216" i="13"/>
  <c r="AA193" i="13"/>
  <c r="AA166" i="13"/>
  <c r="BO236" i="13"/>
  <c r="BV207" i="13"/>
  <c r="BP204" i="13"/>
  <c r="BI200" i="13"/>
  <c r="BL86" i="13"/>
  <c r="BV82" i="13"/>
  <c r="BI61" i="13"/>
  <c r="Z206" i="13"/>
  <c r="AB206" i="13" s="1"/>
  <c r="AC206" i="13" s="1"/>
  <c r="Z83" i="13"/>
  <c r="AB83" i="13" s="1"/>
  <c r="AC83" i="13" s="1"/>
  <c r="BH240" i="13"/>
  <c r="BL236" i="13"/>
  <c r="BV229" i="13"/>
  <c r="BP220" i="13"/>
  <c r="BH200" i="13"/>
  <c r="BO133" i="13"/>
  <c r="BM129" i="13"/>
  <c r="BI122" i="13"/>
  <c r="BD110" i="13"/>
  <c r="BK86" i="13"/>
  <c r="BT82" i="13"/>
  <c r="BU69" i="13"/>
  <c r="BF61" i="13"/>
  <c r="BU45" i="13"/>
  <c r="BF25" i="13"/>
  <c r="BQ90" i="13"/>
  <c r="BT87" i="13"/>
  <c r="BH82" i="13"/>
  <c r="BL45" i="13"/>
  <c r="BS40" i="13"/>
  <c r="BO12" i="13"/>
  <c r="BO8" i="13"/>
  <c r="BO139" i="13"/>
  <c r="BG110" i="13"/>
  <c r="BO90" i="13"/>
  <c r="BQ87" i="13"/>
  <c r="BG82" i="13"/>
  <c r="BU60" i="13"/>
  <c r="BL54" i="13"/>
  <c r="BK45" i="13"/>
  <c r="BR40" i="13"/>
  <c r="BL17" i="13"/>
  <c r="BM12" i="13"/>
  <c r="BN8" i="13"/>
  <c r="BV232" i="13"/>
  <c r="BU196" i="13"/>
  <c r="BU90" i="13"/>
  <c r="BJ82" i="13"/>
  <c r="BT232" i="13"/>
  <c r="BS196" i="13"/>
  <c r="BV183" i="13"/>
  <c r="BS90" i="13"/>
  <c r="BI82" i="13"/>
  <c r="BR232" i="13"/>
  <c r="BT229" i="13"/>
  <c r="BN196" i="13"/>
  <c r="BU183" i="13"/>
  <c r="BV171" i="13"/>
  <c r="BS168" i="13"/>
  <c r="AA239" i="13"/>
  <c r="AA200" i="13"/>
  <c r="BQ232" i="13"/>
  <c r="BR229" i="13"/>
  <c r="BF196" i="13"/>
  <c r="BF185" i="13"/>
  <c r="BT183" i="13"/>
  <c r="BR171" i="13"/>
  <c r="BQ168" i="13"/>
  <c r="BO160" i="13"/>
  <c r="AA229" i="13"/>
  <c r="AA89" i="13"/>
  <c r="AA59" i="13"/>
  <c r="BU241" i="13"/>
  <c r="BU235" i="13"/>
  <c r="BP232" i="13"/>
  <c r="BJ225" i="13"/>
  <c r="BG216" i="13"/>
  <c r="BG206" i="13"/>
  <c r="BF200" i="13"/>
  <c r="BD196" i="13"/>
  <c r="BE185" i="13"/>
  <c r="BJ176" i="13"/>
  <c r="BQ171" i="13"/>
  <c r="BP168" i="13"/>
  <c r="BN160" i="13"/>
  <c r="BN139" i="13"/>
  <c r="BM133" i="13"/>
  <c r="BO130" i="13"/>
  <c r="BT123" i="13"/>
  <c r="BN90" i="13"/>
  <c r="BG87" i="13"/>
  <c r="BD82" i="13"/>
  <c r="BH60" i="13"/>
  <c r="BI54" i="13"/>
  <c r="BJ45" i="13"/>
  <c r="BG40" i="13"/>
  <c r="BV24" i="13"/>
  <c r="BL12" i="13"/>
  <c r="BM8" i="13"/>
  <c r="BN114" i="13"/>
  <c r="BI90" i="13"/>
  <c r="BR77" i="13"/>
  <c r="BI53" i="13"/>
  <c r="BT24" i="13"/>
  <c r="Z235" i="13"/>
  <c r="AB235" i="13" s="1"/>
  <c r="AC235" i="13" s="1"/>
  <c r="BE205" i="13"/>
  <c r="BE201" i="13"/>
  <c r="BR184" i="13"/>
  <c r="BK181" i="13"/>
  <c r="BM171" i="13"/>
  <c r="BP159" i="13"/>
  <c r="BT148" i="13"/>
  <c r="BF139" i="13"/>
  <c r="BU135" i="13"/>
  <c r="BG129" i="13"/>
  <c r="BL114" i="13"/>
  <c r="BH90" i="13"/>
  <c r="BV86" i="13"/>
  <c r="BG83" i="13"/>
  <c r="BQ77" i="13"/>
  <c r="BG71" i="13"/>
  <c r="BK66" i="13"/>
  <c r="BH53" i="13"/>
  <c r="BD45" i="13"/>
  <c r="BP38" i="13"/>
  <c r="BS24" i="13"/>
  <c r="BK20" i="13"/>
  <c r="BQ15" i="13"/>
  <c r="BI7" i="13"/>
  <c r="AA242" i="13"/>
  <c r="BV90" i="13"/>
  <c r="BT241" i="13"/>
  <c r="BM232" i="13"/>
  <c r="BP171" i="13"/>
  <c r="BP114" i="13"/>
  <c r="BK90" i="13"/>
  <c r="BU24" i="13"/>
  <c r="BQ241" i="13"/>
  <c r="BO237" i="13"/>
  <c r="BL232" i="13"/>
  <c r="BP215" i="13"/>
  <c r="BF201" i="13"/>
  <c r="BO171" i="13"/>
  <c r="BL241" i="13"/>
  <c r="BM237" i="13"/>
  <c r="BH232" i="13"/>
  <c r="BH215" i="13"/>
  <c r="Z174" i="13"/>
  <c r="AB174" i="13" s="1"/>
  <c r="AC174" i="13" s="1"/>
  <c r="Z155" i="13"/>
  <c r="AB155" i="13" s="1"/>
  <c r="AC155" i="13" s="1"/>
  <c r="Z145" i="13"/>
  <c r="AB145" i="13" s="1"/>
  <c r="AC145" i="13" s="1"/>
  <c r="Z104" i="13"/>
  <c r="AB104" i="13" s="1"/>
  <c r="AC104" i="13" s="1"/>
  <c r="AA35" i="13"/>
  <c r="BG241" i="13"/>
  <c r="BF232" i="13"/>
  <c r="BF228" i="13"/>
  <c r="BG215" i="13"/>
  <c r="BN189" i="13"/>
  <c r="BQ184" i="13"/>
  <c r="BT175" i="13"/>
  <c r="BL171" i="13"/>
  <c r="BS135" i="13"/>
  <c r="BP132" i="13"/>
  <c r="BJ114" i="13"/>
  <c r="BS91" i="13"/>
  <c r="BF90" i="13"/>
  <c r="BP77" i="13"/>
  <c r="BI66" i="13"/>
  <c r="BG53" i="13"/>
  <c r="BL38" i="13"/>
  <c r="BR33" i="13"/>
  <c r="BN24" i="13"/>
  <c r="BO10" i="13"/>
  <c r="BP184" i="13"/>
  <c r="BG180" i="13"/>
  <c r="BI171" i="13"/>
  <c r="BO158" i="13"/>
  <c r="BU152" i="13"/>
  <c r="BO148" i="13"/>
  <c r="BO132" i="13"/>
  <c r="BL122" i="13"/>
  <c r="BE114" i="13"/>
  <c r="BF91" i="13"/>
  <c r="BE90" i="13"/>
  <c r="BQ80" i="13"/>
  <c r="BO77" i="13"/>
  <c r="BS57" i="13"/>
  <c r="BD53" i="13"/>
  <c r="BG38" i="13"/>
  <c r="BP33" i="13"/>
  <c r="BL24" i="13"/>
  <c r="BL10" i="13"/>
  <c r="BV128" i="13"/>
  <c r="BN184" i="13"/>
  <c r="BQ188" i="13"/>
  <c r="BM184" i="13"/>
  <c r="BV194" i="13"/>
  <c r="BL188" i="13"/>
  <c r="BV184" i="13"/>
  <c r="BI184" i="13"/>
  <c r="BS176" i="13"/>
  <c r="BV174" i="13"/>
  <c r="BH159" i="13"/>
  <c r="BH148" i="13"/>
  <c r="BS138" i="13"/>
  <c r="BK133" i="13"/>
  <c r="BD131" i="13"/>
  <c r="BO128" i="13"/>
  <c r="BR112" i="13"/>
  <c r="BR95" i="13"/>
  <c r="BG90" i="13"/>
  <c r="BE87" i="13"/>
  <c r="BS82" i="13"/>
  <c r="BV81" i="13"/>
  <c r="BN65" i="13"/>
  <c r="BR56" i="13"/>
  <c r="BV53" i="13"/>
  <c r="BV45" i="13"/>
  <c r="BF45" i="13"/>
  <c r="BH40" i="13"/>
  <c r="BO24" i="13"/>
  <c r="BL18" i="13"/>
  <c r="BD14" i="13"/>
  <c r="BS10" i="13"/>
  <c r="BK8" i="13"/>
  <c r="BT207" i="13"/>
  <c r="BP188" i="13"/>
  <c r="BL184" i="13"/>
  <c r="BU176" i="13"/>
  <c r="BR128" i="13"/>
  <c r="BV56" i="13"/>
  <c r="BS207" i="13"/>
  <c r="BS200" i="13"/>
  <c r="BM188" i="13"/>
  <c r="BJ184" i="13"/>
  <c r="BT176" i="13"/>
  <c r="BP128" i="13"/>
  <c r="BS56" i="13"/>
  <c r="BO228" i="13"/>
  <c r="BP207" i="13"/>
  <c r="BR200" i="13"/>
  <c r="BL228" i="13"/>
  <c r="BO207" i="13"/>
  <c r="BV205" i="13"/>
  <c r="BQ200" i="13"/>
  <c r="BT194" i="13"/>
  <c r="BG188" i="13"/>
  <c r="BU184" i="13"/>
  <c r="BH184" i="13"/>
  <c r="BP176" i="13"/>
  <c r="BP154" i="13"/>
  <c r="BN128" i="13"/>
  <c r="BP95" i="13"/>
  <c r="BQ82" i="13"/>
  <c r="BP56" i="13"/>
  <c r="BT53" i="13"/>
  <c r="BU20" i="13"/>
  <c r="AA227" i="13"/>
  <c r="AA212" i="13"/>
  <c r="Z194" i="13"/>
  <c r="AB194" i="13" s="1"/>
  <c r="AC194" i="13" s="1"/>
  <c r="Z187" i="13"/>
  <c r="AB187" i="13" s="1"/>
  <c r="AC187" i="13" s="1"/>
  <c r="Z170" i="13"/>
  <c r="AB170" i="13" s="1"/>
  <c r="AC170" i="13" s="1"/>
  <c r="Z142" i="13"/>
  <c r="AB142" i="13" s="1"/>
  <c r="AC142" i="13" s="1"/>
  <c r="AA66" i="13"/>
  <c r="AA58" i="13"/>
  <c r="BT242" i="13"/>
  <c r="BG230" i="13"/>
  <c r="BK228" i="13"/>
  <c r="BU224" i="13"/>
  <c r="BN207" i="13"/>
  <c r="BN205" i="13"/>
  <c r="BO200" i="13"/>
  <c r="BG194" i="13"/>
  <c r="BN190" i="13"/>
  <c r="BF188" i="13"/>
  <c r="BT184" i="13"/>
  <c r="BG184" i="13"/>
  <c r="BN176" i="13"/>
  <c r="BR158" i="13"/>
  <c r="BO154" i="13"/>
  <c r="BE138" i="13"/>
  <c r="BL128" i="13"/>
  <c r="BU114" i="13"/>
  <c r="BP100" i="13"/>
  <c r="BM95" i="13"/>
  <c r="BP82" i="13"/>
  <c r="BN81" i="13"/>
  <c r="BO56" i="13"/>
  <c r="BS53" i="13"/>
  <c r="BS20" i="13"/>
  <c r="BU29" i="13"/>
  <c r="BT188" i="13"/>
  <c r="BO184" i="13"/>
  <c r="BO29" i="13"/>
  <c r="BR188" i="13"/>
  <c r="BJ29" i="13"/>
  <c r="AA240" i="13"/>
  <c r="Z233" i="13"/>
  <c r="AB233" i="13" s="1"/>
  <c r="AC233" i="13" s="1"/>
  <c r="AA178" i="13"/>
  <c r="AA93" i="13"/>
  <c r="Z75" i="13"/>
  <c r="AB75" i="13" s="1"/>
  <c r="AC75" i="13" s="1"/>
  <c r="AA48" i="13"/>
  <c r="BP242" i="13"/>
  <c r="BQ238" i="13"/>
  <c r="BP236" i="13"/>
  <c r="BG228" i="13"/>
  <c r="BT224" i="13"/>
  <c r="BT220" i="13"/>
  <c r="BK207" i="13"/>
  <c r="BG205" i="13"/>
  <c r="BL200" i="13"/>
  <c r="BE188" i="13"/>
  <c r="BS184" i="13"/>
  <c r="BF184" i="13"/>
  <c r="BT180" i="13"/>
  <c r="BM176" i="13"/>
  <c r="BP158" i="13"/>
  <c r="BD138" i="13"/>
  <c r="BT132" i="13"/>
  <c r="BI128" i="13"/>
  <c r="BT114" i="13"/>
  <c r="BS111" i="13"/>
  <c r="BT105" i="13"/>
  <c r="BL95" i="13"/>
  <c r="BT90" i="13"/>
  <c r="BD90" i="13"/>
  <c r="BT86" i="13"/>
  <c r="BU83" i="13"/>
  <c r="BN82" i="13"/>
  <c r="BJ81" i="13"/>
  <c r="BS78" i="13"/>
  <c r="BU61" i="13"/>
  <c r="BK56" i="13"/>
  <c r="BQ53" i="13"/>
  <c r="BS45" i="13"/>
  <c r="BV39" i="13"/>
  <c r="BP20" i="13"/>
  <c r="BV12" i="13"/>
  <c r="BV134" i="13"/>
  <c r="BN129" i="13"/>
  <c r="BF128" i="13"/>
  <c r="BH119" i="13"/>
  <c r="BR114" i="13"/>
  <c r="BN111" i="13"/>
  <c r="BI95" i="13"/>
  <c r="BQ83" i="13"/>
  <c r="BL82" i="13"/>
  <c r="BF78" i="13"/>
  <c r="BT61" i="13"/>
  <c r="BI56" i="13"/>
  <c r="BP53" i="13"/>
  <c r="BQ45" i="13"/>
  <c r="BN20" i="13"/>
  <c r="BU12" i="13"/>
  <c r="BD6" i="13"/>
  <c r="BP99" i="13"/>
  <c r="BD95" i="13"/>
  <c r="BR90" i="13"/>
  <c r="BP86" i="13"/>
  <c r="BK82" i="13"/>
  <c r="BU80" i="13"/>
  <c r="BE78" i="13"/>
  <c r="BQ61" i="13"/>
  <c r="BG56" i="13"/>
  <c r="BJ53" i="13"/>
  <c r="BP45" i="13"/>
  <c r="BL42" i="13"/>
  <c r="BQ38" i="13"/>
  <c r="BM20" i="13"/>
  <c r="BT12" i="13"/>
  <c r="BR241" i="13"/>
  <c r="BD241" i="13"/>
  <c r="BK229" i="13"/>
  <c r="BM229" i="13"/>
  <c r="BQ226" i="13"/>
  <c r="BS224" i="13"/>
  <c r="BE216" i="13"/>
  <c r="BL216" i="13"/>
  <c r="BD215" i="13"/>
  <c r="BM208" i="13"/>
  <c r="BK189" i="13"/>
  <c r="BL189" i="13"/>
  <c r="BK175" i="13"/>
  <c r="BU175" i="13"/>
  <c r="BM160" i="13"/>
  <c r="BV145" i="13"/>
  <c r="BS144" i="13"/>
  <c r="BL116" i="13"/>
  <c r="BO112" i="13"/>
  <c r="BE104" i="13"/>
  <c r="BI104" i="13"/>
  <c r="BG101" i="13"/>
  <c r="BT101" i="13"/>
  <c r="BV89" i="13"/>
  <c r="BF62" i="13"/>
  <c r="BJ62" i="13"/>
  <c r="BL62" i="13"/>
  <c r="BM62" i="13"/>
  <c r="BN62" i="13"/>
  <c r="BR62" i="13"/>
  <c r="BV62" i="13"/>
  <c r="BG41" i="13"/>
  <c r="BM41" i="13"/>
  <c r="BS41" i="13"/>
  <c r="BT41" i="13"/>
  <c r="BD41" i="13"/>
  <c r="BD22" i="13"/>
  <c r="BE22" i="13"/>
  <c r="BF22" i="13"/>
  <c r="BJ22" i="13"/>
  <c r="BL22" i="13"/>
  <c r="BM22" i="13"/>
  <c r="BN22" i="13"/>
  <c r="BO22" i="13"/>
  <c r="BQ22" i="13"/>
  <c r="BF19" i="13"/>
  <c r="BL19" i="13"/>
  <c r="BL208" i="13"/>
  <c r="BJ160" i="13"/>
  <c r="BE121" i="13"/>
  <c r="BG121" i="13"/>
  <c r="BL121" i="13"/>
  <c r="BN121" i="13"/>
  <c r="BV121" i="13"/>
  <c r="BJ116" i="13"/>
  <c r="BM85" i="13"/>
  <c r="BQ85" i="13"/>
  <c r="AA228" i="13"/>
  <c r="AA224" i="13"/>
  <c r="AA220" i="13"/>
  <c r="AA207" i="13"/>
  <c r="Z185" i="13"/>
  <c r="AB185" i="13" s="1"/>
  <c r="AC185" i="13" s="1"/>
  <c r="AA179" i="13"/>
  <c r="AA169" i="13"/>
  <c r="AA165" i="13"/>
  <c r="AA108" i="13"/>
  <c r="BP244" i="13"/>
  <c r="BG243" i="13"/>
  <c r="BP241" i="13"/>
  <c r="BS240" i="13"/>
  <c r="BM238" i="13"/>
  <c r="BD237" i="13"/>
  <c r="BL237" i="13"/>
  <c r="BI235" i="13"/>
  <c r="BQ229" i="13"/>
  <c r="BO226" i="13"/>
  <c r="BP224" i="13"/>
  <c r="BM220" i="13"/>
  <c r="BT215" i="13"/>
  <c r="BI208" i="13"/>
  <c r="BU205" i="13"/>
  <c r="BJ174" i="13"/>
  <c r="BO168" i="13"/>
  <c r="BI160" i="13"/>
  <c r="BD152" i="13"/>
  <c r="BI152" i="13"/>
  <c r="BL152" i="13"/>
  <c r="BM152" i="13"/>
  <c r="BQ152" i="13"/>
  <c r="BR145" i="13"/>
  <c r="BV118" i="13"/>
  <c r="BI116" i="13"/>
  <c r="BM112" i="13"/>
  <c r="BR105" i="13"/>
  <c r="BI103" i="13"/>
  <c r="BS103" i="13"/>
  <c r="BM91" i="13"/>
  <c r="BJ89" i="13"/>
  <c r="BO84" i="13"/>
  <c r="BJ83" i="13"/>
  <c r="BL83" i="13"/>
  <c r="BO83" i="13"/>
  <c r="BP83" i="13"/>
  <c r="BD83" i="13"/>
  <c r="BR83" i="13"/>
  <c r="BF83" i="13"/>
  <c r="BT83" i="13"/>
  <c r="BF74" i="13"/>
  <c r="BH74" i="13"/>
  <c r="BJ74" i="13"/>
  <c r="BO74" i="13"/>
  <c r="BS74" i="13"/>
  <c r="BG60" i="13"/>
  <c r="BI60" i="13"/>
  <c r="BJ60" i="13"/>
  <c r="BK60" i="13"/>
  <c r="BL60" i="13"/>
  <c r="BM60" i="13"/>
  <c r="BN60" i="13"/>
  <c r="BO60" i="13"/>
  <c r="BP60" i="13"/>
  <c r="BD60" i="13"/>
  <c r="BS60" i="13"/>
  <c r="BS44" i="13"/>
  <c r="BF102" i="13"/>
  <c r="BU102" i="13"/>
  <c r="BD102" i="13"/>
  <c r="BE102" i="13"/>
  <c r="BN102" i="13"/>
  <c r="BV215" i="13"/>
  <c r="BS145" i="13"/>
  <c r="BS89" i="13"/>
  <c r="AA237" i="13"/>
  <c r="AA232" i="13"/>
  <c r="AA199" i="13"/>
  <c r="Z195" i="13"/>
  <c r="AB195" i="13" s="1"/>
  <c r="AC195" i="13" s="1"/>
  <c r="AA173" i="13"/>
  <c r="AA101" i="13"/>
  <c r="AA81" i="13"/>
  <c r="Z57" i="13"/>
  <c r="AB57" i="13" s="1"/>
  <c r="AC57" i="13" s="1"/>
  <c r="AA57" i="13"/>
  <c r="BO244" i="13"/>
  <c r="BL240" i="13"/>
  <c r="BT236" i="13"/>
  <c r="BH235" i="13"/>
  <c r="BI232" i="13"/>
  <c r="BP229" i="13"/>
  <c r="BJ226" i="13"/>
  <c r="BL220" i="13"/>
  <c r="BQ217" i="13"/>
  <c r="BG208" i="13"/>
  <c r="BS205" i="13"/>
  <c r="BQ196" i="13"/>
  <c r="BF192" i="13"/>
  <c r="BH192" i="13"/>
  <c r="BI174" i="13"/>
  <c r="BK161" i="13"/>
  <c r="BH160" i="13"/>
  <c r="BQ145" i="13"/>
  <c r="BE135" i="13"/>
  <c r="BK135" i="13"/>
  <c r="BO135" i="13"/>
  <c r="BR135" i="13"/>
  <c r="BE123" i="13"/>
  <c r="BM123" i="13"/>
  <c r="BT120" i="13"/>
  <c r="BH116" i="13"/>
  <c r="BH112" i="13"/>
  <c r="BT107" i="13"/>
  <c r="BK105" i="13"/>
  <c r="BS102" i="13"/>
  <c r="BI91" i="13"/>
  <c r="BI89" i="13"/>
  <c r="BK73" i="13"/>
  <c r="BU50" i="13"/>
  <c r="BE50" i="13"/>
  <c r="BR44" i="13"/>
  <c r="BD28" i="13"/>
  <c r="BJ28" i="13"/>
  <c r="BK28" i="13"/>
  <c r="BL28" i="13"/>
  <c r="BM28" i="13"/>
  <c r="BN28" i="13"/>
  <c r="BO28" i="13"/>
  <c r="BP28" i="13"/>
  <c r="BS28" i="13"/>
  <c r="BD182" i="13"/>
  <c r="BL182" i="13"/>
  <c r="BN182" i="13"/>
  <c r="BN149" i="13"/>
  <c r="BP149" i="13"/>
  <c r="BQ149" i="13"/>
  <c r="BN224" i="13"/>
  <c r="BQ224" i="13"/>
  <c r="BE136" i="13"/>
  <c r="BQ136" i="13"/>
  <c r="BH136" i="13"/>
  <c r="BD75" i="13"/>
  <c r="BE75" i="13"/>
  <c r="AA238" i="13"/>
  <c r="Z238" i="13"/>
  <c r="AB238" i="13" s="1"/>
  <c r="AC238" i="13" s="1"/>
  <c r="BN241" i="13"/>
  <c r="BF241" i="13"/>
  <c r="BS241" i="13"/>
  <c r="BP226" i="13"/>
  <c r="BR224" i="13"/>
  <c r="BF215" i="13"/>
  <c r="BJ215" i="13"/>
  <c r="BD119" i="13"/>
  <c r="BM119" i="13"/>
  <c r="BQ119" i="13"/>
  <c r="BR119" i="13"/>
  <c r="BE119" i="13"/>
  <c r="BN112" i="13"/>
  <c r="Z215" i="13"/>
  <c r="AB215" i="13" s="1"/>
  <c r="AC215" i="13" s="1"/>
  <c r="Z157" i="13"/>
  <c r="AB157" i="13" s="1"/>
  <c r="AC157" i="13" s="1"/>
  <c r="AA125" i="13"/>
  <c r="Z116" i="13"/>
  <c r="AB116" i="13" s="1"/>
  <c r="AC116" i="13" s="1"/>
  <c r="Z64" i="13"/>
  <c r="AB64" i="13" s="1"/>
  <c r="AC64" i="13" s="1"/>
  <c r="AA64" i="13"/>
  <c r="AA49" i="13"/>
  <c r="AA19" i="13"/>
  <c r="BN244" i="13"/>
  <c r="BD243" i="13"/>
  <c r="BK243" i="13"/>
  <c r="BM241" i="13"/>
  <c r="BK240" i="13"/>
  <c r="BN229" i="13"/>
  <c r="BL224" i="13"/>
  <c r="BK220" i="13"/>
  <c r="BP217" i="13"/>
  <c r="BR215" i="13"/>
  <c r="BQ205" i="13"/>
  <c r="BO179" i="13"/>
  <c r="BD168" i="13"/>
  <c r="BI168" i="13"/>
  <c r="BM168" i="13"/>
  <c r="BR168" i="13"/>
  <c r="BJ161" i="13"/>
  <c r="BE160" i="13"/>
  <c r="BP145" i="13"/>
  <c r="BE118" i="13"/>
  <c r="BO118" i="13"/>
  <c r="BF116" i="13"/>
  <c r="BJ105" i="13"/>
  <c r="BQ102" i="13"/>
  <c r="BG91" i="13"/>
  <c r="BN84" i="13"/>
  <c r="BP84" i="13"/>
  <c r="BG21" i="13"/>
  <c r="BD21" i="13"/>
  <c r="BF21" i="13"/>
  <c r="BK21" i="13"/>
  <c r="BL21" i="13"/>
  <c r="BM21" i="13"/>
  <c r="BO21" i="13"/>
  <c r="BP21" i="13"/>
  <c r="BQ21" i="13"/>
  <c r="BT21" i="13"/>
  <c r="AA154" i="13"/>
  <c r="Z154" i="13"/>
  <c r="AB154" i="13" s="1"/>
  <c r="AC154" i="13" s="1"/>
  <c r="BQ239" i="13"/>
  <c r="BD239" i="13"/>
  <c r="BS107" i="13"/>
  <c r="BF107" i="13"/>
  <c r="BG107" i="13"/>
  <c r="BL107" i="13"/>
  <c r="Z72" i="13"/>
  <c r="AB72" i="13" s="1"/>
  <c r="AC72" i="13" s="1"/>
  <c r="AA72" i="13"/>
  <c r="BL244" i="13"/>
  <c r="BN145" i="13"/>
  <c r="BE112" i="13"/>
  <c r="BJ112" i="13"/>
  <c r="BK112" i="13"/>
  <c r="BP112" i="13"/>
  <c r="BM72" i="13"/>
  <c r="BT72" i="13"/>
  <c r="BF48" i="13"/>
  <c r="BI48" i="13"/>
  <c r="BL48" i="13"/>
  <c r="BN48" i="13"/>
  <c r="BR48" i="13"/>
  <c r="BT48" i="13"/>
  <c r="BD44" i="13"/>
  <c r="BU44" i="13"/>
  <c r="BF44" i="13"/>
  <c r="BV44" i="13"/>
  <c r="BH44" i="13"/>
  <c r="BI44" i="13"/>
  <c r="BJ44" i="13"/>
  <c r="BK44" i="13"/>
  <c r="BL44" i="13"/>
  <c r="BM44" i="13"/>
  <c r="BO44" i="13"/>
  <c r="AA236" i="13"/>
  <c r="AA230" i="13"/>
  <c r="Z219" i="13"/>
  <c r="AB219" i="13" s="1"/>
  <c r="AC219" i="13" s="1"/>
  <c r="AA214" i="13"/>
  <c r="Z210" i="13"/>
  <c r="AB210" i="13" s="1"/>
  <c r="AC210" i="13" s="1"/>
  <c r="AA210" i="13"/>
  <c r="AA172" i="13"/>
  <c r="Z164" i="13"/>
  <c r="AB164" i="13" s="1"/>
  <c r="AC164" i="13" s="1"/>
  <c r="Z140" i="13"/>
  <c r="AB140" i="13" s="1"/>
  <c r="AC140" i="13" s="1"/>
  <c r="Z124" i="13"/>
  <c r="AB124" i="13" s="1"/>
  <c r="AC124" i="13" s="1"/>
  <c r="AA79" i="13"/>
  <c r="Z79" i="13"/>
  <c r="AB79" i="13" s="1"/>
  <c r="AC79" i="13" s="1"/>
  <c r="AA18" i="13"/>
  <c r="BJ244" i="13"/>
  <c r="BK241" i="13"/>
  <c r="BD240" i="13"/>
  <c r="BR237" i="13"/>
  <c r="BJ229" i="13"/>
  <c r="BO225" i="13"/>
  <c r="BH224" i="13"/>
  <c r="BN223" i="13"/>
  <c r="BU223" i="13"/>
  <c r="BR216" i="13"/>
  <c r="BO215" i="13"/>
  <c r="BM205" i="13"/>
  <c r="BF204" i="13"/>
  <c r="BG204" i="13"/>
  <c r="BV192" i="13"/>
  <c r="BO190" i="13"/>
  <c r="BG183" i="13"/>
  <c r="BI183" i="13"/>
  <c r="BV160" i="13"/>
  <c r="BT152" i="13"/>
  <c r="BO149" i="13"/>
  <c r="BM145" i="13"/>
  <c r="BR136" i="13"/>
  <c r="BS115" i="13"/>
  <c r="BN107" i="13"/>
  <c r="BO102" i="13"/>
  <c r="BS83" i="13"/>
  <c r="BL43" i="13"/>
  <c r="BK36" i="13"/>
  <c r="BL36" i="13"/>
  <c r="BN36" i="13"/>
  <c r="BO36" i="13"/>
  <c r="BR36" i="13"/>
  <c r="BU36" i="13"/>
  <c r="BV36" i="13"/>
  <c r="BJ193" i="13"/>
  <c r="BE193" i="13"/>
  <c r="Z92" i="13"/>
  <c r="AB92" i="13" s="1"/>
  <c r="AC92" i="13" s="1"/>
  <c r="AA92" i="13"/>
  <c r="BH244" i="13"/>
  <c r="BJ241" i="13"/>
  <c r="BI229" i="13"/>
  <c r="BG224" i="13"/>
  <c r="BN220" i="13"/>
  <c r="BS220" i="13"/>
  <c r="BQ216" i="13"/>
  <c r="BN215" i="13"/>
  <c r="BJ205" i="13"/>
  <c r="BR182" i="13"/>
  <c r="BH179" i="13"/>
  <c r="BL179" i="13"/>
  <c r="BM179" i="13"/>
  <c r="BU160" i="13"/>
  <c r="BM149" i="13"/>
  <c r="BO136" i="13"/>
  <c r="BT119" i="13"/>
  <c r="BV116" i="13"/>
  <c r="BP115" i="13"/>
  <c r="BK107" i="13"/>
  <c r="BE105" i="13"/>
  <c r="BG105" i="13"/>
  <c r="BH105" i="13"/>
  <c r="BL105" i="13"/>
  <c r="BK102" i="13"/>
  <c r="BN94" i="13"/>
  <c r="BQ91" i="13"/>
  <c r="BL91" i="13"/>
  <c r="BO91" i="13"/>
  <c r="BP91" i="13"/>
  <c r="BT91" i="13"/>
  <c r="BD91" i="13"/>
  <c r="BU75" i="13"/>
  <c r="BD165" i="13"/>
  <c r="BN165" i="13"/>
  <c r="BJ145" i="13"/>
  <c r="BF145" i="13"/>
  <c r="BU145" i="13"/>
  <c r="BI145" i="13"/>
  <c r="BK145" i="13"/>
  <c r="BO145" i="13"/>
  <c r="BD226" i="13"/>
  <c r="BN226" i="13"/>
  <c r="BI224" i="13"/>
  <c r="BP102" i="13"/>
  <c r="Z218" i="13"/>
  <c r="AB218" i="13" s="1"/>
  <c r="AC218" i="13" s="1"/>
  <c r="AA205" i="13"/>
  <c r="AA167" i="13"/>
  <c r="Z99" i="13"/>
  <c r="AB99" i="13" s="1"/>
  <c r="AC99" i="13" s="1"/>
  <c r="AA99" i="13"/>
  <c r="AA77" i="13"/>
  <c r="BG244" i="13"/>
  <c r="BI241" i="13"/>
  <c r="BV239" i="13"/>
  <c r="BJ236" i="13"/>
  <c r="BK236" i="13"/>
  <c r="BH229" i="13"/>
  <c r="BF224" i="13"/>
  <c r="BQ221" i="13"/>
  <c r="BP216" i="13"/>
  <c r="BK215" i="13"/>
  <c r="BJ206" i="13"/>
  <c r="BI205" i="13"/>
  <c r="BH203" i="13"/>
  <c r="BT199" i="13"/>
  <c r="BR196" i="13"/>
  <c r="BG196" i="13"/>
  <c r="BM196" i="13"/>
  <c r="BR192" i="13"/>
  <c r="BJ190" i="13"/>
  <c r="BP182" i="13"/>
  <c r="BL169" i="13"/>
  <c r="BH155" i="13"/>
  <c r="BO152" i="13"/>
  <c r="BK149" i="13"/>
  <c r="BG145" i="13"/>
  <c r="BM140" i="13"/>
  <c r="BL136" i="13"/>
  <c r="BN122" i="13"/>
  <c r="BR122" i="13"/>
  <c r="BT122" i="13"/>
  <c r="BN119" i="13"/>
  <c r="BI107" i="13"/>
  <c r="BO104" i="13"/>
  <c r="BJ102" i="13"/>
  <c r="BI98" i="13"/>
  <c r="BJ98" i="13"/>
  <c r="BQ98" i="13"/>
  <c r="BS98" i="13"/>
  <c r="BI94" i="13"/>
  <c r="BM83" i="13"/>
  <c r="BS79" i="13"/>
  <c r="BF79" i="13"/>
  <c r="BH79" i="13"/>
  <c r="BI79" i="13"/>
  <c r="BK79" i="13"/>
  <c r="BN79" i="13"/>
  <c r="BO75" i="13"/>
  <c r="BH115" i="13"/>
  <c r="BI115" i="13"/>
  <c r="BL115" i="13"/>
  <c r="BM115" i="13"/>
  <c r="BK160" i="13"/>
  <c r="BD160" i="13"/>
  <c r="BQ160" i="13"/>
  <c r="BF160" i="13"/>
  <c r="BS160" i="13"/>
  <c r="BG160" i="13"/>
  <c r="BT160" i="13"/>
  <c r="BL160" i="13"/>
  <c r="BS149" i="13"/>
  <c r="BE116" i="13"/>
  <c r="BK116" i="13"/>
  <c r="BM116" i="13"/>
  <c r="BO116" i="13"/>
  <c r="BD116" i="13"/>
  <c r="BT116" i="13"/>
  <c r="BP107" i="13"/>
  <c r="BF89" i="13"/>
  <c r="BU89" i="13"/>
  <c r="BG89" i="13"/>
  <c r="AA226" i="13"/>
  <c r="Z222" i="13"/>
  <c r="AB222" i="13" s="1"/>
  <c r="AC222" i="13" s="1"/>
  <c r="AA213" i="13"/>
  <c r="AA188" i="13"/>
  <c r="Z177" i="13"/>
  <c r="AB177" i="13" s="1"/>
  <c r="AC177" i="13" s="1"/>
  <c r="Z113" i="13"/>
  <c r="AB113" i="13" s="1"/>
  <c r="AC113" i="13" s="1"/>
  <c r="AA113" i="13"/>
  <c r="AA84" i="13"/>
  <c r="AA53" i="13"/>
  <c r="AA31" i="13"/>
  <c r="AA23" i="13"/>
  <c r="AA17" i="13"/>
  <c r="BD244" i="13"/>
  <c r="BV241" i="13"/>
  <c r="BH241" i="13"/>
  <c r="BS239" i="13"/>
  <c r="BK237" i="13"/>
  <c r="BV235" i="13"/>
  <c r="BG229" i="13"/>
  <c r="BV224" i="13"/>
  <c r="BE224" i="13"/>
  <c r="BV218" i="13"/>
  <c r="BM216" i="13"/>
  <c r="BI215" i="13"/>
  <c r="BJ210" i="13"/>
  <c r="BP210" i="13"/>
  <c r="BH205" i="13"/>
  <c r="BI182" i="13"/>
  <c r="BK176" i="13"/>
  <c r="BO176" i="13"/>
  <c r="BD176" i="13"/>
  <c r="BQ176" i="13"/>
  <c r="BE176" i="13"/>
  <c r="BR176" i="13"/>
  <c r="BI176" i="13"/>
  <c r="BV176" i="13"/>
  <c r="BR165" i="13"/>
  <c r="BP160" i="13"/>
  <c r="BE155" i="13"/>
  <c r="BN152" i="13"/>
  <c r="BG149" i="13"/>
  <c r="BD148" i="13"/>
  <c r="BN148" i="13"/>
  <c r="BP148" i="13"/>
  <c r="BQ148" i="13"/>
  <c r="BG148" i="13"/>
  <c r="BV148" i="13"/>
  <c r="BE145" i="13"/>
  <c r="BK136" i="13"/>
  <c r="BF132" i="13"/>
  <c r="BK132" i="13"/>
  <c r="BT121" i="13"/>
  <c r="BK119" i="13"/>
  <c r="BR116" i="13"/>
  <c r="BF115" i="13"/>
  <c r="BU112" i="13"/>
  <c r="BH107" i="13"/>
  <c r="BL104" i="13"/>
  <c r="BH102" i="13"/>
  <c r="BK83" i="13"/>
  <c r="BK75" i="13"/>
  <c r="BL66" i="13"/>
  <c r="BT66" i="13"/>
  <c r="BV60" i="13"/>
  <c r="BP15" i="13"/>
  <c r="BJ128" i="13"/>
  <c r="BH86" i="13"/>
  <c r="BN69" i="13"/>
  <c r="BS61" i="13"/>
  <c r="BU53" i="13"/>
  <c r="BF53" i="13"/>
  <c r="BO49" i="13"/>
  <c r="BI45" i="13"/>
  <c r="BU42" i="13"/>
  <c r="BV40" i="13"/>
  <c r="BP34" i="13"/>
  <c r="BO20" i="13"/>
  <c r="BE18" i="13"/>
  <c r="BI15" i="13"/>
  <c r="BR12" i="13"/>
  <c r="BG10" i="13"/>
  <c r="BJ8" i="13"/>
  <c r="BQ42" i="13"/>
  <c r="BU40" i="13"/>
  <c r="BR26" i="13"/>
  <c r="BN88" i="13"/>
  <c r="BU86" i="13"/>
  <c r="BF86" i="13"/>
  <c r="BT80" i="13"/>
  <c r="BI69" i="13"/>
  <c r="BM42" i="13"/>
  <c r="BT40" i="13"/>
  <c r="BS33" i="13"/>
  <c r="BU14" i="13"/>
  <c r="BN12" i="13"/>
  <c r="BK7" i="13"/>
  <c r="BT128" i="13"/>
  <c r="BU87" i="13"/>
  <c r="BR86" i="13"/>
  <c r="BU82" i="13"/>
  <c r="BE82" i="13"/>
  <c r="BP80" i="13"/>
  <c r="BN77" i="13"/>
  <c r="BO70" i="13"/>
  <c r="BH61" i="13"/>
  <c r="BJ57" i="13"/>
  <c r="BM53" i="13"/>
  <c r="BP40" i="13"/>
  <c r="BO33" i="13"/>
  <c r="BT29" i="13"/>
  <c r="BO16" i="13"/>
  <c r="BK12" i="13"/>
  <c r="BU8" i="13"/>
  <c r="BO80" i="13"/>
  <c r="BL53" i="13"/>
  <c r="BO40" i="13"/>
  <c r="BL33" i="13"/>
  <c r="BS29" i="13"/>
  <c r="BQ156" i="13"/>
  <c r="BN86" i="13"/>
  <c r="BV69" i="13"/>
  <c r="BK53" i="13"/>
  <c r="BL40" i="13"/>
  <c r="BG33" i="13"/>
  <c r="BQ29" i="13"/>
  <c r="AC236" i="13"/>
  <c r="AC202" i="13"/>
  <c r="Z42" i="13"/>
  <c r="AB42" i="13" s="1"/>
  <c r="AC42" i="13" s="1"/>
  <c r="AA42" i="13"/>
  <c r="AC240" i="13"/>
  <c r="Z183" i="13"/>
  <c r="AB183" i="13" s="1"/>
  <c r="AA183" i="13"/>
  <c r="BM126" i="13"/>
  <c r="BE126" i="13"/>
  <c r="BS126" i="13"/>
  <c r="BG126" i="13"/>
  <c r="BU126" i="13"/>
  <c r="BD126" i="13"/>
  <c r="BV126" i="13"/>
  <c r="BF126" i="13"/>
  <c r="BH126" i="13"/>
  <c r="BI126" i="13"/>
  <c r="BJ126" i="13"/>
  <c r="BK126" i="13"/>
  <c r="BP126" i="13"/>
  <c r="BQ126" i="13"/>
  <c r="BT126" i="13"/>
  <c r="BL126" i="13"/>
  <c r="BO126" i="13"/>
  <c r="BR126" i="13"/>
  <c r="AA211" i="13"/>
  <c r="Z211" i="13"/>
  <c r="AB211" i="13" s="1"/>
  <c r="AC211" i="13" s="1"/>
  <c r="AC188" i="13"/>
  <c r="Z117" i="13"/>
  <c r="AB117" i="13" s="1"/>
  <c r="AA117" i="13"/>
  <c r="AC81" i="13"/>
  <c r="BU186" i="13"/>
  <c r="BV186" i="13"/>
  <c r="BD186" i="13"/>
  <c r="BG186" i="13"/>
  <c r="BH186" i="13"/>
  <c r="BI186" i="13"/>
  <c r="BJ186" i="13"/>
  <c r="BO186" i="13"/>
  <c r="BS186" i="13"/>
  <c r="BP186" i="13"/>
  <c r="BT186" i="13"/>
  <c r="BF186" i="13"/>
  <c r="Z192" i="13"/>
  <c r="AB192" i="13" s="1"/>
  <c r="AC192" i="13" s="1"/>
  <c r="AA192" i="13"/>
  <c r="Z122" i="13"/>
  <c r="AB122" i="13" s="1"/>
  <c r="AA122" i="13"/>
  <c r="AC239" i="13"/>
  <c r="Z163" i="13"/>
  <c r="AB163" i="13" s="1"/>
  <c r="AC163" i="13" s="1"/>
  <c r="AA163" i="13"/>
  <c r="Z204" i="13"/>
  <c r="AB204" i="13" s="1"/>
  <c r="AC204" i="13" s="1"/>
  <c r="Z47" i="13"/>
  <c r="AB47" i="13" s="1"/>
  <c r="AC47" i="13" s="1"/>
  <c r="AA47" i="13"/>
  <c r="AC223" i="13"/>
  <c r="AC112" i="13"/>
  <c r="Z186" i="13"/>
  <c r="AB186" i="13" s="1"/>
  <c r="AC186" i="13" s="1"/>
  <c r="AA186" i="13"/>
  <c r="Z176" i="13"/>
  <c r="AB176" i="13" s="1"/>
  <c r="AA176" i="13"/>
  <c r="AC165" i="13"/>
  <c r="BD150" i="13"/>
  <c r="BS150" i="13"/>
  <c r="BJ150" i="13"/>
  <c r="BK150" i="13"/>
  <c r="BM150" i="13"/>
  <c r="BO150" i="13"/>
  <c r="BF150" i="13"/>
  <c r="BH150" i="13"/>
  <c r="BN150" i="13"/>
  <c r="BT150" i="13"/>
  <c r="BU150" i="13"/>
  <c r="BG150" i="13"/>
  <c r="BL150" i="13"/>
  <c r="BR150" i="13"/>
  <c r="BP150" i="13"/>
  <c r="AA110" i="13"/>
  <c r="Z110" i="13"/>
  <c r="AB110" i="13" s="1"/>
  <c r="AC110" i="13" s="1"/>
  <c r="Z234" i="13"/>
  <c r="AB234" i="13" s="1"/>
  <c r="AC226" i="13"/>
  <c r="Z168" i="13"/>
  <c r="AB168" i="13" s="1"/>
  <c r="AC168" i="13" s="1"/>
  <c r="BK213" i="13"/>
  <c r="BQ213" i="13"/>
  <c r="BD213" i="13"/>
  <c r="BS213" i="13"/>
  <c r="BF213" i="13"/>
  <c r="BU213" i="13"/>
  <c r="BG213" i="13"/>
  <c r="BH213" i="13"/>
  <c r="BI213" i="13"/>
  <c r="BJ213" i="13"/>
  <c r="BM213" i="13"/>
  <c r="BE213" i="13"/>
  <c r="BL213" i="13"/>
  <c r="BN213" i="13"/>
  <c r="BR213" i="13"/>
  <c r="BT213" i="13"/>
  <c r="BV213" i="13"/>
  <c r="AC201" i="13"/>
  <c r="BF96" i="13"/>
  <c r="BI96" i="13"/>
  <c r="BJ96" i="13"/>
  <c r="BL96" i="13"/>
  <c r="BP96" i="13"/>
  <c r="BR96" i="13"/>
  <c r="BN96" i="13"/>
  <c r="BV96" i="13"/>
  <c r="BE96" i="13"/>
  <c r="BK96" i="13"/>
  <c r="BM96" i="13"/>
  <c r="AA109" i="13"/>
  <c r="Z109" i="13"/>
  <c r="AB109" i="13" s="1"/>
  <c r="AC109" i="13" s="1"/>
  <c r="BD197" i="13"/>
  <c r="BF197" i="13"/>
  <c r="Z128" i="13"/>
  <c r="AB128" i="13" s="1"/>
  <c r="AA128" i="13"/>
  <c r="BK242" i="13"/>
  <c r="BM242" i="13"/>
  <c r="BO242" i="13"/>
  <c r="BE242" i="13"/>
  <c r="BU242" i="13"/>
  <c r="BF242" i="13"/>
  <c r="BV242" i="13"/>
  <c r="BG242" i="13"/>
  <c r="BH242" i="13"/>
  <c r="BJ242" i="13"/>
  <c r="BD242" i="13"/>
  <c r="BI242" i="13"/>
  <c r="BN242" i="13"/>
  <c r="BR242" i="13"/>
  <c r="BS242" i="13"/>
  <c r="BU231" i="13"/>
  <c r="BM141" i="13"/>
  <c r="BH141" i="13"/>
  <c r="BJ141" i="13"/>
  <c r="BL141" i="13"/>
  <c r="BO141" i="13"/>
  <c r="BN141" i="13"/>
  <c r="BQ141" i="13"/>
  <c r="BS141" i="13"/>
  <c r="BV141" i="13"/>
  <c r="BU141" i="13"/>
  <c r="BF141" i="13"/>
  <c r="BK141" i="13"/>
  <c r="BR141" i="13"/>
  <c r="AC214" i="13"/>
  <c r="AA112" i="13"/>
  <c r="AA85" i="13"/>
  <c r="BN231" i="13"/>
  <c r="BK221" i="13"/>
  <c r="BI221" i="13"/>
  <c r="BL221" i="13"/>
  <c r="BD221" i="13"/>
  <c r="BT221" i="13"/>
  <c r="BE221" i="13"/>
  <c r="BU221" i="13"/>
  <c r="BF221" i="13"/>
  <c r="BV221" i="13"/>
  <c r="BG221" i="13"/>
  <c r="BJ221" i="13"/>
  <c r="BH221" i="13"/>
  <c r="BM221" i="13"/>
  <c r="BN221" i="13"/>
  <c r="BR221" i="13"/>
  <c r="BS221" i="13"/>
  <c r="BQ209" i="13"/>
  <c r="BD209" i="13"/>
  <c r="BV198" i="13"/>
  <c r="BK191" i="13"/>
  <c r="BS125" i="13"/>
  <c r="BV125" i="13"/>
  <c r="BM125" i="13"/>
  <c r="BU125" i="13"/>
  <c r="BF125" i="13"/>
  <c r="BG125" i="13"/>
  <c r="BH125" i="13"/>
  <c r="BI125" i="13"/>
  <c r="BJ125" i="13"/>
  <c r="BN125" i="13"/>
  <c r="BK30" i="13"/>
  <c r="BG30" i="13"/>
  <c r="BT30" i="13"/>
  <c r="BH30" i="13"/>
  <c r="BU30" i="13"/>
  <c r="BN30" i="13"/>
  <c r="BQ30" i="13"/>
  <c r="BR30" i="13"/>
  <c r="BE30" i="13"/>
  <c r="BI30" i="13"/>
  <c r="BP30" i="13"/>
  <c r="BS30" i="13"/>
  <c r="BF30" i="13"/>
  <c r="BD30" i="13"/>
  <c r="BJ30" i="13"/>
  <c r="BL30" i="13"/>
  <c r="BM30" i="13"/>
  <c r="BV30" i="13"/>
  <c r="BO30" i="13"/>
  <c r="BH211" i="13"/>
  <c r="BI211" i="13"/>
  <c r="BK97" i="13"/>
  <c r="BL97" i="13"/>
  <c r="BM97" i="13"/>
  <c r="BQ97" i="13"/>
  <c r="BT97" i="13"/>
  <c r="BU97" i="13"/>
  <c r="BE97" i="13"/>
  <c r="BG97" i="13"/>
  <c r="BH97" i="13"/>
  <c r="BI97" i="13"/>
  <c r="BJ97" i="13"/>
  <c r="BO97" i="13"/>
  <c r="BR97" i="13"/>
  <c r="BS97" i="13"/>
  <c r="BV97" i="13"/>
  <c r="AC244" i="13"/>
  <c r="AC230" i="13"/>
  <c r="AC49" i="13"/>
  <c r="Z13" i="13"/>
  <c r="AB13" i="13" s="1"/>
  <c r="AA13" i="13"/>
  <c r="BF233" i="13"/>
  <c r="BJ233" i="13"/>
  <c r="BL233" i="13"/>
  <c r="BO233" i="13"/>
  <c r="BP233" i="13"/>
  <c r="BQ233" i="13"/>
  <c r="BT233" i="13"/>
  <c r="BD233" i="13"/>
  <c r="BE233" i="13"/>
  <c r="BG233" i="13"/>
  <c r="Z175" i="13"/>
  <c r="AB175" i="13" s="1"/>
  <c r="AA175" i="13"/>
  <c r="AA156" i="13"/>
  <c r="Z156" i="13"/>
  <c r="AB156" i="13" s="1"/>
  <c r="AC156" i="13" s="1"/>
  <c r="AA149" i="13"/>
  <c r="Z149" i="13"/>
  <c r="AB149" i="13" s="1"/>
  <c r="AC149" i="13" s="1"/>
  <c r="BL191" i="13"/>
  <c r="AA61" i="13"/>
  <c r="BF187" i="13"/>
  <c r="BI187" i="13"/>
  <c r="BP187" i="13"/>
  <c r="BR187" i="13"/>
  <c r="BH187" i="13"/>
  <c r="BL187" i="13"/>
  <c r="BQ187" i="13"/>
  <c r="BS187" i="13"/>
  <c r="BU187" i="13"/>
  <c r="BE187" i="13"/>
  <c r="BV187" i="13"/>
  <c r="BG187" i="13"/>
  <c r="BT187" i="13"/>
  <c r="BD231" i="13"/>
  <c r="BT231" i="13"/>
  <c r="BG231" i="13"/>
  <c r="BV231" i="13"/>
  <c r="BH231" i="13"/>
  <c r="BI231" i="13"/>
  <c r="BJ231" i="13"/>
  <c r="BK231" i="13"/>
  <c r="BO231" i="13"/>
  <c r="BP231" i="13"/>
  <c r="BR231" i="13"/>
  <c r="BS231" i="13"/>
  <c r="BF191" i="13"/>
  <c r="BS191" i="13"/>
  <c r="BT191" i="13"/>
  <c r="BV191" i="13"/>
  <c r="BU191" i="13"/>
  <c r="AC89" i="13"/>
  <c r="AC77" i="13"/>
  <c r="AC25" i="13"/>
  <c r="BN212" i="13"/>
  <c r="BL212" i="13"/>
  <c r="BO212" i="13"/>
  <c r="BS212" i="13"/>
  <c r="BF212" i="13"/>
  <c r="BG212" i="13"/>
  <c r="BJ212" i="13"/>
  <c r="BK212" i="13"/>
  <c r="BP212" i="13"/>
  <c r="BT212" i="13"/>
  <c r="BD151" i="13"/>
  <c r="BF151" i="13"/>
  <c r="BU151" i="13"/>
  <c r="BO151" i="13"/>
  <c r="BP151" i="13"/>
  <c r="BS151" i="13"/>
  <c r="BE151" i="13"/>
  <c r="BV151" i="13"/>
  <c r="BK151" i="13"/>
  <c r="BM151" i="13"/>
  <c r="BT151" i="13"/>
  <c r="BI151" i="13"/>
  <c r="BJ151" i="13"/>
  <c r="BL151" i="13"/>
  <c r="BQ151" i="13"/>
  <c r="BD143" i="13"/>
  <c r="BP143" i="13"/>
  <c r="BO143" i="13"/>
  <c r="Z231" i="13"/>
  <c r="AB231" i="13" s="1"/>
  <c r="Z190" i="13"/>
  <c r="AB190" i="13" s="1"/>
  <c r="Z111" i="13"/>
  <c r="AB111" i="13" s="1"/>
  <c r="AC111" i="13" s="1"/>
  <c r="AA25" i="13"/>
  <c r="BJ202" i="13"/>
  <c r="BD202" i="13"/>
  <c r="BI202" i="13"/>
  <c r="BM202" i="13"/>
  <c r="BN202" i="13"/>
  <c r="BO202" i="13"/>
  <c r="BQ202" i="13"/>
  <c r="BV202" i="13"/>
  <c r="BF198" i="13"/>
  <c r="BI198" i="13"/>
  <c r="BK198" i="13"/>
  <c r="BD198" i="13"/>
  <c r="BH198" i="13"/>
  <c r="BJ198" i="13"/>
  <c r="BN198" i="13"/>
  <c r="BP198" i="13"/>
  <c r="BR198" i="13"/>
  <c r="BS198" i="13"/>
  <c r="BU198" i="13"/>
  <c r="AA184" i="13"/>
  <c r="Z184" i="13"/>
  <c r="AB184" i="13" s="1"/>
  <c r="AC184" i="13" s="1"/>
  <c r="AA119" i="13"/>
  <c r="Z119" i="13"/>
  <c r="AB119" i="13" s="1"/>
  <c r="AC119" i="13" s="1"/>
  <c r="AC178" i="13"/>
  <c r="Z68" i="13"/>
  <c r="AB68" i="13" s="1"/>
  <c r="AA68" i="13"/>
  <c r="AA161" i="13"/>
  <c r="Z161" i="13"/>
  <c r="AB161" i="13" s="1"/>
  <c r="AC161" i="13" s="1"/>
  <c r="AA95" i="13"/>
  <c r="Z95" i="13"/>
  <c r="AB95" i="13" s="1"/>
  <c r="AC95" i="13" s="1"/>
  <c r="AC59" i="13"/>
  <c r="BG177" i="13"/>
  <c r="BD177" i="13"/>
  <c r="BF177" i="13"/>
  <c r="BK173" i="13"/>
  <c r="BR173" i="13"/>
  <c r="BQ173" i="13"/>
  <c r="BM173" i="13"/>
  <c r="BP173" i="13"/>
  <c r="BN155" i="13"/>
  <c r="BG155" i="13"/>
  <c r="BV155" i="13"/>
  <c r="BO155" i="13"/>
  <c r="BP155" i="13"/>
  <c r="BR155" i="13"/>
  <c r="BL155" i="13"/>
  <c r="BQ155" i="13"/>
  <c r="BT155" i="13"/>
  <c r="BU155" i="13"/>
  <c r="BD155" i="13"/>
  <c r="BI155" i="13"/>
  <c r="BM155" i="13"/>
  <c r="BS155" i="13"/>
  <c r="Z21" i="13"/>
  <c r="AB21" i="13" s="1"/>
  <c r="AC21" i="13" s="1"/>
  <c r="AA21" i="13"/>
  <c r="BK238" i="13"/>
  <c r="BD238" i="13"/>
  <c r="BR238" i="13"/>
  <c r="BF238" i="13"/>
  <c r="BT238" i="13"/>
  <c r="BG238" i="13"/>
  <c r="BH238" i="13"/>
  <c r="BI238" i="13"/>
  <c r="BJ238" i="13"/>
  <c r="BN238" i="13"/>
  <c r="BD189" i="13"/>
  <c r="BR189" i="13"/>
  <c r="BH142" i="13"/>
  <c r="BJ142" i="13"/>
  <c r="Z41" i="13"/>
  <c r="AB41" i="13" s="1"/>
  <c r="AA41" i="13"/>
  <c r="Z6" i="13"/>
  <c r="AB6" i="13" s="1"/>
  <c r="AC6" i="13" s="1"/>
  <c r="AA6" i="13"/>
  <c r="BU227" i="13"/>
  <c r="BI227" i="13"/>
  <c r="BL227" i="13"/>
  <c r="BV199" i="13"/>
  <c r="BD195" i="13"/>
  <c r="BF195" i="13"/>
  <c r="BM195" i="13"/>
  <c r="BT195" i="13"/>
  <c r="BU195" i="13"/>
  <c r="BK193" i="13"/>
  <c r="BP180" i="13"/>
  <c r="BQ180" i="13"/>
  <c r="BL180" i="13"/>
  <c r="BS180" i="13"/>
  <c r="BI140" i="13"/>
  <c r="BJ140" i="13"/>
  <c r="BL140" i="13"/>
  <c r="AC105" i="13"/>
  <c r="Z73" i="13"/>
  <c r="AB73" i="13" s="1"/>
  <c r="AC73" i="13" s="1"/>
  <c r="AA73" i="13"/>
  <c r="BV238" i="13"/>
  <c r="BO223" i="13"/>
  <c r="BR223" i="13"/>
  <c r="BF223" i="13"/>
  <c r="BG223" i="13"/>
  <c r="BH223" i="13"/>
  <c r="BI223" i="13"/>
  <c r="BK223" i="13"/>
  <c r="BJ217" i="13"/>
  <c r="BN208" i="13"/>
  <c r="BD208" i="13"/>
  <c r="BS208" i="13"/>
  <c r="BF208" i="13"/>
  <c r="BU208" i="13"/>
  <c r="BH208" i="13"/>
  <c r="BO208" i="13"/>
  <c r="BP208" i="13"/>
  <c r="BQ208" i="13"/>
  <c r="BR208" i="13"/>
  <c r="BV208" i="13"/>
  <c r="BP203" i="13"/>
  <c r="BM203" i="13"/>
  <c r="BS199" i="13"/>
  <c r="BU163" i="13"/>
  <c r="BF109" i="13"/>
  <c r="BU109" i="13"/>
  <c r="BH109" i="13"/>
  <c r="BG109" i="13"/>
  <c r="BJ109" i="13"/>
  <c r="BL109" i="13"/>
  <c r="BN109" i="13"/>
  <c r="BO109" i="13"/>
  <c r="BQ109" i="13"/>
  <c r="BR109" i="13"/>
  <c r="BS109" i="13"/>
  <c r="BE109" i="13"/>
  <c r="BT109" i="13"/>
  <c r="BV109" i="13"/>
  <c r="BM124" i="13"/>
  <c r="BO124" i="13"/>
  <c r="BD124" i="13"/>
  <c r="BT124" i="13"/>
  <c r="BF124" i="13"/>
  <c r="BV124" i="13"/>
  <c r="BH124" i="13"/>
  <c r="BI124" i="13"/>
  <c r="BJ124" i="13"/>
  <c r="BK124" i="13"/>
  <c r="BL124" i="13"/>
  <c r="BN124" i="13"/>
  <c r="BR124" i="13"/>
  <c r="BU124" i="13"/>
  <c r="BE124" i="13"/>
  <c r="BP124" i="13"/>
  <c r="BQ124" i="13"/>
  <c r="AC52" i="13"/>
  <c r="Z43" i="13"/>
  <c r="AB43" i="13" s="1"/>
  <c r="AA43" i="13"/>
  <c r="AA30" i="13"/>
  <c r="Z9" i="13"/>
  <c r="AB9" i="13" s="1"/>
  <c r="AC9" i="13" s="1"/>
  <c r="AA9" i="13"/>
  <c r="BU238" i="13"/>
  <c r="BO68" i="13"/>
  <c r="BM68" i="13"/>
  <c r="BN68" i="13"/>
  <c r="BE68" i="13"/>
  <c r="BL68" i="13"/>
  <c r="BP166" i="13"/>
  <c r="BR166" i="13"/>
  <c r="BO166" i="13"/>
  <c r="BM166" i="13"/>
  <c r="BN166" i="13"/>
  <c r="AA151" i="13"/>
  <c r="Z151" i="13"/>
  <c r="AB151" i="13" s="1"/>
  <c r="AC151" i="13" s="1"/>
  <c r="Z115" i="13"/>
  <c r="AB115" i="13" s="1"/>
  <c r="AC115" i="13" s="1"/>
  <c r="AA115" i="13"/>
  <c r="Z67" i="13"/>
  <c r="AB67" i="13" s="1"/>
  <c r="AA67" i="13"/>
  <c r="Z36" i="13"/>
  <c r="AB36" i="13" s="1"/>
  <c r="AA36" i="13"/>
  <c r="BS238" i="13"/>
  <c r="BD217" i="13"/>
  <c r="BF217" i="13"/>
  <c r="BO217" i="13"/>
  <c r="BR217" i="13"/>
  <c r="BS217" i="13"/>
  <c r="BD199" i="13"/>
  <c r="BJ199" i="13"/>
  <c r="BN199" i="13"/>
  <c r="BP199" i="13"/>
  <c r="BF199" i="13"/>
  <c r="BG199" i="13"/>
  <c r="BH199" i="13"/>
  <c r="BI199" i="13"/>
  <c r="BO199" i="13"/>
  <c r="BN163" i="13"/>
  <c r="BD163" i="13"/>
  <c r="BS163" i="13"/>
  <c r="BE163" i="13"/>
  <c r="BT163" i="13"/>
  <c r="BG163" i="13"/>
  <c r="BV163" i="13"/>
  <c r="BI163" i="13"/>
  <c r="BM163" i="13"/>
  <c r="BP163" i="13"/>
  <c r="BF163" i="13"/>
  <c r="BH163" i="13"/>
  <c r="BL163" i="13"/>
  <c r="BO163" i="13"/>
  <c r="BR163" i="13"/>
  <c r="BM228" i="13"/>
  <c r="BP228" i="13"/>
  <c r="BH216" i="13"/>
  <c r="BJ182" i="13"/>
  <c r="BM182" i="13"/>
  <c r="BO182" i="13"/>
  <c r="BN179" i="13"/>
  <c r="BF179" i="13"/>
  <c r="BU179" i="13"/>
  <c r="BR179" i="13"/>
  <c r="BD179" i="13"/>
  <c r="BT179" i="13"/>
  <c r="BG179" i="13"/>
  <c r="BL174" i="13"/>
  <c r="BM174" i="13"/>
  <c r="BO174" i="13"/>
  <c r="BD174" i="13"/>
  <c r="BG170" i="13"/>
  <c r="BH170" i="13"/>
  <c r="BD144" i="13"/>
  <c r="BI144" i="13"/>
  <c r="BN144" i="13"/>
  <c r="BP144" i="13"/>
  <c r="BO144" i="13"/>
  <c r="BQ144" i="13"/>
  <c r="Z55" i="13"/>
  <c r="AB55" i="13" s="1"/>
  <c r="AA55" i="13"/>
  <c r="BK244" i="13"/>
  <c r="BM244" i="13"/>
  <c r="BT237" i="13"/>
  <c r="BN232" i="13"/>
  <c r="BE232" i="13"/>
  <c r="BU232" i="13"/>
  <c r="BG232" i="13"/>
  <c r="BL225" i="13"/>
  <c r="BN210" i="13"/>
  <c r="BR194" i="13"/>
  <c r="BK192" i="13"/>
  <c r="BD192" i="13"/>
  <c r="BQ192" i="13"/>
  <c r="BG192" i="13"/>
  <c r="BU192" i="13"/>
  <c r="BI192" i="13"/>
  <c r="BL192" i="13"/>
  <c r="BM190" i="13"/>
  <c r="BQ181" i="13"/>
  <c r="BV179" i="13"/>
  <c r="BM172" i="13"/>
  <c r="BG172" i="13"/>
  <c r="BK168" i="13"/>
  <c r="BG168" i="13"/>
  <c r="BT168" i="13"/>
  <c r="BH168" i="13"/>
  <c r="BU168" i="13"/>
  <c r="BJ168" i="13"/>
  <c r="BF168" i="13"/>
  <c r="BL168" i="13"/>
  <c r="BN168" i="13"/>
  <c r="BG134" i="13"/>
  <c r="BH65" i="13"/>
  <c r="BI65" i="13"/>
  <c r="BL65" i="13"/>
  <c r="BM65" i="13"/>
  <c r="BR65" i="13"/>
  <c r="BE65" i="13"/>
  <c r="BF65" i="13"/>
  <c r="BJ65" i="13"/>
  <c r="BK65" i="13"/>
  <c r="BQ65" i="13"/>
  <c r="BU65" i="13"/>
  <c r="BN237" i="13"/>
  <c r="BF237" i="13"/>
  <c r="BS237" i="13"/>
  <c r="BH237" i="13"/>
  <c r="BU237" i="13"/>
  <c r="BF236" i="13"/>
  <c r="BS236" i="13"/>
  <c r="BN216" i="13"/>
  <c r="BD216" i="13"/>
  <c r="BT216" i="13"/>
  <c r="BF216" i="13"/>
  <c r="BV216" i="13"/>
  <c r="BN204" i="13"/>
  <c r="BL204" i="13"/>
  <c r="BO204" i="13"/>
  <c r="BS204" i="13"/>
  <c r="BM183" i="13"/>
  <c r="BF183" i="13"/>
  <c r="BH183" i="13"/>
  <c r="BS179" i="13"/>
  <c r="BH73" i="13"/>
  <c r="BN73" i="13"/>
  <c r="BQ73" i="13"/>
  <c r="BT73" i="13"/>
  <c r="BV73" i="13"/>
  <c r="BM73" i="13"/>
  <c r="BE73" i="13"/>
  <c r="Z29" i="13"/>
  <c r="AB29" i="13" s="1"/>
  <c r="AC29" i="13" s="1"/>
  <c r="AA29" i="13"/>
  <c r="Z146" i="13"/>
  <c r="AB146" i="13" s="1"/>
  <c r="AC146" i="13" s="1"/>
  <c r="AA105" i="13"/>
  <c r="AA34" i="13"/>
  <c r="Z11" i="13"/>
  <c r="AB11" i="13" s="1"/>
  <c r="AA11" i="13"/>
  <c r="BV244" i="13"/>
  <c r="BQ237" i="13"/>
  <c r="BS232" i="13"/>
  <c r="BT228" i="13"/>
  <c r="BU216" i="13"/>
  <c r="BU214" i="13"/>
  <c r="BF214" i="13"/>
  <c r="BI214" i="13"/>
  <c r="BK205" i="13"/>
  <c r="BP205" i="13"/>
  <c r="BD205" i="13"/>
  <c r="BR205" i="13"/>
  <c r="BF205" i="13"/>
  <c r="BT205" i="13"/>
  <c r="BS192" i="13"/>
  <c r="BQ179" i="13"/>
  <c r="BV168" i="13"/>
  <c r="BH127" i="13"/>
  <c r="BK127" i="13"/>
  <c r="BP237" i="13"/>
  <c r="BS228" i="13"/>
  <c r="BD225" i="13"/>
  <c r="BF225" i="13"/>
  <c r="BS216" i="13"/>
  <c r="BV210" i="13"/>
  <c r="BO210" i="13"/>
  <c r="BD194" i="13"/>
  <c r="BK194" i="13"/>
  <c r="BS194" i="13"/>
  <c r="BU194" i="13"/>
  <c r="BD190" i="13"/>
  <c r="BU190" i="13"/>
  <c r="BP190" i="13"/>
  <c r="BV182" i="13"/>
  <c r="BD181" i="13"/>
  <c r="BJ181" i="13"/>
  <c r="BP181" i="13"/>
  <c r="BP179" i="13"/>
  <c r="BM134" i="13"/>
  <c r="BF134" i="13"/>
  <c r="BS134" i="13"/>
  <c r="BH134" i="13"/>
  <c r="BU134" i="13"/>
  <c r="BK134" i="13"/>
  <c r="BL134" i="13"/>
  <c r="BN134" i="13"/>
  <c r="BO134" i="13"/>
  <c r="BP134" i="13"/>
  <c r="BQ134" i="13"/>
  <c r="BI134" i="13"/>
  <c r="BJ134" i="13"/>
  <c r="BT134" i="13"/>
  <c r="BT130" i="13"/>
  <c r="BP130" i="13"/>
  <c r="BQ130" i="13"/>
  <c r="BR130" i="13"/>
  <c r="BG52" i="13"/>
  <c r="BP52" i="13"/>
  <c r="BI52" i="13"/>
  <c r="BK52" i="13"/>
  <c r="BN52" i="13"/>
  <c r="BS52" i="13"/>
  <c r="BU52" i="13"/>
  <c r="BD52" i="13"/>
  <c r="BJ52" i="13"/>
  <c r="BL52" i="13"/>
  <c r="BM52" i="13"/>
  <c r="BO52" i="13"/>
  <c r="BV52" i="13"/>
  <c r="BR52" i="13"/>
  <c r="BH167" i="13"/>
  <c r="BT167" i="13"/>
  <c r="BO162" i="13"/>
  <c r="BG162" i="13"/>
  <c r="BN157" i="13"/>
  <c r="BD157" i="13"/>
  <c r="BH129" i="13"/>
  <c r="BK129" i="13"/>
  <c r="BO129" i="13"/>
  <c r="BQ129" i="13"/>
  <c r="BR129" i="13"/>
  <c r="BS129" i="13"/>
  <c r="BU129" i="13"/>
  <c r="BV129" i="13"/>
  <c r="BE239" i="13"/>
  <c r="BS229" i="13"/>
  <c r="BE229" i="13"/>
  <c r="BG220" i="13"/>
  <c r="BU215" i="13"/>
  <c r="BP200" i="13"/>
  <c r="BT196" i="13"/>
  <c r="BN171" i="13"/>
  <c r="BE171" i="13"/>
  <c r="BT171" i="13"/>
  <c r="BF171" i="13"/>
  <c r="BU171" i="13"/>
  <c r="BH171" i="13"/>
  <c r="BJ169" i="13"/>
  <c r="BK169" i="13"/>
  <c r="BP169" i="13"/>
  <c r="BG154" i="13"/>
  <c r="BV154" i="13"/>
  <c r="BD149" i="13"/>
  <c r="BR149" i="13"/>
  <c r="BE149" i="13"/>
  <c r="BU149" i="13"/>
  <c r="BF149" i="13"/>
  <c r="BV149" i="13"/>
  <c r="BI149" i="13"/>
  <c r="BL149" i="13"/>
  <c r="BK54" i="13"/>
  <c r="BD54" i="13"/>
  <c r="BQ54" i="13"/>
  <c r="BN54" i="13"/>
  <c r="BG54" i="13"/>
  <c r="BV54" i="13"/>
  <c r="BJ54" i="13"/>
  <c r="BF54" i="13"/>
  <c r="BH54" i="13"/>
  <c r="BM54" i="13"/>
  <c r="BP54" i="13"/>
  <c r="BR54" i="13"/>
  <c r="BS54" i="13"/>
  <c r="BT54" i="13"/>
  <c r="BE54" i="13"/>
  <c r="BU54" i="13"/>
  <c r="BM200" i="13"/>
  <c r="BS188" i="13"/>
  <c r="BS171" i="13"/>
  <c r="BF110" i="13"/>
  <c r="BH110" i="13"/>
  <c r="BU110" i="13"/>
  <c r="BJ110" i="13"/>
  <c r="BP110" i="13"/>
  <c r="BQ110" i="13"/>
  <c r="BS110" i="13"/>
  <c r="BT110" i="13"/>
  <c r="BF99" i="13"/>
  <c r="BU99" i="13"/>
  <c r="BG99" i="13"/>
  <c r="BH99" i="13"/>
  <c r="BL99" i="13"/>
  <c r="BE99" i="13"/>
  <c r="BI99" i="13"/>
  <c r="BO99" i="13"/>
  <c r="BQ99" i="13"/>
  <c r="BR99" i="13"/>
  <c r="BS99" i="13"/>
  <c r="BT99" i="13"/>
  <c r="BD88" i="13"/>
  <c r="BF88" i="13"/>
  <c r="BT88" i="13"/>
  <c r="BU88" i="13"/>
  <c r="BV88" i="13"/>
  <c r="BI136" i="13"/>
  <c r="BL135" i="13"/>
  <c r="BO122" i="13"/>
  <c r="BQ122" i="13"/>
  <c r="BD122" i="13"/>
  <c r="BG122" i="13"/>
  <c r="BL103" i="13"/>
  <c r="BO103" i="13"/>
  <c r="BP103" i="13"/>
  <c r="BD103" i="13"/>
  <c r="BQ103" i="13"/>
  <c r="BU101" i="13"/>
  <c r="BH133" i="13"/>
  <c r="BU133" i="13"/>
  <c r="BP108" i="13"/>
  <c r="BU108" i="13"/>
  <c r="BV108" i="13"/>
  <c r="BT98" i="13"/>
  <c r="BU98" i="13"/>
  <c r="BD98" i="13"/>
  <c r="BH32" i="13"/>
  <c r="BL32" i="13"/>
  <c r="BT32" i="13"/>
  <c r="BF32" i="13"/>
  <c r="BS32" i="13"/>
  <c r="BD32" i="13"/>
  <c r="BP175" i="13"/>
  <c r="BK159" i="13"/>
  <c r="BJ132" i="13"/>
  <c r="BL132" i="13"/>
  <c r="BN115" i="13"/>
  <c r="BR115" i="13"/>
  <c r="BE115" i="13"/>
  <c r="BE84" i="13"/>
  <c r="BK84" i="13"/>
  <c r="BE49" i="13"/>
  <c r="BG49" i="13"/>
  <c r="BJ49" i="13"/>
  <c r="BM49" i="13"/>
  <c r="BS49" i="13"/>
  <c r="BD136" i="13"/>
  <c r="BN136" i="13"/>
  <c r="BP136" i="13"/>
  <c r="BG135" i="13"/>
  <c r="BD135" i="13"/>
  <c r="BI135" i="13"/>
  <c r="BH118" i="13"/>
  <c r="BJ118" i="13"/>
  <c r="BI118" i="13"/>
  <c r="BP118" i="13"/>
  <c r="BT113" i="13"/>
  <c r="BM105" i="13"/>
  <c r="BN105" i="13"/>
  <c r="BO105" i="13"/>
  <c r="BQ105" i="13"/>
  <c r="BS105" i="13"/>
  <c r="BJ101" i="13"/>
  <c r="BM87" i="13"/>
  <c r="BO87" i="13"/>
  <c r="BP87" i="13"/>
  <c r="BD87" i="13"/>
  <c r="BR87" i="13"/>
  <c r="BH87" i="13"/>
  <c r="BI87" i="13"/>
  <c r="BK87" i="13"/>
  <c r="BL87" i="13"/>
  <c r="BK46" i="13"/>
  <c r="BD46" i="13"/>
  <c r="BQ46" i="13"/>
  <c r="BF46" i="13"/>
  <c r="BT46" i="13"/>
  <c r="BJ46" i="13"/>
  <c r="BN46" i="13"/>
  <c r="BR46" i="13"/>
  <c r="BG46" i="13"/>
  <c r="BH46" i="13"/>
  <c r="BM46" i="13"/>
  <c r="BP46" i="13"/>
  <c r="BS46" i="13"/>
  <c r="BU46" i="13"/>
  <c r="BV46" i="13"/>
  <c r="BE46" i="13"/>
  <c r="BI46" i="13"/>
  <c r="BL46" i="13"/>
  <c r="BO46" i="13"/>
  <c r="BD158" i="13"/>
  <c r="BR152" i="13"/>
  <c r="BV133" i="13"/>
  <c r="BE128" i="13"/>
  <c r="BU128" i="13"/>
  <c r="BH128" i="13"/>
  <c r="BV122" i="13"/>
  <c r="BM113" i="13"/>
  <c r="BU105" i="13"/>
  <c r="BF95" i="13"/>
  <c r="BS95" i="13"/>
  <c r="BG95" i="13"/>
  <c r="BT95" i="13"/>
  <c r="BH95" i="13"/>
  <c r="BU95" i="13"/>
  <c r="BK95" i="13"/>
  <c r="BN95" i="13"/>
  <c r="BO95" i="13"/>
  <c r="BQ95" i="13"/>
  <c r="BO93" i="13"/>
  <c r="BN93" i="13"/>
  <c r="BK152" i="13"/>
  <c r="BF152" i="13"/>
  <c r="BS152" i="13"/>
  <c r="BV136" i="13"/>
  <c r="BT133" i="13"/>
  <c r="BU132" i="13"/>
  <c r="BU115" i="13"/>
  <c r="BL101" i="13"/>
  <c r="BM101" i="13"/>
  <c r="BQ101" i="13"/>
  <c r="BS101" i="13"/>
  <c r="BE101" i="13"/>
  <c r="BF101" i="13"/>
  <c r="BH101" i="13"/>
  <c r="BK92" i="13"/>
  <c r="BO92" i="13"/>
  <c r="BT92" i="13"/>
  <c r="BO35" i="13"/>
  <c r="BN35" i="13"/>
  <c r="BL35" i="13"/>
  <c r="BM35" i="13"/>
  <c r="BV35" i="13"/>
  <c r="BJ35" i="13"/>
  <c r="BK35" i="13"/>
  <c r="BS35" i="13"/>
  <c r="BF35" i="13"/>
  <c r="BI35" i="13"/>
  <c r="BI81" i="13"/>
  <c r="BL76" i="13"/>
  <c r="BN76" i="13"/>
  <c r="BT76" i="13"/>
  <c r="BS59" i="13"/>
  <c r="BK38" i="13"/>
  <c r="BF38" i="13"/>
  <c r="BS38" i="13"/>
  <c r="BO38" i="13"/>
  <c r="BH38" i="13"/>
  <c r="BI38" i="13"/>
  <c r="BM38" i="13"/>
  <c r="BN38" i="13"/>
  <c r="BU38" i="13"/>
  <c r="BV38" i="13"/>
  <c r="BD38" i="13"/>
  <c r="BR38" i="13"/>
  <c r="BT38" i="13"/>
  <c r="BE38" i="13"/>
  <c r="BG23" i="13"/>
  <c r="BI23" i="13"/>
  <c r="BJ23" i="13"/>
  <c r="BF23" i="13"/>
  <c r="BK89" i="13"/>
  <c r="BM89" i="13"/>
  <c r="BQ89" i="13"/>
  <c r="BT89" i="13"/>
  <c r="BF81" i="13"/>
  <c r="BO59" i="13"/>
  <c r="BL120" i="13"/>
  <c r="BQ120" i="13"/>
  <c r="BH114" i="13"/>
  <c r="BK114" i="13"/>
  <c r="BK94" i="13"/>
  <c r="BS94" i="13"/>
  <c r="BU94" i="13"/>
  <c r="BF80" i="13"/>
  <c r="BS80" i="13"/>
  <c r="BH80" i="13"/>
  <c r="BI80" i="13"/>
  <c r="BK80" i="13"/>
  <c r="BM80" i="13"/>
  <c r="BJ51" i="13"/>
  <c r="BM51" i="13"/>
  <c r="BL51" i="13"/>
  <c r="BN51" i="13"/>
  <c r="BP51" i="13"/>
  <c r="BK81" i="13"/>
  <c r="BL81" i="13"/>
  <c r="BM81" i="13"/>
  <c r="BP81" i="13"/>
  <c r="BF59" i="13"/>
  <c r="BJ59" i="13"/>
  <c r="BV59" i="13"/>
  <c r="BJ25" i="13"/>
  <c r="BL25" i="13"/>
  <c r="BM25" i="13"/>
  <c r="BD25" i="13"/>
  <c r="BP25" i="13"/>
  <c r="BQ25" i="13"/>
  <c r="BT25" i="13"/>
  <c r="BE25" i="13"/>
  <c r="BG25" i="13"/>
  <c r="BR25" i="13"/>
  <c r="BS25" i="13"/>
  <c r="BM19" i="13"/>
  <c r="BO19" i="13"/>
  <c r="BP19" i="13"/>
  <c r="BS19" i="13"/>
  <c r="BV19" i="13"/>
  <c r="BK74" i="13"/>
  <c r="BN74" i="13"/>
  <c r="BR74" i="13"/>
  <c r="BK67" i="13"/>
  <c r="BN67" i="13"/>
  <c r="BJ43" i="13"/>
  <c r="BF43" i="13"/>
  <c r="BV43" i="13"/>
  <c r="BO43" i="13"/>
  <c r="BN43" i="13"/>
  <c r="BS43" i="13"/>
  <c r="BN37" i="13"/>
  <c r="BF37" i="13"/>
  <c r="BU37" i="13"/>
  <c r="BK37" i="13"/>
  <c r="BQ37" i="13"/>
  <c r="BS37" i="13"/>
  <c r="BD37" i="13"/>
  <c r="BJ37" i="13"/>
  <c r="BV37" i="13"/>
  <c r="BL37" i="13"/>
  <c r="BT37" i="13"/>
  <c r="BH37" i="13"/>
  <c r="BF17" i="13"/>
  <c r="BG17" i="13"/>
  <c r="BJ17" i="13"/>
  <c r="BQ17" i="13"/>
  <c r="BT17" i="13"/>
  <c r="BR17" i="13"/>
  <c r="BS17" i="13"/>
  <c r="BD17" i="13"/>
  <c r="BP17" i="13"/>
  <c r="BI121" i="13"/>
  <c r="BU107" i="13"/>
  <c r="BD107" i="13"/>
  <c r="BQ86" i="13"/>
  <c r="BD86" i="13"/>
  <c r="BQ72" i="13"/>
  <c r="BN70" i="13"/>
  <c r="BH69" i="13"/>
  <c r="BI62" i="13"/>
  <c r="BM26" i="13"/>
  <c r="BD26" i="13"/>
  <c r="BQ26" i="13"/>
  <c r="BJ26" i="13"/>
  <c r="BV74" i="13"/>
  <c r="BO72" i="13"/>
  <c r="BK70" i="13"/>
  <c r="BE55" i="13"/>
  <c r="BG55" i="13"/>
  <c r="BR42" i="13"/>
  <c r="BJ42" i="13"/>
  <c r="BN42" i="13"/>
  <c r="BP42" i="13"/>
  <c r="BH42" i="13"/>
  <c r="BO42" i="13"/>
  <c r="BE42" i="13"/>
  <c r="BS119" i="13"/>
  <c r="BP90" i="13"/>
  <c r="BO86" i="13"/>
  <c r="BN83" i="13"/>
  <c r="BO82" i="13"/>
  <c r="BT74" i="13"/>
  <c r="BF70" i="13"/>
  <c r="BG63" i="13"/>
  <c r="BH63" i="13"/>
  <c r="BD63" i="13"/>
  <c r="BF63" i="13"/>
  <c r="BL63" i="13"/>
  <c r="BI47" i="13"/>
  <c r="BG47" i="13"/>
  <c r="BS47" i="13"/>
  <c r="BF47" i="13"/>
  <c r="BJ47" i="13"/>
  <c r="BH72" i="13"/>
  <c r="BL72" i="13"/>
  <c r="BP72" i="13"/>
  <c r="BL69" i="13"/>
  <c r="BK69" i="13"/>
  <c r="BM69" i="13"/>
  <c r="BQ69" i="13"/>
  <c r="BK62" i="13"/>
  <c r="BH62" i="13"/>
  <c r="BU62" i="13"/>
  <c r="BE62" i="13"/>
  <c r="BS62" i="13"/>
  <c r="BO62" i="13"/>
  <c r="BP62" i="13"/>
  <c r="BD62" i="13"/>
  <c r="BT62" i="13"/>
  <c r="BP48" i="13"/>
  <c r="BG48" i="13"/>
  <c r="BO48" i="13"/>
  <c r="BV48" i="13"/>
  <c r="BU79" i="13"/>
  <c r="BN29" i="13"/>
  <c r="BH29" i="13"/>
  <c r="BV29" i="13"/>
  <c r="BI29" i="13"/>
  <c r="BF29" i="13"/>
  <c r="BD29" i="13"/>
  <c r="BG29" i="13"/>
  <c r="BL29" i="13"/>
  <c r="BM29" i="13"/>
  <c r="BK29" i="13"/>
  <c r="BG61" i="13"/>
  <c r="BD61" i="13"/>
  <c r="BM61" i="13"/>
  <c r="BD11" i="13"/>
  <c r="BP11" i="13"/>
  <c r="BU11" i="13"/>
  <c r="BG36" i="13"/>
  <c r="BD36" i="13"/>
  <c r="BS36" i="13"/>
  <c r="BH36" i="13"/>
  <c r="BI36" i="13"/>
  <c r="BJ36" i="13"/>
  <c r="BM36" i="13"/>
  <c r="BF36" i="13"/>
  <c r="BP36" i="13"/>
  <c r="BM27" i="13"/>
  <c r="BO27" i="13"/>
  <c r="BP27" i="13"/>
  <c r="BL27" i="13"/>
  <c r="BF27" i="13"/>
  <c r="BI27" i="13"/>
  <c r="BS27" i="13"/>
  <c r="BJ27" i="13"/>
  <c r="BL41" i="13"/>
  <c r="BQ41" i="13"/>
  <c r="BO41" i="13"/>
  <c r="BG44" i="13"/>
  <c r="BP44" i="13"/>
  <c r="BI40" i="13"/>
  <c r="BF39" i="13"/>
  <c r="BD39" i="13"/>
  <c r="BN14" i="13"/>
  <c r="BQ14" i="13"/>
  <c r="BQ6" i="13"/>
  <c r="BS6" i="13"/>
  <c r="BF6" i="13"/>
  <c r="BG6" i="13"/>
  <c r="BG16" i="13"/>
  <c r="BT16" i="13"/>
  <c r="BV16" i="13"/>
  <c r="BD16" i="13"/>
  <c r="BS16" i="13"/>
  <c r="BE10" i="13"/>
  <c r="BN10" i="13"/>
  <c r="BP10" i="13"/>
  <c r="BQ10" i="13"/>
  <c r="BR10" i="13"/>
  <c r="BD40" i="13"/>
  <c r="BH18" i="13"/>
  <c r="BP18" i="13"/>
  <c r="BU18" i="13"/>
  <c r="BO18" i="13"/>
  <c r="BQ31" i="13"/>
  <c r="BR31" i="13"/>
  <c r="BG24" i="13"/>
  <c r="BD24" i="13"/>
  <c r="BF24" i="13"/>
  <c r="BH24" i="13"/>
  <c r="BK22" i="13"/>
  <c r="BG22" i="13"/>
  <c r="BT22" i="13"/>
  <c r="BH22" i="13"/>
  <c r="BU22" i="13"/>
  <c r="BI22" i="13"/>
  <c r="BV22" i="13"/>
  <c r="BN21" i="13"/>
  <c r="BH21" i="13"/>
  <c r="BV21" i="13"/>
  <c r="BI21" i="13"/>
  <c r="BJ21" i="13"/>
  <c r="BD20" i="13"/>
  <c r="BF20" i="13"/>
  <c r="BV20" i="13"/>
  <c r="BH20" i="13"/>
  <c r="BI20" i="13"/>
  <c r="BD7" i="13"/>
  <c r="BL7" i="13"/>
  <c r="BM7" i="13"/>
  <c r="BN7" i="13"/>
  <c r="BO7" i="13"/>
  <c r="BP7" i="13"/>
  <c r="BH28" i="13"/>
  <c r="BJ12" i="13"/>
  <c r="BI8" i="13"/>
  <c r="BV28" i="13"/>
  <c r="BF28" i="13"/>
  <c r="BI12" i="13"/>
  <c r="BH8" i="13"/>
  <c r="BH12" i="13"/>
  <c r="BV8" i="13"/>
  <c r="BF8" i="13"/>
  <c r="BT8" i="13"/>
  <c r="BH222" i="13"/>
  <c r="BT222" i="13"/>
  <c r="BM222" i="13"/>
  <c r="BN222" i="13"/>
  <c r="BD222" i="13"/>
  <c r="BQ222" i="13"/>
  <c r="BE222" i="13"/>
  <c r="BR222" i="13"/>
  <c r="BE219" i="13"/>
  <c r="BQ219" i="13"/>
  <c r="BD219" i="13"/>
  <c r="BR219" i="13"/>
  <c r="BF219" i="13"/>
  <c r="BS219" i="13"/>
  <c r="BG219" i="13"/>
  <c r="BT219" i="13"/>
  <c r="BJ219" i="13"/>
  <c r="BK219" i="13"/>
  <c r="BH153" i="13"/>
  <c r="BT153" i="13"/>
  <c r="BM153" i="13"/>
  <c r="BN153" i="13"/>
  <c r="BO153" i="13"/>
  <c r="BE153" i="13"/>
  <c r="BR153" i="13"/>
  <c r="BF153" i="13"/>
  <c r="BS153" i="13"/>
  <c r="BU153" i="13"/>
  <c r="BV153" i="13"/>
  <c r="BG153" i="13"/>
  <c r="BI153" i="13"/>
  <c r="BV234" i="13"/>
  <c r="BH230" i="13"/>
  <c r="BT230" i="13"/>
  <c r="BM230" i="13"/>
  <c r="BN230" i="13"/>
  <c r="BD230" i="13"/>
  <c r="BQ230" i="13"/>
  <c r="BE230" i="13"/>
  <c r="BR230" i="13"/>
  <c r="BE211" i="13"/>
  <c r="BQ211" i="13"/>
  <c r="BD211" i="13"/>
  <c r="BR211" i="13"/>
  <c r="BF211" i="13"/>
  <c r="BS211" i="13"/>
  <c r="BG211" i="13"/>
  <c r="BT211" i="13"/>
  <c r="BJ211" i="13"/>
  <c r="BK211" i="13"/>
  <c r="BK201" i="13"/>
  <c r="BG201" i="13"/>
  <c r="BT201" i="13"/>
  <c r="BH201" i="13"/>
  <c r="BU201" i="13"/>
  <c r="BI201" i="13"/>
  <c r="BV201" i="13"/>
  <c r="BM201" i="13"/>
  <c r="BN201" i="13"/>
  <c r="BH177" i="13"/>
  <c r="BT177" i="13"/>
  <c r="BM177" i="13"/>
  <c r="BN177" i="13"/>
  <c r="BO177" i="13"/>
  <c r="BE177" i="13"/>
  <c r="BR177" i="13"/>
  <c r="BJ177" i="13"/>
  <c r="BK177" i="13"/>
  <c r="BL177" i="13"/>
  <c r="BS177" i="13"/>
  <c r="BU177" i="13"/>
  <c r="BE170" i="13"/>
  <c r="BQ170" i="13"/>
  <c r="BL170" i="13"/>
  <c r="BM170" i="13"/>
  <c r="BN170" i="13"/>
  <c r="BD170" i="13"/>
  <c r="BR170" i="13"/>
  <c r="BF170" i="13"/>
  <c r="BS170" i="13"/>
  <c r="BI170" i="13"/>
  <c r="BJ170" i="13"/>
  <c r="BK170" i="13"/>
  <c r="BT170" i="13"/>
  <c r="BU170" i="13"/>
  <c r="BU230" i="13"/>
  <c r="BH206" i="13"/>
  <c r="BT206" i="13"/>
  <c r="BL206" i="13"/>
  <c r="BM206" i="13"/>
  <c r="BN206" i="13"/>
  <c r="BD206" i="13"/>
  <c r="BQ206" i="13"/>
  <c r="BE206" i="13"/>
  <c r="BR206" i="13"/>
  <c r="BH193" i="13"/>
  <c r="BT193" i="13"/>
  <c r="BM193" i="13"/>
  <c r="BN193" i="13"/>
  <c r="BF193" i="13"/>
  <c r="BV193" i="13"/>
  <c r="BG193" i="13"/>
  <c r="BI193" i="13"/>
  <c r="BL193" i="13"/>
  <c r="BO193" i="13"/>
  <c r="BJ131" i="13"/>
  <c r="BV131" i="13"/>
  <c r="BF131" i="13"/>
  <c r="BS131" i="13"/>
  <c r="BE131" i="13"/>
  <c r="BT131" i="13"/>
  <c r="BI131" i="13"/>
  <c r="BK131" i="13"/>
  <c r="BL131" i="13"/>
  <c r="BO131" i="13"/>
  <c r="BP131" i="13"/>
  <c r="BN131" i="13"/>
  <c r="BQ131" i="13"/>
  <c r="BR131" i="13"/>
  <c r="BD113" i="13"/>
  <c r="BP113" i="13"/>
  <c r="BF113" i="13"/>
  <c r="BS113" i="13"/>
  <c r="BH113" i="13"/>
  <c r="BU113" i="13"/>
  <c r="BK113" i="13"/>
  <c r="BJ113" i="13"/>
  <c r="BL113" i="13"/>
  <c r="BO113" i="13"/>
  <c r="BE113" i="13"/>
  <c r="BG113" i="13"/>
  <c r="BI113" i="13"/>
  <c r="BQ113" i="13"/>
  <c r="BR113" i="13"/>
  <c r="BV113" i="13"/>
  <c r="BV243" i="13"/>
  <c r="BE243" i="13"/>
  <c r="BP239" i="13"/>
  <c r="BE225" i="13"/>
  <c r="BP219" i="13"/>
  <c r="BV214" i="13"/>
  <c r="BI210" i="13"/>
  <c r="BS201" i="13"/>
  <c r="BN195" i="13"/>
  <c r="BJ195" i="13"/>
  <c r="BK195" i="13"/>
  <c r="BH195" i="13"/>
  <c r="BI195" i="13"/>
  <c r="BL195" i="13"/>
  <c r="BP195" i="13"/>
  <c r="BQ195" i="13"/>
  <c r="BH169" i="13"/>
  <c r="BT169" i="13"/>
  <c r="BM169" i="13"/>
  <c r="BN169" i="13"/>
  <c r="BO169" i="13"/>
  <c r="BE169" i="13"/>
  <c r="BR169" i="13"/>
  <c r="BF169" i="13"/>
  <c r="BS169" i="13"/>
  <c r="BU169" i="13"/>
  <c r="BV169" i="13"/>
  <c r="BG169" i="13"/>
  <c r="BI169" i="13"/>
  <c r="BK167" i="13"/>
  <c r="BN158" i="13"/>
  <c r="BO157" i="13"/>
  <c r="BN143" i="13"/>
  <c r="BG143" i="13"/>
  <c r="BT143" i="13"/>
  <c r="BE143" i="13"/>
  <c r="BS143" i="13"/>
  <c r="BF143" i="13"/>
  <c r="BU143" i="13"/>
  <c r="BH143" i="13"/>
  <c r="BV143" i="13"/>
  <c r="BK143" i="13"/>
  <c r="BL143" i="13"/>
  <c r="BI143" i="13"/>
  <c r="BJ143" i="13"/>
  <c r="BM143" i="13"/>
  <c r="BQ143" i="13"/>
  <c r="BR143" i="13"/>
  <c r="BE142" i="13"/>
  <c r="BQ142" i="13"/>
  <c r="BI142" i="13"/>
  <c r="BV142" i="13"/>
  <c r="BD142" i="13"/>
  <c r="BS142" i="13"/>
  <c r="BF142" i="13"/>
  <c r="BT142" i="13"/>
  <c r="BG142" i="13"/>
  <c r="BU142" i="13"/>
  <c r="BK142" i="13"/>
  <c r="BL142" i="13"/>
  <c r="BO142" i="13"/>
  <c r="BP142" i="13"/>
  <c r="BR142" i="13"/>
  <c r="BJ71" i="13"/>
  <c r="BV71" i="13"/>
  <c r="BM71" i="13"/>
  <c r="BD71" i="13"/>
  <c r="BR71" i="13"/>
  <c r="BF71" i="13"/>
  <c r="BT71" i="13"/>
  <c r="BI71" i="13"/>
  <c r="BP71" i="13"/>
  <c r="BS71" i="13"/>
  <c r="BE71" i="13"/>
  <c r="BH71" i="13"/>
  <c r="BK71" i="13"/>
  <c r="BL71" i="13"/>
  <c r="BQ71" i="13"/>
  <c r="BU71" i="13"/>
  <c r="BO71" i="13"/>
  <c r="BE178" i="13"/>
  <c r="BQ178" i="13"/>
  <c r="BL178" i="13"/>
  <c r="BM178" i="13"/>
  <c r="BN178" i="13"/>
  <c r="BD178" i="13"/>
  <c r="BR178" i="13"/>
  <c r="BS178" i="13"/>
  <c r="BT178" i="13"/>
  <c r="BU178" i="13"/>
  <c r="BG178" i="13"/>
  <c r="BH178" i="13"/>
  <c r="BH234" i="13"/>
  <c r="BT234" i="13"/>
  <c r="BF234" i="13"/>
  <c r="BS234" i="13"/>
  <c r="BG234" i="13"/>
  <c r="BU234" i="13"/>
  <c r="BK234" i="13"/>
  <c r="BL234" i="13"/>
  <c r="BK209" i="13"/>
  <c r="BG209" i="13"/>
  <c r="BT209" i="13"/>
  <c r="BH209" i="13"/>
  <c r="BU209" i="13"/>
  <c r="BI209" i="13"/>
  <c r="BV209" i="13"/>
  <c r="BM209" i="13"/>
  <c r="BN209" i="13"/>
  <c r="BK58" i="13"/>
  <c r="BF58" i="13"/>
  <c r="BS58" i="13"/>
  <c r="BI58" i="13"/>
  <c r="BV58" i="13"/>
  <c r="BH58" i="13"/>
  <c r="BL58" i="13"/>
  <c r="BO58" i="13"/>
  <c r="BQ58" i="13"/>
  <c r="BT58" i="13"/>
  <c r="BD58" i="13"/>
  <c r="BM58" i="13"/>
  <c r="BN58" i="13"/>
  <c r="BP58" i="13"/>
  <c r="BG58" i="13"/>
  <c r="BJ58" i="13"/>
  <c r="BR58" i="13"/>
  <c r="BU58" i="13"/>
  <c r="BH197" i="13"/>
  <c r="BT197" i="13"/>
  <c r="BG197" i="13"/>
  <c r="BU197" i="13"/>
  <c r="BJ197" i="13"/>
  <c r="BK197" i="13"/>
  <c r="BL197" i="13"/>
  <c r="BO197" i="13"/>
  <c r="BP197" i="13"/>
  <c r="BH185" i="13"/>
  <c r="BT185" i="13"/>
  <c r="BM185" i="13"/>
  <c r="BN185" i="13"/>
  <c r="BI185" i="13"/>
  <c r="BJ185" i="13"/>
  <c r="BK185" i="13"/>
  <c r="BP185" i="13"/>
  <c r="BQ185" i="13"/>
  <c r="BK34" i="13"/>
  <c r="BF34" i="13"/>
  <c r="BS34" i="13"/>
  <c r="BG34" i="13"/>
  <c r="BT34" i="13"/>
  <c r="BI34" i="13"/>
  <c r="BV34" i="13"/>
  <c r="BO34" i="13"/>
  <c r="BQ34" i="13"/>
  <c r="BD34" i="13"/>
  <c r="BL34" i="13"/>
  <c r="BN34" i="13"/>
  <c r="BU34" i="13"/>
  <c r="BH34" i="13"/>
  <c r="BJ34" i="13"/>
  <c r="BM34" i="13"/>
  <c r="BU219" i="13"/>
  <c r="BJ67" i="13"/>
  <c r="BV67" i="13"/>
  <c r="BM67" i="13"/>
  <c r="BP67" i="13"/>
  <c r="BD67" i="13"/>
  <c r="BR67" i="13"/>
  <c r="BG67" i="13"/>
  <c r="BU67" i="13"/>
  <c r="BI67" i="13"/>
  <c r="BL67" i="13"/>
  <c r="BQ67" i="13"/>
  <c r="BE67" i="13"/>
  <c r="BF67" i="13"/>
  <c r="BH67" i="13"/>
  <c r="BO67" i="13"/>
  <c r="BS67" i="13"/>
  <c r="BT67" i="13"/>
  <c r="BE240" i="13"/>
  <c r="BQ240" i="13"/>
  <c r="BF240" i="13"/>
  <c r="BR240" i="13"/>
  <c r="BI240" i="13"/>
  <c r="BU240" i="13"/>
  <c r="BJ240" i="13"/>
  <c r="BV240" i="13"/>
  <c r="BS230" i="13"/>
  <c r="BV227" i="13"/>
  <c r="BO222" i="13"/>
  <c r="BH218" i="13"/>
  <c r="BT218" i="13"/>
  <c r="BE218" i="13"/>
  <c r="BR218" i="13"/>
  <c r="BF218" i="13"/>
  <c r="BS218" i="13"/>
  <c r="BG218" i="13"/>
  <c r="BU218" i="13"/>
  <c r="BK218" i="13"/>
  <c r="BL218" i="13"/>
  <c r="BV211" i="13"/>
  <c r="BV197" i="13"/>
  <c r="BJ189" i="13"/>
  <c r="BV178" i="13"/>
  <c r="BS243" i="13"/>
  <c r="BT240" i="13"/>
  <c r="BO239" i="13"/>
  <c r="BE235" i="13"/>
  <c r="BQ235" i="13"/>
  <c r="BF235" i="13"/>
  <c r="BS235" i="13"/>
  <c r="BT235" i="13"/>
  <c r="BG235" i="13"/>
  <c r="BJ235" i="13"/>
  <c r="BK235" i="13"/>
  <c r="BO234" i="13"/>
  <c r="BP230" i="13"/>
  <c r="BM226" i="13"/>
  <c r="BL222" i="13"/>
  <c r="BO219" i="13"/>
  <c r="BL217" i="13"/>
  <c r="BU211" i="13"/>
  <c r="BD210" i="13"/>
  <c r="BP209" i="13"/>
  <c r="BV206" i="13"/>
  <c r="BR201" i="13"/>
  <c r="BS197" i="13"/>
  <c r="BV195" i="13"/>
  <c r="BN194" i="13"/>
  <c r="BP191" i="13"/>
  <c r="BU185" i="13"/>
  <c r="BH181" i="13"/>
  <c r="BT181" i="13"/>
  <c r="BF181" i="13"/>
  <c r="BS181" i="13"/>
  <c r="BG181" i="13"/>
  <c r="BU181" i="13"/>
  <c r="BI181" i="13"/>
  <c r="BV181" i="13"/>
  <c r="BL181" i="13"/>
  <c r="BM181" i="13"/>
  <c r="BN181" i="13"/>
  <c r="BO181" i="13"/>
  <c r="BR181" i="13"/>
  <c r="BP178" i="13"/>
  <c r="BN175" i="13"/>
  <c r="BD175" i="13"/>
  <c r="BQ175" i="13"/>
  <c r="BE175" i="13"/>
  <c r="BR175" i="13"/>
  <c r="BF175" i="13"/>
  <c r="BS175" i="13"/>
  <c r="BI175" i="13"/>
  <c r="BV175" i="13"/>
  <c r="BG175" i="13"/>
  <c r="BH175" i="13"/>
  <c r="BJ175" i="13"/>
  <c r="BM175" i="13"/>
  <c r="BO175" i="13"/>
  <c r="BQ164" i="13"/>
  <c r="BN159" i="13"/>
  <c r="BD159" i="13"/>
  <c r="BQ159" i="13"/>
  <c r="BE159" i="13"/>
  <c r="BR159" i="13"/>
  <c r="BF159" i="13"/>
  <c r="BS159" i="13"/>
  <c r="BI159" i="13"/>
  <c r="BV159" i="13"/>
  <c r="BJ159" i="13"/>
  <c r="BL159" i="13"/>
  <c r="BM159" i="13"/>
  <c r="BO159" i="13"/>
  <c r="BU159" i="13"/>
  <c r="BM130" i="13"/>
  <c r="BH130" i="13"/>
  <c r="BU130" i="13"/>
  <c r="BE130" i="13"/>
  <c r="BS130" i="13"/>
  <c r="BF130" i="13"/>
  <c r="BV130" i="13"/>
  <c r="BG130" i="13"/>
  <c r="BI130" i="13"/>
  <c r="BL130" i="13"/>
  <c r="BN130" i="13"/>
  <c r="BJ130" i="13"/>
  <c r="BK130" i="13"/>
  <c r="BG100" i="13"/>
  <c r="BS100" i="13"/>
  <c r="BJ100" i="13"/>
  <c r="BL100" i="13"/>
  <c r="BO100" i="13"/>
  <c r="BK100" i="13"/>
  <c r="BM100" i="13"/>
  <c r="BQ100" i="13"/>
  <c r="BR100" i="13"/>
  <c r="BT100" i="13"/>
  <c r="BU100" i="13"/>
  <c r="BV100" i="13"/>
  <c r="BD100" i="13"/>
  <c r="BE100" i="13"/>
  <c r="BF100" i="13"/>
  <c r="BH100" i="13"/>
  <c r="BI100" i="13"/>
  <c r="BN147" i="13"/>
  <c r="BM147" i="13"/>
  <c r="BD147" i="13"/>
  <c r="BR147" i="13"/>
  <c r="BE147" i="13"/>
  <c r="BS147" i="13"/>
  <c r="BF147" i="13"/>
  <c r="BT147" i="13"/>
  <c r="BI147" i="13"/>
  <c r="BJ147" i="13"/>
  <c r="BG147" i="13"/>
  <c r="BH147" i="13"/>
  <c r="BK147" i="13"/>
  <c r="BP147" i="13"/>
  <c r="BQ147" i="13"/>
  <c r="BV222" i="13"/>
  <c r="BR234" i="13"/>
  <c r="BH161" i="13"/>
  <c r="BT161" i="13"/>
  <c r="BM161" i="13"/>
  <c r="BN161" i="13"/>
  <c r="BO161" i="13"/>
  <c r="BE161" i="13"/>
  <c r="BR161" i="13"/>
  <c r="BF161" i="13"/>
  <c r="BS161" i="13"/>
  <c r="BU161" i="13"/>
  <c r="BV161" i="13"/>
  <c r="BG161" i="13"/>
  <c r="BI161" i="13"/>
  <c r="BJ127" i="13"/>
  <c r="BV127" i="13"/>
  <c r="BL127" i="13"/>
  <c r="BN127" i="13"/>
  <c r="BQ127" i="13"/>
  <c r="BM127" i="13"/>
  <c r="BO127" i="13"/>
  <c r="BP127" i="13"/>
  <c r="BD127" i="13"/>
  <c r="BT127" i="13"/>
  <c r="BE127" i="13"/>
  <c r="BU127" i="13"/>
  <c r="BF127" i="13"/>
  <c r="BG127" i="13"/>
  <c r="BQ234" i="13"/>
  <c r="BE227" i="13"/>
  <c r="BQ227" i="13"/>
  <c r="BF227" i="13"/>
  <c r="BS227" i="13"/>
  <c r="BG227" i="13"/>
  <c r="BT227" i="13"/>
  <c r="BJ227" i="13"/>
  <c r="BK227" i="13"/>
  <c r="BP222" i="13"/>
  <c r="BR227" i="13"/>
  <c r="BK225" i="13"/>
  <c r="BH225" i="13"/>
  <c r="BU225" i="13"/>
  <c r="BI225" i="13"/>
  <c r="BV225" i="13"/>
  <c r="BM225" i="13"/>
  <c r="BN225" i="13"/>
  <c r="BQ201" i="13"/>
  <c r="BS185" i="13"/>
  <c r="BP164" i="13"/>
  <c r="BO211" i="13"/>
  <c r="BR185" i="13"/>
  <c r="BM164" i="13"/>
  <c r="BJ234" i="13"/>
  <c r="BK233" i="13"/>
  <c r="BH233" i="13"/>
  <c r="BU233" i="13"/>
  <c r="BI233" i="13"/>
  <c r="BV233" i="13"/>
  <c r="BM233" i="13"/>
  <c r="BN233" i="13"/>
  <c r="BK230" i="13"/>
  <c r="BO227" i="13"/>
  <c r="BE226" i="13"/>
  <c r="BI222" i="13"/>
  <c r="BL219" i="13"/>
  <c r="BQ218" i="13"/>
  <c r="BN211" i="13"/>
  <c r="BJ209" i="13"/>
  <c r="BP206" i="13"/>
  <c r="BH202" i="13"/>
  <c r="BT202" i="13"/>
  <c r="BE202" i="13"/>
  <c r="BR202" i="13"/>
  <c r="BF202" i="13"/>
  <c r="BS202" i="13"/>
  <c r="BG202" i="13"/>
  <c r="BU202" i="13"/>
  <c r="BK202" i="13"/>
  <c r="BL202" i="13"/>
  <c r="BO201" i="13"/>
  <c r="BN197" i="13"/>
  <c r="BS195" i="13"/>
  <c r="BR193" i="13"/>
  <c r="BL153" i="13"/>
  <c r="BM138" i="13"/>
  <c r="BJ138" i="13"/>
  <c r="BF138" i="13"/>
  <c r="BT138" i="13"/>
  <c r="BH138" i="13"/>
  <c r="BI138" i="13"/>
  <c r="BK138" i="13"/>
  <c r="BO138" i="13"/>
  <c r="BP138" i="13"/>
  <c r="BL138" i="13"/>
  <c r="BN138" i="13"/>
  <c r="BQ138" i="13"/>
  <c r="BU138" i="13"/>
  <c r="BV138" i="13"/>
  <c r="BE146" i="13"/>
  <c r="BQ146" i="13"/>
  <c r="BO146" i="13"/>
  <c r="BD146" i="13"/>
  <c r="BS146" i="13"/>
  <c r="BF146" i="13"/>
  <c r="BT146" i="13"/>
  <c r="BG146" i="13"/>
  <c r="BU146" i="13"/>
  <c r="BJ146" i="13"/>
  <c r="BK146" i="13"/>
  <c r="BN146" i="13"/>
  <c r="BP146" i="13"/>
  <c r="BR146" i="13"/>
  <c r="BK9" i="13"/>
  <c r="BL9" i="13"/>
  <c r="BM9" i="13"/>
  <c r="BN9" i="13"/>
  <c r="BD9" i="13"/>
  <c r="BP9" i="13"/>
  <c r="BQ9" i="13"/>
  <c r="BR9" i="13"/>
  <c r="BT9" i="13"/>
  <c r="BF9" i="13"/>
  <c r="BG9" i="13"/>
  <c r="BH9" i="13"/>
  <c r="BO9" i="13"/>
  <c r="BS9" i="13"/>
  <c r="BI9" i="13"/>
  <c r="BU9" i="13"/>
  <c r="BJ9" i="13"/>
  <c r="BV9" i="13"/>
  <c r="BH239" i="13"/>
  <c r="BT239" i="13"/>
  <c r="BI239" i="13"/>
  <c r="BU239" i="13"/>
  <c r="BL239" i="13"/>
  <c r="BM239" i="13"/>
  <c r="BU222" i="13"/>
  <c r="BD117" i="13"/>
  <c r="BP117" i="13"/>
  <c r="BM117" i="13"/>
  <c r="BO117" i="13"/>
  <c r="BF117" i="13"/>
  <c r="BS117" i="13"/>
  <c r="BI117" i="13"/>
  <c r="BK117" i="13"/>
  <c r="BL117" i="13"/>
  <c r="BN117" i="13"/>
  <c r="BT117" i="13"/>
  <c r="BU117" i="13"/>
  <c r="BE117" i="13"/>
  <c r="BG117" i="13"/>
  <c r="BH117" i="13"/>
  <c r="BR117" i="13"/>
  <c r="BV117" i="13"/>
  <c r="BL13" i="13"/>
  <c r="BM13" i="13"/>
  <c r="BN13" i="13"/>
  <c r="BD13" i="13"/>
  <c r="BP13" i="13"/>
  <c r="BF13" i="13"/>
  <c r="BV13" i="13"/>
  <c r="BG13" i="13"/>
  <c r="BI13" i="13"/>
  <c r="BJ13" i="13"/>
  <c r="BK13" i="13"/>
  <c r="BO13" i="13"/>
  <c r="BS13" i="13"/>
  <c r="BT13" i="13"/>
  <c r="BE13" i="13"/>
  <c r="BR13" i="13"/>
  <c r="BH13" i="13"/>
  <c r="BQ13" i="13"/>
  <c r="BU13" i="13"/>
  <c r="BR239" i="13"/>
  <c r="BV230" i="13"/>
  <c r="BS222" i="13"/>
  <c r="BV219" i="13"/>
  <c r="BH214" i="13"/>
  <c r="BT214" i="13"/>
  <c r="BL214" i="13"/>
  <c r="BM214" i="13"/>
  <c r="BN214" i="13"/>
  <c r="BD214" i="13"/>
  <c r="BQ214" i="13"/>
  <c r="BE214" i="13"/>
  <c r="BR214" i="13"/>
  <c r="BR209" i="13"/>
  <c r="BE203" i="13"/>
  <c r="BQ203" i="13"/>
  <c r="BD203" i="13"/>
  <c r="BR203" i="13"/>
  <c r="BF203" i="13"/>
  <c r="BS203" i="13"/>
  <c r="BG203" i="13"/>
  <c r="BT203" i="13"/>
  <c r="BJ203" i="13"/>
  <c r="BK203" i="13"/>
  <c r="BH243" i="13"/>
  <c r="BT243" i="13"/>
  <c r="BI243" i="13"/>
  <c r="BU243" i="13"/>
  <c r="BL243" i="13"/>
  <c r="BN239" i="13"/>
  <c r="BN234" i="13"/>
  <c r="BS214" i="13"/>
  <c r="BV203" i="13"/>
  <c r="BR197" i="13"/>
  <c r="BH189" i="13"/>
  <c r="BT189" i="13"/>
  <c r="BF189" i="13"/>
  <c r="BS189" i="13"/>
  <c r="BG189" i="13"/>
  <c r="BU189" i="13"/>
  <c r="BO189" i="13"/>
  <c r="BP189" i="13"/>
  <c r="BQ189" i="13"/>
  <c r="BE189" i="13"/>
  <c r="BI189" i="13"/>
  <c r="BK239" i="13"/>
  <c r="BM234" i="13"/>
  <c r="BP227" i="13"/>
  <c r="BS225" i="13"/>
  <c r="BJ222" i="13"/>
  <c r="BM219" i="13"/>
  <c r="BP214" i="13"/>
  <c r="BL209" i="13"/>
  <c r="BU203" i="13"/>
  <c r="BQ197" i="13"/>
  <c r="BS193" i="13"/>
  <c r="BK178" i="13"/>
  <c r="BV177" i="13"/>
  <c r="BP172" i="13"/>
  <c r="BV162" i="13"/>
  <c r="BH157" i="13"/>
  <c r="BT157" i="13"/>
  <c r="BF157" i="13"/>
  <c r="BS157" i="13"/>
  <c r="BG157" i="13"/>
  <c r="BU157" i="13"/>
  <c r="BI157" i="13"/>
  <c r="BV157" i="13"/>
  <c r="BL157" i="13"/>
  <c r="BM157" i="13"/>
  <c r="BE157" i="13"/>
  <c r="BJ157" i="13"/>
  <c r="BK157" i="13"/>
  <c r="BP157" i="13"/>
  <c r="BQ157" i="13"/>
  <c r="BP153" i="13"/>
  <c r="BV147" i="13"/>
  <c r="BV146" i="13"/>
  <c r="BE244" i="13"/>
  <c r="BQ244" i="13"/>
  <c r="BR244" i="13"/>
  <c r="BF244" i="13"/>
  <c r="BI244" i="13"/>
  <c r="BU244" i="13"/>
  <c r="BP243" i="13"/>
  <c r="BO240" i="13"/>
  <c r="BJ239" i="13"/>
  <c r="BG236" i="13"/>
  <c r="BR235" i="13"/>
  <c r="BN228" i="13"/>
  <c r="BD228" i="13"/>
  <c r="BQ228" i="13"/>
  <c r="BR228" i="13"/>
  <c r="BE228" i="13"/>
  <c r="BH228" i="13"/>
  <c r="BU228" i="13"/>
  <c r="BI228" i="13"/>
  <c r="BV228" i="13"/>
  <c r="BR225" i="13"/>
  <c r="BO214" i="13"/>
  <c r="BO185" i="13"/>
  <c r="BK180" i="13"/>
  <c r="BH180" i="13"/>
  <c r="BU180" i="13"/>
  <c r="BI180" i="13"/>
  <c r="BV180" i="13"/>
  <c r="BJ180" i="13"/>
  <c r="BN180" i="13"/>
  <c r="BD180" i="13"/>
  <c r="BE180" i="13"/>
  <c r="BF180" i="13"/>
  <c r="BM180" i="13"/>
  <c r="BO180" i="13"/>
  <c r="BJ178" i="13"/>
  <c r="BQ177" i="13"/>
  <c r="BO172" i="13"/>
  <c r="BL164" i="13"/>
  <c r="BP162" i="13"/>
  <c r="BQ161" i="13"/>
  <c r="BU147" i="13"/>
  <c r="BM146" i="13"/>
  <c r="BS244" i="13"/>
  <c r="BO243" i="13"/>
  <c r="BN240" i="13"/>
  <c r="BG239" i="13"/>
  <c r="BP235" i="13"/>
  <c r="BI234" i="13"/>
  <c r="BS233" i="13"/>
  <c r="BJ230" i="13"/>
  <c r="BN227" i="13"/>
  <c r="BQ225" i="13"/>
  <c r="BG222" i="13"/>
  <c r="BI219" i="13"/>
  <c r="BP218" i="13"/>
  <c r="BK214" i="13"/>
  <c r="BM211" i="13"/>
  <c r="BF209" i="13"/>
  <c r="BO206" i="13"/>
  <c r="BO203" i="13"/>
  <c r="BL201" i="13"/>
  <c r="BM197" i="13"/>
  <c r="BK196" i="13"/>
  <c r="BI196" i="13"/>
  <c r="BV196" i="13"/>
  <c r="BH196" i="13"/>
  <c r="BJ196" i="13"/>
  <c r="BL196" i="13"/>
  <c r="BO196" i="13"/>
  <c r="BP196" i="13"/>
  <c r="BR195" i="13"/>
  <c r="BQ193" i="13"/>
  <c r="BL185" i="13"/>
  <c r="BN183" i="13"/>
  <c r="BD183" i="13"/>
  <c r="BQ183" i="13"/>
  <c r="BE183" i="13"/>
  <c r="BR183" i="13"/>
  <c r="BJ183" i="13"/>
  <c r="BK183" i="13"/>
  <c r="BL183" i="13"/>
  <c r="BP183" i="13"/>
  <c r="BS183" i="13"/>
  <c r="BI178" i="13"/>
  <c r="BP177" i="13"/>
  <c r="BV170" i="13"/>
  <c r="BE166" i="13"/>
  <c r="BQ166" i="13"/>
  <c r="BF166" i="13"/>
  <c r="BS166" i="13"/>
  <c r="BG166" i="13"/>
  <c r="BT166" i="13"/>
  <c r="BH166" i="13"/>
  <c r="BU166" i="13"/>
  <c r="BK166" i="13"/>
  <c r="BL166" i="13"/>
  <c r="BV166" i="13"/>
  <c r="BI166" i="13"/>
  <c r="BJ166" i="13"/>
  <c r="BH165" i="13"/>
  <c r="BT165" i="13"/>
  <c r="BF165" i="13"/>
  <c r="BS165" i="13"/>
  <c r="BG165" i="13"/>
  <c r="BU165" i="13"/>
  <c r="BI165" i="13"/>
  <c r="BV165" i="13"/>
  <c r="BL165" i="13"/>
  <c r="BM165" i="13"/>
  <c r="BE165" i="13"/>
  <c r="BJ165" i="13"/>
  <c r="BK165" i="13"/>
  <c r="BP165" i="13"/>
  <c r="BQ165" i="13"/>
  <c r="BP161" i="13"/>
  <c r="BK156" i="13"/>
  <c r="BH156" i="13"/>
  <c r="BU156" i="13"/>
  <c r="BI156" i="13"/>
  <c r="BV156" i="13"/>
  <c r="BJ156" i="13"/>
  <c r="BN156" i="13"/>
  <c r="BO156" i="13"/>
  <c r="BR156" i="13"/>
  <c r="BS156" i="13"/>
  <c r="BT156" i="13"/>
  <c r="BE156" i="13"/>
  <c r="BF156" i="13"/>
  <c r="BK153" i="13"/>
  <c r="BO147" i="13"/>
  <c r="BL146" i="13"/>
  <c r="BD137" i="13"/>
  <c r="BP137" i="13"/>
  <c r="BL137" i="13"/>
  <c r="BG137" i="13"/>
  <c r="BU137" i="13"/>
  <c r="BF137" i="13"/>
  <c r="BV137" i="13"/>
  <c r="BH137" i="13"/>
  <c r="BI137" i="13"/>
  <c r="BM137" i="13"/>
  <c r="BN137" i="13"/>
  <c r="BT137" i="13"/>
  <c r="BE137" i="13"/>
  <c r="BJ137" i="13"/>
  <c r="BS127" i="13"/>
  <c r="BM106" i="13"/>
  <c r="BO106" i="13"/>
  <c r="BD106" i="13"/>
  <c r="BQ106" i="13"/>
  <c r="BG106" i="13"/>
  <c r="BT106" i="13"/>
  <c r="BP106" i="13"/>
  <c r="BR106" i="13"/>
  <c r="BE106" i="13"/>
  <c r="BV106" i="13"/>
  <c r="BF106" i="13"/>
  <c r="BI106" i="13"/>
  <c r="BJ106" i="13"/>
  <c r="BK106" i="13"/>
  <c r="BS106" i="13"/>
  <c r="BU106" i="13"/>
  <c r="BL106" i="13"/>
  <c r="BN106" i="13"/>
  <c r="BK164" i="13"/>
  <c r="BH164" i="13"/>
  <c r="BU164" i="13"/>
  <c r="BI164" i="13"/>
  <c r="BV164" i="13"/>
  <c r="BJ164" i="13"/>
  <c r="BN164" i="13"/>
  <c r="BO164" i="13"/>
  <c r="BR164" i="13"/>
  <c r="BS164" i="13"/>
  <c r="BT164" i="13"/>
  <c r="BE164" i="13"/>
  <c r="BF164" i="13"/>
  <c r="BE162" i="13"/>
  <c r="BQ162" i="13"/>
  <c r="BL162" i="13"/>
  <c r="BM162" i="13"/>
  <c r="BN162" i="13"/>
  <c r="BD162" i="13"/>
  <c r="BR162" i="13"/>
  <c r="BF162" i="13"/>
  <c r="BS162" i="13"/>
  <c r="BI162" i="13"/>
  <c r="BJ162" i="13"/>
  <c r="BK162" i="13"/>
  <c r="BT162" i="13"/>
  <c r="BU162" i="13"/>
  <c r="BK172" i="13"/>
  <c r="BH172" i="13"/>
  <c r="BU172" i="13"/>
  <c r="BI172" i="13"/>
  <c r="BV172" i="13"/>
  <c r="BJ172" i="13"/>
  <c r="BN172" i="13"/>
  <c r="BQ172" i="13"/>
  <c r="BR172" i="13"/>
  <c r="BS172" i="13"/>
  <c r="BE172" i="13"/>
  <c r="BF172" i="13"/>
  <c r="BS209" i="13"/>
  <c r="BO230" i="13"/>
  <c r="BT225" i="13"/>
  <c r="BK222" i="13"/>
  <c r="BN219" i="13"/>
  <c r="BP211" i="13"/>
  <c r="BH210" i="13"/>
  <c r="BT210" i="13"/>
  <c r="BE210" i="13"/>
  <c r="BR210" i="13"/>
  <c r="BF210" i="13"/>
  <c r="BS210" i="13"/>
  <c r="BG210" i="13"/>
  <c r="BU210" i="13"/>
  <c r="BK210" i="13"/>
  <c r="BL210" i="13"/>
  <c r="BO209" i="13"/>
  <c r="BU206" i="13"/>
  <c r="BU193" i="13"/>
  <c r="BO178" i="13"/>
  <c r="BT172" i="13"/>
  <c r="BQ153" i="13"/>
  <c r="BQ243" i="13"/>
  <c r="BP240" i="13"/>
  <c r="BL230" i="13"/>
  <c r="BS206" i="13"/>
  <c r="BP201" i="13"/>
  <c r="BN167" i="13"/>
  <c r="BD167" i="13"/>
  <c r="BQ167" i="13"/>
  <c r="BE167" i="13"/>
  <c r="BR167" i="13"/>
  <c r="BF167" i="13"/>
  <c r="BS167" i="13"/>
  <c r="BI167" i="13"/>
  <c r="BV167" i="13"/>
  <c r="BJ167" i="13"/>
  <c r="BL167" i="13"/>
  <c r="BM167" i="13"/>
  <c r="BO167" i="13"/>
  <c r="BU167" i="13"/>
  <c r="BE158" i="13"/>
  <c r="BQ158" i="13"/>
  <c r="BF158" i="13"/>
  <c r="BS158" i="13"/>
  <c r="BG158" i="13"/>
  <c r="BT158" i="13"/>
  <c r="BH158" i="13"/>
  <c r="BU158" i="13"/>
  <c r="BK158" i="13"/>
  <c r="BL158" i="13"/>
  <c r="BV158" i="13"/>
  <c r="BI158" i="13"/>
  <c r="BJ158" i="13"/>
  <c r="BN243" i="13"/>
  <c r="BM240" i="13"/>
  <c r="BF239" i="13"/>
  <c r="BN236" i="13"/>
  <c r="BD236" i="13"/>
  <c r="BQ236" i="13"/>
  <c r="BE236" i="13"/>
  <c r="BR236" i="13"/>
  <c r="BH236" i="13"/>
  <c r="BU236" i="13"/>
  <c r="BI236" i="13"/>
  <c r="BV236" i="13"/>
  <c r="BO235" i="13"/>
  <c r="BE234" i="13"/>
  <c r="BI230" i="13"/>
  <c r="BM227" i="13"/>
  <c r="BH226" i="13"/>
  <c r="BT226" i="13"/>
  <c r="BF226" i="13"/>
  <c r="BS226" i="13"/>
  <c r="BG226" i="13"/>
  <c r="BU226" i="13"/>
  <c r="BK226" i="13"/>
  <c r="BL226" i="13"/>
  <c r="BP225" i="13"/>
  <c r="BF222" i="13"/>
  <c r="BH219" i="13"/>
  <c r="BO218" i="13"/>
  <c r="BK217" i="13"/>
  <c r="BG217" i="13"/>
  <c r="BT217" i="13"/>
  <c r="BH217" i="13"/>
  <c r="BU217" i="13"/>
  <c r="BI217" i="13"/>
  <c r="BV217" i="13"/>
  <c r="BM217" i="13"/>
  <c r="BN217" i="13"/>
  <c r="BJ214" i="13"/>
  <c r="BL211" i="13"/>
  <c r="BQ210" i="13"/>
  <c r="BE209" i="13"/>
  <c r="BK206" i="13"/>
  <c r="BN203" i="13"/>
  <c r="BJ201" i="13"/>
  <c r="BI197" i="13"/>
  <c r="BO195" i="13"/>
  <c r="BE194" i="13"/>
  <c r="BQ194" i="13"/>
  <c r="BL194" i="13"/>
  <c r="BM194" i="13"/>
  <c r="BH194" i="13"/>
  <c r="BI194" i="13"/>
  <c r="BJ194" i="13"/>
  <c r="BO194" i="13"/>
  <c r="BP194" i="13"/>
  <c r="BP193" i="13"/>
  <c r="BN191" i="13"/>
  <c r="BD191" i="13"/>
  <c r="BQ191" i="13"/>
  <c r="BE191" i="13"/>
  <c r="BR191" i="13"/>
  <c r="BH191" i="13"/>
  <c r="BI191" i="13"/>
  <c r="BJ191" i="13"/>
  <c r="BM191" i="13"/>
  <c r="BO191" i="13"/>
  <c r="BV189" i="13"/>
  <c r="BG185" i="13"/>
  <c r="BF178" i="13"/>
  <c r="BI177" i="13"/>
  <c r="BH173" i="13"/>
  <c r="BT173" i="13"/>
  <c r="BF173" i="13"/>
  <c r="BS173" i="13"/>
  <c r="BG173" i="13"/>
  <c r="BU173" i="13"/>
  <c r="BI173" i="13"/>
  <c r="BV173" i="13"/>
  <c r="BL173" i="13"/>
  <c r="BD173" i="13"/>
  <c r="BE173" i="13"/>
  <c r="BJ173" i="13"/>
  <c r="BN173" i="13"/>
  <c r="BO173" i="13"/>
  <c r="BL172" i="13"/>
  <c r="BP170" i="13"/>
  <c r="BQ169" i="13"/>
  <c r="BD164" i="13"/>
  <c r="BH162" i="13"/>
  <c r="BL161" i="13"/>
  <c r="BE154" i="13"/>
  <c r="BQ154" i="13"/>
  <c r="BL154" i="13"/>
  <c r="BM154" i="13"/>
  <c r="BN154" i="13"/>
  <c r="BD154" i="13"/>
  <c r="BR154" i="13"/>
  <c r="BF154" i="13"/>
  <c r="BS154" i="13"/>
  <c r="BI154" i="13"/>
  <c r="BJ154" i="13"/>
  <c r="BK154" i="13"/>
  <c r="BT154" i="13"/>
  <c r="BU154" i="13"/>
  <c r="BJ153" i="13"/>
  <c r="BL147" i="13"/>
  <c r="BI146" i="13"/>
  <c r="BU131" i="13"/>
  <c r="BR127" i="13"/>
  <c r="BD85" i="13"/>
  <c r="BP85" i="13"/>
  <c r="BE85" i="13"/>
  <c r="BR85" i="13"/>
  <c r="BG85" i="13"/>
  <c r="BT85" i="13"/>
  <c r="BJ85" i="13"/>
  <c r="BH85" i="13"/>
  <c r="BI85" i="13"/>
  <c r="BK85" i="13"/>
  <c r="BN85" i="13"/>
  <c r="BO85" i="13"/>
  <c r="BS85" i="13"/>
  <c r="BU85" i="13"/>
  <c r="BV85" i="13"/>
  <c r="BF85" i="13"/>
  <c r="BL85" i="13"/>
  <c r="BV220" i="13"/>
  <c r="BI220" i="13"/>
  <c r="BV212" i="13"/>
  <c r="BI212" i="13"/>
  <c r="BR207" i="13"/>
  <c r="BV204" i="13"/>
  <c r="BI204" i="13"/>
  <c r="BR199" i="13"/>
  <c r="BE198" i="13"/>
  <c r="BQ198" i="13"/>
  <c r="BG198" i="13"/>
  <c r="BT198" i="13"/>
  <c r="BL190" i="13"/>
  <c r="BE186" i="13"/>
  <c r="BQ186" i="13"/>
  <c r="BL186" i="13"/>
  <c r="BM186" i="13"/>
  <c r="BG140" i="13"/>
  <c r="BS140" i="13"/>
  <c r="BH140" i="13"/>
  <c r="BU140" i="13"/>
  <c r="BF140" i="13"/>
  <c r="BV140" i="13"/>
  <c r="BN140" i="13"/>
  <c r="BO140" i="13"/>
  <c r="BP140" i="13"/>
  <c r="BD140" i="13"/>
  <c r="BT140" i="13"/>
  <c r="BE140" i="13"/>
  <c r="BG108" i="13"/>
  <c r="BS108" i="13"/>
  <c r="BL108" i="13"/>
  <c r="BN108" i="13"/>
  <c r="BD108" i="13"/>
  <c r="BQ108" i="13"/>
  <c r="BH108" i="13"/>
  <c r="BI108" i="13"/>
  <c r="BM108" i="13"/>
  <c r="BO108" i="13"/>
  <c r="BE108" i="13"/>
  <c r="BF108" i="13"/>
  <c r="BJ108" i="13"/>
  <c r="BR108" i="13"/>
  <c r="BT108" i="13"/>
  <c r="BH55" i="13"/>
  <c r="BT55" i="13"/>
  <c r="BK55" i="13"/>
  <c r="BN55" i="13"/>
  <c r="BD55" i="13"/>
  <c r="BS55" i="13"/>
  <c r="BF55" i="13"/>
  <c r="BV55" i="13"/>
  <c r="BJ55" i="13"/>
  <c r="BL55" i="13"/>
  <c r="BO55" i="13"/>
  <c r="BR55" i="13"/>
  <c r="BP55" i="13"/>
  <c r="BQ55" i="13"/>
  <c r="BU55" i="13"/>
  <c r="BM55" i="13"/>
  <c r="BO232" i="13"/>
  <c r="BE231" i="13"/>
  <c r="BQ231" i="13"/>
  <c r="BO224" i="13"/>
  <c r="BE223" i="13"/>
  <c r="BQ223" i="13"/>
  <c r="BU220" i="13"/>
  <c r="BH220" i="13"/>
  <c r="BO216" i="13"/>
  <c r="BE215" i="13"/>
  <c r="BQ215" i="13"/>
  <c r="BU212" i="13"/>
  <c r="BH212" i="13"/>
  <c r="BE207" i="13"/>
  <c r="BQ207" i="13"/>
  <c r="BU204" i="13"/>
  <c r="BH204" i="13"/>
  <c r="BE199" i="13"/>
  <c r="BQ199" i="13"/>
  <c r="BK190" i="13"/>
  <c r="BK188" i="13"/>
  <c r="BH188" i="13"/>
  <c r="BU188" i="13"/>
  <c r="BI188" i="13"/>
  <c r="BV188" i="13"/>
  <c r="BN187" i="13"/>
  <c r="BJ187" i="13"/>
  <c r="BK187" i="13"/>
  <c r="BR186" i="13"/>
  <c r="BE174" i="13"/>
  <c r="BQ174" i="13"/>
  <c r="BF174" i="13"/>
  <c r="BS174" i="13"/>
  <c r="BG174" i="13"/>
  <c r="BT174" i="13"/>
  <c r="BH174" i="13"/>
  <c r="BU174" i="13"/>
  <c r="BK174" i="13"/>
  <c r="BJ123" i="13"/>
  <c r="BV123" i="13"/>
  <c r="BD123" i="13"/>
  <c r="BQ123" i="13"/>
  <c r="BF123" i="13"/>
  <c r="BS123" i="13"/>
  <c r="BN123" i="13"/>
  <c r="BH123" i="13"/>
  <c r="BI123" i="13"/>
  <c r="BK123" i="13"/>
  <c r="BO123" i="13"/>
  <c r="BP123" i="13"/>
  <c r="BL242" i="13"/>
  <c r="BL238" i="13"/>
  <c r="BK224" i="13"/>
  <c r="BM223" i="13"/>
  <c r="BK216" i="13"/>
  <c r="BK208" i="13"/>
  <c r="BM207" i="13"/>
  <c r="BR204" i="13"/>
  <c r="BE204" i="13"/>
  <c r="BK200" i="13"/>
  <c r="BM199" i="13"/>
  <c r="BM198" i="13"/>
  <c r="BH190" i="13"/>
  <c r="BO188" i="13"/>
  <c r="BO187" i="13"/>
  <c r="BN186" i="13"/>
  <c r="BR174" i="13"/>
  <c r="BK144" i="13"/>
  <c r="BE144" i="13"/>
  <c r="BR144" i="13"/>
  <c r="BF144" i="13"/>
  <c r="BT144" i="13"/>
  <c r="BG144" i="13"/>
  <c r="BU144" i="13"/>
  <c r="BH144" i="13"/>
  <c r="BV144" i="13"/>
  <c r="BL144" i="13"/>
  <c r="BM144" i="13"/>
  <c r="BJ139" i="13"/>
  <c r="BV139" i="13"/>
  <c r="BH139" i="13"/>
  <c r="BU139" i="13"/>
  <c r="BE139" i="13"/>
  <c r="BS139" i="13"/>
  <c r="BK139" i="13"/>
  <c r="BL139" i="13"/>
  <c r="BM139" i="13"/>
  <c r="BP139" i="13"/>
  <c r="BQ139" i="13"/>
  <c r="BM118" i="13"/>
  <c r="BK118" i="13"/>
  <c r="BN118" i="13"/>
  <c r="BD118" i="13"/>
  <c r="BQ118" i="13"/>
  <c r="BL118" i="13"/>
  <c r="BR118" i="13"/>
  <c r="BS118" i="13"/>
  <c r="BT118" i="13"/>
  <c r="BF118" i="13"/>
  <c r="BG118" i="13"/>
  <c r="BL111" i="13"/>
  <c r="BG64" i="13"/>
  <c r="BS64" i="13"/>
  <c r="BJ64" i="13"/>
  <c r="BV64" i="13"/>
  <c r="BN64" i="13"/>
  <c r="BP64" i="13"/>
  <c r="BE64" i="13"/>
  <c r="BT64" i="13"/>
  <c r="BF64" i="13"/>
  <c r="BI64" i="13"/>
  <c r="BM64" i="13"/>
  <c r="BO64" i="13"/>
  <c r="BQ64" i="13"/>
  <c r="BR64" i="13"/>
  <c r="BK64" i="13"/>
  <c r="BL64" i="13"/>
  <c r="BU64" i="13"/>
  <c r="BK232" i="13"/>
  <c r="BM231" i="13"/>
  <c r="BR220" i="13"/>
  <c r="BE220" i="13"/>
  <c r="BM215" i="13"/>
  <c r="BP213" i="13"/>
  <c r="BR212" i="13"/>
  <c r="BE212" i="13"/>
  <c r="BJ232" i="13"/>
  <c r="BL231" i="13"/>
  <c r="BO229" i="13"/>
  <c r="BJ224" i="13"/>
  <c r="BL223" i="13"/>
  <c r="BO221" i="13"/>
  <c r="BQ220" i="13"/>
  <c r="BD220" i="13"/>
  <c r="BJ216" i="13"/>
  <c r="BL215" i="13"/>
  <c r="BO213" i="13"/>
  <c r="BQ212" i="13"/>
  <c r="BD212" i="13"/>
  <c r="BJ208" i="13"/>
  <c r="BL207" i="13"/>
  <c r="BO205" i="13"/>
  <c r="BQ204" i="13"/>
  <c r="BD204" i="13"/>
  <c r="BJ200" i="13"/>
  <c r="BL199" i="13"/>
  <c r="BL198" i="13"/>
  <c r="BV190" i="13"/>
  <c r="BN188" i="13"/>
  <c r="BM187" i="13"/>
  <c r="BK186" i="13"/>
  <c r="BE182" i="13"/>
  <c r="BQ182" i="13"/>
  <c r="BF182" i="13"/>
  <c r="BS182" i="13"/>
  <c r="BG182" i="13"/>
  <c r="BT182" i="13"/>
  <c r="BH182" i="13"/>
  <c r="BU182" i="13"/>
  <c r="BK182" i="13"/>
  <c r="BP174" i="13"/>
  <c r="BR140" i="13"/>
  <c r="BG120" i="13"/>
  <c r="BS120" i="13"/>
  <c r="BI120" i="13"/>
  <c r="BV120" i="13"/>
  <c r="BK120" i="13"/>
  <c r="BN120" i="13"/>
  <c r="BR120" i="13"/>
  <c r="BF120" i="13"/>
  <c r="BH120" i="13"/>
  <c r="BJ120" i="13"/>
  <c r="BO120" i="13"/>
  <c r="BP120" i="13"/>
  <c r="BD93" i="13"/>
  <c r="BP93" i="13"/>
  <c r="BG93" i="13"/>
  <c r="BT93" i="13"/>
  <c r="BI93" i="13"/>
  <c r="BV93" i="13"/>
  <c r="BL93" i="13"/>
  <c r="BJ93" i="13"/>
  <c r="BK93" i="13"/>
  <c r="BM93" i="13"/>
  <c r="BQ93" i="13"/>
  <c r="BR93" i="13"/>
  <c r="BE93" i="13"/>
  <c r="BF93" i="13"/>
  <c r="BH93" i="13"/>
  <c r="BS93" i="13"/>
  <c r="BU93" i="13"/>
  <c r="BG92" i="13"/>
  <c r="BS92" i="13"/>
  <c r="BH92" i="13"/>
  <c r="BU92" i="13"/>
  <c r="BJ92" i="13"/>
  <c r="BM92" i="13"/>
  <c r="BD92" i="13"/>
  <c r="BV92" i="13"/>
  <c r="BE92" i="13"/>
  <c r="BF92" i="13"/>
  <c r="BL92" i="13"/>
  <c r="BN92" i="13"/>
  <c r="BP92" i="13"/>
  <c r="BQ92" i="13"/>
  <c r="BR92" i="13"/>
  <c r="BE190" i="13"/>
  <c r="BQ190" i="13"/>
  <c r="BF190" i="13"/>
  <c r="BS190" i="13"/>
  <c r="BG190" i="13"/>
  <c r="BT190" i="13"/>
  <c r="BQ140" i="13"/>
  <c r="BU123" i="13"/>
  <c r="BJ111" i="13"/>
  <c r="BV111" i="13"/>
  <c r="BG111" i="13"/>
  <c r="BT111" i="13"/>
  <c r="BI111" i="13"/>
  <c r="BM111" i="13"/>
  <c r="BP111" i="13"/>
  <c r="BQ111" i="13"/>
  <c r="BD111" i="13"/>
  <c r="BU111" i="13"/>
  <c r="BF111" i="13"/>
  <c r="BH111" i="13"/>
  <c r="BK111" i="13"/>
  <c r="BO111" i="13"/>
  <c r="BR111" i="13"/>
  <c r="BH135" i="13"/>
  <c r="BJ133" i="13"/>
  <c r="BD125" i="13"/>
  <c r="BP125" i="13"/>
  <c r="BO125" i="13"/>
  <c r="BE125" i="13"/>
  <c r="BR125" i="13"/>
  <c r="BQ125" i="13"/>
  <c r="BL94" i="13"/>
  <c r="BR78" i="13"/>
  <c r="BG68" i="13"/>
  <c r="BS68" i="13"/>
  <c r="BJ68" i="13"/>
  <c r="BV68" i="13"/>
  <c r="BP68" i="13"/>
  <c r="BD68" i="13"/>
  <c r="BR68" i="13"/>
  <c r="BH68" i="13"/>
  <c r="BQ68" i="13"/>
  <c r="BU68" i="13"/>
  <c r="BF68" i="13"/>
  <c r="BI68" i="13"/>
  <c r="BK68" i="13"/>
  <c r="BM66" i="13"/>
  <c r="BD66" i="13"/>
  <c r="BP66" i="13"/>
  <c r="BQ66" i="13"/>
  <c r="BE66" i="13"/>
  <c r="BS66" i="13"/>
  <c r="BH66" i="13"/>
  <c r="BV66" i="13"/>
  <c r="BU66" i="13"/>
  <c r="BF66" i="13"/>
  <c r="BJ66" i="13"/>
  <c r="BN66" i="13"/>
  <c r="BO66" i="13"/>
  <c r="BR66" i="13"/>
  <c r="BR57" i="13"/>
  <c r="BK50" i="13"/>
  <c r="BF50" i="13"/>
  <c r="BS50" i="13"/>
  <c r="BG50" i="13"/>
  <c r="BT50" i="13"/>
  <c r="BI50" i="13"/>
  <c r="BV50" i="13"/>
  <c r="BJ50" i="13"/>
  <c r="BM50" i="13"/>
  <c r="BP50" i="13"/>
  <c r="BD50" i="13"/>
  <c r="BH50" i="13"/>
  <c r="BO50" i="13"/>
  <c r="BL50" i="13"/>
  <c r="BN50" i="13"/>
  <c r="BJ39" i="13"/>
  <c r="BG132" i="13"/>
  <c r="BS132" i="13"/>
  <c r="BE132" i="13"/>
  <c r="BR132" i="13"/>
  <c r="BH132" i="13"/>
  <c r="BV132" i="13"/>
  <c r="BT125" i="13"/>
  <c r="BD121" i="13"/>
  <c r="BP121" i="13"/>
  <c r="BH121" i="13"/>
  <c r="BU121" i="13"/>
  <c r="BJ121" i="13"/>
  <c r="BM121" i="13"/>
  <c r="BF121" i="13"/>
  <c r="BG104" i="13"/>
  <c r="BS104" i="13"/>
  <c r="BD104" i="13"/>
  <c r="BQ104" i="13"/>
  <c r="BF104" i="13"/>
  <c r="BT104" i="13"/>
  <c r="BJ104" i="13"/>
  <c r="BM104" i="13"/>
  <c r="BN104" i="13"/>
  <c r="BR104" i="13"/>
  <c r="BU104" i="13"/>
  <c r="BG84" i="13"/>
  <c r="BS84" i="13"/>
  <c r="BL84" i="13"/>
  <c r="BD84" i="13"/>
  <c r="BR84" i="13"/>
  <c r="BF84" i="13"/>
  <c r="BU84" i="13"/>
  <c r="BJ84" i="13"/>
  <c r="BQ84" i="13"/>
  <c r="BT84" i="13"/>
  <c r="BV84" i="13"/>
  <c r="BH84" i="13"/>
  <c r="BI84" i="13"/>
  <c r="BJ135" i="13"/>
  <c r="BV135" i="13"/>
  <c r="BN135" i="13"/>
  <c r="BF135" i="13"/>
  <c r="BT135" i="13"/>
  <c r="BD133" i="13"/>
  <c r="BP133" i="13"/>
  <c r="BE133" i="13"/>
  <c r="BR133" i="13"/>
  <c r="BI133" i="13"/>
  <c r="BM94" i="13"/>
  <c r="BE94" i="13"/>
  <c r="BR94" i="13"/>
  <c r="BG94" i="13"/>
  <c r="BT94" i="13"/>
  <c r="BJ94" i="13"/>
  <c r="BO94" i="13"/>
  <c r="BP94" i="13"/>
  <c r="BQ94" i="13"/>
  <c r="BD94" i="13"/>
  <c r="BV94" i="13"/>
  <c r="BF94" i="13"/>
  <c r="BD78" i="13"/>
  <c r="BP78" i="13"/>
  <c r="BG78" i="13"/>
  <c r="BT78" i="13"/>
  <c r="BI78" i="13"/>
  <c r="BV78" i="13"/>
  <c r="BL78" i="13"/>
  <c r="BJ78" i="13"/>
  <c r="BM78" i="13"/>
  <c r="BQ78" i="13"/>
  <c r="BK78" i="13"/>
  <c r="BN78" i="13"/>
  <c r="BO78" i="13"/>
  <c r="BU78" i="13"/>
  <c r="BN57" i="13"/>
  <c r="BH57" i="13"/>
  <c r="BU57" i="13"/>
  <c r="BK57" i="13"/>
  <c r="BF57" i="13"/>
  <c r="BV57" i="13"/>
  <c r="BI57" i="13"/>
  <c r="BM57" i="13"/>
  <c r="BG57" i="13"/>
  <c r="BL57" i="13"/>
  <c r="BQ57" i="13"/>
  <c r="BT57" i="13"/>
  <c r="BD57" i="13"/>
  <c r="BE57" i="13"/>
  <c r="BH39" i="13"/>
  <c r="BT39" i="13"/>
  <c r="BK39" i="13"/>
  <c r="BL39" i="13"/>
  <c r="BN39" i="13"/>
  <c r="BI39" i="13"/>
  <c r="BM39" i="13"/>
  <c r="BQ39" i="13"/>
  <c r="BG39" i="13"/>
  <c r="BO39" i="13"/>
  <c r="BS39" i="13"/>
  <c r="BP39" i="13"/>
  <c r="BR39" i="13"/>
  <c r="BU39" i="13"/>
  <c r="BK179" i="13"/>
  <c r="BK171" i="13"/>
  <c r="BK163" i="13"/>
  <c r="BK155" i="13"/>
  <c r="BR151" i="13"/>
  <c r="BE150" i="13"/>
  <c r="BQ150" i="13"/>
  <c r="BI150" i="13"/>
  <c r="BV150" i="13"/>
  <c r="BH149" i="13"/>
  <c r="BT149" i="13"/>
  <c r="BJ149" i="13"/>
  <c r="BR148" i="13"/>
  <c r="BD141" i="13"/>
  <c r="BP141" i="13"/>
  <c r="BG141" i="13"/>
  <c r="BT141" i="13"/>
  <c r="BI141" i="13"/>
  <c r="BT136" i="13"/>
  <c r="BQ135" i="13"/>
  <c r="BS133" i="13"/>
  <c r="BN132" i="13"/>
  <c r="BD129" i="13"/>
  <c r="BP129" i="13"/>
  <c r="BJ129" i="13"/>
  <c r="BL129" i="13"/>
  <c r="BE129" i="13"/>
  <c r="BT129" i="13"/>
  <c r="BL125" i="13"/>
  <c r="BM122" i="13"/>
  <c r="BF122" i="13"/>
  <c r="BS122" i="13"/>
  <c r="BH122" i="13"/>
  <c r="BU122" i="13"/>
  <c r="BK122" i="13"/>
  <c r="BJ122" i="13"/>
  <c r="BQ121" i="13"/>
  <c r="BU119" i="13"/>
  <c r="BV104" i="13"/>
  <c r="BJ103" i="13"/>
  <c r="BV103" i="13"/>
  <c r="BE103" i="13"/>
  <c r="BR103" i="13"/>
  <c r="BG103" i="13"/>
  <c r="BT103" i="13"/>
  <c r="BK103" i="13"/>
  <c r="BF103" i="13"/>
  <c r="BH103" i="13"/>
  <c r="BM103" i="13"/>
  <c r="BN103" i="13"/>
  <c r="BM98" i="13"/>
  <c r="BL98" i="13"/>
  <c r="BO98" i="13"/>
  <c r="BE98" i="13"/>
  <c r="BR98" i="13"/>
  <c r="BF98" i="13"/>
  <c r="BV98" i="13"/>
  <c r="BG98" i="13"/>
  <c r="BH98" i="13"/>
  <c r="BK98" i="13"/>
  <c r="BN98" i="13"/>
  <c r="BG76" i="13"/>
  <c r="BS76" i="13"/>
  <c r="BJ76" i="13"/>
  <c r="BV76" i="13"/>
  <c r="BF76" i="13"/>
  <c r="BU76" i="13"/>
  <c r="BI76" i="13"/>
  <c r="BM76" i="13"/>
  <c r="BP76" i="13"/>
  <c r="BR76" i="13"/>
  <c r="BD76" i="13"/>
  <c r="BE76" i="13"/>
  <c r="BH76" i="13"/>
  <c r="BK76" i="13"/>
  <c r="BO76" i="13"/>
  <c r="BQ76" i="13"/>
  <c r="BH31" i="13"/>
  <c r="BT31" i="13"/>
  <c r="BK31" i="13"/>
  <c r="BL31" i="13"/>
  <c r="BN31" i="13"/>
  <c r="BD31" i="13"/>
  <c r="BU31" i="13"/>
  <c r="BF31" i="13"/>
  <c r="BJ31" i="13"/>
  <c r="BE31" i="13"/>
  <c r="BM31" i="13"/>
  <c r="BI31" i="13"/>
  <c r="BO31" i="13"/>
  <c r="BP31" i="13"/>
  <c r="BS31" i="13"/>
  <c r="BV31" i="13"/>
  <c r="BJ179" i="13"/>
  <c r="BJ171" i="13"/>
  <c r="BJ163" i="13"/>
  <c r="BJ155" i="13"/>
  <c r="BN151" i="13"/>
  <c r="BG151" i="13"/>
  <c r="BK148" i="13"/>
  <c r="BL148" i="13"/>
  <c r="BG136" i="13"/>
  <c r="BS136" i="13"/>
  <c r="BM136" i="13"/>
  <c r="BF136" i="13"/>
  <c r="BU136" i="13"/>
  <c r="BP135" i="13"/>
  <c r="BQ133" i="13"/>
  <c r="BM132" i="13"/>
  <c r="BK125" i="13"/>
  <c r="BO121" i="13"/>
  <c r="BJ119" i="13"/>
  <c r="BV119" i="13"/>
  <c r="BI119" i="13"/>
  <c r="BL119" i="13"/>
  <c r="BO119" i="13"/>
  <c r="BP119" i="13"/>
  <c r="BP104" i="13"/>
  <c r="BG88" i="13"/>
  <c r="BS88" i="13"/>
  <c r="BM88" i="13"/>
  <c r="BO88" i="13"/>
  <c r="BE88" i="13"/>
  <c r="BR88" i="13"/>
  <c r="BI88" i="13"/>
  <c r="BJ88" i="13"/>
  <c r="BK88" i="13"/>
  <c r="BP88" i="13"/>
  <c r="BQ88" i="13"/>
  <c r="BG77" i="13"/>
  <c r="BS77" i="13"/>
  <c r="BH77" i="13"/>
  <c r="BU77" i="13"/>
  <c r="BJ77" i="13"/>
  <c r="BM77" i="13"/>
  <c r="BD77" i="13"/>
  <c r="BV77" i="13"/>
  <c r="BF77" i="13"/>
  <c r="BL77" i="13"/>
  <c r="BT77" i="13"/>
  <c r="BI77" i="13"/>
  <c r="BK77" i="13"/>
  <c r="BT68" i="13"/>
  <c r="BM110" i="13"/>
  <c r="BI110" i="13"/>
  <c r="BV110" i="13"/>
  <c r="BK110" i="13"/>
  <c r="BO110" i="13"/>
  <c r="BJ75" i="13"/>
  <c r="BV75" i="13"/>
  <c r="BM75" i="13"/>
  <c r="BF75" i="13"/>
  <c r="BT75" i="13"/>
  <c r="BH75" i="13"/>
  <c r="BL75" i="13"/>
  <c r="BI75" i="13"/>
  <c r="BN75" i="13"/>
  <c r="BQ75" i="13"/>
  <c r="BM70" i="13"/>
  <c r="BD70" i="13"/>
  <c r="BP70" i="13"/>
  <c r="BE70" i="13"/>
  <c r="BS70" i="13"/>
  <c r="BG70" i="13"/>
  <c r="BU70" i="13"/>
  <c r="BJ70" i="13"/>
  <c r="BI70" i="13"/>
  <c r="BL70" i="13"/>
  <c r="BQ70" i="13"/>
  <c r="BH23" i="13"/>
  <c r="BT23" i="13"/>
  <c r="BK23" i="13"/>
  <c r="BL23" i="13"/>
  <c r="BN23" i="13"/>
  <c r="BO23" i="13"/>
  <c r="BQ23" i="13"/>
  <c r="BD23" i="13"/>
  <c r="BU23" i="13"/>
  <c r="BR23" i="13"/>
  <c r="BV23" i="13"/>
  <c r="BE23" i="13"/>
  <c r="BM114" i="13"/>
  <c r="BD114" i="13"/>
  <c r="BQ114" i="13"/>
  <c r="BF114" i="13"/>
  <c r="BS114" i="13"/>
  <c r="BI114" i="13"/>
  <c r="BV114" i="13"/>
  <c r="BR110" i="13"/>
  <c r="BD101" i="13"/>
  <c r="BP101" i="13"/>
  <c r="BI101" i="13"/>
  <c r="BV101" i="13"/>
  <c r="BK101" i="13"/>
  <c r="BN101" i="13"/>
  <c r="BD89" i="13"/>
  <c r="BP89" i="13"/>
  <c r="BL89" i="13"/>
  <c r="BN89" i="13"/>
  <c r="BE89" i="13"/>
  <c r="BR89" i="13"/>
  <c r="BP59" i="13"/>
  <c r="BH51" i="13"/>
  <c r="BT51" i="13"/>
  <c r="BD51" i="13"/>
  <c r="BQ51" i="13"/>
  <c r="BE51" i="13"/>
  <c r="BR51" i="13"/>
  <c r="BG51" i="13"/>
  <c r="BU51" i="13"/>
  <c r="BO51" i="13"/>
  <c r="BS51" i="13"/>
  <c r="BF51" i="13"/>
  <c r="BV51" i="13"/>
  <c r="BI51" i="13"/>
  <c r="BN110" i="13"/>
  <c r="BM102" i="13"/>
  <c r="BG102" i="13"/>
  <c r="BT102" i="13"/>
  <c r="BI102" i="13"/>
  <c r="BV102" i="13"/>
  <c r="BL102" i="13"/>
  <c r="BG96" i="13"/>
  <c r="BS96" i="13"/>
  <c r="BO96" i="13"/>
  <c r="BD96" i="13"/>
  <c r="BQ96" i="13"/>
  <c r="BH96" i="13"/>
  <c r="BU96" i="13"/>
  <c r="BJ91" i="13"/>
  <c r="BV91" i="13"/>
  <c r="BH91" i="13"/>
  <c r="BU91" i="13"/>
  <c r="BK91" i="13"/>
  <c r="BN91" i="13"/>
  <c r="BS75" i="13"/>
  <c r="BG72" i="13"/>
  <c r="BS72" i="13"/>
  <c r="BJ72" i="13"/>
  <c r="BV72" i="13"/>
  <c r="BD72" i="13"/>
  <c r="BR72" i="13"/>
  <c r="BF72" i="13"/>
  <c r="BU72" i="13"/>
  <c r="BK72" i="13"/>
  <c r="BE72" i="13"/>
  <c r="BI72" i="13"/>
  <c r="BN72" i="13"/>
  <c r="BV70" i="13"/>
  <c r="BH47" i="13"/>
  <c r="BT47" i="13"/>
  <c r="BK47" i="13"/>
  <c r="BL47" i="13"/>
  <c r="BN47" i="13"/>
  <c r="BP47" i="13"/>
  <c r="BR47" i="13"/>
  <c r="BE47" i="13"/>
  <c r="BV47" i="13"/>
  <c r="BM47" i="13"/>
  <c r="BQ47" i="13"/>
  <c r="BE32" i="13"/>
  <c r="BQ32" i="13"/>
  <c r="BJ32" i="13"/>
  <c r="BK32" i="13"/>
  <c r="BM32" i="13"/>
  <c r="BG32" i="13"/>
  <c r="BI32" i="13"/>
  <c r="BO32" i="13"/>
  <c r="BN32" i="13"/>
  <c r="BR32" i="13"/>
  <c r="BU32" i="13"/>
  <c r="BK26" i="13"/>
  <c r="BF26" i="13"/>
  <c r="BS26" i="13"/>
  <c r="BG26" i="13"/>
  <c r="BT26" i="13"/>
  <c r="BI26" i="13"/>
  <c r="BV26" i="13"/>
  <c r="BH26" i="13"/>
  <c r="BL26" i="13"/>
  <c r="BO26" i="13"/>
  <c r="BU26" i="13"/>
  <c r="BE26" i="13"/>
  <c r="BE16" i="13"/>
  <c r="BQ16" i="13"/>
  <c r="BJ16" i="13"/>
  <c r="BK16" i="13"/>
  <c r="BM16" i="13"/>
  <c r="BI16" i="13"/>
  <c r="BL16" i="13"/>
  <c r="BN16" i="13"/>
  <c r="BR16" i="13"/>
  <c r="BH16" i="13"/>
  <c r="BP16" i="13"/>
  <c r="BU16" i="13"/>
  <c r="BH145" i="13"/>
  <c r="BT145" i="13"/>
  <c r="BG128" i="13"/>
  <c r="BS128" i="13"/>
  <c r="BK128" i="13"/>
  <c r="BM128" i="13"/>
  <c r="BJ115" i="13"/>
  <c r="BV115" i="13"/>
  <c r="BO115" i="13"/>
  <c r="BD115" i="13"/>
  <c r="BQ115" i="13"/>
  <c r="BG115" i="13"/>
  <c r="BT115" i="13"/>
  <c r="BO114" i="13"/>
  <c r="BG112" i="13"/>
  <c r="BS112" i="13"/>
  <c r="BF112" i="13"/>
  <c r="BT112" i="13"/>
  <c r="BI112" i="13"/>
  <c r="BV112" i="13"/>
  <c r="BL112" i="13"/>
  <c r="BL110" i="13"/>
  <c r="BJ107" i="13"/>
  <c r="BV107" i="13"/>
  <c r="BM107" i="13"/>
  <c r="BO107" i="13"/>
  <c r="BE107" i="13"/>
  <c r="BR107" i="13"/>
  <c r="BR102" i="13"/>
  <c r="BO101" i="13"/>
  <c r="BT96" i="13"/>
  <c r="BR91" i="13"/>
  <c r="BO89" i="13"/>
  <c r="BM79" i="13"/>
  <c r="BE79" i="13"/>
  <c r="BR79" i="13"/>
  <c r="BG79" i="13"/>
  <c r="BT79" i="13"/>
  <c r="BJ79" i="13"/>
  <c r="BO79" i="13"/>
  <c r="BQ79" i="13"/>
  <c r="BD79" i="13"/>
  <c r="BV79" i="13"/>
  <c r="BR75" i="13"/>
  <c r="BT70" i="13"/>
  <c r="BS23" i="13"/>
  <c r="BP75" i="13"/>
  <c r="BR70" i="13"/>
  <c r="BH59" i="13"/>
  <c r="BT59" i="13"/>
  <c r="BD59" i="13"/>
  <c r="BQ59" i="13"/>
  <c r="BG59" i="13"/>
  <c r="BU59" i="13"/>
  <c r="BL59" i="13"/>
  <c r="BN59" i="13"/>
  <c r="BR59" i="13"/>
  <c r="BE59" i="13"/>
  <c r="BI59" i="13"/>
  <c r="BM59" i="13"/>
  <c r="BN49" i="13"/>
  <c r="BH49" i="13"/>
  <c r="BU49" i="13"/>
  <c r="BI49" i="13"/>
  <c r="BV49" i="13"/>
  <c r="BK49" i="13"/>
  <c r="BD49" i="13"/>
  <c r="BT49" i="13"/>
  <c r="BF49" i="13"/>
  <c r="BL49" i="13"/>
  <c r="BP49" i="13"/>
  <c r="BR49" i="13"/>
  <c r="BP23" i="13"/>
  <c r="BD109" i="13"/>
  <c r="BP109" i="13"/>
  <c r="BJ99" i="13"/>
  <c r="BV99" i="13"/>
  <c r="BD73" i="13"/>
  <c r="BP73" i="13"/>
  <c r="BG73" i="13"/>
  <c r="BS73" i="13"/>
  <c r="BF73" i="13"/>
  <c r="BU73" i="13"/>
  <c r="BI73" i="13"/>
  <c r="BL73" i="13"/>
  <c r="BG15" i="13"/>
  <c r="BS15" i="13"/>
  <c r="BH15" i="13"/>
  <c r="BT15" i="13"/>
  <c r="BJ15" i="13"/>
  <c r="BK15" i="13"/>
  <c r="BM15" i="13"/>
  <c r="BD15" i="13"/>
  <c r="BE15" i="13"/>
  <c r="BF15" i="13"/>
  <c r="BN15" i="13"/>
  <c r="BO15" i="13"/>
  <c r="BE11" i="13"/>
  <c r="BQ11" i="13"/>
  <c r="BF11" i="13"/>
  <c r="BR11" i="13"/>
  <c r="BG11" i="13"/>
  <c r="BS11" i="13"/>
  <c r="BH11" i="13"/>
  <c r="BT11" i="13"/>
  <c r="BJ11" i="13"/>
  <c r="BV11" i="13"/>
  <c r="BL11" i="13"/>
  <c r="BM11" i="13"/>
  <c r="BO11" i="13"/>
  <c r="BI11" i="13"/>
  <c r="BK11" i="13"/>
  <c r="BN11" i="13"/>
  <c r="BG116" i="13"/>
  <c r="BS116" i="13"/>
  <c r="BM109" i="13"/>
  <c r="BM99" i="13"/>
  <c r="BD97" i="13"/>
  <c r="BP97" i="13"/>
  <c r="BL90" i="13"/>
  <c r="BJ87" i="13"/>
  <c r="BV87" i="13"/>
  <c r="BG81" i="13"/>
  <c r="BS81" i="13"/>
  <c r="BO81" i="13"/>
  <c r="BD81" i="13"/>
  <c r="BQ81" i="13"/>
  <c r="BH81" i="13"/>
  <c r="BU81" i="13"/>
  <c r="BR73" i="13"/>
  <c r="BJ63" i="13"/>
  <c r="BV63" i="13"/>
  <c r="BM63" i="13"/>
  <c r="BN63" i="13"/>
  <c r="BP63" i="13"/>
  <c r="BE63" i="13"/>
  <c r="BS63" i="13"/>
  <c r="BE56" i="13"/>
  <c r="BQ56" i="13"/>
  <c r="BJ56" i="13"/>
  <c r="BM56" i="13"/>
  <c r="BF56" i="13"/>
  <c r="BU56" i="13"/>
  <c r="BH56" i="13"/>
  <c r="BL56" i="13"/>
  <c r="BH43" i="13"/>
  <c r="BT43" i="13"/>
  <c r="BD43" i="13"/>
  <c r="BQ43" i="13"/>
  <c r="BE43" i="13"/>
  <c r="BR43" i="13"/>
  <c r="BG43" i="13"/>
  <c r="BU43" i="13"/>
  <c r="BK43" i="13"/>
  <c r="BM43" i="13"/>
  <c r="BP43" i="13"/>
  <c r="BN33" i="13"/>
  <c r="BH33" i="13"/>
  <c r="BU33" i="13"/>
  <c r="BI33" i="13"/>
  <c r="BV33" i="13"/>
  <c r="BK33" i="13"/>
  <c r="BJ33" i="13"/>
  <c r="BM33" i="13"/>
  <c r="BQ33" i="13"/>
  <c r="BH19" i="13"/>
  <c r="BT19" i="13"/>
  <c r="BD19" i="13"/>
  <c r="BQ19" i="13"/>
  <c r="BE19" i="13"/>
  <c r="BR19" i="13"/>
  <c r="BG19" i="13"/>
  <c r="BU19" i="13"/>
  <c r="BI19" i="13"/>
  <c r="BJ19" i="13"/>
  <c r="BK19" i="13"/>
  <c r="BN19" i="13"/>
  <c r="BJ14" i="13"/>
  <c r="BV14" i="13"/>
  <c r="BK14" i="13"/>
  <c r="BM14" i="13"/>
  <c r="BG14" i="13"/>
  <c r="BH14" i="13"/>
  <c r="BL14" i="13"/>
  <c r="BR14" i="13"/>
  <c r="BS14" i="13"/>
  <c r="BT14" i="13"/>
  <c r="BE14" i="13"/>
  <c r="BF14" i="13"/>
  <c r="BN126" i="13"/>
  <c r="BG124" i="13"/>
  <c r="BS124" i="13"/>
  <c r="BN116" i="13"/>
  <c r="BK109" i="13"/>
  <c r="BD105" i="13"/>
  <c r="BP105" i="13"/>
  <c r="BK99" i="13"/>
  <c r="BN97" i="13"/>
  <c r="BJ95" i="13"/>
  <c r="BV95" i="13"/>
  <c r="BJ90" i="13"/>
  <c r="BN87" i="13"/>
  <c r="BR81" i="13"/>
  <c r="BM74" i="13"/>
  <c r="BD74" i="13"/>
  <c r="BP74" i="13"/>
  <c r="BG74" i="13"/>
  <c r="BU74" i="13"/>
  <c r="BI74" i="13"/>
  <c r="BL74" i="13"/>
  <c r="BO73" i="13"/>
  <c r="BR63" i="13"/>
  <c r="BT56" i="13"/>
  <c r="BE48" i="13"/>
  <c r="BQ48" i="13"/>
  <c r="BJ48" i="13"/>
  <c r="BK48" i="13"/>
  <c r="BM48" i="13"/>
  <c r="BS48" i="13"/>
  <c r="BD48" i="13"/>
  <c r="BU48" i="13"/>
  <c r="BH48" i="13"/>
  <c r="BN41" i="13"/>
  <c r="BH41" i="13"/>
  <c r="BU41" i="13"/>
  <c r="BI41" i="13"/>
  <c r="BV41" i="13"/>
  <c r="BK41" i="13"/>
  <c r="BP41" i="13"/>
  <c r="BR41" i="13"/>
  <c r="BE41" i="13"/>
  <c r="BT33" i="13"/>
  <c r="BV15" i="13"/>
  <c r="BR82" i="13"/>
  <c r="BF82" i="13"/>
  <c r="BV65" i="13"/>
  <c r="BV61" i="13"/>
  <c r="BE40" i="13"/>
  <c r="BQ40" i="13"/>
  <c r="BJ40" i="13"/>
  <c r="BK40" i="13"/>
  <c r="BM40" i="13"/>
  <c r="BH27" i="13"/>
  <c r="BT27" i="13"/>
  <c r="BD27" i="13"/>
  <c r="BQ27" i="13"/>
  <c r="BE27" i="13"/>
  <c r="BR27" i="13"/>
  <c r="BG27" i="13"/>
  <c r="BU27" i="13"/>
  <c r="BN17" i="13"/>
  <c r="BH17" i="13"/>
  <c r="BU17" i="13"/>
  <c r="BI17" i="13"/>
  <c r="BV17" i="13"/>
  <c r="BK17" i="13"/>
  <c r="BD65" i="13"/>
  <c r="BP65" i="13"/>
  <c r="BG65" i="13"/>
  <c r="BS65" i="13"/>
  <c r="BN61" i="13"/>
  <c r="BO61" i="13"/>
  <c r="BE61" i="13"/>
  <c r="BR61" i="13"/>
  <c r="BE24" i="13"/>
  <c r="BQ24" i="13"/>
  <c r="BJ24" i="13"/>
  <c r="BK24" i="13"/>
  <c r="BM24" i="13"/>
  <c r="BK18" i="13"/>
  <c r="BF18" i="13"/>
  <c r="BS18" i="13"/>
  <c r="BG18" i="13"/>
  <c r="BT18" i="13"/>
  <c r="BI18" i="13"/>
  <c r="BV18" i="13"/>
  <c r="BR18" i="13"/>
  <c r="BO17" i="13"/>
  <c r="BV83" i="13"/>
  <c r="BJ80" i="13"/>
  <c r="BV80" i="13"/>
  <c r="BD69" i="13"/>
  <c r="BP69" i="13"/>
  <c r="BG69" i="13"/>
  <c r="BS69" i="13"/>
  <c r="BO65" i="13"/>
  <c r="BP61" i="13"/>
  <c r="BK42" i="13"/>
  <c r="BF42" i="13"/>
  <c r="BS42" i="13"/>
  <c r="BG42" i="13"/>
  <c r="BT42" i="13"/>
  <c r="BI42" i="13"/>
  <c r="BV42" i="13"/>
  <c r="BN40" i="13"/>
  <c r="BH35" i="13"/>
  <c r="BT35" i="13"/>
  <c r="BD35" i="13"/>
  <c r="BQ35" i="13"/>
  <c r="BE35" i="13"/>
  <c r="BR35" i="13"/>
  <c r="BG35" i="13"/>
  <c r="BU35" i="13"/>
  <c r="BN27" i="13"/>
  <c r="BN25" i="13"/>
  <c r="BH25" i="13"/>
  <c r="BU25" i="13"/>
  <c r="BI25" i="13"/>
  <c r="BV25" i="13"/>
  <c r="BK25" i="13"/>
  <c r="BR24" i="13"/>
  <c r="BQ18" i="13"/>
  <c r="BM17" i="13"/>
  <c r="BH6" i="13"/>
  <c r="BT6" i="13"/>
  <c r="BI6" i="13"/>
  <c r="BU6" i="13"/>
  <c r="BJ6" i="13"/>
  <c r="BV6" i="13"/>
  <c r="BK6" i="13"/>
  <c r="BM6" i="13"/>
  <c r="BR6" i="13"/>
  <c r="BT60" i="13"/>
  <c r="BR53" i="13"/>
  <c r="BE53" i="13"/>
  <c r="BT52" i="13"/>
  <c r="BR45" i="13"/>
  <c r="BE45" i="13"/>
  <c r="BT44" i="13"/>
  <c r="BR37" i="13"/>
  <c r="BE37" i="13"/>
  <c r="BT36" i="13"/>
  <c r="BR29" i="13"/>
  <c r="BE29" i="13"/>
  <c r="BT28" i="13"/>
  <c r="BG28" i="13"/>
  <c r="BR21" i="13"/>
  <c r="BE21" i="13"/>
  <c r="BT20" i="13"/>
  <c r="BG20" i="13"/>
  <c r="BP6" i="13"/>
  <c r="BE7" i="13"/>
  <c r="BQ7" i="13"/>
  <c r="BF7" i="13"/>
  <c r="BR7" i="13"/>
  <c r="BG7" i="13"/>
  <c r="BS7" i="13"/>
  <c r="BH7" i="13"/>
  <c r="BT7" i="13"/>
  <c r="BJ7" i="13"/>
  <c r="BV7" i="13"/>
  <c r="BO6" i="13"/>
  <c r="BR28" i="13"/>
  <c r="BR20" i="13"/>
  <c r="BH10" i="13"/>
  <c r="BT10" i="13"/>
  <c r="BI10" i="13"/>
  <c r="BU10" i="13"/>
  <c r="BJ10" i="13"/>
  <c r="BV10" i="13"/>
  <c r="BK10" i="13"/>
  <c r="BM10" i="13"/>
  <c r="BN6" i="13"/>
  <c r="BE60" i="13"/>
  <c r="BQ60" i="13"/>
  <c r="BO53" i="13"/>
  <c r="BE52" i="13"/>
  <c r="BQ52" i="13"/>
  <c r="BO45" i="13"/>
  <c r="BE44" i="13"/>
  <c r="BQ44" i="13"/>
  <c r="BO37" i="13"/>
  <c r="BE36" i="13"/>
  <c r="BQ36" i="13"/>
  <c r="BE28" i="13"/>
  <c r="BQ28" i="13"/>
  <c r="BE20" i="13"/>
  <c r="BQ20" i="13"/>
  <c r="BL6" i="13"/>
  <c r="BS12" i="13"/>
  <c r="BG12" i="13"/>
  <c r="BS8" i="13"/>
  <c r="BG8" i="13"/>
  <c r="BQ12" i="13"/>
  <c r="BE12" i="13"/>
  <c r="BQ8" i="13"/>
  <c r="BE8" i="13"/>
  <c r="BP12" i="13"/>
  <c r="BP8" i="13"/>
  <c r="AC216" i="13"/>
  <c r="AC208" i="13"/>
  <c r="AC172" i="13"/>
  <c r="AC221" i="13"/>
  <c r="AC203" i="13"/>
  <c r="AC196" i="13"/>
  <c r="AC209" i="13"/>
  <c r="AC220" i="13"/>
  <c r="AA107" i="13"/>
  <c r="Z107" i="13"/>
  <c r="AB107" i="13" s="1"/>
  <c r="Z63" i="13"/>
  <c r="AB63" i="13" s="1"/>
  <c r="AA63" i="13"/>
  <c r="AC121" i="13"/>
  <c r="Z130" i="13"/>
  <c r="AB130" i="13" s="1"/>
  <c r="AA130" i="13"/>
  <c r="Z136" i="13"/>
  <c r="AB136" i="13" s="1"/>
  <c r="AA136" i="13"/>
  <c r="AA147" i="13"/>
  <c r="Z147" i="13"/>
  <c r="AB147" i="13" s="1"/>
  <c r="AA114" i="13"/>
  <c r="Z114" i="13"/>
  <c r="AB114" i="13" s="1"/>
  <c r="Z94" i="13"/>
  <c r="AB94" i="13" s="1"/>
  <c r="AA94" i="13"/>
  <c r="Z123" i="13"/>
  <c r="AB123" i="13" s="1"/>
  <c r="AA123" i="13"/>
  <c r="Z134" i="13"/>
  <c r="AB134" i="13" s="1"/>
  <c r="AA134" i="13"/>
  <c r="Z132" i="13"/>
  <c r="AB132" i="13" s="1"/>
  <c r="AA132" i="13"/>
  <c r="AC101" i="13"/>
  <c r="AC15" i="13"/>
  <c r="Z97" i="13"/>
  <c r="AB97" i="13" s="1"/>
  <c r="Z88" i="13"/>
  <c r="AB88" i="13" s="1"/>
  <c r="AC66" i="13"/>
  <c r="AC17" i="13"/>
  <c r="AA158" i="13"/>
  <c r="Z158" i="13"/>
  <c r="AB158" i="13" s="1"/>
  <c r="AA150" i="13"/>
  <c r="Z150" i="13"/>
  <c r="AB150" i="13" s="1"/>
  <c r="AA143" i="13"/>
  <c r="Z143" i="13"/>
  <c r="AB143" i="13" s="1"/>
  <c r="AA162" i="13"/>
  <c r="Z162" i="13"/>
  <c r="AB162" i="13" s="1"/>
  <c r="Z118" i="13"/>
  <c r="AB118" i="13" s="1"/>
  <c r="AA118" i="13"/>
  <c r="Z27" i="13"/>
  <c r="AB27" i="13" s="1"/>
  <c r="AA27" i="13"/>
  <c r="Z69" i="13"/>
  <c r="AB69" i="13" s="1"/>
  <c r="AA69" i="13"/>
  <c r="Z20" i="13"/>
  <c r="AB20" i="13" s="1"/>
  <c r="AA20" i="13"/>
  <c r="AA144" i="13"/>
  <c r="Z144" i="13"/>
  <c r="AB144" i="13" s="1"/>
  <c r="Z98" i="13"/>
  <c r="AB98" i="13" s="1"/>
  <c r="AA98" i="13"/>
  <c r="AC23" i="13"/>
  <c r="AC169" i="13"/>
  <c r="Z148" i="13"/>
  <c r="AB148" i="13" s="1"/>
  <c r="Z139" i="13"/>
  <c r="AB139" i="13" s="1"/>
  <c r="AC100" i="13"/>
  <c r="AC120" i="13"/>
  <c r="Z78" i="13"/>
  <c r="AB78" i="13" s="1"/>
  <c r="AA78" i="13"/>
  <c r="Z70" i="13"/>
  <c r="AB70" i="13" s="1"/>
  <c r="AA70" i="13"/>
  <c r="AC125" i="13"/>
  <c r="Z102" i="13"/>
  <c r="AB102" i="13" s="1"/>
  <c r="AC96" i="13"/>
  <c r="Z80" i="13"/>
  <c r="AB80" i="13" s="1"/>
  <c r="AA80" i="13"/>
  <c r="AA76" i="13"/>
  <c r="Z76" i="13"/>
  <c r="AB76" i="13" s="1"/>
  <c r="Z51" i="13"/>
  <c r="AB51" i="13" s="1"/>
  <c r="AA51" i="13"/>
  <c r="Z40" i="13"/>
  <c r="AB40" i="13" s="1"/>
  <c r="AA40" i="13"/>
  <c r="Z45" i="13"/>
  <c r="AB45" i="13" s="1"/>
  <c r="AA45" i="13"/>
  <c r="AA33" i="13"/>
  <c r="Z26" i="13"/>
  <c r="AB26" i="13" s="1"/>
  <c r="AA26" i="13"/>
  <c r="Z39" i="13"/>
  <c r="AB39" i="13" s="1"/>
  <c r="AA39" i="13"/>
  <c r="AC33" i="13"/>
  <c r="AC22" i="13"/>
  <c r="Z135" i="13"/>
  <c r="AB135" i="13" s="1"/>
  <c r="AA135" i="13"/>
  <c r="Z90" i="13"/>
  <c r="AB90" i="13" s="1"/>
  <c r="Z60" i="13"/>
  <c r="AB60" i="13" s="1"/>
  <c r="AA60" i="13"/>
  <c r="AC58" i="13"/>
  <c r="Z56" i="13"/>
  <c r="AB56" i="13" s="1"/>
  <c r="AA56" i="13"/>
  <c r="AA12" i="13"/>
  <c r="Z32" i="13"/>
  <c r="AB32" i="13" s="1"/>
  <c r="AA32" i="13"/>
  <c r="AC16" i="13"/>
  <c r="AC12" i="13"/>
  <c r="AC10" i="13"/>
  <c r="Z160" i="13"/>
  <c r="AB160" i="13" s="1"/>
  <c r="AA152" i="13"/>
  <c r="Z152" i="13"/>
  <c r="AB152" i="13" s="1"/>
  <c r="AA138" i="13"/>
  <c r="Z138" i="13"/>
  <c r="AB138" i="13" s="1"/>
  <c r="AA126" i="13"/>
  <c r="Z126" i="13"/>
  <c r="AB126" i="13" s="1"/>
  <c r="AA121" i="13"/>
  <c r="AC108" i="13"/>
  <c r="Z106" i="13"/>
  <c r="AB106" i="13" s="1"/>
  <c r="AA106" i="13"/>
  <c r="Z38" i="13"/>
  <c r="AB38" i="13" s="1"/>
  <c r="AA38" i="13"/>
  <c r="AA141" i="13"/>
  <c r="Z141" i="13"/>
  <c r="AB141" i="13" s="1"/>
  <c r="Z131" i="13"/>
  <c r="AB131" i="13" s="1"/>
  <c r="AA131" i="13"/>
  <c r="Z82" i="13"/>
  <c r="AB82" i="13" s="1"/>
  <c r="AA82" i="13"/>
  <c r="Z44" i="13"/>
  <c r="AB44" i="13" s="1"/>
  <c r="AA44" i="13"/>
  <c r="AA65" i="13"/>
  <c r="AA10" i="13"/>
  <c r="Z8" i="13"/>
  <c r="AB8" i="13" s="1"/>
  <c r="AA8" i="13"/>
  <c r="AA74" i="13"/>
  <c r="Z28" i="13"/>
  <c r="AB28" i="13" s="1"/>
  <c r="AA28" i="13"/>
  <c r="Z137" i="13"/>
  <c r="AB137" i="13" s="1"/>
  <c r="AA137" i="13"/>
  <c r="Z133" i="13"/>
  <c r="AB133" i="13" s="1"/>
  <c r="AA133" i="13"/>
  <c r="Z86" i="13"/>
  <c r="AB86" i="13" s="1"/>
  <c r="AA86" i="13"/>
  <c r="Z54" i="13"/>
  <c r="AB54" i="13" s="1"/>
  <c r="AA54" i="13"/>
  <c r="AA16" i="13"/>
  <c r="Z14" i="13"/>
  <c r="AB14" i="13" s="1"/>
  <c r="AA14" i="13"/>
  <c r="AC34" i="13"/>
  <c r="AA71" i="13"/>
  <c r="AA62" i="13"/>
  <c r="Z50" i="13"/>
  <c r="AB50" i="13" s="1"/>
  <c r="AA50" i="13"/>
  <c r="AA46" i="13"/>
  <c r="AC117" i="13" l="1"/>
  <c r="AC67" i="13"/>
  <c r="AC68" i="13"/>
  <c r="AC11" i="13"/>
  <c r="AC41" i="13"/>
  <c r="AC190" i="13"/>
  <c r="AC36" i="13"/>
  <c r="AC234" i="13"/>
  <c r="AC43" i="13"/>
  <c r="AC13" i="13"/>
  <c r="AC128" i="13"/>
  <c r="AC122" i="13"/>
  <c r="AC175" i="13"/>
  <c r="AC55" i="13"/>
  <c r="AC231" i="13"/>
  <c r="AC176" i="13"/>
  <c r="AC183" i="13"/>
  <c r="AC54" i="13"/>
  <c r="AC27" i="13"/>
  <c r="AC107" i="13"/>
  <c r="AC131" i="13"/>
  <c r="AC150" i="13"/>
  <c r="AC88" i="13"/>
  <c r="AC134" i="13"/>
  <c r="AC94" i="13"/>
  <c r="AC136" i="13"/>
  <c r="AC78" i="13"/>
  <c r="AC106" i="13"/>
  <c r="AC97" i="13"/>
  <c r="AC114" i="13"/>
  <c r="AC28" i="13"/>
  <c r="AC80" i="13"/>
  <c r="AC70" i="13"/>
  <c r="AC82" i="13"/>
  <c r="AC135" i="13"/>
  <c r="AC98" i="13"/>
  <c r="AC45" i="13"/>
  <c r="AC144" i="13"/>
  <c r="AC86" i="13"/>
  <c r="AC8" i="13"/>
  <c r="AC160" i="13"/>
  <c r="AC102" i="13"/>
  <c r="AC139" i="13"/>
  <c r="AC143" i="13"/>
  <c r="AC63" i="13"/>
  <c r="AC148" i="13"/>
  <c r="AC133" i="13"/>
  <c r="AC40" i="13"/>
  <c r="AC118" i="13"/>
  <c r="AC137" i="13"/>
  <c r="AC51" i="13"/>
  <c r="AC14" i="13"/>
  <c r="AC39" i="13"/>
  <c r="AC76" i="13"/>
  <c r="AC20" i="13"/>
  <c r="AC162" i="13"/>
  <c r="AC130" i="13"/>
  <c r="AC44" i="13"/>
  <c r="AC38" i="13"/>
  <c r="AC138" i="13"/>
  <c r="AC158" i="13"/>
  <c r="AC152" i="13"/>
  <c r="AC147" i="13"/>
  <c r="AC123" i="13"/>
  <c r="AC132" i="13"/>
  <c r="AC56" i="13"/>
  <c r="AC141" i="13"/>
  <c r="AC126" i="13"/>
  <c r="AC60" i="13"/>
  <c r="AC50" i="13"/>
  <c r="AC32" i="13"/>
  <c r="AC90" i="13"/>
  <c r="AC26" i="13"/>
  <c r="AC69" i="13"/>
  <c r="B230" i="13" l="1"/>
  <c r="C230" i="13"/>
  <c r="D230" i="13"/>
  <c r="E230" i="13"/>
  <c r="K230" i="13"/>
  <c r="P230" i="13"/>
  <c r="S230" i="13"/>
  <c r="AH230" i="13"/>
  <c r="B224" i="13"/>
  <c r="C224" i="13"/>
  <c r="D224" i="13"/>
  <c r="E224" i="13"/>
  <c r="K224" i="13"/>
  <c r="P224" i="13"/>
  <c r="S224" i="13"/>
  <c r="AH224" i="13"/>
  <c r="G29" i="22"/>
  <c r="H29" i="22" s="1"/>
  <c r="G30" i="22"/>
  <c r="H30" i="22" s="1"/>
  <c r="G31" i="22"/>
  <c r="H31" i="22" s="1"/>
  <c r="G32" i="22"/>
  <c r="H32" i="22" s="1"/>
  <c r="G33" i="22"/>
  <c r="H33" i="22" s="1"/>
  <c r="D29" i="38"/>
  <c r="D28" i="38"/>
  <c r="D26" i="38"/>
  <c r="D25" i="38"/>
  <c r="D27" i="38"/>
  <c r="D24" i="38"/>
  <c r="D23" i="38"/>
  <c r="D22" i="38"/>
  <c r="D21" i="38"/>
  <c r="E18" i="38"/>
  <c r="F18" i="38" s="1"/>
  <c r="G18" i="38" s="1"/>
  <c r="H18" i="38" s="1"/>
  <c r="I18" i="38" s="1"/>
  <c r="B29" i="38"/>
  <c r="B28" i="38"/>
  <c r="B26" i="38"/>
  <c r="P5" i="13"/>
  <c r="P6" i="13"/>
  <c r="P7" i="13"/>
  <c r="P8" i="13"/>
  <c r="P9" i="13"/>
  <c r="P10" i="13"/>
  <c r="P11" i="13"/>
  <c r="P12" i="13"/>
  <c r="P13" i="13"/>
  <c r="P14" i="13"/>
  <c r="P15" i="13"/>
  <c r="P16" i="13"/>
  <c r="P17" i="13"/>
  <c r="P18" i="13"/>
  <c r="P19" i="13"/>
  <c r="P20" i="13"/>
  <c r="P21" i="13"/>
  <c r="P22" i="13"/>
  <c r="P23" i="13"/>
  <c r="P24" i="13"/>
  <c r="P25" i="13"/>
  <c r="P26" i="13"/>
  <c r="P27" i="13"/>
  <c r="P28" i="13"/>
  <c r="P29" i="13"/>
  <c r="P30" i="13"/>
  <c r="P31" i="13"/>
  <c r="P32" i="13"/>
  <c r="P33" i="13"/>
  <c r="P34" i="13"/>
  <c r="P35" i="13"/>
  <c r="P36" i="13"/>
  <c r="P37" i="13"/>
  <c r="P38" i="13"/>
  <c r="P39" i="13"/>
  <c r="P40" i="13"/>
  <c r="P41" i="13"/>
  <c r="P42" i="13"/>
  <c r="P43" i="13"/>
  <c r="P44" i="13"/>
  <c r="P45" i="13"/>
  <c r="P46" i="13"/>
  <c r="P47" i="13"/>
  <c r="P48" i="13"/>
  <c r="P49" i="13"/>
  <c r="P50" i="13"/>
  <c r="P51" i="13"/>
  <c r="P52" i="13"/>
  <c r="P53" i="13"/>
  <c r="P54" i="13"/>
  <c r="P55" i="13"/>
  <c r="P56" i="13"/>
  <c r="P57" i="13"/>
  <c r="P58" i="13"/>
  <c r="P59" i="13"/>
  <c r="P60" i="13"/>
  <c r="P61" i="13"/>
  <c r="P62" i="13"/>
  <c r="P63" i="13"/>
  <c r="P64" i="13"/>
  <c r="P65" i="13"/>
  <c r="P66" i="13"/>
  <c r="P67" i="13"/>
  <c r="P68" i="13"/>
  <c r="P69" i="13"/>
  <c r="P70" i="13"/>
  <c r="P71" i="13"/>
  <c r="P72" i="13"/>
  <c r="P73" i="13"/>
  <c r="P74" i="13"/>
  <c r="P75" i="13"/>
  <c r="P76" i="13"/>
  <c r="P77" i="13"/>
  <c r="P78" i="13"/>
  <c r="P79" i="13"/>
  <c r="P80" i="13"/>
  <c r="P81" i="13"/>
  <c r="P82" i="13"/>
  <c r="P83" i="13"/>
  <c r="P84" i="13"/>
  <c r="P85" i="13"/>
  <c r="P86" i="13"/>
  <c r="P87" i="13"/>
  <c r="P88" i="13"/>
  <c r="P89" i="13"/>
  <c r="P90" i="13"/>
  <c r="P91" i="13"/>
  <c r="P92" i="13"/>
  <c r="P93" i="13"/>
  <c r="P94" i="13"/>
  <c r="P95" i="13"/>
  <c r="P96" i="13"/>
  <c r="P97" i="13"/>
  <c r="P98" i="13"/>
  <c r="P99" i="13"/>
  <c r="P100" i="13"/>
  <c r="P101" i="13"/>
  <c r="P102" i="13"/>
  <c r="P103" i="13"/>
  <c r="P104" i="13"/>
  <c r="P105" i="13"/>
  <c r="P106" i="13"/>
  <c r="P107" i="13"/>
  <c r="P108" i="13"/>
  <c r="P109" i="13"/>
  <c r="P110" i="13"/>
  <c r="P111" i="13"/>
  <c r="P112" i="13"/>
  <c r="P113" i="13"/>
  <c r="P114" i="13"/>
  <c r="P115" i="13"/>
  <c r="P116" i="13"/>
  <c r="P117" i="13"/>
  <c r="P118" i="13"/>
  <c r="P119" i="13"/>
  <c r="P120" i="13"/>
  <c r="P121" i="13"/>
  <c r="P122" i="13"/>
  <c r="P123" i="13"/>
  <c r="P124" i="13"/>
  <c r="P125" i="13"/>
  <c r="P126" i="13"/>
  <c r="P127" i="13"/>
  <c r="P128" i="13"/>
  <c r="P129" i="13"/>
  <c r="P130" i="13"/>
  <c r="P131" i="13"/>
  <c r="P132" i="13"/>
  <c r="P133" i="13"/>
  <c r="P134" i="13"/>
  <c r="P135" i="13"/>
  <c r="P136" i="13"/>
  <c r="P137" i="13"/>
  <c r="P138" i="13"/>
  <c r="P139" i="13"/>
  <c r="P140" i="13"/>
  <c r="P141" i="13"/>
  <c r="P142" i="13"/>
  <c r="P143" i="13"/>
  <c r="P144" i="13"/>
  <c r="P145" i="13"/>
  <c r="P146" i="13"/>
  <c r="P147" i="13"/>
  <c r="P148" i="13"/>
  <c r="P149" i="13"/>
  <c r="P150" i="13"/>
  <c r="P151" i="13"/>
  <c r="P152" i="13"/>
  <c r="P153" i="13"/>
  <c r="P154" i="13"/>
  <c r="P155" i="13"/>
  <c r="P156" i="13"/>
  <c r="P157" i="13"/>
  <c r="P158" i="13"/>
  <c r="P159" i="13"/>
  <c r="P160" i="13"/>
  <c r="P161" i="13"/>
  <c r="P162" i="13"/>
  <c r="P163" i="13"/>
  <c r="P164" i="13"/>
  <c r="P165" i="13"/>
  <c r="P166" i="13"/>
  <c r="P167" i="13"/>
  <c r="P168" i="13"/>
  <c r="P169" i="13"/>
  <c r="P170" i="13"/>
  <c r="P171" i="13"/>
  <c r="P172" i="13"/>
  <c r="P173" i="13"/>
  <c r="P174" i="13"/>
  <c r="P175" i="13"/>
  <c r="P176" i="13"/>
  <c r="P177" i="13"/>
  <c r="P178" i="13"/>
  <c r="P179" i="13"/>
  <c r="P180" i="13"/>
  <c r="P181" i="13"/>
  <c r="P182" i="13"/>
  <c r="P183" i="13"/>
  <c r="P184" i="13"/>
  <c r="P185" i="13"/>
  <c r="P186" i="13"/>
  <c r="P187" i="13"/>
  <c r="P188" i="13"/>
  <c r="P189" i="13"/>
  <c r="P190" i="13"/>
  <c r="P191" i="13"/>
  <c r="P192" i="13"/>
  <c r="P193" i="13"/>
  <c r="P194" i="13"/>
  <c r="P195" i="13"/>
  <c r="P196" i="13"/>
  <c r="P197" i="13"/>
  <c r="P198" i="13"/>
  <c r="P199" i="13"/>
  <c r="P200" i="13"/>
  <c r="P201" i="13"/>
  <c r="P202" i="13"/>
  <c r="P203" i="13"/>
  <c r="P204" i="13"/>
  <c r="P205" i="13"/>
  <c r="P206" i="13"/>
  <c r="P207" i="13"/>
  <c r="P208" i="13"/>
  <c r="P209" i="13"/>
  <c r="P210" i="13"/>
  <c r="P211" i="13"/>
  <c r="P212" i="13"/>
  <c r="P213" i="13"/>
  <c r="P214" i="13"/>
  <c r="P215" i="13"/>
  <c r="P216" i="13"/>
  <c r="P217" i="13"/>
  <c r="P218" i="13"/>
  <c r="P219" i="13"/>
  <c r="P220" i="13"/>
  <c r="P221" i="13"/>
  <c r="P222" i="13"/>
  <c r="P223" i="13"/>
  <c r="P225" i="13"/>
  <c r="P226" i="13"/>
  <c r="P227" i="13"/>
  <c r="P228" i="13"/>
  <c r="P229" i="13"/>
  <c r="P231" i="13"/>
  <c r="P232" i="13"/>
  <c r="P234" i="13"/>
  <c r="P235" i="13"/>
  <c r="P236" i="13"/>
  <c r="P237" i="13"/>
  <c r="P238" i="13"/>
  <c r="P239" i="13"/>
  <c r="P240" i="13"/>
  <c r="P241" i="13"/>
  <c r="P242" i="13"/>
  <c r="P243" i="13"/>
  <c r="P244" i="13"/>
  <c r="S244" i="13"/>
  <c r="S243" i="13"/>
  <c r="S242" i="13"/>
  <c r="S241" i="13"/>
  <c r="S240" i="13"/>
  <c r="S239" i="13"/>
  <c r="S238" i="13"/>
  <c r="S237" i="13"/>
  <c r="S236" i="13"/>
  <c r="S235" i="13"/>
  <c r="S234" i="13"/>
  <c r="S233" i="13"/>
  <c r="S232" i="13"/>
  <c r="S231" i="13"/>
  <c r="S229" i="13"/>
  <c r="S228" i="13"/>
  <c r="S227" i="13"/>
  <c r="S226" i="13"/>
  <c r="S225" i="13"/>
  <c r="S223" i="13"/>
  <c r="S222" i="13"/>
  <c r="S221" i="13"/>
  <c r="S220" i="13"/>
  <c r="S219" i="13"/>
  <c r="S218" i="13"/>
  <c r="S217" i="13"/>
  <c r="S216" i="13"/>
  <c r="S215" i="13"/>
  <c r="S214" i="13"/>
  <c r="S213" i="13"/>
  <c r="S212" i="13"/>
  <c r="S211" i="13"/>
  <c r="S210" i="13"/>
  <c r="S209" i="13"/>
  <c r="S208" i="13"/>
  <c r="S207" i="13"/>
  <c r="S206" i="13"/>
  <c r="S205" i="13"/>
  <c r="S204" i="13"/>
  <c r="S203" i="13"/>
  <c r="S202" i="13"/>
  <c r="S201" i="13"/>
  <c r="S200" i="13"/>
  <c r="S199" i="13"/>
  <c r="S198" i="13"/>
  <c r="S197" i="13"/>
  <c r="S196" i="13"/>
  <c r="S195" i="13"/>
  <c r="S194" i="13"/>
  <c r="S193" i="13"/>
  <c r="S192" i="13"/>
  <c r="S191" i="13"/>
  <c r="S190" i="13"/>
  <c r="S189" i="13"/>
  <c r="S188" i="13"/>
  <c r="S187" i="13"/>
  <c r="S186" i="13"/>
  <c r="S185" i="13"/>
  <c r="S184" i="13"/>
  <c r="S183" i="13"/>
  <c r="S182" i="13"/>
  <c r="S181" i="13"/>
  <c r="S180" i="13"/>
  <c r="S179" i="13"/>
  <c r="S178" i="13"/>
  <c r="S177" i="13"/>
  <c r="S176" i="13"/>
  <c r="S175" i="13"/>
  <c r="S174" i="13"/>
  <c r="S173" i="13"/>
  <c r="S172" i="13"/>
  <c r="S171" i="13"/>
  <c r="S170" i="13"/>
  <c r="S169" i="13"/>
  <c r="S168" i="13"/>
  <c r="S167" i="13"/>
  <c r="S166" i="13"/>
  <c r="S165" i="13"/>
  <c r="S164" i="13"/>
  <c r="S163" i="13"/>
  <c r="S162" i="13"/>
  <c r="S161" i="13"/>
  <c r="S160" i="13"/>
  <c r="S159" i="13"/>
  <c r="S158" i="13"/>
  <c r="S157" i="13"/>
  <c r="S156" i="13"/>
  <c r="S155" i="13"/>
  <c r="S154" i="13"/>
  <c r="S153" i="13"/>
  <c r="S152" i="13"/>
  <c r="S151" i="13"/>
  <c r="S150" i="13"/>
  <c r="S149" i="13"/>
  <c r="S148" i="13"/>
  <c r="S147" i="13"/>
  <c r="S146" i="13"/>
  <c r="S145" i="13"/>
  <c r="S144" i="13"/>
  <c r="S143" i="13"/>
  <c r="S142" i="13"/>
  <c r="S141" i="13"/>
  <c r="S140" i="13"/>
  <c r="S139" i="13"/>
  <c r="S138" i="13"/>
  <c r="S137" i="13"/>
  <c r="S136" i="13"/>
  <c r="S135" i="13"/>
  <c r="S134" i="13"/>
  <c r="S133" i="13"/>
  <c r="S132" i="13"/>
  <c r="S131" i="13"/>
  <c r="S130" i="13"/>
  <c r="S129" i="13"/>
  <c r="S128" i="13"/>
  <c r="S127" i="13"/>
  <c r="S126" i="13"/>
  <c r="S125" i="13"/>
  <c r="S124" i="13"/>
  <c r="S123" i="13"/>
  <c r="S122" i="13"/>
  <c r="S121" i="13"/>
  <c r="S120" i="13"/>
  <c r="S119" i="13"/>
  <c r="S118" i="13"/>
  <c r="S117" i="13"/>
  <c r="S116" i="13"/>
  <c r="S115" i="13"/>
  <c r="S114" i="13"/>
  <c r="S113" i="13"/>
  <c r="S112" i="13"/>
  <c r="S111" i="13"/>
  <c r="S110" i="13"/>
  <c r="S109" i="13"/>
  <c r="S108" i="13"/>
  <c r="S107" i="13"/>
  <c r="S106" i="13"/>
  <c r="S105" i="13"/>
  <c r="S104" i="13"/>
  <c r="S103" i="13"/>
  <c r="S102" i="13"/>
  <c r="S101" i="13"/>
  <c r="S100" i="13"/>
  <c r="S99" i="13"/>
  <c r="S98" i="13"/>
  <c r="S97" i="13"/>
  <c r="S96" i="13"/>
  <c r="S95" i="13"/>
  <c r="S94" i="13"/>
  <c r="S93" i="13"/>
  <c r="S92" i="13"/>
  <c r="S91" i="13"/>
  <c r="S90" i="13"/>
  <c r="S89" i="13"/>
  <c r="S88" i="13"/>
  <c r="S87" i="13"/>
  <c r="S86" i="13"/>
  <c r="S85" i="13"/>
  <c r="S84" i="13"/>
  <c r="S83" i="13"/>
  <c r="S82" i="13"/>
  <c r="S81" i="13"/>
  <c r="S80" i="13"/>
  <c r="S79" i="13"/>
  <c r="S78" i="13"/>
  <c r="S77" i="13"/>
  <c r="S76" i="13"/>
  <c r="S75" i="13"/>
  <c r="S74" i="13"/>
  <c r="S73" i="13"/>
  <c r="S72" i="13"/>
  <c r="S71" i="13"/>
  <c r="S70" i="13"/>
  <c r="S69" i="13"/>
  <c r="S68" i="13"/>
  <c r="S67" i="13"/>
  <c r="S66" i="13"/>
  <c r="S65" i="13"/>
  <c r="S64" i="13"/>
  <c r="S63" i="13"/>
  <c r="S62" i="13"/>
  <c r="S61" i="13"/>
  <c r="S60" i="13"/>
  <c r="S59" i="13"/>
  <c r="S58" i="13"/>
  <c r="S57" i="13"/>
  <c r="S56" i="13"/>
  <c r="S55" i="13"/>
  <c r="S54" i="13"/>
  <c r="S53" i="13"/>
  <c r="S52" i="13"/>
  <c r="S51" i="13"/>
  <c r="S50" i="13"/>
  <c r="S49" i="13"/>
  <c r="S48" i="13"/>
  <c r="S47" i="13"/>
  <c r="S46" i="13"/>
  <c r="S45" i="13"/>
  <c r="S44" i="13"/>
  <c r="S43" i="13"/>
  <c r="S42" i="13"/>
  <c r="S41" i="13"/>
  <c r="S40" i="13"/>
  <c r="S39" i="13"/>
  <c r="S38" i="13"/>
  <c r="S37" i="13"/>
  <c r="S36" i="13"/>
  <c r="S35" i="13"/>
  <c r="S34" i="13"/>
  <c r="S33" i="13"/>
  <c r="S32" i="13"/>
  <c r="S31" i="13"/>
  <c r="S30" i="13"/>
  <c r="S29" i="13"/>
  <c r="S28" i="13"/>
  <c r="S27" i="13"/>
  <c r="S26" i="13"/>
  <c r="S25" i="13"/>
  <c r="S24" i="13"/>
  <c r="S23" i="13"/>
  <c r="S22" i="13"/>
  <c r="S21" i="13"/>
  <c r="S20" i="13"/>
  <c r="S19" i="13"/>
  <c r="S18" i="13"/>
  <c r="S17" i="13"/>
  <c r="S16" i="13"/>
  <c r="S15" i="13"/>
  <c r="S14" i="13"/>
  <c r="S13" i="13"/>
  <c r="S12" i="13"/>
  <c r="S11" i="13"/>
  <c r="S10" i="13"/>
  <c r="S9" i="13"/>
  <c r="S8" i="13"/>
  <c r="S7" i="13"/>
  <c r="S6" i="13"/>
  <c r="D14" i="40"/>
  <c r="D15" i="40"/>
  <c r="D16" i="40"/>
  <c r="D17" i="40"/>
  <c r="D18" i="40"/>
  <c r="B17" i="40"/>
  <c r="B18" i="40"/>
  <c r="G18" i="40"/>
  <c r="H18" i="40" s="1"/>
  <c r="G17" i="40"/>
  <c r="H17" i="40" s="1"/>
  <c r="B25" i="38"/>
  <c r="B27" i="38"/>
  <c r="B14" i="19"/>
  <c r="C8" i="19"/>
  <c r="B8" i="19"/>
  <c r="B30" i="22" s="1"/>
  <c r="C7" i="19"/>
  <c r="B7" i="19"/>
  <c r="AH239" i="13"/>
  <c r="B208" i="13"/>
  <c r="C208" i="13"/>
  <c r="D208" i="13"/>
  <c r="E208" i="13"/>
  <c r="K208" i="13"/>
  <c r="AH208" i="13"/>
  <c r="B219" i="13"/>
  <c r="B218" i="13"/>
  <c r="B217" i="13"/>
  <c r="B216" i="13"/>
  <c r="B215" i="13"/>
  <c r="B214" i="13"/>
  <c r="B213" i="13"/>
  <c r="C213" i="13"/>
  <c r="C214" i="13"/>
  <c r="C215" i="13"/>
  <c r="C216" i="13"/>
  <c r="C217" i="13"/>
  <c r="C218" i="13"/>
  <c r="C219" i="13"/>
  <c r="D213" i="13"/>
  <c r="D214" i="13"/>
  <c r="D215" i="13"/>
  <c r="D216" i="13"/>
  <c r="D217" i="13"/>
  <c r="D218" i="13"/>
  <c r="D219" i="13"/>
  <c r="E213" i="13"/>
  <c r="E214" i="13"/>
  <c r="E215" i="13"/>
  <c r="E216" i="13"/>
  <c r="E217" i="13"/>
  <c r="E218" i="13"/>
  <c r="E219" i="13"/>
  <c r="K213" i="13"/>
  <c r="K214" i="13"/>
  <c r="K215" i="13"/>
  <c r="K216" i="13"/>
  <c r="K217" i="13"/>
  <c r="K218" i="13"/>
  <c r="K219" i="13"/>
  <c r="AH213" i="13"/>
  <c r="AH214" i="13"/>
  <c r="AH215" i="13"/>
  <c r="AH216" i="13"/>
  <c r="AH217" i="13"/>
  <c r="AH218" i="13"/>
  <c r="AH219" i="13"/>
  <c r="B212" i="13"/>
  <c r="B211" i="13"/>
  <c r="B210" i="13"/>
  <c r="B209" i="13"/>
  <c r="B207" i="13"/>
  <c r="B206" i="13"/>
  <c r="B205" i="13"/>
  <c r="C205" i="13"/>
  <c r="C206" i="13"/>
  <c r="C207" i="13"/>
  <c r="C209" i="13"/>
  <c r="C210" i="13"/>
  <c r="C211" i="13"/>
  <c r="C212" i="13"/>
  <c r="D205" i="13"/>
  <c r="D206" i="13"/>
  <c r="D207" i="13"/>
  <c r="D209" i="13"/>
  <c r="D210" i="13"/>
  <c r="D211" i="13"/>
  <c r="D212" i="13"/>
  <c r="E205" i="13"/>
  <c r="E206" i="13"/>
  <c r="E207" i="13"/>
  <c r="E209" i="13"/>
  <c r="E210" i="13"/>
  <c r="E211" i="13"/>
  <c r="E212" i="13"/>
  <c r="K205" i="13"/>
  <c r="K206" i="13"/>
  <c r="K207" i="13"/>
  <c r="K209" i="13"/>
  <c r="K210" i="13"/>
  <c r="K211" i="13"/>
  <c r="K212" i="13"/>
  <c r="AH205" i="13"/>
  <c r="AH206" i="13"/>
  <c r="AH207" i="13"/>
  <c r="AH209" i="13"/>
  <c r="AH210" i="13"/>
  <c r="AH211" i="13"/>
  <c r="AH212" i="13"/>
  <c r="B190" i="13"/>
  <c r="B189" i="13"/>
  <c r="B188" i="13"/>
  <c r="B187" i="13"/>
  <c r="B186" i="13"/>
  <c r="B185" i="13"/>
  <c r="B184" i="13"/>
  <c r="B183" i="13"/>
  <c r="B182" i="13"/>
  <c r="B181" i="13"/>
  <c r="B180" i="13"/>
  <c r="B179" i="13"/>
  <c r="B178" i="13"/>
  <c r="B177" i="13"/>
  <c r="B176" i="13"/>
  <c r="B175" i="13"/>
  <c r="B174" i="13"/>
  <c r="C174" i="13"/>
  <c r="C175" i="13"/>
  <c r="C176" i="13"/>
  <c r="C177" i="13"/>
  <c r="C178" i="13"/>
  <c r="C179" i="13"/>
  <c r="C180" i="13"/>
  <c r="C181" i="13"/>
  <c r="C182" i="13"/>
  <c r="C183" i="13"/>
  <c r="D174" i="13"/>
  <c r="D175" i="13"/>
  <c r="D176" i="13"/>
  <c r="D177" i="13"/>
  <c r="D178" i="13"/>
  <c r="D179" i="13"/>
  <c r="D180" i="13"/>
  <c r="D181" i="13"/>
  <c r="D182" i="13"/>
  <c r="D183" i="13"/>
  <c r="E174" i="13"/>
  <c r="E175" i="13"/>
  <c r="E176" i="13"/>
  <c r="E177" i="13"/>
  <c r="E178" i="13"/>
  <c r="E179" i="13"/>
  <c r="E180" i="13"/>
  <c r="E181" i="13"/>
  <c r="E182" i="13"/>
  <c r="E183" i="13"/>
  <c r="K174" i="13"/>
  <c r="K175" i="13"/>
  <c r="K176" i="13"/>
  <c r="K177" i="13"/>
  <c r="K178" i="13"/>
  <c r="K179" i="13"/>
  <c r="K180" i="13"/>
  <c r="K181" i="13"/>
  <c r="K182" i="13"/>
  <c r="K183" i="13"/>
  <c r="AH174" i="13"/>
  <c r="AH175" i="13"/>
  <c r="AH176" i="13"/>
  <c r="AH177" i="13"/>
  <c r="AH178" i="13"/>
  <c r="AH179" i="13"/>
  <c r="AH180" i="13"/>
  <c r="AH181" i="13"/>
  <c r="AH182" i="13"/>
  <c r="AH183" i="13"/>
  <c r="C184" i="13"/>
  <c r="C185" i="13"/>
  <c r="C186" i="13"/>
  <c r="C187" i="13"/>
  <c r="C188" i="13"/>
  <c r="D184" i="13"/>
  <c r="D185" i="13"/>
  <c r="D186" i="13"/>
  <c r="D187" i="13"/>
  <c r="D188" i="13"/>
  <c r="E184" i="13"/>
  <c r="E185" i="13"/>
  <c r="E186" i="13"/>
  <c r="E187" i="13"/>
  <c r="E188" i="13"/>
  <c r="K184" i="13"/>
  <c r="K185" i="13"/>
  <c r="K186" i="13"/>
  <c r="K187" i="13"/>
  <c r="K188" i="13"/>
  <c r="AH184" i="13"/>
  <c r="AH185" i="13"/>
  <c r="AH186" i="13"/>
  <c r="AH187" i="13"/>
  <c r="AH188" i="13"/>
  <c r="C189" i="13"/>
  <c r="C190" i="13"/>
  <c r="D189" i="13"/>
  <c r="D190" i="13"/>
  <c r="E189" i="13"/>
  <c r="E190" i="13"/>
  <c r="K189" i="13"/>
  <c r="K190" i="13"/>
  <c r="AH189" i="13"/>
  <c r="AH190" i="13"/>
  <c r="B151" i="13"/>
  <c r="B150" i="13"/>
  <c r="B149" i="13"/>
  <c r="C150" i="13"/>
  <c r="D150" i="13"/>
  <c r="E150" i="13"/>
  <c r="K150" i="13"/>
  <c r="AH150" i="13"/>
  <c r="C149" i="13"/>
  <c r="D149" i="13"/>
  <c r="E149" i="13"/>
  <c r="K149" i="13"/>
  <c r="AH149" i="13"/>
  <c r="C151" i="13"/>
  <c r="D151" i="13"/>
  <c r="E151" i="13"/>
  <c r="K151" i="13"/>
  <c r="AH151" i="13"/>
  <c r="B162" i="13"/>
  <c r="C162" i="13"/>
  <c r="D162" i="13"/>
  <c r="E162" i="13"/>
  <c r="K162" i="13"/>
  <c r="AH162" i="13"/>
  <c r="B160" i="13"/>
  <c r="B159" i="13"/>
  <c r="B158" i="13"/>
  <c r="B157" i="13"/>
  <c r="B156" i="13"/>
  <c r="B155" i="13"/>
  <c r="B154" i="13"/>
  <c r="B153" i="13"/>
  <c r="C154" i="13"/>
  <c r="C155" i="13"/>
  <c r="C156" i="13"/>
  <c r="C157" i="13"/>
  <c r="C158" i="13"/>
  <c r="D154" i="13"/>
  <c r="D155" i="13"/>
  <c r="D156" i="13"/>
  <c r="D157" i="13"/>
  <c r="D158" i="13"/>
  <c r="E154" i="13"/>
  <c r="E155" i="13"/>
  <c r="E156" i="13"/>
  <c r="E157" i="13"/>
  <c r="E158" i="13"/>
  <c r="K154" i="13"/>
  <c r="K155" i="13"/>
  <c r="K156" i="13"/>
  <c r="K157" i="13"/>
  <c r="K158" i="13"/>
  <c r="AH154" i="13"/>
  <c r="AH155" i="13"/>
  <c r="AH156" i="13"/>
  <c r="AH157" i="13"/>
  <c r="AH158" i="13"/>
  <c r="C153" i="13"/>
  <c r="C159" i="13"/>
  <c r="C160" i="13"/>
  <c r="D153" i="13"/>
  <c r="D159" i="13"/>
  <c r="D160" i="13"/>
  <c r="E153" i="13"/>
  <c r="E159" i="13"/>
  <c r="E160" i="13"/>
  <c r="K153" i="13"/>
  <c r="K159" i="13"/>
  <c r="K160" i="13"/>
  <c r="AH153" i="13"/>
  <c r="AH159" i="13"/>
  <c r="AH160" i="13"/>
  <c r="B161" i="13"/>
  <c r="B152" i="13"/>
  <c r="B148" i="13"/>
  <c r="B147" i="13"/>
  <c r="B146" i="13"/>
  <c r="B145" i="13"/>
  <c r="B144" i="13"/>
  <c r="B143" i="13"/>
  <c r="B142" i="13"/>
  <c r="B141" i="13"/>
  <c r="B140" i="13"/>
  <c r="B139" i="13"/>
  <c r="B138" i="13"/>
  <c r="B137" i="13"/>
  <c r="C137" i="13"/>
  <c r="C138" i="13"/>
  <c r="C139" i="13"/>
  <c r="C140" i="13"/>
  <c r="C141" i="13"/>
  <c r="C142" i="13"/>
  <c r="C143" i="13"/>
  <c r="C144" i="13"/>
  <c r="D137" i="13"/>
  <c r="D138" i="13"/>
  <c r="D139" i="13"/>
  <c r="D140" i="13"/>
  <c r="D141" i="13"/>
  <c r="D142" i="13"/>
  <c r="D143" i="13"/>
  <c r="D144" i="13"/>
  <c r="E137" i="13"/>
  <c r="E138" i="13"/>
  <c r="E139" i="13"/>
  <c r="E140" i="13"/>
  <c r="E141" i="13"/>
  <c r="E142" i="13"/>
  <c r="E143" i="13"/>
  <c r="E144" i="13"/>
  <c r="K137" i="13"/>
  <c r="K138" i="13"/>
  <c r="K139" i="13"/>
  <c r="K140" i="13"/>
  <c r="K141" i="13"/>
  <c r="K142" i="13"/>
  <c r="K143" i="13"/>
  <c r="K144" i="13"/>
  <c r="AH137" i="13"/>
  <c r="AH138" i="13"/>
  <c r="AH139" i="13"/>
  <c r="AH140" i="13"/>
  <c r="AH141" i="13"/>
  <c r="AH142" i="13"/>
  <c r="AH143" i="13"/>
  <c r="AH144" i="13"/>
  <c r="C145" i="13"/>
  <c r="C146" i="13"/>
  <c r="C147" i="13"/>
  <c r="C148" i="13"/>
  <c r="D145" i="13"/>
  <c r="D146" i="13"/>
  <c r="D147" i="13"/>
  <c r="D148" i="13"/>
  <c r="E145" i="13"/>
  <c r="E146" i="13"/>
  <c r="E147" i="13"/>
  <c r="E148" i="13"/>
  <c r="K145" i="13"/>
  <c r="K146" i="13"/>
  <c r="K147" i="13"/>
  <c r="K148" i="13"/>
  <c r="AH145" i="13"/>
  <c r="AH146" i="13"/>
  <c r="AH147" i="13"/>
  <c r="AH148" i="13"/>
  <c r="C152" i="13"/>
  <c r="C161" i="13"/>
  <c r="D152" i="13"/>
  <c r="D161" i="13"/>
  <c r="E152" i="13"/>
  <c r="E161" i="13"/>
  <c r="K152" i="13"/>
  <c r="K161" i="13"/>
  <c r="AH152" i="13"/>
  <c r="AH161" i="13"/>
  <c r="B125" i="13"/>
  <c r="B124" i="13"/>
  <c r="B126" i="13"/>
  <c r="B123" i="13"/>
  <c r="C123" i="13"/>
  <c r="D123" i="13"/>
  <c r="E123" i="13"/>
  <c r="K123" i="13"/>
  <c r="AH123" i="13"/>
  <c r="C124" i="13"/>
  <c r="D124" i="13"/>
  <c r="E124" i="13"/>
  <c r="K124" i="13"/>
  <c r="AH124" i="13"/>
  <c r="C125" i="13"/>
  <c r="D125" i="13"/>
  <c r="E125" i="13"/>
  <c r="K125" i="13"/>
  <c r="AH125" i="13"/>
  <c r="B122" i="13"/>
  <c r="B121" i="13"/>
  <c r="B120" i="13"/>
  <c r="B119" i="13"/>
  <c r="B118" i="13"/>
  <c r="C122" i="13"/>
  <c r="D122" i="13"/>
  <c r="E122" i="13"/>
  <c r="K122" i="13"/>
  <c r="AH122" i="13"/>
  <c r="C118" i="13"/>
  <c r="C119" i="13"/>
  <c r="D118" i="13"/>
  <c r="D119" i="13"/>
  <c r="E118" i="13"/>
  <c r="E119" i="13"/>
  <c r="K118" i="13"/>
  <c r="K119" i="13"/>
  <c r="AH118" i="13"/>
  <c r="AH119" i="13"/>
  <c r="C120" i="13"/>
  <c r="D120" i="13"/>
  <c r="E120" i="13"/>
  <c r="K120" i="13"/>
  <c r="AH120" i="13"/>
  <c r="C121" i="13"/>
  <c r="D121" i="13"/>
  <c r="E121" i="13"/>
  <c r="K121" i="13"/>
  <c r="AH121" i="13"/>
  <c r="B244" i="13"/>
  <c r="B243" i="13"/>
  <c r="B242" i="13"/>
  <c r="B241" i="13"/>
  <c r="B240" i="13"/>
  <c r="B239" i="13"/>
  <c r="B238" i="13"/>
  <c r="B237" i="13"/>
  <c r="B236" i="13"/>
  <c r="B235" i="13"/>
  <c r="B234" i="13"/>
  <c r="B233" i="13"/>
  <c r="B232" i="13"/>
  <c r="B231" i="13"/>
  <c r="B229" i="13"/>
  <c r="B228" i="13"/>
  <c r="B227" i="13"/>
  <c r="C227" i="13"/>
  <c r="C228" i="13"/>
  <c r="C229" i="13"/>
  <c r="C231" i="13"/>
  <c r="C232" i="13"/>
  <c r="C233" i="13"/>
  <c r="C234" i="13"/>
  <c r="C235" i="13"/>
  <c r="C236" i="13"/>
  <c r="C237" i="13"/>
  <c r="C238" i="13"/>
  <c r="C239" i="13"/>
  <c r="C240" i="13"/>
  <c r="C241" i="13"/>
  <c r="C242" i="13"/>
  <c r="C243" i="13"/>
  <c r="C244" i="13"/>
  <c r="D227" i="13"/>
  <c r="D228" i="13"/>
  <c r="D229" i="13"/>
  <c r="D231" i="13"/>
  <c r="D232" i="13"/>
  <c r="D233" i="13"/>
  <c r="D234" i="13"/>
  <c r="D235" i="13"/>
  <c r="D236" i="13"/>
  <c r="D237" i="13"/>
  <c r="D238" i="13"/>
  <c r="D239" i="13"/>
  <c r="D240" i="13"/>
  <c r="D241" i="13"/>
  <c r="D242" i="13"/>
  <c r="D243" i="13"/>
  <c r="D244" i="13"/>
  <c r="E227" i="13"/>
  <c r="E228" i="13"/>
  <c r="E229" i="13"/>
  <c r="E231" i="13"/>
  <c r="E232" i="13"/>
  <c r="E233" i="13"/>
  <c r="E234" i="13"/>
  <c r="E235" i="13"/>
  <c r="E236" i="13"/>
  <c r="E237" i="13"/>
  <c r="E238" i="13"/>
  <c r="E239" i="13"/>
  <c r="E240" i="13"/>
  <c r="E241" i="13"/>
  <c r="E242" i="13"/>
  <c r="E243" i="13"/>
  <c r="E244" i="13"/>
  <c r="K227" i="13"/>
  <c r="K228" i="13"/>
  <c r="K229" i="13"/>
  <c r="K231" i="13"/>
  <c r="K232" i="13"/>
  <c r="K233" i="13"/>
  <c r="K234" i="13"/>
  <c r="K235" i="13"/>
  <c r="K236" i="13"/>
  <c r="K237" i="13"/>
  <c r="K238" i="13"/>
  <c r="K239" i="13"/>
  <c r="K240" i="13"/>
  <c r="K241" i="13"/>
  <c r="K242" i="13"/>
  <c r="K243" i="13"/>
  <c r="K244" i="13"/>
  <c r="AH227" i="13"/>
  <c r="AH228" i="13"/>
  <c r="AH229" i="13"/>
  <c r="AH231" i="13"/>
  <c r="AH232" i="13"/>
  <c r="AH233" i="13"/>
  <c r="AH234" i="13"/>
  <c r="AH235" i="13"/>
  <c r="AH236" i="13"/>
  <c r="AH237" i="13"/>
  <c r="AH238" i="13"/>
  <c r="AH240" i="13"/>
  <c r="AH241" i="13"/>
  <c r="AH242" i="13"/>
  <c r="AH243" i="13"/>
  <c r="AH244" i="13"/>
  <c r="B26" i="22" l="1"/>
  <c r="B25" i="22"/>
  <c r="AQ238" i="13"/>
  <c r="AS238" i="13"/>
  <c r="AP238" i="13"/>
  <c r="AR238" i="13"/>
  <c r="AT238" i="13"/>
  <c r="AU238" i="13"/>
  <c r="AI238" i="13"/>
  <c r="AW238" i="13"/>
  <c r="AO238" i="13"/>
  <c r="AV238" i="13"/>
  <c r="AX238" i="13"/>
  <c r="BA238" i="13"/>
  <c r="AK238" i="13"/>
  <c r="AL238" i="13"/>
  <c r="AM238" i="13"/>
  <c r="AN238" i="13"/>
  <c r="AY238" i="13"/>
  <c r="AZ238" i="13"/>
  <c r="AJ238" i="13"/>
  <c r="T48" i="13"/>
  <c r="V48" i="13" s="1"/>
  <c r="U48" i="13"/>
  <c r="AD48" i="13" s="1"/>
  <c r="T120" i="13"/>
  <c r="V120" i="13" s="1"/>
  <c r="U120" i="13"/>
  <c r="AD120" i="13" s="1"/>
  <c r="AN138" i="13"/>
  <c r="AZ138" i="13"/>
  <c r="AP138" i="13"/>
  <c r="AK138" i="13"/>
  <c r="AY138" i="13"/>
  <c r="AL138" i="13"/>
  <c r="BA138" i="13"/>
  <c r="AM138" i="13"/>
  <c r="AO138" i="13"/>
  <c r="AQ138" i="13"/>
  <c r="AR138" i="13"/>
  <c r="AJ138" i="13"/>
  <c r="AS138" i="13"/>
  <c r="AU138" i="13"/>
  <c r="AW138" i="13"/>
  <c r="AI138" i="13"/>
  <c r="AT138" i="13"/>
  <c r="AX138" i="13"/>
  <c r="AV138" i="13"/>
  <c r="U193" i="13"/>
  <c r="AD193" i="13" s="1"/>
  <c r="T193" i="13"/>
  <c r="V193" i="13" s="1"/>
  <c r="U229" i="13"/>
  <c r="AD229" i="13" s="1"/>
  <c r="T229" i="13"/>
  <c r="V229" i="13" s="1"/>
  <c r="U181" i="13"/>
  <c r="AD181" i="13" s="1"/>
  <c r="T181" i="13"/>
  <c r="V181" i="13" s="1"/>
  <c r="AO230" i="13"/>
  <c r="BA230" i="13"/>
  <c r="AQ230" i="13"/>
  <c r="AJ230" i="13"/>
  <c r="AX230" i="13"/>
  <c r="AK230" i="13"/>
  <c r="AY230" i="13"/>
  <c r="AL230" i="13"/>
  <c r="AZ230" i="13"/>
  <c r="AM230" i="13"/>
  <c r="AP230" i="13"/>
  <c r="AI230" i="13"/>
  <c r="AN230" i="13"/>
  <c r="AR230" i="13"/>
  <c r="AU230" i="13"/>
  <c r="AV230" i="13"/>
  <c r="AS230" i="13"/>
  <c r="AT230" i="13"/>
  <c r="AW230" i="13"/>
  <c r="U108" i="13"/>
  <c r="AD108" i="13" s="1"/>
  <c r="T108" i="13"/>
  <c r="V108" i="13" s="1"/>
  <c r="AS152" i="13"/>
  <c r="AO152" i="13"/>
  <c r="AP152" i="13"/>
  <c r="AR152" i="13"/>
  <c r="AU152" i="13"/>
  <c r="AT152" i="13"/>
  <c r="AW152" i="13"/>
  <c r="AY152" i="13"/>
  <c r="AX152" i="13"/>
  <c r="AZ152" i="13"/>
  <c r="BA152" i="13"/>
  <c r="AJ152" i="13"/>
  <c r="AK152" i="13"/>
  <c r="AL152" i="13"/>
  <c r="AN152" i="13"/>
  <c r="AM152" i="13"/>
  <c r="AV152" i="13"/>
  <c r="AI152" i="13"/>
  <c r="AQ152" i="13"/>
  <c r="AS180" i="13"/>
  <c r="AQ180" i="13"/>
  <c r="AT180" i="13"/>
  <c r="AI180" i="13"/>
  <c r="AV180" i="13"/>
  <c r="AU180" i="13"/>
  <c r="AW180" i="13"/>
  <c r="AX180" i="13"/>
  <c r="AY180" i="13"/>
  <c r="AK180" i="13"/>
  <c r="BA180" i="13"/>
  <c r="AN180" i="13"/>
  <c r="AO180" i="13"/>
  <c r="AR180" i="13"/>
  <c r="AP180" i="13"/>
  <c r="AJ180" i="13"/>
  <c r="AZ180" i="13"/>
  <c r="AL180" i="13"/>
  <c r="AM180" i="13"/>
  <c r="U15" i="13"/>
  <c r="AD15" i="13" s="1"/>
  <c r="T15" i="13"/>
  <c r="V15" i="13" s="1"/>
  <c r="T27" i="13"/>
  <c r="V27" i="13" s="1"/>
  <c r="U27" i="13"/>
  <c r="AD27" i="13" s="1"/>
  <c r="T39" i="13"/>
  <c r="V39" i="13" s="1"/>
  <c r="U39" i="13"/>
  <c r="AD39" i="13" s="1"/>
  <c r="U51" i="13"/>
  <c r="AD51" i="13" s="1"/>
  <c r="T51" i="13"/>
  <c r="V51" i="13" s="1"/>
  <c r="T63" i="13"/>
  <c r="V63" i="13" s="1"/>
  <c r="U63" i="13"/>
  <c r="AD63" i="13" s="1"/>
  <c r="T87" i="13"/>
  <c r="V87" i="13" s="1"/>
  <c r="U87" i="13"/>
  <c r="AD87" i="13" s="1"/>
  <c r="T99" i="13"/>
  <c r="V99" i="13" s="1"/>
  <c r="U99" i="13"/>
  <c r="AD99" i="13" s="1"/>
  <c r="T111" i="13"/>
  <c r="V111" i="13" s="1"/>
  <c r="U111" i="13"/>
  <c r="AD111" i="13" s="1"/>
  <c r="T123" i="13"/>
  <c r="V123" i="13" s="1"/>
  <c r="U123" i="13"/>
  <c r="AD123" i="13" s="1"/>
  <c r="T135" i="13"/>
  <c r="V135" i="13" s="1"/>
  <c r="U135" i="13"/>
  <c r="AD135" i="13" s="1"/>
  <c r="T147" i="13"/>
  <c r="V147" i="13" s="1"/>
  <c r="U147" i="13"/>
  <c r="AD147" i="13" s="1"/>
  <c r="U159" i="13"/>
  <c r="AD159" i="13" s="1"/>
  <c r="T159" i="13"/>
  <c r="V159" i="13" s="1"/>
  <c r="U171" i="13"/>
  <c r="AD171" i="13" s="1"/>
  <c r="T171" i="13"/>
  <c r="V171" i="13" s="1"/>
  <c r="T183" i="13"/>
  <c r="V183" i="13" s="1"/>
  <c r="U183" i="13"/>
  <c r="AD183" i="13" s="1"/>
  <c r="T195" i="13"/>
  <c r="V195" i="13" s="1"/>
  <c r="U195" i="13"/>
  <c r="AD195" i="13" s="1"/>
  <c r="T207" i="13"/>
  <c r="V207" i="13" s="1"/>
  <c r="U207" i="13"/>
  <c r="AD207" i="13" s="1"/>
  <c r="U219" i="13"/>
  <c r="AD219" i="13" s="1"/>
  <c r="T219" i="13"/>
  <c r="V219" i="13" s="1"/>
  <c r="U233" i="13"/>
  <c r="AD233" i="13" s="1"/>
  <c r="T233" i="13"/>
  <c r="V233" i="13" s="1"/>
  <c r="T230" i="13"/>
  <c r="V230" i="13" s="1"/>
  <c r="U230" i="13"/>
  <c r="AD230" i="13" s="1"/>
  <c r="U72" i="13"/>
  <c r="AD72" i="13" s="1"/>
  <c r="T72" i="13"/>
  <c r="V72" i="13" s="1"/>
  <c r="T133" i="13"/>
  <c r="V133" i="13" s="1"/>
  <c r="U133" i="13"/>
  <c r="AD133" i="13" s="1"/>
  <c r="AP184" i="13"/>
  <c r="AK184" i="13"/>
  <c r="AX184" i="13"/>
  <c r="AM184" i="13"/>
  <c r="AZ184" i="13"/>
  <c r="AO184" i="13"/>
  <c r="AN184" i="13"/>
  <c r="AQ184" i="13"/>
  <c r="AR184" i="13"/>
  <c r="AS184" i="13"/>
  <c r="AU184" i="13"/>
  <c r="AI184" i="13"/>
  <c r="AJ184" i="13"/>
  <c r="AT184" i="13"/>
  <c r="AL184" i="13"/>
  <c r="AW184" i="13"/>
  <c r="AY184" i="13"/>
  <c r="AV184" i="13"/>
  <c r="BA184" i="13"/>
  <c r="AR217" i="13"/>
  <c r="AT217" i="13"/>
  <c r="AU217" i="13"/>
  <c r="AV217" i="13"/>
  <c r="AI217" i="13"/>
  <c r="AW217" i="13"/>
  <c r="AJ217" i="13"/>
  <c r="AX217" i="13"/>
  <c r="AL217" i="13"/>
  <c r="AZ217" i="13"/>
  <c r="AN217" i="13"/>
  <c r="AO217" i="13"/>
  <c r="AK217" i="13"/>
  <c r="AQ217" i="13"/>
  <c r="AS217" i="13"/>
  <c r="AM217" i="13"/>
  <c r="AP217" i="13"/>
  <c r="BA217" i="13"/>
  <c r="AY217" i="13"/>
  <c r="T75" i="13"/>
  <c r="V75" i="13" s="1"/>
  <c r="U75" i="13"/>
  <c r="AD75" i="13" s="1"/>
  <c r="AL234" i="13"/>
  <c r="AX234" i="13"/>
  <c r="AN234" i="13"/>
  <c r="AZ234" i="13"/>
  <c r="AQ234" i="13"/>
  <c r="AR234" i="13"/>
  <c r="AS234" i="13"/>
  <c r="AT234" i="13"/>
  <c r="AV234" i="13"/>
  <c r="AY234" i="13"/>
  <c r="BA234" i="13"/>
  <c r="AJ234" i="13"/>
  <c r="AK234" i="13"/>
  <c r="AO234" i="13"/>
  <c r="AP234" i="13"/>
  <c r="AU234" i="13"/>
  <c r="AW234" i="13"/>
  <c r="AI234" i="13"/>
  <c r="AM234" i="13"/>
  <c r="AO123" i="13"/>
  <c r="BA123" i="13"/>
  <c r="AQ123" i="13"/>
  <c r="AK123" i="13"/>
  <c r="AY123" i="13"/>
  <c r="AM123" i="13"/>
  <c r="AW123" i="13"/>
  <c r="AX123" i="13"/>
  <c r="AI123" i="13"/>
  <c r="AZ123" i="13"/>
  <c r="AJ123" i="13"/>
  <c r="AL123" i="13"/>
  <c r="AN123" i="13"/>
  <c r="AP123" i="13"/>
  <c r="AS123" i="13"/>
  <c r="AU123" i="13"/>
  <c r="AV123" i="13"/>
  <c r="AR123" i="13"/>
  <c r="AT123" i="13"/>
  <c r="AP158" i="13"/>
  <c r="AQ158" i="13"/>
  <c r="AS158" i="13"/>
  <c r="AO158" i="13"/>
  <c r="AT158" i="13"/>
  <c r="AV158" i="13"/>
  <c r="AR158" i="13"/>
  <c r="AU158" i="13"/>
  <c r="AW158" i="13"/>
  <c r="AX158" i="13"/>
  <c r="AZ158" i="13"/>
  <c r="AI158" i="13"/>
  <c r="AJ158" i="13"/>
  <c r="AL158" i="13"/>
  <c r="AK158" i="13"/>
  <c r="AN158" i="13"/>
  <c r="AY158" i="13"/>
  <c r="AM158" i="13"/>
  <c r="BA158" i="13"/>
  <c r="AS179" i="13"/>
  <c r="AN179" i="13"/>
  <c r="BA179" i="13"/>
  <c r="AP179" i="13"/>
  <c r="AR179" i="13"/>
  <c r="AV179" i="13"/>
  <c r="AW179" i="13"/>
  <c r="AX179" i="13"/>
  <c r="AI179" i="13"/>
  <c r="AY179" i="13"/>
  <c r="AK179" i="13"/>
  <c r="AU179" i="13"/>
  <c r="AZ179" i="13"/>
  <c r="AJ179" i="13"/>
  <c r="AL179" i="13"/>
  <c r="AQ179" i="13"/>
  <c r="AT179" i="13"/>
  <c r="AM179" i="13"/>
  <c r="AO179" i="13"/>
  <c r="AQ216" i="13"/>
  <c r="AS216" i="13"/>
  <c r="AL216" i="13"/>
  <c r="AZ216" i="13"/>
  <c r="AM216" i="13"/>
  <c r="BA216" i="13"/>
  <c r="AN216" i="13"/>
  <c r="AO216" i="13"/>
  <c r="AR216" i="13"/>
  <c r="AP216" i="13"/>
  <c r="AT216" i="13"/>
  <c r="AU216" i="13"/>
  <c r="AX216" i="13"/>
  <c r="AY216" i="13"/>
  <c r="AI216" i="13"/>
  <c r="AJ216" i="13"/>
  <c r="AW216" i="13"/>
  <c r="AK216" i="13"/>
  <c r="AV216" i="13"/>
  <c r="U16" i="13"/>
  <c r="AD16" i="13" s="1"/>
  <c r="T16" i="13"/>
  <c r="V16" i="13" s="1"/>
  <c r="U28" i="13"/>
  <c r="AD28" i="13" s="1"/>
  <c r="T28" i="13"/>
  <c r="V28" i="13" s="1"/>
  <c r="U40" i="13"/>
  <c r="AD40" i="13" s="1"/>
  <c r="T40" i="13"/>
  <c r="V40" i="13" s="1"/>
  <c r="T52" i="13"/>
  <c r="V52" i="13" s="1"/>
  <c r="U52" i="13"/>
  <c r="AD52" i="13" s="1"/>
  <c r="T64" i="13"/>
  <c r="V64" i="13" s="1"/>
  <c r="U64" i="13"/>
  <c r="AD64" i="13" s="1"/>
  <c r="T76" i="13"/>
  <c r="V76" i="13" s="1"/>
  <c r="U76" i="13"/>
  <c r="AD76" i="13" s="1"/>
  <c r="U88" i="13"/>
  <c r="AD88" i="13" s="1"/>
  <c r="T88" i="13"/>
  <c r="V88" i="13" s="1"/>
  <c r="T100" i="13"/>
  <c r="V100" i="13" s="1"/>
  <c r="U100" i="13"/>
  <c r="AD100" i="13" s="1"/>
  <c r="T112" i="13"/>
  <c r="V112" i="13" s="1"/>
  <c r="U112" i="13"/>
  <c r="AD112" i="13" s="1"/>
  <c r="U124" i="13"/>
  <c r="AD124" i="13" s="1"/>
  <c r="T124" i="13"/>
  <c r="V124" i="13" s="1"/>
  <c r="U136" i="13"/>
  <c r="AD136" i="13" s="1"/>
  <c r="T136" i="13"/>
  <c r="V136" i="13" s="1"/>
  <c r="T148" i="13"/>
  <c r="V148" i="13" s="1"/>
  <c r="U148" i="13"/>
  <c r="AD148" i="13" s="1"/>
  <c r="T160" i="13"/>
  <c r="V160" i="13" s="1"/>
  <c r="U160" i="13"/>
  <c r="AD160" i="13" s="1"/>
  <c r="U172" i="13"/>
  <c r="AD172" i="13" s="1"/>
  <c r="T172" i="13"/>
  <c r="V172" i="13" s="1"/>
  <c r="T184" i="13"/>
  <c r="V184" i="13" s="1"/>
  <c r="U184" i="13"/>
  <c r="AD184" i="13" s="1"/>
  <c r="U196" i="13"/>
  <c r="AD196" i="13" s="1"/>
  <c r="T196" i="13"/>
  <c r="V196" i="13" s="1"/>
  <c r="T208" i="13"/>
  <c r="V208" i="13" s="1"/>
  <c r="U208" i="13"/>
  <c r="AD208" i="13" s="1"/>
  <c r="T220" i="13"/>
  <c r="V220" i="13" s="1"/>
  <c r="U220" i="13"/>
  <c r="AD220" i="13" s="1"/>
  <c r="T234" i="13"/>
  <c r="V234" i="13" s="1"/>
  <c r="U234" i="13"/>
  <c r="AD234" i="13" s="1"/>
  <c r="AS187" i="13"/>
  <c r="AU187" i="13"/>
  <c r="AJ187" i="13"/>
  <c r="AW187" i="13"/>
  <c r="AL187" i="13"/>
  <c r="AY187" i="13"/>
  <c r="AP187" i="13"/>
  <c r="AQ187" i="13"/>
  <c r="AR187" i="13"/>
  <c r="AT187" i="13"/>
  <c r="AX187" i="13"/>
  <c r="AK187" i="13"/>
  <c r="AI187" i="13"/>
  <c r="AN187" i="13"/>
  <c r="AO187" i="13"/>
  <c r="AM187" i="13"/>
  <c r="BA187" i="13"/>
  <c r="AV187" i="13"/>
  <c r="AZ187" i="13"/>
  <c r="T96" i="13"/>
  <c r="V96" i="13" s="1"/>
  <c r="U96" i="13"/>
  <c r="AD96" i="13" s="1"/>
  <c r="T168" i="13"/>
  <c r="V168" i="13" s="1"/>
  <c r="U168" i="13"/>
  <c r="AD168" i="13" s="1"/>
  <c r="U242" i="13"/>
  <c r="AD242" i="13" s="1"/>
  <c r="T242" i="13"/>
  <c r="V242" i="13" s="1"/>
  <c r="AM161" i="13"/>
  <c r="AY161" i="13"/>
  <c r="AN161" i="13"/>
  <c r="AZ161" i="13"/>
  <c r="AP161" i="13"/>
  <c r="AO161" i="13"/>
  <c r="AR161" i="13"/>
  <c r="AT161" i="13"/>
  <c r="AQ161" i="13"/>
  <c r="AS161" i="13"/>
  <c r="AU161" i="13"/>
  <c r="AV161" i="13"/>
  <c r="AX161" i="13"/>
  <c r="AI161" i="13"/>
  <c r="AL161" i="13"/>
  <c r="AJ161" i="13"/>
  <c r="AK161" i="13"/>
  <c r="BA161" i="13"/>
  <c r="AW161" i="13"/>
  <c r="AO182" i="13"/>
  <c r="BA182" i="13"/>
  <c r="AR182" i="13"/>
  <c r="AT182" i="13"/>
  <c r="AI182" i="13"/>
  <c r="AV182" i="13"/>
  <c r="AU182" i="13"/>
  <c r="AW182" i="13"/>
  <c r="AX182" i="13"/>
  <c r="AY182" i="13"/>
  <c r="AK182" i="13"/>
  <c r="AP182" i="13"/>
  <c r="AQ182" i="13"/>
  <c r="AZ182" i="13"/>
  <c r="AS182" i="13"/>
  <c r="AJ182" i="13"/>
  <c r="AL182" i="13"/>
  <c r="AM182" i="13"/>
  <c r="AN182" i="13"/>
  <c r="AL219" i="13"/>
  <c r="AX219" i="13"/>
  <c r="AN219" i="13"/>
  <c r="AZ219" i="13"/>
  <c r="AV219" i="13"/>
  <c r="AI219" i="13"/>
  <c r="AW219" i="13"/>
  <c r="AJ219" i="13"/>
  <c r="AY219" i="13"/>
  <c r="AK219" i="13"/>
  <c r="BA219" i="13"/>
  <c r="AO219" i="13"/>
  <c r="AS219" i="13"/>
  <c r="AT219" i="13"/>
  <c r="AU219" i="13"/>
  <c r="AP219" i="13"/>
  <c r="AM219" i="13"/>
  <c r="AQ219" i="13"/>
  <c r="AR219" i="13"/>
  <c r="AP239" i="13"/>
  <c r="AR239" i="13"/>
  <c r="AI239" i="13"/>
  <c r="AW239" i="13"/>
  <c r="AJ239" i="13"/>
  <c r="AX239" i="13"/>
  <c r="AY239" i="13"/>
  <c r="AK239" i="13"/>
  <c r="AL239" i="13"/>
  <c r="AZ239" i="13"/>
  <c r="AN239" i="13"/>
  <c r="AQ239" i="13"/>
  <c r="AS239" i="13"/>
  <c r="AM239" i="13"/>
  <c r="AO239" i="13"/>
  <c r="AV239" i="13"/>
  <c r="AT239" i="13"/>
  <c r="AU239" i="13"/>
  <c r="BA239" i="13"/>
  <c r="T37" i="13"/>
  <c r="V37" i="13" s="1"/>
  <c r="U37" i="13"/>
  <c r="AD37" i="13" s="1"/>
  <c r="T61" i="13"/>
  <c r="V61" i="13" s="1"/>
  <c r="U61" i="13"/>
  <c r="AD61" i="13" s="1"/>
  <c r="U85" i="13"/>
  <c r="AD85" i="13" s="1"/>
  <c r="T85" i="13"/>
  <c r="V85" i="13" s="1"/>
  <c r="T109" i="13"/>
  <c r="V109" i="13" s="1"/>
  <c r="U109" i="13"/>
  <c r="AD109" i="13" s="1"/>
  <c r="T145" i="13"/>
  <c r="V145" i="13" s="1"/>
  <c r="U145" i="13"/>
  <c r="AD145" i="13" s="1"/>
  <c r="U231" i="13"/>
  <c r="AD231" i="13" s="1"/>
  <c r="T231" i="13"/>
  <c r="V231" i="13" s="1"/>
  <c r="T14" i="13"/>
  <c r="V14" i="13" s="1"/>
  <c r="U14" i="13"/>
  <c r="AD14" i="13" s="1"/>
  <c r="T38" i="13"/>
  <c r="V38" i="13" s="1"/>
  <c r="U38" i="13"/>
  <c r="AD38" i="13" s="1"/>
  <c r="T98" i="13"/>
  <c r="V98" i="13" s="1"/>
  <c r="U98" i="13"/>
  <c r="AD98" i="13" s="1"/>
  <c r="T110" i="13"/>
  <c r="V110" i="13" s="1"/>
  <c r="U110" i="13"/>
  <c r="AD110" i="13" s="1"/>
  <c r="U122" i="13"/>
  <c r="AD122" i="13" s="1"/>
  <c r="T122" i="13"/>
  <c r="V122" i="13" s="1"/>
  <c r="T158" i="13"/>
  <c r="V158" i="13" s="1"/>
  <c r="U158" i="13"/>
  <c r="AD158" i="13" s="1"/>
  <c r="U170" i="13"/>
  <c r="AD170" i="13" s="1"/>
  <c r="T170" i="13"/>
  <c r="V170" i="13" s="1"/>
  <c r="U194" i="13"/>
  <c r="AD194" i="13" s="1"/>
  <c r="T194" i="13"/>
  <c r="V194" i="13" s="1"/>
  <c r="T232" i="13"/>
  <c r="V232" i="13" s="1"/>
  <c r="U232" i="13"/>
  <c r="AD232" i="13" s="1"/>
  <c r="AO235" i="13"/>
  <c r="BA235" i="13"/>
  <c r="AQ235" i="13"/>
  <c r="AJ235" i="13"/>
  <c r="AX235" i="13"/>
  <c r="AK235" i="13"/>
  <c r="AY235" i="13"/>
  <c r="AL235" i="13"/>
  <c r="AZ235" i="13"/>
  <c r="AM235" i="13"/>
  <c r="AP235" i="13"/>
  <c r="AN235" i="13"/>
  <c r="AR235" i="13"/>
  <c r="AU235" i="13"/>
  <c r="AI235" i="13"/>
  <c r="AS235" i="13"/>
  <c r="AT235" i="13"/>
  <c r="AV235" i="13"/>
  <c r="AW235" i="13"/>
  <c r="AQ153" i="13"/>
  <c r="AP153" i="13"/>
  <c r="AR153" i="13"/>
  <c r="AT153" i="13"/>
  <c r="AK153" i="13"/>
  <c r="BA153" i="13"/>
  <c r="AM153" i="13"/>
  <c r="AO153" i="13"/>
  <c r="AV153" i="13"/>
  <c r="AW153" i="13"/>
  <c r="AX153" i="13"/>
  <c r="AY153" i="13"/>
  <c r="AN153" i="13"/>
  <c r="AS153" i="13"/>
  <c r="AZ153" i="13"/>
  <c r="AU153" i="13"/>
  <c r="AL153" i="13"/>
  <c r="AJ153" i="13"/>
  <c r="AI153" i="13"/>
  <c r="AN157" i="13"/>
  <c r="AZ157" i="13"/>
  <c r="AO157" i="13"/>
  <c r="BA157" i="13"/>
  <c r="AQ157" i="13"/>
  <c r="AV157" i="13"/>
  <c r="AI157" i="13"/>
  <c r="AX157" i="13"/>
  <c r="AK157" i="13"/>
  <c r="AT157" i="13"/>
  <c r="AU157" i="13"/>
  <c r="AW157" i="13"/>
  <c r="AY157" i="13"/>
  <c r="AL157" i="13"/>
  <c r="AM157" i="13"/>
  <c r="AJ157" i="13"/>
  <c r="AP157" i="13"/>
  <c r="AR157" i="13"/>
  <c r="AS157" i="13"/>
  <c r="AQ150" i="13"/>
  <c r="AT150" i="13"/>
  <c r="AU150" i="13"/>
  <c r="AJ150" i="13"/>
  <c r="AW150" i="13"/>
  <c r="AL150" i="13"/>
  <c r="AY150" i="13"/>
  <c r="AK150" i="13"/>
  <c r="AN150" i="13"/>
  <c r="AP150" i="13"/>
  <c r="AO150" i="13"/>
  <c r="AR150" i="13"/>
  <c r="AS150" i="13"/>
  <c r="AV150" i="13"/>
  <c r="AZ150" i="13"/>
  <c r="AM150" i="13"/>
  <c r="AX150" i="13"/>
  <c r="AI150" i="13"/>
  <c r="BA150" i="13"/>
  <c r="T17" i="13"/>
  <c r="V17" i="13" s="1"/>
  <c r="U17" i="13"/>
  <c r="AD17" i="13" s="1"/>
  <c r="T29" i="13"/>
  <c r="V29" i="13" s="1"/>
  <c r="U29" i="13"/>
  <c r="AD29" i="13" s="1"/>
  <c r="T41" i="13"/>
  <c r="V41" i="13" s="1"/>
  <c r="U41" i="13"/>
  <c r="AD41" i="13" s="1"/>
  <c r="T53" i="13"/>
  <c r="V53" i="13" s="1"/>
  <c r="U53" i="13"/>
  <c r="AD53" i="13" s="1"/>
  <c r="T65" i="13"/>
  <c r="V65" i="13" s="1"/>
  <c r="U65" i="13"/>
  <c r="AD65" i="13" s="1"/>
  <c r="U77" i="13"/>
  <c r="AD77" i="13" s="1"/>
  <c r="T77" i="13"/>
  <c r="V77" i="13" s="1"/>
  <c r="T89" i="13"/>
  <c r="V89" i="13" s="1"/>
  <c r="U89" i="13"/>
  <c r="AD89" i="13" s="1"/>
  <c r="U101" i="13"/>
  <c r="AD101" i="13" s="1"/>
  <c r="T101" i="13"/>
  <c r="V101" i="13" s="1"/>
  <c r="U113" i="13"/>
  <c r="AD113" i="13" s="1"/>
  <c r="T113" i="13"/>
  <c r="V113" i="13" s="1"/>
  <c r="T125" i="13"/>
  <c r="V125" i="13" s="1"/>
  <c r="U125" i="13"/>
  <c r="AD125" i="13" s="1"/>
  <c r="T137" i="13"/>
  <c r="V137" i="13" s="1"/>
  <c r="U137" i="13"/>
  <c r="AD137" i="13" s="1"/>
  <c r="U149" i="13"/>
  <c r="AD149" i="13" s="1"/>
  <c r="T149" i="13"/>
  <c r="V149" i="13" s="1"/>
  <c r="T161" i="13"/>
  <c r="V161" i="13" s="1"/>
  <c r="U161" i="13"/>
  <c r="AD161" i="13" s="1"/>
  <c r="U173" i="13"/>
  <c r="AD173" i="13" s="1"/>
  <c r="T173" i="13"/>
  <c r="V173" i="13" s="1"/>
  <c r="T185" i="13"/>
  <c r="V185" i="13" s="1"/>
  <c r="U185" i="13"/>
  <c r="AD185" i="13" s="1"/>
  <c r="U197" i="13"/>
  <c r="AD197" i="13" s="1"/>
  <c r="T197" i="13"/>
  <c r="V197" i="13" s="1"/>
  <c r="T209" i="13"/>
  <c r="V209" i="13" s="1"/>
  <c r="U209" i="13"/>
  <c r="AD209" i="13" s="1"/>
  <c r="T221" i="13"/>
  <c r="V221" i="13" s="1"/>
  <c r="U221" i="13"/>
  <c r="AD221" i="13" s="1"/>
  <c r="T235" i="13"/>
  <c r="V235" i="13" s="1"/>
  <c r="U235" i="13"/>
  <c r="AD235" i="13" s="1"/>
  <c r="AI183" i="13"/>
  <c r="AU183" i="13"/>
  <c r="AN183" i="13"/>
  <c r="BA183" i="13"/>
  <c r="AP183" i="13"/>
  <c r="AR183" i="13"/>
  <c r="AY183" i="13"/>
  <c r="AJ183" i="13"/>
  <c r="AZ183" i="13"/>
  <c r="AK183" i="13"/>
  <c r="AL183" i="13"/>
  <c r="AO183" i="13"/>
  <c r="AQ183" i="13"/>
  <c r="AV183" i="13"/>
  <c r="AS183" i="13"/>
  <c r="AT183" i="13"/>
  <c r="AX183" i="13"/>
  <c r="AM183" i="13"/>
  <c r="AW183" i="13"/>
  <c r="T12" i="13"/>
  <c r="V12" i="13" s="1"/>
  <c r="U12" i="13"/>
  <c r="AD12" i="13" s="1"/>
  <c r="U192" i="13"/>
  <c r="AD192" i="13" s="1"/>
  <c r="T192" i="13"/>
  <c r="V192" i="13" s="1"/>
  <c r="AS237" i="13"/>
  <c r="AI237" i="13"/>
  <c r="AU237" i="13"/>
  <c r="AL237" i="13"/>
  <c r="AZ237" i="13"/>
  <c r="AM237" i="13"/>
  <c r="BA237" i="13"/>
  <c r="AN237" i="13"/>
  <c r="AO237" i="13"/>
  <c r="AQ237" i="13"/>
  <c r="AK237" i="13"/>
  <c r="AP237" i="13"/>
  <c r="AR237" i="13"/>
  <c r="AW237" i="13"/>
  <c r="AX237" i="13"/>
  <c r="AJ237" i="13"/>
  <c r="AT237" i="13"/>
  <c r="AV237" i="13"/>
  <c r="AY237" i="13"/>
  <c r="AO205" i="13"/>
  <c r="BA205" i="13"/>
  <c r="AQ205" i="13"/>
  <c r="AS205" i="13"/>
  <c r="AK205" i="13"/>
  <c r="AZ205" i="13"/>
  <c r="AL205" i="13"/>
  <c r="AM205" i="13"/>
  <c r="AN205" i="13"/>
  <c r="AR205" i="13"/>
  <c r="AU205" i="13"/>
  <c r="AV205" i="13"/>
  <c r="AW205" i="13"/>
  <c r="AI205" i="13"/>
  <c r="AJ205" i="13"/>
  <c r="AP205" i="13"/>
  <c r="AT205" i="13"/>
  <c r="AX205" i="13"/>
  <c r="AY205" i="13"/>
  <c r="T49" i="13"/>
  <c r="V49" i="13" s="1"/>
  <c r="U49" i="13"/>
  <c r="AD49" i="13" s="1"/>
  <c r="T97" i="13"/>
  <c r="V97" i="13" s="1"/>
  <c r="U97" i="13"/>
  <c r="AD97" i="13" s="1"/>
  <c r="T205" i="13"/>
  <c r="V205" i="13" s="1"/>
  <c r="U205" i="13"/>
  <c r="AD205" i="13" s="1"/>
  <c r="AN185" i="13"/>
  <c r="AZ185" i="13"/>
  <c r="AJ185" i="13"/>
  <c r="AW185" i="13"/>
  <c r="AL185" i="13"/>
  <c r="AY185" i="13"/>
  <c r="AO185" i="13"/>
  <c r="AT185" i="13"/>
  <c r="AU185" i="13"/>
  <c r="AV185" i="13"/>
  <c r="AX185" i="13"/>
  <c r="AI185" i="13"/>
  <c r="AK185" i="13"/>
  <c r="AP185" i="13"/>
  <c r="AQ185" i="13"/>
  <c r="AR185" i="13"/>
  <c r="AS185" i="13"/>
  <c r="BA185" i="13"/>
  <c r="AM185" i="13"/>
  <c r="T50" i="13"/>
  <c r="V50" i="13" s="1"/>
  <c r="U50" i="13"/>
  <c r="AD50" i="13" s="1"/>
  <c r="T62" i="13"/>
  <c r="V62" i="13" s="1"/>
  <c r="U62" i="13"/>
  <c r="AD62" i="13" s="1"/>
  <c r="U74" i="13"/>
  <c r="AD74" i="13" s="1"/>
  <c r="T74" i="13"/>
  <c r="V74" i="13" s="1"/>
  <c r="U86" i="13"/>
  <c r="AD86" i="13" s="1"/>
  <c r="T86" i="13"/>
  <c r="V86" i="13" s="1"/>
  <c r="T134" i="13"/>
  <c r="V134" i="13" s="1"/>
  <c r="U134" i="13"/>
  <c r="AD134" i="13" s="1"/>
  <c r="T146" i="13"/>
  <c r="V146" i="13" s="1"/>
  <c r="U146" i="13"/>
  <c r="AD146" i="13" s="1"/>
  <c r="U182" i="13"/>
  <c r="AD182" i="13" s="1"/>
  <c r="T182" i="13"/>
  <c r="V182" i="13" s="1"/>
  <c r="U206" i="13"/>
  <c r="AD206" i="13" s="1"/>
  <c r="T206" i="13"/>
  <c r="V206" i="13" s="1"/>
  <c r="U218" i="13"/>
  <c r="AD218" i="13" s="1"/>
  <c r="T218" i="13"/>
  <c r="V218" i="13" s="1"/>
  <c r="T244" i="13"/>
  <c r="V244" i="13" s="1"/>
  <c r="U244" i="13"/>
  <c r="AD244" i="13" s="1"/>
  <c r="AS233" i="13"/>
  <c r="AI233" i="13"/>
  <c r="AU233" i="13"/>
  <c r="AR233" i="13"/>
  <c r="AT233" i="13"/>
  <c r="AV233" i="13"/>
  <c r="AW233" i="13"/>
  <c r="AK233" i="13"/>
  <c r="AY233" i="13"/>
  <c r="AJ233" i="13"/>
  <c r="AL233" i="13"/>
  <c r="AO233" i="13"/>
  <c r="AP233" i="13"/>
  <c r="AM233" i="13"/>
  <c r="AN233" i="13"/>
  <c r="AQ233" i="13"/>
  <c r="AX233" i="13"/>
  <c r="AZ233" i="13"/>
  <c r="BA233" i="13"/>
  <c r="AS120" i="13"/>
  <c r="AI120" i="13"/>
  <c r="AU120" i="13"/>
  <c r="AN120" i="13"/>
  <c r="AP120" i="13"/>
  <c r="AO120" i="13"/>
  <c r="AQ120" i="13"/>
  <c r="AR120" i="13"/>
  <c r="AT120" i="13"/>
  <c r="AV120" i="13"/>
  <c r="AW120" i="13"/>
  <c r="BA120" i="13"/>
  <c r="AJ120" i="13"/>
  <c r="AX120" i="13"/>
  <c r="AY120" i="13"/>
  <c r="AZ120" i="13"/>
  <c r="AK120" i="13"/>
  <c r="AL120" i="13"/>
  <c r="AM120" i="13"/>
  <c r="AO178" i="13"/>
  <c r="BA178" i="13"/>
  <c r="AU178" i="13"/>
  <c r="AJ178" i="13"/>
  <c r="AW178" i="13"/>
  <c r="AL178" i="13"/>
  <c r="AY178" i="13"/>
  <c r="AX178" i="13"/>
  <c r="AZ178" i="13"/>
  <c r="AI178" i="13"/>
  <c r="AK178" i="13"/>
  <c r="AN178" i="13"/>
  <c r="AQ178" i="13"/>
  <c r="AT178" i="13"/>
  <c r="AR178" i="13"/>
  <c r="AS178" i="13"/>
  <c r="AM178" i="13"/>
  <c r="AP178" i="13"/>
  <c r="AV178" i="13"/>
  <c r="AP215" i="13"/>
  <c r="AR215" i="13"/>
  <c r="AT215" i="13"/>
  <c r="AU215" i="13"/>
  <c r="AV215" i="13"/>
  <c r="AW215" i="13"/>
  <c r="AI215" i="13"/>
  <c r="AX215" i="13"/>
  <c r="AK215" i="13"/>
  <c r="AZ215" i="13"/>
  <c r="AM215" i="13"/>
  <c r="AN215" i="13"/>
  <c r="AO215" i="13"/>
  <c r="AY215" i="13"/>
  <c r="BA215" i="13"/>
  <c r="AQ215" i="13"/>
  <c r="AS215" i="13"/>
  <c r="AL215" i="13"/>
  <c r="AJ215" i="13"/>
  <c r="AR232" i="13"/>
  <c r="AT232" i="13"/>
  <c r="AK232" i="13"/>
  <c r="AY232" i="13"/>
  <c r="AL232" i="13"/>
  <c r="AZ232" i="13"/>
  <c r="AM232" i="13"/>
  <c r="BA232" i="13"/>
  <c r="AN232" i="13"/>
  <c r="AP232" i="13"/>
  <c r="AX232" i="13"/>
  <c r="AJ232" i="13"/>
  <c r="AO232" i="13"/>
  <c r="AV232" i="13"/>
  <c r="AW232" i="13"/>
  <c r="AI232" i="13"/>
  <c r="AQ232" i="13"/>
  <c r="AS232" i="13"/>
  <c r="AU232" i="13"/>
  <c r="AL125" i="13"/>
  <c r="AX125" i="13"/>
  <c r="AN125" i="13"/>
  <c r="AZ125" i="13"/>
  <c r="AT125" i="13"/>
  <c r="AV125" i="13"/>
  <c r="AK125" i="13"/>
  <c r="AM125" i="13"/>
  <c r="AO125" i="13"/>
  <c r="AP125" i="13"/>
  <c r="AQ125" i="13"/>
  <c r="AR125" i="13"/>
  <c r="AJ125" i="13"/>
  <c r="AU125" i="13"/>
  <c r="AI125" i="13"/>
  <c r="AW125" i="13"/>
  <c r="AY125" i="13"/>
  <c r="BA125" i="13"/>
  <c r="AS125" i="13"/>
  <c r="AT156" i="13"/>
  <c r="AN156" i="13"/>
  <c r="BA156" i="13"/>
  <c r="AO156" i="13"/>
  <c r="AQ156" i="13"/>
  <c r="AR156" i="13"/>
  <c r="AU156" i="13"/>
  <c r="AW156" i="13"/>
  <c r="AI156" i="13"/>
  <c r="AJ156" i="13"/>
  <c r="AK156" i="13"/>
  <c r="AM156" i="13"/>
  <c r="AL156" i="13"/>
  <c r="AS156" i="13"/>
  <c r="AV156" i="13"/>
  <c r="AP156" i="13"/>
  <c r="AX156" i="13"/>
  <c r="AY156" i="13"/>
  <c r="AZ156" i="13"/>
  <c r="AN177" i="13"/>
  <c r="AZ177" i="13"/>
  <c r="AR177" i="13"/>
  <c r="AT177" i="13"/>
  <c r="AI177" i="13"/>
  <c r="AV177" i="13"/>
  <c r="AL177" i="13"/>
  <c r="AM177" i="13"/>
  <c r="AO177" i="13"/>
  <c r="AP177" i="13"/>
  <c r="AS177" i="13"/>
  <c r="AJ177" i="13"/>
  <c r="AQ177" i="13"/>
  <c r="AK177" i="13"/>
  <c r="AW177" i="13"/>
  <c r="AX177" i="13"/>
  <c r="AU177" i="13"/>
  <c r="AY177" i="13"/>
  <c r="BA177" i="13"/>
  <c r="AO214" i="13"/>
  <c r="BA214" i="13"/>
  <c r="AQ214" i="13"/>
  <c r="AS214" i="13"/>
  <c r="AK214" i="13"/>
  <c r="AZ214" i="13"/>
  <c r="AL214" i="13"/>
  <c r="AM214" i="13"/>
  <c r="AN214" i="13"/>
  <c r="AR214" i="13"/>
  <c r="AJ214" i="13"/>
  <c r="AP214" i="13"/>
  <c r="AT214" i="13"/>
  <c r="AW214" i="13"/>
  <c r="AX214" i="13"/>
  <c r="AI214" i="13"/>
  <c r="AU214" i="13"/>
  <c r="AY214" i="13"/>
  <c r="AV214" i="13"/>
  <c r="T6" i="13"/>
  <c r="V6" i="13" s="1"/>
  <c r="U6" i="13"/>
  <c r="AD6" i="13" s="1"/>
  <c r="U18" i="13"/>
  <c r="AD18" i="13" s="1"/>
  <c r="T18" i="13"/>
  <c r="V18" i="13" s="1"/>
  <c r="T30" i="13"/>
  <c r="V30" i="13" s="1"/>
  <c r="U30" i="13"/>
  <c r="AD30" i="13" s="1"/>
  <c r="T42" i="13"/>
  <c r="V42" i="13" s="1"/>
  <c r="U42" i="13"/>
  <c r="AD42" i="13" s="1"/>
  <c r="U54" i="13"/>
  <c r="AD54" i="13" s="1"/>
  <c r="T54" i="13"/>
  <c r="V54" i="13" s="1"/>
  <c r="T66" i="13"/>
  <c r="V66" i="13" s="1"/>
  <c r="U66" i="13"/>
  <c r="AD66" i="13" s="1"/>
  <c r="U78" i="13"/>
  <c r="AD78" i="13" s="1"/>
  <c r="T78" i="13"/>
  <c r="V78" i="13" s="1"/>
  <c r="U90" i="13"/>
  <c r="AD90" i="13" s="1"/>
  <c r="T90" i="13"/>
  <c r="V90" i="13" s="1"/>
  <c r="U102" i="13"/>
  <c r="AD102" i="13" s="1"/>
  <c r="T102" i="13"/>
  <c r="V102" i="13" s="1"/>
  <c r="T114" i="13"/>
  <c r="V114" i="13" s="1"/>
  <c r="U114" i="13"/>
  <c r="AD114" i="13" s="1"/>
  <c r="U126" i="13"/>
  <c r="AD126" i="13" s="1"/>
  <c r="T126" i="13"/>
  <c r="V126" i="13" s="1"/>
  <c r="U138" i="13"/>
  <c r="AD138" i="13" s="1"/>
  <c r="T138" i="13"/>
  <c r="V138" i="13" s="1"/>
  <c r="T150" i="13"/>
  <c r="V150" i="13" s="1"/>
  <c r="U150" i="13"/>
  <c r="AD150" i="13" s="1"/>
  <c r="T162" i="13"/>
  <c r="V162" i="13" s="1"/>
  <c r="U162" i="13"/>
  <c r="AD162" i="13" s="1"/>
  <c r="T174" i="13"/>
  <c r="V174" i="13" s="1"/>
  <c r="U174" i="13"/>
  <c r="AD174" i="13" s="1"/>
  <c r="T186" i="13"/>
  <c r="V186" i="13" s="1"/>
  <c r="U186" i="13"/>
  <c r="AD186" i="13" s="1"/>
  <c r="U198" i="13"/>
  <c r="AD198" i="13" s="1"/>
  <c r="T198" i="13"/>
  <c r="V198" i="13" s="1"/>
  <c r="T210" i="13"/>
  <c r="V210" i="13" s="1"/>
  <c r="U210" i="13"/>
  <c r="AD210" i="13" s="1"/>
  <c r="T222" i="13"/>
  <c r="V222" i="13" s="1"/>
  <c r="U222" i="13"/>
  <c r="AD222" i="13" s="1"/>
  <c r="U236" i="13"/>
  <c r="AD236" i="13" s="1"/>
  <c r="T236" i="13"/>
  <c r="V236" i="13" s="1"/>
  <c r="AN224" i="13"/>
  <c r="AZ224" i="13"/>
  <c r="AP224" i="13"/>
  <c r="AI224" i="13"/>
  <c r="AW224" i="13"/>
  <c r="AJ224" i="13"/>
  <c r="AX224" i="13"/>
  <c r="AK224" i="13"/>
  <c r="AY224" i="13"/>
  <c r="AL224" i="13"/>
  <c r="BA224" i="13"/>
  <c r="AO224" i="13"/>
  <c r="AQ224" i="13"/>
  <c r="AR224" i="13"/>
  <c r="AS224" i="13"/>
  <c r="AV224" i="13"/>
  <c r="AM224" i="13"/>
  <c r="AT224" i="13"/>
  <c r="AU224" i="13"/>
  <c r="AP121" i="13"/>
  <c r="AR121" i="13"/>
  <c r="AO121" i="13"/>
  <c r="AS121" i="13"/>
  <c r="AU121" i="13"/>
  <c r="AV121" i="13"/>
  <c r="AW121" i="13"/>
  <c r="AX121" i="13"/>
  <c r="AI121" i="13"/>
  <c r="AY121" i="13"/>
  <c r="AJ121" i="13"/>
  <c r="AZ121" i="13"/>
  <c r="AT121" i="13"/>
  <c r="BA121" i="13"/>
  <c r="AN121" i="13"/>
  <c r="AQ121" i="13"/>
  <c r="AK121" i="13"/>
  <c r="AL121" i="13"/>
  <c r="AM121" i="13"/>
  <c r="AN139" i="13"/>
  <c r="AZ139" i="13"/>
  <c r="AP139" i="13"/>
  <c r="AO139" i="13"/>
  <c r="AQ139" i="13"/>
  <c r="AR139" i="13"/>
  <c r="AS139" i="13"/>
  <c r="AU139" i="13"/>
  <c r="AI139" i="13"/>
  <c r="AJ139" i="13"/>
  <c r="AL139" i="13"/>
  <c r="AT139" i="13"/>
  <c r="AM139" i="13"/>
  <c r="AV139" i="13"/>
  <c r="AW139" i="13"/>
  <c r="AX139" i="13"/>
  <c r="BA139" i="13"/>
  <c r="AY139" i="13"/>
  <c r="AK139" i="13"/>
  <c r="T60" i="13"/>
  <c r="V60" i="13" s="1"/>
  <c r="U60" i="13"/>
  <c r="AD60" i="13" s="1"/>
  <c r="T84" i="13"/>
  <c r="V84" i="13" s="1"/>
  <c r="U84" i="13"/>
  <c r="AD84" i="13" s="1"/>
  <c r="U144" i="13"/>
  <c r="AD144" i="13" s="1"/>
  <c r="T144" i="13"/>
  <c r="V144" i="13" s="1"/>
  <c r="T216" i="13"/>
  <c r="V216" i="13" s="1"/>
  <c r="U216" i="13"/>
  <c r="AD216" i="13" s="1"/>
  <c r="AO186" i="13"/>
  <c r="BA186" i="13"/>
  <c r="AM186" i="13"/>
  <c r="AZ186" i="13"/>
  <c r="AP186" i="13"/>
  <c r="AR186" i="13"/>
  <c r="AL186" i="13"/>
  <c r="AN186" i="13"/>
  <c r="AQ186" i="13"/>
  <c r="AS186" i="13"/>
  <c r="AU186" i="13"/>
  <c r="AJ186" i="13"/>
  <c r="AI186" i="13"/>
  <c r="AT186" i="13"/>
  <c r="AV186" i="13"/>
  <c r="AW186" i="13"/>
  <c r="AK186" i="13"/>
  <c r="AX186" i="13"/>
  <c r="AY186" i="13"/>
  <c r="U73" i="13"/>
  <c r="AD73" i="13" s="1"/>
  <c r="T73" i="13"/>
  <c r="V73" i="13" s="1"/>
  <c r="T121" i="13"/>
  <c r="V121" i="13" s="1"/>
  <c r="U121" i="13"/>
  <c r="AD121" i="13" s="1"/>
  <c r="U169" i="13"/>
  <c r="AD169" i="13" s="1"/>
  <c r="T169" i="13"/>
  <c r="V169" i="13" s="1"/>
  <c r="AQ181" i="13"/>
  <c r="AR181" i="13"/>
  <c r="AT181" i="13"/>
  <c r="AI181" i="13"/>
  <c r="AV181" i="13"/>
  <c r="AL181" i="13"/>
  <c r="AM181" i="13"/>
  <c r="AN181" i="13"/>
  <c r="AO181" i="13"/>
  <c r="AS181" i="13"/>
  <c r="AU181" i="13"/>
  <c r="AY181" i="13"/>
  <c r="AW181" i="13"/>
  <c r="AX181" i="13"/>
  <c r="BA181" i="13"/>
  <c r="AJ181" i="13"/>
  <c r="AZ181" i="13"/>
  <c r="AK181" i="13"/>
  <c r="AP181" i="13"/>
  <c r="AI244" i="13"/>
  <c r="AU244" i="13"/>
  <c r="AK244" i="13"/>
  <c r="AW244" i="13"/>
  <c r="AJ244" i="13"/>
  <c r="AY244" i="13"/>
  <c r="AL244" i="13"/>
  <c r="AZ244" i="13"/>
  <c r="AM244" i="13"/>
  <c r="BA244" i="13"/>
  <c r="AN244" i="13"/>
  <c r="AP244" i="13"/>
  <c r="AQ244" i="13"/>
  <c r="AR244" i="13"/>
  <c r="AS244" i="13"/>
  <c r="AX244" i="13"/>
  <c r="AT244" i="13"/>
  <c r="AV244" i="13"/>
  <c r="AO244" i="13"/>
  <c r="AT155" i="13"/>
  <c r="AK155" i="13"/>
  <c r="AX155" i="13"/>
  <c r="AL155" i="13"/>
  <c r="AY155" i="13"/>
  <c r="AN155" i="13"/>
  <c r="BA155" i="13"/>
  <c r="AR155" i="13"/>
  <c r="AU155" i="13"/>
  <c r="AW155" i="13"/>
  <c r="AQ155" i="13"/>
  <c r="AS155" i="13"/>
  <c r="AV155" i="13"/>
  <c r="AZ155" i="13"/>
  <c r="AI155" i="13"/>
  <c r="AM155" i="13"/>
  <c r="AO155" i="13"/>
  <c r="AJ155" i="13"/>
  <c r="AP155" i="13"/>
  <c r="AR151" i="13"/>
  <c r="AK151" i="13"/>
  <c r="AX151" i="13"/>
  <c r="AL151" i="13"/>
  <c r="AY151" i="13"/>
  <c r="AN151" i="13"/>
  <c r="BA151" i="13"/>
  <c r="AP151" i="13"/>
  <c r="AO151" i="13"/>
  <c r="AS151" i="13"/>
  <c r="AU151" i="13"/>
  <c r="AI151" i="13"/>
  <c r="AJ151" i="13"/>
  <c r="AQ151" i="13"/>
  <c r="AT151" i="13"/>
  <c r="AV151" i="13"/>
  <c r="AM151" i="13"/>
  <c r="AW151" i="13"/>
  <c r="AZ151" i="13"/>
  <c r="AO176" i="13"/>
  <c r="AP176" i="13"/>
  <c r="AR176" i="13"/>
  <c r="AS176" i="13"/>
  <c r="AU176" i="13"/>
  <c r="AW176" i="13"/>
  <c r="AY176" i="13"/>
  <c r="AZ176" i="13"/>
  <c r="AI176" i="13"/>
  <c r="BA176" i="13"/>
  <c r="AJ176" i="13"/>
  <c r="AL176" i="13"/>
  <c r="AM176" i="13"/>
  <c r="AN176" i="13"/>
  <c r="AT176" i="13"/>
  <c r="AQ176" i="13"/>
  <c r="AX176" i="13"/>
  <c r="AK176" i="13"/>
  <c r="AV176" i="13"/>
  <c r="U7" i="13"/>
  <c r="AD7" i="13" s="1"/>
  <c r="T7" i="13"/>
  <c r="V7" i="13" s="1"/>
  <c r="U31" i="13"/>
  <c r="AD31" i="13" s="1"/>
  <c r="T31" i="13"/>
  <c r="V31" i="13" s="1"/>
  <c r="U43" i="13"/>
  <c r="AD43" i="13" s="1"/>
  <c r="T43" i="13"/>
  <c r="V43" i="13" s="1"/>
  <c r="T79" i="13"/>
  <c r="V79" i="13" s="1"/>
  <c r="U79" i="13"/>
  <c r="AD79" i="13" s="1"/>
  <c r="U127" i="13"/>
  <c r="AD127" i="13" s="1"/>
  <c r="T127" i="13"/>
  <c r="V127" i="13" s="1"/>
  <c r="U163" i="13"/>
  <c r="AD163" i="13" s="1"/>
  <c r="T163" i="13"/>
  <c r="V163" i="13" s="1"/>
  <c r="T187" i="13"/>
  <c r="V187" i="13" s="1"/>
  <c r="U187" i="13"/>
  <c r="AD187" i="13" s="1"/>
  <c r="T199" i="13"/>
  <c r="V199" i="13" s="1"/>
  <c r="U199" i="13"/>
  <c r="AD199" i="13" s="1"/>
  <c r="T237" i="13"/>
  <c r="V237" i="13" s="1"/>
  <c r="U237" i="13"/>
  <c r="AD237" i="13" s="1"/>
  <c r="AK243" i="13"/>
  <c r="AW243" i="13"/>
  <c r="AM243" i="13"/>
  <c r="AY243" i="13"/>
  <c r="AU243" i="13"/>
  <c r="AV243" i="13"/>
  <c r="AI243" i="13"/>
  <c r="AX243" i="13"/>
  <c r="AJ243" i="13"/>
  <c r="AZ243" i="13"/>
  <c r="AN243" i="13"/>
  <c r="AR243" i="13"/>
  <c r="AS243" i="13"/>
  <c r="AT243" i="13"/>
  <c r="AO243" i="13"/>
  <c r="AP243" i="13"/>
  <c r="AQ243" i="13"/>
  <c r="BA243" i="13"/>
  <c r="AL243" i="13"/>
  <c r="AP229" i="13"/>
  <c r="AR229" i="13"/>
  <c r="AU229" i="13"/>
  <c r="AV229" i="13"/>
  <c r="AI229" i="13"/>
  <c r="AW229" i="13"/>
  <c r="AJ229" i="13"/>
  <c r="AX229" i="13"/>
  <c r="AL229" i="13"/>
  <c r="AZ229" i="13"/>
  <c r="AM229" i="13"/>
  <c r="AN229" i="13"/>
  <c r="AO229" i="13"/>
  <c r="AT229" i="13"/>
  <c r="AY229" i="13"/>
  <c r="BA229" i="13"/>
  <c r="AK229" i="13"/>
  <c r="AQ229" i="13"/>
  <c r="AS229" i="13"/>
  <c r="AK122" i="13"/>
  <c r="AW122" i="13"/>
  <c r="AM122" i="13"/>
  <c r="AY122" i="13"/>
  <c r="AO122" i="13"/>
  <c r="AQ122" i="13"/>
  <c r="AU122" i="13"/>
  <c r="AV122" i="13"/>
  <c r="AX122" i="13"/>
  <c r="AZ122" i="13"/>
  <c r="AI122" i="13"/>
  <c r="BA122" i="13"/>
  <c r="AJ122" i="13"/>
  <c r="AN122" i="13"/>
  <c r="AP122" i="13"/>
  <c r="AS122" i="13"/>
  <c r="AR122" i="13"/>
  <c r="AT122" i="13"/>
  <c r="AL122" i="13"/>
  <c r="AM143" i="13"/>
  <c r="AY143" i="13"/>
  <c r="AL143" i="13"/>
  <c r="AZ143" i="13"/>
  <c r="AN143" i="13"/>
  <c r="BA143" i="13"/>
  <c r="AP143" i="13"/>
  <c r="AR143" i="13"/>
  <c r="AQ143" i="13"/>
  <c r="AS143" i="13"/>
  <c r="AU143" i="13"/>
  <c r="AW143" i="13"/>
  <c r="AJ143" i="13"/>
  <c r="AK143" i="13"/>
  <c r="AO143" i="13"/>
  <c r="AT143" i="13"/>
  <c r="AX143" i="13"/>
  <c r="AI143" i="13"/>
  <c r="AV143" i="13"/>
  <c r="AT154" i="13"/>
  <c r="AI154" i="13"/>
  <c r="AV154" i="13"/>
  <c r="AJ154" i="13"/>
  <c r="AW154" i="13"/>
  <c r="AL154" i="13"/>
  <c r="AY154" i="13"/>
  <c r="AZ154" i="13"/>
  <c r="AK154" i="13"/>
  <c r="AN154" i="13"/>
  <c r="AU154" i="13"/>
  <c r="AX154" i="13"/>
  <c r="BA154" i="13"/>
  <c r="AM154" i="13"/>
  <c r="AO154" i="13"/>
  <c r="AP154" i="13"/>
  <c r="AQ154" i="13"/>
  <c r="AR154" i="13"/>
  <c r="AS154" i="13"/>
  <c r="AP175" i="13"/>
  <c r="AQ175" i="13"/>
  <c r="AS175" i="13"/>
  <c r="AL175" i="13"/>
  <c r="BA175" i="13"/>
  <c r="AN175" i="13"/>
  <c r="AR175" i="13"/>
  <c r="AK175" i="13"/>
  <c r="AM175" i="13"/>
  <c r="AO175" i="13"/>
  <c r="AT175" i="13"/>
  <c r="AV175" i="13"/>
  <c r="AI175" i="13"/>
  <c r="AW175" i="13"/>
  <c r="AJ175" i="13"/>
  <c r="AU175" i="13"/>
  <c r="AY175" i="13"/>
  <c r="AZ175" i="13"/>
  <c r="AX175" i="13"/>
  <c r="AS211" i="13"/>
  <c r="AI211" i="13"/>
  <c r="AU211" i="13"/>
  <c r="AK211" i="13"/>
  <c r="AW211" i="13"/>
  <c r="AR211" i="13"/>
  <c r="AT211" i="13"/>
  <c r="AV211" i="13"/>
  <c r="AX211" i="13"/>
  <c r="AJ211" i="13"/>
  <c r="AZ211" i="13"/>
  <c r="AP211" i="13"/>
  <c r="AQ211" i="13"/>
  <c r="AY211" i="13"/>
  <c r="AL211" i="13"/>
  <c r="AM211" i="13"/>
  <c r="BA211" i="13"/>
  <c r="AN211" i="13"/>
  <c r="AO211" i="13"/>
  <c r="U8" i="13"/>
  <c r="AD8" i="13" s="1"/>
  <c r="T8" i="13"/>
  <c r="V8" i="13" s="1"/>
  <c r="T20" i="13"/>
  <c r="V20" i="13" s="1"/>
  <c r="U20" i="13"/>
  <c r="AD20" i="13" s="1"/>
  <c r="T32" i="13"/>
  <c r="V32" i="13" s="1"/>
  <c r="U32" i="13"/>
  <c r="AD32" i="13" s="1"/>
  <c r="T44" i="13"/>
  <c r="V44" i="13" s="1"/>
  <c r="U44" i="13"/>
  <c r="AD44" i="13" s="1"/>
  <c r="T56" i="13"/>
  <c r="V56" i="13" s="1"/>
  <c r="U56" i="13"/>
  <c r="AD56" i="13" s="1"/>
  <c r="T68" i="13"/>
  <c r="V68" i="13" s="1"/>
  <c r="U68" i="13"/>
  <c r="AD68" i="13" s="1"/>
  <c r="U80" i="13"/>
  <c r="AD80" i="13" s="1"/>
  <c r="T80" i="13"/>
  <c r="V80" i="13" s="1"/>
  <c r="U92" i="13"/>
  <c r="AD92" i="13" s="1"/>
  <c r="T92" i="13"/>
  <c r="V92" i="13" s="1"/>
  <c r="U104" i="13"/>
  <c r="AD104" i="13" s="1"/>
  <c r="T104" i="13"/>
  <c r="V104" i="13" s="1"/>
  <c r="U116" i="13"/>
  <c r="AD116" i="13" s="1"/>
  <c r="T116" i="13"/>
  <c r="V116" i="13" s="1"/>
  <c r="T128" i="13"/>
  <c r="V128" i="13" s="1"/>
  <c r="U128" i="13"/>
  <c r="AD128" i="13" s="1"/>
  <c r="T140" i="13"/>
  <c r="V140" i="13" s="1"/>
  <c r="U140" i="13"/>
  <c r="AD140" i="13" s="1"/>
  <c r="T152" i="13"/>
  <c r="V152" i="13" s="1"/>
  <c r="U152" i="13"/>
  <c r="AD152" i="13" s="1"/>
  <c r="U164" i="13"/>
  <c r="AD164" i="13" s="1"/>
  <c r="T164" i="13"/>
  <c r="V164" i="13" s="1"/>
  <c r="T176" i="13"/>
  <c r="V176" i="13" s="1"/>
  <c r="U176" i="13"/>
  <c r="AD176" i="13" s="1"/>
  <c r="T188" i="13"/>
  <c r="V188" i="13" s="1"/>
  <c r="U188" i="13"/>
  <c r="AD188" i="13" s="1"/>
  <c r="U200" i="13"/>
  <c r="AD200" i="13" s="1"/>
  <c r="T200" i="13"/>
  <c r="V200" i="13" s="1"/>
  <c r="T212" i="13"/>
  <c r="V212" i="13" s="1"/>
  <c r="U212" i="13"/>
  <c r="AD212" i="13" s="1"/>
  <c r="U225" i="13"/>
  <c r="AD225" i="13" s="1"/>
  <c r="T225" i="13"/>
  <c r="V225" i="13" s="1"/>
  <c r="U238" i="13"/>
  <c r="AD238" i="13" s="1"/>
  <c r="T238" i="13"/>
  <c r="V238" i="13" s="1"/>
  <c r="AQ149" i="13"/>
  <c r="AP149" i="13"/>
  <c r="AR149" i="13"/>
  <c r="AT149" i="13"/>
  <c r="AI149" i="13"/>
  <c r="AV149" i="13"/>
  <c r="AZ149" i="13"/>
  <c r="AK149" i="13"/>
  <c r="AM149" i="13"/>
  <c r="BA149" i="13"/>
  <c r="AJ149" i="13"/>
  <c r="AN149" i="13"/>
  <c r="AL149" i="13"/>
  <c r="AS149" i="13"/>
  <c r="AU149" i="13"/>
  <c r="AW149" i="13"/>
  <c r="AO149" i="13"/>
  <c r="AX149" i="13"/>
  <c r="AY149" i="13"/>
  <c r="AN206" i="13"/>
  <c r="AZ206" i="13"/>
  <c r="AP206" i="13"/>
  <c r="AR206" i="13"/>
  <c r="AV206" i="13"/>
  <c r="AW206" i="13"/>
  <c r="AI206" i="13"/>
  <c r="AX206" i="13"/>
  <c r="AJ206" i="13"/>
  <c r="AY206" i="13"/>
  <c r="AL206" i="13"/>
  <c r="AU206" i="13"/>
  <c r="BA206" i="13"/>
  <c r="AK206" i="13"/>
  <c r="AM206" i="13"/>
  <c r="AO206" i="13"/>
  <c r="AQ206" i="13"/>
  <c r="AS206" i="13"/>
  <c r="AT206" i="13"/>
  <c r="T36" i="13"/>
  <c r="V36" i="13" s="1"/>
  <c r="U36" i="13"/>
  <c r="AD36" i="13" s="1"/>
  <c r="U132" i="13"/>
  <c r="AD132" i="13" s="1"/>
  <c r="T132" i="13"/>
  <c r="V132" i="13" s="1"/>
  <c r="T180" i="13"/>
  <c r="V180" i="13" s="1"/>
  <c r="U180" i="13"/>
  <c r="AD180" i="13" s="1"/>
  <c r="AI146" i="13"/>
  <c r="AU146" i="13"/>
  <c r="AP146" i="13"/>
  <c r="AQ146" i="13"/>
  <c r="AS146" i="13"/>
  <c r="AV146" i="13"/>
  <c r="AN146" i="13"/>
  <c r="AO146" i="13"/>
  <c r="AT146" i="13"/>
  <c r="AX146" i="13"/>
  <c r="AM146" i="13"/>
  <c r="AR146" i="13"/>
  <c r="AW146" i="13"/>
  <c r="AY146" i="13"/>
  <c r="BA146" i="13"/>
  <c r="AJ146" i="13"/>
  <c r="AK146" i="13"/>
  <c r="AL146" i="13"/>
  <c r="AZ146" i="13"/>
  <c r="AO160" i="13"/>
  <c r="BA160" i="13"/>
  <c r="AP160" i="13"/>
  <c r="AR160" i="13"/>
  <c r="AK160" i="13"/>
  <c r="AZ160" i="13"/>
  <c r="AM160" i="13"/>
  <c r="AQ160" i="13"/>
  <c r="AY160" i="13"/>
  <c r="AI160" i="13"/>
  <c r="AJ160" i="13"/>
  <c r="AN160" i="13"/>
  <c r="AT160" i="13"/>
  <c r="AU160" i="13"/>
  <c r="AW160" i="13"/>
  <c r="AV160" i="13"/>
  <c r="AL160" i="13"/>
  <c r="AS160" i="13"/>
  <c r="AX160" i="13"/>
  <c r="AN162" i="13"/>
  <c r="AZ162" i="13"/>
  <c r="AO162" i="13"/>
  <c r="BA162" i="13"/>
  <c r="AQ162" i="13"/>
  <c r="AV162" i="13"/>
  <c r="AI162" i="13"/>
  <c r="AX162" i="13"/>
  <c r="AK162" i="13"/>
  <c r="AL162" i="13"/>
  <c r="AM162" i="13"/>
  <c r="AP162" i="13"/>
  <c r="AR162" i="13"/>
  <c r="AT162" i="13"/>
  <c r="AU162" i="13"/>
  <c r="AW162" i="13"/>
  <c r="AY162" i="13"/>
  <c r="AJ162" i="13"/>
  <c r="AS162" i="13"/>
  <c r="AL190" i="13"/>
  <c r="AX190" i="13"/>
  <c r="AU190" i="13"/>
  <c r="AJ190" i="13"/>
  <c r="AW190" i="13"/>
  <c r="AM190" i="13"/>
  <c r="AZ190" i="13"/>
  <c r="AI190" i="13"/>
  <c r="AK190" i="13"/>
  <c r="AN190" i="13"/>
  <c r="AO190" i="13"/>
  <c r="AQ190" i="13"/>
  <c r="AR190" i="13"/>
  <c r="AS190" i="13"/>
  <c r="AV190" i="13"/>
  <c r="AT190" i="13"/>
  <c r="BA190" i="13"/>
  <c r="AY190" i="13"/>
  <c r="AP190" i="13"/>
  <c r="T25" i="13"/>
  <c r="V25" i="13" s="1"/>
  <c r="U25" i="13"/>
  <c r="AD25" i="13" s="1"/>
  <c r="U157" i="13"/>
  <c r="AD157" i="13" s="1"/>
  <c r="T157" i="13"/>
  <c r="V157" i="13" s="1"/>
  <c r="T243" i="13"/>
  <c r="V243" i="13" s="1"/>
  <c r="U243" i="13"/>
  <c r="AD243" i="13" s="1"/>
  <c r="AJ145" i="13"/>
  <c r="AV145" i="13"/>
  <c r="AN145" i="13"/>
  <c r="BA145" i="13"/>
  <c r="AO145" i="13"/>
  <c r="AQ145" i="13"/>
  <c r="AS145" i="13"/>
  <c r="AX145" i="13"/>
  <c r="AY145" i="13"/>
  <c r="AI145" i="13"/>
  <c r="AL145" i="13"/>
  <c r="AT145" i="13"/>
  <c r="AU145" i="13"/>
  <c r="AW145" i="13"/>
  <c r="AZ145" i="13"/>
  <c r="AR145" i="13"/>
  <c r="AK145" i="13"/>
  <c r="AM145" i="13"/>
  <c r="AP145" i="13"/>
  <c r="AM189" i="13"/>
  <c r="AY189" i="13"/>
  <c r="AT189" i="13"/>
  <c r="AI189" i="13"/>
  <c r="AV189" i="13"/>
  <c r="AK189" i="13"/>
  <c r="AX189" i="13"/>
  <c r="AQ189" i="13"/>
  <c r="AR189" i="13"/>
  <c r="AS189" i="13"/>
  <c r="AU189" i="13"/>
  <c r="AZ189" i="13"/>
  <c r="AL189" i="13"/>
  <c r="AP189" i="13"/>
  <c r="AN189" i="13"/>
  <c r="AO189" i="13"/>
  <c r="BA189" i="13"/>
  <c r="AJ189" i="13"/>
  <c r="AW189" i="13"/>
  <c r="U26" i="13"/>
  <c r="AD26" i="13" s="1"/>
  <c r="T26" i="13"/>
  <c r="V26" i="13" s="1"/>
  <c r="AQ231" i="13"/>
  <c r="AS231" i="13"/>
  <c r="AP231" i="13"/>
  <c r="AR231" i="13"/>
  <c r="AT231" i="13"/>
  <c r="AU231" i="13"/>
  <c r="AI231" i="13"/>
  <c r="AW231" i="13"/>
  <c r="AL231" i="13"/>
  <c r="AM231" i="13"/>
  <c r="AN231" i="13"/>
  <c r="AX231" i="13"/>
  <c r="AY231" i="13"/>
  <c r="AO231" i="13"/>
  <c r="AV231" i="13"/>
  <c r="AZ231" i="13"/>
  <c r="BA231" i="13"/>
  <c r="AJ231" i="13"/>
  <c r="AK231" i="13"/>
  <c r="AI212" i="13"/>
  <c r="AU212" i="13"/>
  <c r="AK212" i="13"/>
  <c r="AW212" i="13"/>
  <c r="AM212" i="13"/>
  <c r="AY212" i="13"/>
  <c r="AN212" i="13"/>
  <c r="AO212" i="13"/>
  <c r="AP212" i="13"/>
  <c r="AQ212" i="13"/>
  <c r="AS212" i="13"/>
  <c r="AX212" i="13"/>
  <c r="AZ212" i="13"/>
  <c r="BA212" i="13"/>
  <c r="AR212" i="13"/>
  <c r="AT212" i="13"/>
  <c r="AV212" i="13"/>
  <c r="AL212" i="13"/>
  <c r="AJ212" i="13"/>
  <c r="AO213" i="13"/>
  <c r="BA213" i="13"/>
  <c r="AQ213" i="13"/>
  <c r="AS213" i="13"/>
  <c r="AN213" i="13"/>
  <c r="AP213" i="13"/>
  <c r="AR213" i="13"/>
  <c r="AT213" i="13"/>
  <c r="AV213" i="13"/>
  <c r="AW213" i="13"/>
  <c r="AX213" i="13"/>
  <c r="AY213" i="13"/>
  <c r="AI213" i="13"/>
  <c r="AJ213" i="13"/>
  <c r="AM213" i="13"/>
  <c r="AK213" i="13"/>
  <c r="AL213" i="13"/>
  <c r="AU213" i="13"/>
  <c r="AZ213" i="13"/>
  <c r="AQ208" i="13"/>
  <c r="AS208" i="13"/>
  <c r="AI208" i="13"/>
  <c r="AU208" i="13"/>
  <c r="AV208" i="13"/>
  <c r="AW208" i="13"/>
  <c r="AX208" i="13"/>
  <c r="AJ208" i="13"/>
  <c r="AY208" i="13"/>
  <c r="AL208" i="13"/>
  <c r="BA208" i="13"/>
  <c r="AT208" i="13"/>
  <c r="AZ208" i="13"/>
  <c r="AK208" i="13"/>
  <c r="AM208" i="13"/>
  <c r="AP208" i="13"/>
  <c r="AN208" i="13"/>
  <c r="AO208" i="13"/>
  <c r="AR208" i="13"/>
  <c r="T19" i="13"/>
  <c r="V19" i="13" s="1"/>
  <c r="U19" i="13"/>
  <c r="AD19" i="13" s="1"/>
  <c r="T55" i="13"/>
  <c r="V55" i="13" s="1"/>
  <c r="U55" i="13"/>
  <c r="AD55" i="13" s="1"/>
  <c r="U67" i="13"/>
  <c r="AD67" i="13" s="1"/>
  <c r="T67" i="13"/>
  <c r="V67" i="13" s="1"/>
  <c r="T91" i="13"/>
  <c r="V91" i="13" s="1"/>
  <c r="U91" i="13"/>
  <c r="AD91" i="13" s="1"/>
  <c r="T103" i="13"/>
  <c r="V103" i="13" s="1"/>
  <c r="U103" i="13"/>
  <c r="AD103" i="13" s="1"/>
  <c r="T115" i="13"/>
  <c r="V115" i="13" s="1"/>
  <c r="U115" i="13"/>
  <c r="AD115" i="13" s="1"/>
  <c r="U139" i="13"/>
  <c r="AD139" i="13" s="1"/>
  <c r="T139" i="13"/>
  <c r="V139" i="13" s="1"/>
  <c r="U151" i="13"/>
  <c r="AD151" i="13" s="1"/>
  <c r="T151" i="13"/>
  <c r="V151" i="13" s="1"/>
  <c r="T175" i="13"/>
  <c r="V175" i="13" s="1"/>
  <c r="U175" i="13"/>
  <c r="AD175" i="13" s="1"/>
  <c r="T211" i="13"/>
  <c r="V211" i="13" s="1"/>
  <c r="U211" i="13"/>
  <c r="AD211" i="13" s="1"/>
  <c r="U223" i="13"/>
  <c r="AD223" i="13" s="1"/>
  <c r="T223" i="13"/>
  <c r="V223" i="13" s="1"/>
  <c r="U224" i="13"/>
  <c r="AD224" i="13" s="1"/>
  <c r="T224" i="13"/>
  <c r="V224" i="13" s="1"/>
  <c r="AL242" i="13"/>
  <c r="AX242" i="13"/>
  <c r="AN242" i="13"/>
  <c r="AZ242" i="13"/>
  <c r="AP242" i="13"/>
  <c r="AQ242" i="13"/>
  <c r="AR242" i="13"/>
  <c r="AS242" i="13"/>
  <c r="AU242" i="13"/>
  <c r="AI242" i="13"/>
  <c r="AJ242" i="13"/>
  <c r="AO242" i="13"/>
  <c r="AT242" i="13"/>
  <c r="AK242" i="13"/>
  <c r="AM242" i="13"/>
  <c r="AV242" i="13"/>
  <c r="AW242" i="13"/>
  <c r="AY242" i="13"/>
  <c r="BA242" i="13"/>
  <c r="AT210" i="13"/>
  <c r="AJ210" i="13"/>
  <c r="AV210" i="13"/>
  <c r="AL210" i="13"/>
  <c r="AX210" i="13"/>
  <c r="AM210" i="13"/>
  <c r="AN210" i="13"/>
  <c r="AO210" i="13"/>
  <c r="AP210" i="13"/>
  <c r="AR210" i="13"/>
  <c r="AU210" i="13"/>
  <c r="AW210" i="13"/>
  <c r="AY210" i="13"/>
  <c r="BA210" i="13"/>
  <c r="AK210" i="13"/>
  <c r="AI210" i="13"/>
  <c r="AQ210" i="13"/>
  <c r="AS210" i="13"/>
  <c r="AZ210" i="13"/>
  <c r="U9" i="13"/>
  <c r="AD9" i="13" s="1"/>
  <c r="T9" i="13"/>
  <c r="V9" i="13" s="1"/>
  <c r="U21" i="13"/>
  <c r="AD21" i="13" s="1"/>
  <c r="T21" i="13"/>
  <c r="V21" i="13" s="1"/>
  <c r="U33" i="13"/>
  <c r="AD33" i="13" s="1"/>
  <c r="T33" i="13"/>
  <c r="V33" i="13" s="1"/>
  <c r="T45" i="13"/>
  <c r="V45" i="13" s="1"/>
  <c r="U45" i="13"/>
  <c r="AD45" i="13" s="1"/>
  <c r="T57" i="13"/>
  <c r="V57" i="13" s="1"/>
  <c r="U57" i="13"/>
  <c r="AD57" i="13" s="1"/>
  <c r="U69" i="13"/>
  <c r="AD69" i="13" s="1"/>
  <c r="T69" i="13"/>
  <c r="V69" i="13" s="1"/>
  <c r="T81" i="13"/>
  <c r="V81" i="13" s="1"/>
  <c r="U81" i="13"/>
  <c r="AD81" i="13" s="1"/>
  <c r="U93" i="13"/>
  <c r="AD93" i="13" s="1"/>
  <c r="T93" i="13"/>
  <c r="V93" i="13" s="1"/>
  <c r="T105" i="13"/>
  <c r="V105" i="13" s="1"/>
  <c r="U105" i="13"/>
  <c r="AD105" i="13" s="1"/>
  <c r="U117" i="13"/>
  <c r="AD117" i="13" s="1"/>
  <c r="T117" i="13"/>
  <c r="V117" i="13" s="1"/>
  <c r="T129" i="13"/>
  <c r="V129" i="13" s="1"/>
  <c r="U129" i="13"/>
  <c r="AD129" i="13" s="1"/>
  <c r="T141" i="13"/>
  <c r="V141" i="13" s="1"/>
  <c r="U141" i="13"/>
  <c r="AD141" i="13" s="1"/>
  <c r="T153" i="13"/>
  <c r="V153" i="13" s="1"/>
  <c r="U153" i="13"/>
  <c r="AD153" i="13" s="1"/>
  <c r="U165" i="13"/>
  <c r="AD165" i="13" s="1"/>
  <c r="T165" i="13"/>
  <c r="V165" i="13" s="1"/>
  <c r="T177" i="13"/>
  <c r="V177" i="13" s="1"/>
  <c r="U177" i="13"/>
  <c r="AD177" i="13" s="1"/>
  <c r="T189" i="13"/>
  <c r="V189" i="13" s="1"/>
  <c r="U189" i="13"/>
  <c r="AD189" i="13" s="1"/>
  <c r="T201" i="13"/>
  <c r="V201" i="13" s="1"/>
  <c r="U201" i="13"/>
  <c r="AD201" i="13" s="1"/>
  <c r="T213" i="13"/>
  <c r="V213" i="13" s="1"/>
  <c r="U213" i="13"/>
  <c r="AD213" i="13" s="1"/>
  <c r="U226" i="13"/>
  <c r="AD226" i="13" s="1"/>
  <c r="T226" i="13"/>
  <c r="V226" i="13" s="1"/>
  <c r="T239" i="13"/>
  <c r="V239" i="13" s="1"/>
  <c r="U239" i="13"/>
  <c r="AD239" i="13" s="1"/>
  <c r="AL147" i="13"/>
  <c r="AX147" i="13"/>
  <c r="AU147" i="13"/>
  <c r="AI147" i="13"/>
  <c r="AV147" i="13"/>
  <c r="AK147" i="13"/>
  <c r="AY147" i="13"/>
  <c r="AN147" i="13"/>
  <c r="BA147" i="13"/>
  <c r="AO147" i="13"/>
  <c r="AP147" i="13"/>
  <c r="AR147" i="13"/>
  <c r="AT147" i="13"/>
  <c r="AZ147" i="13"/>
  <c r="AM147" i="13"/>
  <c r="AQ147" i="13"/>
  <c r="AW147" i="13"/>
  <c r="AS147" i="13"/>
  <c r="AJ147" i="13"/>
  <c r="T24" i="13"/>
  <c r="V24" i="13" s="1"/>
  <c r="U24" i="13"/>
  <c r="AD24" i="13" s="1"/>
  <c r="T156" i="13"/>
  <c r="V156" i="13" s="1"/>
  <c r="U156" i="13"/>
  <c r="AD156" i="13" s="1"/>
  <c r="T204" i="13"/>
  <c r="V204" i="13" s="1"/>
  <c r="U204" i="13"/>
  <c r="AD204" i="13" s="1"/>
  <c r="T13" i="13"/>
  <c r="V13" i="13" s="1"/>
  <c r="U13" i="13"/>
  <c r="AD13" i="13" s="1"/>
  <c r="T217" i="13"/>
  <c r="V217" i="13" s="1"/>
  <c r="U217" i="13"/>
  <c r="AD217" i="13" s="1"/>
  <c r="AK236" i="13"/>
  <c r="AW236" i="13"/>
  <c r="AM236" i="13"/>
  <c r="AY236" i="13"/>
  <c r="AJ236" i="13"/>
  <c r="AZ236" i="13"/>
  <c r="AL236" i="13"/>
  <c r="BA236" i="13"/>
  <c r="AN236" i="13"/>
  <c r="AO236" i="13"/>
  <c r="AQ236" i="13"/>
  <c r="AT236" i="13"/>
  <c r="AU236" i="13"/>
  <c r="AV236" i="13"/>
  <c r="AX236" i="13"/>
  <c r="AI236" i="13"/>
  <c r="AP236" i="13"/>
  <c r="AS236" i="13"/>
  <c r="AR236" i="13"/>
  <c r="AO137" i="13"/>
  <c r="BA137" i="13"/>
  <c r="AQ137" i="13"/>
  <c r="AV137" i="13"/>
  <c r="AI137" i="13"/>
  <c r="AW137" i="13"/>
  <c r="AJ137" i="13"/>
  <c r="AX137" i="13"/>
  <c r="AK137" i="13"/>
  <c r="AY137" i="13"/>
  <c r="AL137" i="13"/>
  <c r="AZ137" i="13"/>
  <c r="AM137" i="13"/>
  <c r="AN137" i="13"/>
  <c r="AP137" i="13"/>
  <c r="AS137" i="13"/>
  <c r="AU137" i="13"/>
  <c r="AR137" i="13"/>
  <c r="AT137" i="13"/>
  <c r="AP159" i="13"/>
  <c r="AQ159" i="13"/>
  <c r="AS159" i="13"/>
  <c r="AV159" i="13"/>
  <c r="AI159" i="13"/>
  <c r="AX159" i="13"/>
  <c r="AK159" i="13"/>
  <c r="AZ159" i="13"/>
  <c r="AL159" i="13"/>
  <c r="AM159" i="13"/>
  <c r="AN159" i="13"/>
  <c r="AO159" i="13"/>
  <c r="AT159" i="13"/>
  <c r="AJ159" i="13"/>
  <c r="AR159" i="13"/>
  <c r="AW159" i="13"/>
  <c r="AU159" i="13"/>
  <c r="BA159" i="13"/>
  <c r="AY159" i="13"/>
  <c r="AN218" i="13"/>
  <c r="AZ218" i="13"/>
  <c r="AP218" i="13"/>
  <c r="AU218" i="13"/>
  <c r="AV218" i="13"/>
  <c r="AI218" i="13"/>
  <c r="AW218" i="13"/>
  <c r="AJ218" i="13"/>
  <c r="AX218" i="13"/>
  <c r="AL218" i="13"/>
  <c r="BA218" i="13"/>
  <c r="AY218" i="13"/>
  <c r="AK218" i="13"/>
  <c r="AM218" i="13"/>
  <c r="AO218" i="13"/>
  <c r="AQ218" i="13"/>
  <c r="AR218" i="13"/>
  <c r="AT218" i="13"/>
  <c r="AS218" i="13"/>
  <c r="AN144" i="13"/>
  <c r="AZ144" i="13"/>
  <c r="AP144" i="13"/>
  <c r="AQ144" i="13"/>
  <c r="AS144" i="13"/>
  <c r="AU144" i="13"/>
  <c r="AL144" i="13"/>
  <c r="AM144" i="13"/>
  <c r="AR144" i="13"/>
  <c r="AV144" i="13"/>
  <c r="AT144" i="13"/>
  <c r="AW144" i="13"/>
  <c r="AX144" i="13"/>
  <c r="AY144" i="13"/>
  <c r="AK144" i="13"/>
  <c r="AI144" i="13"/>
  <c r="AJ144" i="13"/>
  <c r="BA144" i="13"/>
  <c r="AO144" i="13"/>
  <c r="AJ227" i="13"/>
  <c r="AV227" i="13"/>
  <c r="AL227" i="13"/>
  <c r="AX227" i="13"/>
  <c r="AQ227" i="13"/>
  <c r="AR227" i="13"/>
  <c r="AS227" i="13"/>
  <c r="AT227" i="13"/>
  <c r="AW227" i="13"/>
  <c r="AP227" i="13"/>
  <c r="AU227" i="13"/>
  <c r="AY227" i="13"/>
  <c r="AK227" i="13"/>
  <c r="AM227" i="13"/>
  <c r="AN227" i="13"/>
  <c r="AO227" i="13"/>
  <c r="AZ227" i="13"/>
  <c r="BA227" i="13"/>
  <c r="AI227" i="13"/>
  <c r="AN119" i="13"/>
  <c r="AZ119" i="13"/>
  <c r="AP119" i="13"/>
  <c r="AR119" i="13"/>
  <c r="AT119" i="13"/>
  <c r="AO119" i="13"/>
  <c r="AQ119" i="13"/>
  <c r="AS119" i="13"/>
  <c r="AU119" i="13"/>
  <c r="AV119" i="13"/>
  <c r="AW119" i="13"/>
  <c r="AK119" i="13"/>
  <c r="AL119" i="13"/>
  <c r="AX119" i="13"/>
  <c r="BA119" i="13"/>
  <c r="AI119" i="13"/>
  <c r="AJ119" i="13"/>
  <c r="AM119" i="13"/>
  <c r="AY119" i="13"/>
  <c r="AI141" i="13"/>
  <c r="AK141" i="13"/>
  <c r="AW141" i="13"/>
  <c r="AR141" i="13"/>
  <c r="AS141" i="13"/>
  <c r="AU141" i="13"/>
  <c r="AJ141" i="13"/>
  <c r="AX141" i="13"/>
  <c r="AO141" i="13"/>
  <c r="AP141" i="13"/>
  <c r="AT141" i="13"/>
  <c r="AY141" i="13"/>
  <c r="AL141" i="13"/>
  <c r="AM141" i="13"/>
  <c r="AN141" i="13"/>
  <c r="AQ141" i="13"/>
  <c r="AZ141" i="13"/>
  <c r="AV141" i="13"/>
  <c r="BA141" i="13"/>
  <c r="AQ209" i="13"/>
  <c r="AS209" i="13"/>
  <c r="AI209" i="13"/>
  <c r="AU209" i="13"/>
  <c r="AP209" i="13"/>
  <c r="AR209" i="13"/>
  <c r="AT209" i="13"/>
  <c r="AV209" i="13"/>
  <c r="AX209" i="13"/>
  <c r="AM209" i="13"/>
  <c r="AN209" i="13"/>
  <c r="AO209" i="13"/>
  <c r="AZ209" i="13"/>
  <c r="BA209" i="13"/>
  <c r="AJ209" i="13"/>
  <c r="AK209" i="13"/>
  <c r="AL209" i="13"/>
  <c r="AW209" i="13"/>
  <c r="AY209" i="13"/>
  <c r="T10" i="13"/>
  <c r="V10" i="13" s="1"/>
  <c r="U10" i="13"/>
  <c r="AD10" i="13" s="1"/>
  <c r="T22" i="13"/>
  <c r="V22" i="13" s="1"/>
  <c r="U22" i="13"/>
  <c r="AD22" i="13" s="1"/>
  <c r="U34" i="13"/>
  <c r="AD34" i="13" s="1"/>
  <c r="T34" i="13"/>
  <c r="V34" i="13" s="1"/>
  <c r="T46" i="13"/>
  <c r="V46" i="13" s="1"/>
  <c r="U46" i="13"/>
  <c r="AD46" i="13" s="1"/>
  <c r="T58" i="13"/>
  <c r="V58" i="13" s="1"/>
  <c r="U58" i="13"/>
  <c r="AD58" i="13" s="1"/>
  <c r="U70" i="13"/>
  <c r="AD70" i="13" s="1"/>
  <c r="T70" i="13"/>
  <c r="V70" i="13" s="1"/>
  <c r="U82" i="13"/>
  <c r="AD82" i="13" s="1"/>
  <c r="T82" i="13"/>
  <c r="V82" i="13" s="1"/>
  <c r="T94" i="13"/>
  <c r="V94" i="13" s="1"/>
  <c r="U94" i="13"/>
  <c r="AD94" i="13" s="1"/>
  <c r="T106" i="13"/>
  <c r="V106" i="13" s="1"/>
  <c r="U106" i="13"/>
  <c r="AD106" i="13" s="1"/>
  <c r="T118" i="13"/>
  <c r="V118" i="13" s="1"/>
  <c r="U118" i="13"/>
  <c r="AD118" i="13" s="1"/>
  <c r="U130" i="13"/>
  <c r="AD130" i="13" s="1"/>
  <c r="T130" i="13"/>
  <c r="V130" i="13" s="1"/>
  <c r="U142" i="13"/>
  <c r="AD142" i="13" s="1"/>
  <c r="T142" i="13"/>
  <c r="V142" i="13" s="1"/>
  <c r="U154" i="13"/>
  <c r="AD154" i="13" s="1"/>
  <c r="T154" i="13"/>
  <c r="V154" i="13" s="1"/>
  <c r="U166" i="13"/>
  <c r="AD166" i="13" s="1"/>
  <c r="T166" i="13"/>
  <c r="V166" i="13" s="1"/>
  <c r="T178" i="13"/>
  <c r="V178" i="13" s="1"/>
  <c r="U178" i="13"/>
  <c r="AD178" i="13" s="1"/>
  <c r="T190" i="13"/>
  <c r="V190" i="13" s="1"/>
  <c r="U190" i="13"/>
  <c r="AD190" i="13" s="1"/>
  <c r="U202" i="13"/>
  <c r="AD202" i="13" s="1"/>
  <c r="T202" i="13"/>
  <c r="V202" i="13" s="1"/>
  <c r="T214" i="13"/>
  <c r="V214" i="13" s="1"/>
  <c r="U214" i="13"/>
  <c r="AD214" i="13" s="1"/>
  <c r="T227" i="13"/>
  <c r="V227" i="13" s="1"/>
  <c r="U227" i="13"/>
  <c r="AD227" i="13" s="1"/>
  <c r="T240" i="13"/>
  <c r="V240" i="13" s="1"/>
  <c r="U240" i="13"/>
  <c r="AD240" i="13" s="1"/>
  <c r="AJ228" i="13"/>
  <c r="AV228" i="13"/>
  <c r="AL228" i="13"/>
  <c r="AX228" i="13"/>
  <c r="AU228" i="13"/>
  <c r="AW228" i="13"/>
  <c r="AI228" i="13"/>
  <c r="AY228" i="13"/>
  <c r="AK228" i="13"/>
  <c r="AZ228" i="13"/>
  <c r="AN228" i="13"/>
  <c r="AR228" i="13"/>
  <c r="AS228" i="13"/>
  <c r="AT228" i="13"/>
  <c r="AQ228" i="13"/>
  <c r="BA228" i="13"/>
  <c r="AM228" i="13"/>
  <c r="AO228" i="13"/>
  <c r="AP228" i="13"/>
  <c r="AM142" i="13"/>
  <c r="AY142" i="13"/>
  <c r="AJ142" i="13"/>
  <c r="AW142" i="13"/>
  <c r="AK142" i="13"/>
  <c r="AX142" i="13"/>
  <c r="AN142" i="13"/>
  <c r="BA142" i="13"/>
  <c r="AP142" i="13"/>
  <c r="AT142" i="13"/>
  <c r="AU142" i="13"/>
  <c r="AZ142" i="13"/>
  <c r="AI142" i="13"/>
  <c r="AL142" i="13"/>
  <c r="AO142" i="13"/>
  <c r="AR142" i="13"/>
  <c r="AQ142" i="13"/>
  <c r="AV142" i="13"/>
  <c r="AS142" i="13"/>
  <c r="AT174" i="13"/>
  <c r="AI174" i="13"/>
  <c r="AU174" i="13"/>
  <c r="AK174" i="13"/>
  <c r="AW174" i="13"/>
  <c r="AY174" i="13"/>
  <c r="AL174" i="13"/>
  <c r="BA174" i="13"/>
  <c r="AN174" i="13"/>
  <c r="AR174" i="13"/>
  <c r="AS174" i="13"/>
  <c r="AV174" i="13"/>
  <c r="AX174" i="13"/>
  <c r="AJ174" i="13"/>
  <c r="AO174" i="13"/>
  <c r="AM174" i="13"/>
  <c r="AQ174" i="13"/>
  <c r="AZ174" i="13"/>
  <c r="AP174" i="13"/>
  <c r="AN241" i="13"/>
  <c r="AZ241" i="13"/>
  <c r="AP241" i="13"/>
  <c r="AM241" i="13"/>
  <c r="AO241" i="13"/>
  <c r="AQ241" i="13"/>
  <c r="AR241" i="13"/>
  <c r="AT241" i="13"/>
  <c r="AU241" i="13"/>
  <c r="AV241" i="13"/>
  <c r="AW241" i="13"/>
  <c r="BA241" i="13"/>
  <c r="AJ241" i="13"/>
  <c r="AK241" i="13"/>
  <c r="AX241" i="13"/>
  <c r="AL241" i="13"/>
  <c r="AS241" i="13"/>
  <c r="AY241" i="13"/>
  <c r="AI241" i="13"/>
  <c r="AP240" i="13"/>
  <c r="AR240" i="13"/>
  <c r="AL240" i="13"/>
  <c r="AZ240" i="13"/>
  <c r="AM240" i="13"/>
  <c r="BA240" i="13"/>
  <c r="AN240" i="13"/>
  <c r="AO240" i="13"/>
  <c r="AS240" i="13"/>
  <c r="AY240" i="13"/>
  <c r="AK240" i="13"/>
  <c r="AQ240" i="13"/>
  <c r="AT240" i="13"/>
  <c r="AU240" i="13"/>
  <c r="AV240" i="13"/>
  <c r="AW240" i="13"/>
  <c r="AX240" i="13"/>
  <c r="AI240" i="13"/>
  <c r="AJ240" i="13"/>
  <c r="AR118" i="13"/>
  <c r="AT118" i="13"/>
  <c r="AP118" i="13"/>
  <c r="AS118" i="13"/>
  <c r="AJ118" i="13"/>
  <c r="AZ118" i="13"/>
  <c r="AK118" i="13"/>
  <c r="BA118" i="13"/>
  <c r="AL118" i="13"/>
  <c r="AM118" i="13"/>
  <c r="AN118" i="13"/>
  <c r="AO118" i="13"/>
  <c r="AU118" i="13"/>
  <c r="AV118" i="13"/>
  <c r="AX118" i="13"/>
  <c r="AY118" i="13"/>
  <c r="AW118" i="13"/>
  <c r="AI118" i="13"/>
  <c r="AQ118" i="13"/>
  <c r="AM124" i="13"/>
  <c r="AY124" i="13"/>
  <c r="AO124" i="13"/>
  <c r="BA124" i="13"/>
  <c r="AN124" i="13"/>
  <c r="AQ124" i="13"/>
  <c r="AL124" i="13"/>
  <c r="AP124" i="13"/>
  <c r="AR124" i="13"/>
  <c r="AS124" i="13"/>
  <c r="AT124" i="13"/>
  <c r="AU124" i="13"/>
  <c r="AI124" i="13"/>
  <c r="AK124" i="13"/>
  <c r="AW124" i="13"/>
  <c r="AV124" i="13"/>
  <c r="AX124" i="13"/>
  <c r="AZ124" i="13"/>
  <c r="AJ124" i="13"/>
  <c r="AP148" i="13"/>
  <c r="AN148" i="13"/>
  <c r="BA148" i="13"/>
  <c r="AO148" i="13"/>
  <c r="AR148" i="13"/>
  <c r="AT148" i="13"/>
  <c r="AL148" i="13"/>
  <c r="AM148" i="13"/>
  <c r="AS148" i="13"/>
  <c r="AV148" i="13"/>
  <c r="AI148" i="13"/>
  <c r="AJ148" i="13"/>
  <c r="AQ148" i="13"/>
  <c r="AK148" i="13"/>
  <c r="AU148" i="13"/>
  <c r="AY148" i="13"/>
  <c r="AZ148" i="13"/>
  <c r="AW148" i="13"/>
  <c r="AX148" i="13"/>
  <c r="AJ140" i="13"/>
  <c r="AV140" i="13"/>
  <c r="AL140" i="13"/>
  <c r="AX140" i="13"/>
  <c r="AO140" i="13"/>
  <c r="AP140" i="13"/>
  <c r="AQ140" i="13"/>
  <c r="AR140" i="13"/>
  <c r="AT140" i="13"/>
  <c r="AS140" i="13"/>
  <c r="AU140" i="13"/>
  <c r="AY140" i="13"/>
  <c r="BA140" i="13"/>
  <c r="AI140" i="13"/>
  <c r="AM140" i="13"/>
  <c r="AW140" i="13"/>
  <c r="AK140" i="13"/>
  <c r="AN140" i="13"/>
  <c r="AZ140" i="13"/>
  <c r="AI188" i="13"/>
  <c r="AU188" i="13"/>
  <c r="AM188" i="13"/>
  <c r="AZ188" i="13"/>
  <c r="AO188" i="13"/>
  <c r="AQ188" i="13"/>
  <c r="AR188" i="13"/>
  <c r="AS188" i="13"/>
  <c r="AT188" i="13"/>
  <c r="AV188" i="13"/>
  <c r="AX188" i="13"/>
  <c r="AK188" i="13"/>
  <c r="AL188" i="13"/>
  <c r="BA188" i="13"/>
  <c r="AJ188" i="13"/>
  <c r="AN188" i="13"/>
  <c r="AP188" i="13"/>
  <c r="AW188" i="13"/>
  <c r="AY188" i="13"/>
  <c r="AN207" i="13"/>
  <c r="AZ207" i="13"/>
  <c r="AP207" i="13"/>
  <c r="AR207" i="13"/>
  <c r="AK207" i="13"/>
  <c r="BA207" i="13"/>
  <c r="AL207" i="13"/>
  <c r="AM207" i="13"/>
  <c r="AO207" i="13"/>
  <c r="AS207" i="13"/>
  <c r="AV207" i="13"/>
  <c r="AW207" i="13"/>
  <c r="AX207" i="13"/>
  <c r="AI207" i="13"/>
  <c r="AQ207" i="13"/>
  <c r="AT207" i="13"/>
  <c r="AU207" i="13"/>
  <c r="AJ207" i="13"/>
  <c r="AY207" i="13"/>
  <c r="T11" i="13"/>
  <c r="V11" i="13" s="1"/>
  <c r="U11" i="13"/>
  <c r="AD11" i="13" s="1"/>
  <c r="U23" i="13"/>
  <c r="AD23" i="13" s="1"/>
  <c r="T23" i="13"/>
  <c r="V23" i="13" s="1"/>
  <c r="T35" i="13"/>
  <c r="V35" i="13" s="1"/>
  <c r="U35" i="13"/>
  <c r="AD35" i="13" s="1"/>
  <c r="U47" i="13"/>
  <c r="AD47" i="13" s="1"/>
  <c r="T47" i="13"/>
  <c r="V47" i="13" s="1"/>
  <c r="T59" i="13"/>
  <c r="V59" i="13" s="1"/>
  <c r="U59" i="13"/>
  <c r="AD59" i="13" s="1"/>
  <c r="T71" i="13"/>
  <c r="V71" i="13" s="1"/>
  <c r="U71" i="13"/>
  <c r="AD71" i="13" s="1"/>
  <c r="T83" i="13"/>
  <c r="V83" i="13" s="1"/>
  <c r="U83" i="13"/>
  <c r="AD83" i="13" s="1"/>
  <c r="U95" i="13"/>
  <c r="AD95" i="13" s="1"/>
  <c r="T95" i="13"/>
  <c r="V95" i="13" s="1"/>
  <c r="T107" i="13"/>
  <c r="V107" i="13" s="1"/>
  <c r="U107" i="13"/>
  <c r="AD107" i="13" s="1"/>
  <c r="T119" i="13"/>
  <c r="V119" i="13" s="1"/>
  <c r="U119" i="13"/>
  <c r="AD119" i="13" s="1"/>
  <c r="T131" i="13"/>
  <c r="V131" i="13" s="1"/>
  <c r="U131" i="13"/>
  <c r="AD131" i="13" s="1"/>
  <c r="T143" i="13"/>
  <c r="V143" i="13" s="1"/>
  <c r="U143" i="13"/>
  <c r="AD143" i="13" s="1"/>
  <c r="U155" i="13"/>
  <c r="AD155" i="13" s="1"/>
  <c r="T155" i="13"/>
  <c r="V155" i="13" s="1"/>
  <c r="T167" i="13"/>
  <c r="V167" i="13" s="1"/>
  <c r="U167" i="13"/>
  <c r="AD167" i="13" s="1"/>
  <c r="T179" i="13"/>
  <c r="V179" i="13" s="1"/>
  <c r="U179" i="13"/>
  <c r="AD179" i="13" s="1"/>
  <c r="U191" i="13"/>
  <c r="AD191" i="13" s="1"/>
  <c r="T191" i="13"/>
  <c r="V191" i="13" s="1"/>
  <c r="T203" i="13"/>
  <c r="V203" i="13" s="1"/>
  <c r="U203" i="13"/>
  <c r="AD203" i="13" s="1"/>
  <c r="T215" i="13"/>
  <c r="V215" i="13" s="1"/>
  <c r="U215" i="13"/>
  <c r="AD215" i="13" s="1"/>
  <c r="U228" i="13"/>
  <c r="AD228" i="13" s="1"/>
  <c r="T228" i="13"/>
  <c r="V228" i="13" s="1"/>
  <c r="T241" i="13"/>
  <c r="V241" i="13" s="1"/>
  <c r="U241" i="13"/>
  <c r="AD241" i="13" s="1"/>
  <c r="B33" i="22"/>
  <c r="B29" i="22"/>
  <c r="B32" i="22"/>
  <c r="B31" i="22"/>
  <c r="B1101" i="39"/>
  <c r="B70" i="39"/>
  <c r="B71" i="39"/>
  <c r="B72" i="39"/>
  <c r="B73" i="39"/>
  <c r="B74" i="39"/>
  <c r="B75" i="39"/>
  <c r="B76" i="39"/>
  <c r="B77" i="39"/>
  <c r="B78" i="39"/>
  <c r="B79" i="39"/>
  <c r="B80" i="39"/>
  <c r="B81" i="39"/>
  <c r="B82" i="39"/>
  <c r="B83" i="39"/>
  <c r="B84" i="39"/>
  <c r="B85" i="39"/>
  <c r="B86" i="39"/>
  <c r="B87" i="39"/>
  <c r="B88" i="39"/>
  <c r="B89" i="39"/>
  <c r="B90" i="39"/>
  <c r="B91" i="39"/>
  <c r="B92" i="39"/>
  <c r="B93" i="39"/>
  <c r="B94" i="39"/>
  <c r="B95" i="39"/>
  <c r="B96" i="39"/>
  <c r="B97" i="39"/>
  <c r="B98" i="39"/>
  <c r="B99" i="39"/>
  <c r="B100" i="39"/>
  <c r="B101" i="39"/>
  <c r="B102" i="39"/>
  <c r="B103" i="39"/>
  <c r="B104" i="39"/>
  <c r="B105" i="39"/>
  <c r="B106" i="39"/>
  <c r="B107" i="39"/>
  <c r="B108" i="39"/>
  <c r="B109" i="39"/>
  <c r="B110" i="39"/>
  <c r="B111" i="39"/>
  <c r="B112" i="39"/>
  <c r="B113" i="39"/>
  <c r="B114" i="39"/>
  <c r="B115" i="39"/>
  <c r="B116" i="39"/>
  <c r="B117" i="39"/>
  <c r="B118" i="39"/>
  <c r="B119" i="39"/>
  <c r="B120" i="39"/>
  <c r="B121" i="39"/>
  <c r="B122" i="39"/>
  <c r="B123" i="39"/>
  <c r="B124" i="39"/>
  <c r="B125" i="39"/>
  <c r="B126" i="39"/>
  <c r="B127" i="39"/>
  <c r="B128" i="39"/>
  <c r="B129" i="39"/>
  <c r="B130" i="39"/>
  <c r="B131" i="39"/>
  <c r="B132" i="39"/>
  <c r="B133" i="39"/>
  <c r="B134" i="39"/>
  <c r="B135" i="39"/>
  <c r="B136" i="39"/>
  <c r="B137" i="39"/>
  <c r="B138" i="39"/>
  <c r="B139" i="39"/>
  <c r="B140" i="39"/>
  <c r="B141" i="39"/>
  <c r="B142" i="39"/>
  <c r="B143" i="39"/>
  <c r="B144" i="39"/>
  <c r="B145" i="39"/>
  <c r="B146" i="39"/>
  <c r="B147" i="39"/>
  <c r="B148" i="39"/>
  <c r="B149" i="39"/>
  <c r="B150" i="39"/>
  <c r="B151" i="39"/>
  <c r="B152" i="39"/>
  <c r="B153" i="39"/>
  <c r="B154" i="39"/>
  <c r="B155" i="39"/>
  <c r="B156" i="39"/>
  <c r="B157" i="39"/>
  <c r="B158" i="39"/>
  <c r="B159" i="39"/>
  <c r="B160" i="39"/>
  <c r="B161" i="39"/>
  <c r="B162" i="39"/>
  <c r="B163" i="39"/>
  <c r="B164" i="39"/>
  <c r="B165" i="39"/>
  <c r="B166" i="39"/>
  <c r="B167" i="39"/>
  <c r="B168" i="39"/>
  <c r="B169" i="39"/>
  <c r="B170" i="39"/>
  <c r="B171" i="39"/>
  <c r="B172" i="39"/>
  <c r="B173" i="39"/>
  <c r="B174" i="39"/>
  <c r="B175" i="39"/>
  <c r="B176" i="39"/>
  <c r="B177" i="39"/>
  <c r="B178" i="39"/>
  <c r="B179" i="39"/>
  <c r="B180" i="39"/>
  <c r="B181" i="39"/>
  <c r="B182" i="39"/>
  <c r="B183" i="39"/>
  <c r="B184" i="39"/>
  <c r="B185" i="39"/>
  <c r="B186" i="39"/>
  <c r="B187" i="39"/>
  <c r="B188" i="39"/>
  <c r="B189" i="39"/>
  <c r="B190" i="39"/>
  <c r="B191" i="39"/>
  <c r="B192" i="39"/>
  <c r="B193" i="39"/>
  <c r="B194" i="39"/>
  <c r="B195" i="39"/>
  <c r="B196" i="39"/>
  <c r="B197" i="39"/>
  <c r="B198" i="39"/>
  <c r="B199" i="39"/>
  <c r="B200" i="39"/>
  <c r="B201" i="39"/>
  <c r="B202" i="39"/>
  <c r="B203" i="39"/>
  <c r="B204" i="39"/>
  <c r="B205" i="39"/>
  <c r="B206" i="39"/>
  <c r="B207" i="39"/>
  <c r="B208" i="39"/>
  <c r="B209" i="39"/>
  <c r="B210" i="39"/>
  <c r="B211" i="39"/>
  <c r="B212" i="39"/>
  <c r="B213" i="39"/>
  <c r="B214" i="39"/>
  <c r="B215" i="39"/>
  <c r="B216" i="39"/>
  <c r="B217" i="39"/>
  <c r="B218" i="39"/>
  <c r="B219" i="39"/>
  <c r="B220" i="39"/>
  <c r="B221" i="39"/>
  <c r="B222" i="39"/>
  <c r="B223" i="39"/>
  <c r="B224" i="39"/>
  <c r="B225" i="39"/>
  <c r="B226" i="39"/>
  <c r="B227" i="39"/>
  <c r="B228" i="39"/>
  <c r="B229" i="39"/>
  <c r="B230" i="39"/>
  <c r="B231" i="39"/>
  <c r="B232" i="39"/>
  <c r="B233" i="39"/>
  <c r="B234" i="39"/>
  <c r="B235" i="39"/>
  <c r="B236" i="39"/>
  <c r="B237" i="39"/>
  <c r="B238" i="39"/>
  <c r="B239" i="39"/>
  <c r="B240" i="39"/>
  <c r="B241" i="39"/>
  <c r="B242" i="39"/>
  <c r="B243" i="39"/>
  <c r="B244" i="39"/>
  <c r="B245" i="39"/>
  <c r="B246" i="39"/>
  <c r="B247" i="39"/>
  <c r="B248" i="39"/>
  <c r="B249" i="39"/>
  <c r="B250" i="39"/>
  <c r="B251" i="39"/>
  <c r="B252" i="39"/>
  <c r="B253" i="39"/>
  <c r="B254" i="39"/>
  <c r="B255" i="39"/>
  <c r="B256" i="39"/>
  <c r="B257" i="39"/>
  <c r="B258" i="39"/>
  <c r="B259" i="39"/>
  <c r="B260" i="39"/>
  <c r="B261" i="39"/>
  <c r="B262" i="39"/>
  <c r="B263" i="39"/>
  <c r="B264" i="39"/>
  <c r="B265" i="39"/>
  <c r="B266" i="39"/>
  <c r="B267" i="39"/>
  <c r="B268" i="39"/>
  <c r="B269" i="39"/>
  <c r="B270" i="39"/>
  <c r="B271" i="39"/>
  <c r="B272" i="39"/>
  <c r="B273" i="39"/>
  <c r="B274" i="39"/>
  <c r="B275" i="39"/>
  <c r="B276" i="39"/>
  <c r="B277" i="39"/>
  <c r="B278" i="39"/>
  <c r="B279" i="39"/>
  <c r="B280" i="39"/>
  <c r="B281" i="39"/>
  <c r="B282" i="39"/>
  <c r="B283" i="39"/>
  <c r="B284" i="39"/>
  <c r="B285" i="39"/>
  <c r="B286" i="39"/>
  <c r="B287" i="39"/>
  <c r="B288" i="39"/>
  <c r="B289" i="39"/>
  <c r="B290" i="39"/>
  <c r="B291" i="39"/>
  <c r="B292" i="39"/>
  <c r="B293" i="39"/>
  <c r="B294" i="39"/>
  <c r="B295" i="39"/>
  <c r="B296" i="39"/>
  <c r="B297" i="39"/>
  <c r="B298" i="39"/>
  <c r="B299" i="39"/>
  <c r="B300" i="39"/>
  <c r="B301" i="39"/>
  <c r="B302" i="39"/>
  <c r="B303" i="39"/>
  <c r="B304" i="39"/>
  <c r="B305" i="39"/>
  <c r="B306" i="39"/>
  <c r="B307" i="39"/>
  <c r="B308" i="39"/>
  <c r="B309" i="39"/>
  <c r="B310" i="39"/>
  <c r="B311" i="39"/>
  <c r="B312" i="39"/>
  <c r="B313" i="39"/>
  <c r="B314" i="39"/>
  <c r="B315" i="39"/>
  <c r="B316" i="39"/>
  <c r="B317" i="39"/>
  <c r="B318" i="39"/>
  <c r="B319" i="39"/>
  <c r="B320" i="39"/>
  <c r="B321" i="39"/>
  <c r="B322" i="39"/>
  <c r="B323" i="39"/>
  <c r="B324" i="39"/>
  <c r="B325" i="39"/>
  <c r="B326" i="39"/>
  <c r="B327" i="39"/>
  <c r="B328" i="39"/>
  <c r="B329" i="39"/>
  <c r="B330" i="39"/>
  <c r="B331" i="39"/>
  <c r="B332" i="39"/>
  <c r="B333" i="39"/>
  <c r="B334" i="39"/>
  <c r="B335" i="39"/>
  <c r="B336" i="39"/>
  <c r="B337" i="39"/>
  <c r="B338" i="39"/>
  <c r="B339" i="39"/>
  <c r="B340" i="39"/>
  <c r="B341" i="39"/>
  <c r="B342" i="39"/>
  <c r="B343" i="39"/>
  <c r="B344" i="39"/>
  <c r="B345" i="39"/>
  <c r="B346" i="39"/>
  <c r="B347" i="39"/>
  <c r="B348" i="39"/>
  <c r="B349" i="39"/>
  <c r="B350" i="39"/>
  <c r="B351" i="39"/>
  <c r="B352" i="39"/>
  <c r="B353" i="39"/>
  <c r="B354" i="39"/>
  <c r="B355" i="39"/>
  <c r="B356" i="39"/>
  <c r="B357" i="39"/>
  <c r="B358" i="39"/>
  <c r="B359" i="39"/>
  <c r="B360" i="39"/>
  <c r="B361" i="39"/>
  <c r="B362" i="39"/>
  <c r="B363" i="39"/>
  <c r="B364" i="39"/>
  <c r="B365" i="39"/>
  <c r="B366" i="39"/>
  <c r="B367" i="39"/>
  <c r="B368" i="39"/>
  <c r="B369" i="39"/>
  <c r="B370" i="39"/>
  <c r="B371" i="39"/>
  <c r="B372" i="39"/>
  <c r="B373" i="39"/>
  <c r="B374" i="39"/>
  <c r="B375" i="39"/>
  <c r="B376" i="39"/>
  <c r="B377" i="39"/>
  <c r="B378" i="39"/>
  <c r="B379" i="39"/>
  <c r="B380" i="39"/>
  <c r="B381" i="39"/>
  <c r="B382" i="39"/>
  <c r="B383" i="39"/>
  <c r="B384" i="39"/>
  <c r="B385" i="39"/>
  <c r="B386" i="39"/>
  <c r="B387" i="39"/>
  <c r="B388" i="39"/>
  <c r="B389" i="39"/>
  <c r="B390" i="39"/>
  <c r="B391" i="39"/>
  <c r="B392" i="39"/>
  <c r="B393" i="39"/>
  <c r="B394" i="39"/>
  <c r="B395" i="39"/>
  <c r="B396" i="39"/>
  <c r="B397" i="39"/>
  <c r="B398" i="39"/>
  <c r="B399" i="39"/>
  <c r="B400" i="39"/>
  <c r="B401" i="39"/>
  <c r="B402" i="39"/>
  <c r="B403" i="39"/>
  <c r="B404" i="39"/>
  <c r="B405" i="39"/>
  <c r="B406" i="39"/>
  <c r="B407" i="39"/>
  <c r="B408" i="39"/>
  <c r="B409" i="39"/>
  <c r="B410" i="39"/>
  <c r="B411" i="39"/>
  <c r="B412" i="39"/>
  <c r="B413" i="39"/>
  <c r="B414" i="39"/>
  <c r="B415" i="39"/>
  <c r="B416" i="39"/>
  <c r="B417" i="39"/>
  <c r="B418" i="39"/>
  <c r="B419" i="39"/>
  <c r="B420" i="39"/>
  <c r="B421" i="39"/>
  <c r="B422" i="39"/>
  <c r="B423" i="39"/>
  <c r="B424" i="39"/>
  <c r="B425" i="39"/>
  <c r="B426" i="39"/>
  <c r="B427" i="39"/>
  <c r="B428" i="39"/>
  <c r="B429" i="39"/>
  <c r="B430" i="39"/>
  <c r="B431" i="39"/>
  <c r="B432" i="39"/>
  <c r="B433" i="39"/>
  <c r="B434" i="39"/>
  <c r="B435" i="39"/>
  <c r="B436" i="39"/>
  <c r="B437" i="39"/>
  <c r="B438" i="39"/>
  <c r="B439" i="39"/>
  <c r="B440" i="39"/>
  <c r="B441" i="39"/>
  <c r="B442" i="39"/>
  <c r="B443" i="39"/>
  <c r="B444" i="39"/>
  <c r="B445" i="39"/>
  <c r="B446" i="39"/>
  <c r="B447" i="39"/>
  <c r="B448" i="39"/>
  <c r="B449" i="39"/>
  <c r="B450" i="39"/>
  <c r="B451" i="39"/>
  <c r="B452" i="39"/>
  <c r="B453" i="39"/>
  <c r="B454" i="39"/>
  <c r="B455" i="39"/>
  <c r="B456" i="39"/>
  <c r="B457" i="39"/>
  <c r="B458" i="39"/>
  <c r="B459" i="39"/>
  <c r="B460" i="39"/>
  <c r="B461" i="39"/>
  <c r="B462" i="39"/>
  <c r="B463" i="39"/>
  <c r="B464" i="39"/>
  <c r="B465" i="39"/>
  <c r="B466" i="39"/>
  <c r="B467" i="39"/>
  <c r="B468" i="39"/>
  <c r="B469" i="39"/>
  <c r="B470" i="39"/>
  <c r="B471" i="39"/>
  <c r="B472" i="39"/>
  <c r="B473" i="39"/>
  <c r="B474" i="39"/>
  <c r="B475" i="39"/>
  <c r="B476" i="39"/>
  <c r="B477" i="39"/>
  <c r="B478" i="39"/>
  <c r="B479" i="39"/>
  <c r="B480" i="39"/>
  <c r="B481" i="39"/>
  <c r="B482" i="39"/>
  <c r="B483" i="39"/>
  <c r="B484" i="39"/>
  <c r="B485" i="39"/>
  <c r="B486" i="39"/>
  <c r="B487" i="39"/>
  <c r="B488" i="39"/>
  <c r="B489" i="39"/>
  <c r="B490" i="39"/>
  <c r="B491" i="39"/>
  <c r="B492" i="39"/>
  <c r="B493" i="39"/>
  <c r="B494" i="39"/>
  <c r="B495" i="39"/>
  <c r="B496" i="39"/>
  <c r="B497" i="39"/>
  <c r="B498" i="39"/>
  <c r="B499" i="39"/>
  <c r="B500" i="39"/>
  <c r="B501" i="39"/>
  <c r="B502" i="39"/>
  <c r="B503" i="39"/>
  <c r="B504" i="39"/>
  <c r="B505" i="39"/>
  <c r="B506" i="39"/>
  <c r="B507" i="39"/>
  <c r="B508" i="39"/>
  <c r="B509" i="39"/>
  <c r="B510" i="39"/>
  <c r="B511" i="39"/>
  <c r="B512" i="39"/>
  <c r="B513" i="39"/>
  <c r="B514" i="39"/>
  <c r="B515" i="39"/>
  <c r="B516" i="39"/>
  <c r="B517" i="39"/>
  <c r="B518" i="39"/>
  <c r="B519" i="39"/>
  <c r="B520" i="39"/>
  <c r="B521" i="39"/>
  <c r="B522" i="39"/>
  <c r="B523" i="39"/>
  <c r="B524" i="39"/>
  <c r="B525" i="39"/>
  <c r="B526" i="39"/>
  <c r="B527" i="39"/>
  <c r="B528" i="39"/>
  <c r="B529" i="39"/>
  <c r="B530" i="39"/>
  <c r="B531" i="39"/>
  <c r="B532" i="39"/>
  <c r="B533" i="39"/>
  <c r="B534" i="39"/>
  <c r="B535" i="39"/>
  <c r="B536" i="39"/>
  <c r="B537" i="39"/>
  <c r="B538" i="39"/>
  <c r="B539" i="39"/>
  <c r="B540" i="39"/>
  <c r="B541" i="39"/>
  <c r="B542" i="39"/>
  <c r="B543" i="39"/>
  <c r="B544" i="39"/>
  <c r="B545" i="39"/>
  <c r="B546" i="39"/>
  <c r="B547" i="39"/>
  <c r="B548" i="39"/>
  <c r="B549" i="39"/>
  <c r="B550" i="39"/>
  <c r="B551" i="39"/>
  <c r="B552" i="39"/>
  <c r="B553" i="39"/>
  <c r="B554" i="39"/>
  <c r="B555" i="39"/>
  <c r="B556" i="39"/>
  <c r="B557" i="39"/>
  <c r="B558" i="39"/>
  <c r="B559" i="39"/>
  <c r="B560" i="39"/>
  <c r="B561" i="39"/>
  <c r="B562" i="39"/>
  <c r="B563" i="39"/>
  <c r="B564" i="39"/>
  <c r="B565" i="39"/>
  <c r="B566" i="39"/>
  <c r="B567" i="39"/>
  <c r="B568" i="39"/>
  <c r="B569" i="39"/>
  <c r="B570" i="39"/>
  <c r="B571" i="39"/>
  <c r="B572" i="39"/>
  <c r="B573" i="39"/>
  <c r="B574" i="39"/>
  <c r="B575" i="39"/>
  <c r="B576" i="39"/>
  <c r="B577" i="39"/>
  <c r="B578" i="39"/>
  <c r="B579" i="39"/>
  <c r="B580" i="39"/>
  <c r="B581" i="39"/>
  <c r="B582" i="39"/>
  <c r="B583" i="39"/>
  <c r="B584" i="39"/>
  <c r="B585" i="39"/>
  <c r="B586" i="39"/>
  <c r="B587" i="39"/>
  <c r="B588" i="39"/>
  <c r="B589" i="39"/>
  <c r="B590" i="39"/>
  <c r="B591" i="39"/>
  <c r="B592" i="39"/>
  <c r="B593" i="39"/>
  <c r="B594" i="39"/>
  <c r="B595" i="39"/>
  <c r="B596" i="39"/>
  <c r="B597" i="39"/>
  <c r="B598" i="39"/>
  <c r="B599" i="39"/>
  <c r="B600" i="39"/>
  <c r="B601" i="39"/>
  <c r="B602" i="39"/>
  <c r="B603" i="39"/>
  <c r="B604" i="39"/>
  <c r="B605" i="39"/>
  <c r="B606" i="39"/>
  <c r="B607" i="39"/>
  <c r="B608" i="39"/>
  <c r="B609" i="39"/>
  <c r="B610" i="39"/>
  <c r="B611" i="39"/>
  <c r="B612" i="39"/>
  <c r="B613" i="39"/>
  <c r="B614" i="39"/>
  <c r="B615" i="39"/>
  <c r="B616" i="39"/>
  <c r="B617" i="39"/>
  <c r="B618" i="39"/>
  <c r="B619" i="39"/>
  <c r="B620" i="39"/>
  <c r="B621" i="39"/>
  <c r="B622" i="39"/>
  <c r="B623" i="39"/>
  <c r="B624" i="39"/>
  <c r="B625" i="39"/>
  <c r="B626" i="39"/>
  <c r="B627" i="39"/>
  <c r="B628" i="39"/>
  <c r="B629" i="39"/>
  <c r="B630" i="39"/>
  <c r="B631" i="39"/>
  <c r="B632" i="39"/>
  <c r="B633" i="39"/>
  <c r="B634" i="39"/>
  <c r="B635" i="39"/>
  <c r="B636" i="39"/>
  <c r="B637" i="39"/>
  <c r="B638" i="39"/>
  <c r="B639" i="39"/>
  <c r="B640" i="39"/>
  <c r="B641" i="39"/>
  <c r="B642" i="39"/>
  <c r="B643" i="39"/>
  <c r="B644" i="39"/>
  <c r="B645" i="39"/>
  <c r="B646" i="39"/>
  <c r="B647" i="39"/>
  <c r="B648" i="39"/>
  <c r="B649" i="39"/>
  <c r="B650" i="39"/>
  <c r="B651" i="39"/>
  <c r="B652" i="39"/>
  <c r="B653" i="39"/>
  <c r="B654" i="39"/>
  <c r="B655" i="39"/>
  <c r="B656" i="39"/>
  <c r="B657" i="39"/>
  <c r="B658" i="39"/>
  <c r="B659" i="39"/>
  <c r="B660" i="39"/>
  <c r="B661" i="39"/>
  <c r="B662" i="39"/>
  <c r="B663" i="39"/>
  <c r="B664" i="39"/>
  <c r="B665" i="39"/>
  <c r="B666" i="39"/>
  <c r="B667" i="39"/>
  <c r="B668" i="39"/>
  <c r="B669" i="39"/>
  <c r="B670" i="39"/>
  <c r="B671" i="39"/>
  <c r="B672" i="39"/>
  <c r="B673" i="39"/>
  <c r="B674" i="39"/>
  <c r="B675" i="39"/>
  <c r="B676" i="39"/>
  <c r="B677" i="39"/>
  <c r="B678" i="39"/>
  <c r="B679" i="39"/>
  <c r="B680" i="39"/>
  <c r="B681" i="39"/>
  <c r="B682" i="39"/>
  <c r="B683" i="39"/>
  <c r="B684" i="39"/>
  <c r="B685" i="39"/>
  <c r="B686" i="39"/>
  <c r="B687" i="39"/>
  <c r="B688" i="39"/>
  <c r="B689" i="39"/>
  <c r="B690" i="39"/>
  <c r="B691" i="39"/>
  <c r="B692" i="39"/>
  <c r="B693" i="39"/>
  <c r="B694" i="39"/>
  <c r="B695" i="39"/>
  <c r="B696" i="39"/>
  <c r="B697" i="39"/>
  <c r="B698" i="39"/>
  <c r="B699" i="39"/>
  <c r="B700" i="39"/>
  <c r="B701" i="39"/>
  <c r="B702" i="39"/>
  <c r="B703" i="39"/>
  <c r="B704" i="39"/>
  <c r="B705" i="39"/>
  <c r="B706" i="39"/>
  <c r="B707" i="39"/>
  <c r="B708" i="39"/>
  <c r="B709" i="39"/>
  <c r="B710" i="39"/>
  <c r="B711" i="39"/>
  <c r="B712" i="39"/>
  <c r="B713" i="39"/>
  <c r="B714" i="39"/>
  <c r="B715" i="39"/>
  <c r="B716" i="39"/>
  <c r="B717" i="39"/>
  <c r="B718" i="39"/>
  <c r="B719" i="39"/>
  <c r="B720" i="39"/>
  <c r="B721" i="39"/>
  <c r="B722" i="39"/>
  <c r="B723" i="39"/>
  <c r="B724" i="39"/>
  <c r="B725" i="39"/>
  <c r="B726" i="39"/>
  <c r="B727" i="39"/>
  <c r="B728" i="39"/>
  <c r="B729" i="39"/>
  <c r="B730" i="39"/>
  <c r="B731" i="39"/>
  <c r="B732" i="39"/>
  <c r="B733" i="39"/>
  <c r="B734" i="39"/>
  <c r="B735" i="39"/>
  <c r="B736" i="39"/>
  <c r="B737" i="39"/>
  <c r="B738" i="39"/>
  <c r="B739" i="39"/>
  <c r="B740" i="39"/>
  <c r="B741" i="39"/>
  <c r="B742" i="39"/>
  <c r="B743" i="39"/>
  <c r="B744" i="39"/>
  <c r="B745" i="39"/>
  <c r="B746" i="39"/>
  <c r="B747" i="39"/>
  <c r="B748" i="39"/>
  <c r="B749" i="39"/>
  <c r="B750" i="39"/>
  <c r="B751" i="39"/>
  <c r="B752" i="39"/>
  <c r="B753" i="39"/>
  <c r="B754" i="39"/>
  <c r="B755" i="39"/>
  <c r="B756" i="39"/>
  <c r="B757" i="39"/>
  <c r="B758" i="39"/>
  <c r="B759" i="39"/>
  <c r="B760" i="39"/>
  <c r="B761" i="39"/>
  <c r="B762" i="39"/>
  <c r="B763" i="39"/>
  <c r="B764" i="39"/>
  <c r="B765" i="39"/>
  <c r="B766" i="39"/>
  <c r="B767" i="39"/>
  <c r="B768" i="39"/>
  <c r="B769" i="39"/>
  <c r="B770" i="39"/>
  <c r="B771" i="39"/>
  <c r="B772" i="39"/>
  <c r="B773" i="39"/>
  <c r="B774" i="39"/>
  <c r="B775" i="39"/>
  <c r="B776" i="39"/>
  <c r="B777" i="39"/>
  <c r="B778" i="39"/>
  <c r="B779" i="39"/>
  <c r="B780" i="39"/>
  <c r="B781" i="39"/>
  <c r="B782" i="39"/>
  <c r="B783" i="39"/>
  <c r="B784" i="39"/>
  <c r="B785" i="39"/>
  <c r="B786" i="39"/>
  <c r="B787" i="39"/>
  <c r="B788" i="39"/>
  <c r="B789" i="39"/>
  <c r="B790" i="39"/>
  <c r="B791" i="39"/>
  <c r="B792" i="39"/>
  <c r="B793" i="39"/>
  <c r="B794" i="39"/>
  <c r="B795" i="39"/>
  <c r="B796" i="39"/>
  <c r="B797" i="39"/>
  <c r="B798" i="39"/>
  <c r="B799" i="39"/>
  <c r="B800" i="39"/>
  <c r="B801" i="39"/>
  <c r="B802" i="39"/>
  <c r="B803" i="39"/>
  <c r="B804" i="39"/>
  <c r="B805" i="39"/>
  <c r="B806" i="39"/>
  <c r="B807" i="39"/>
  <c r="B808" i="39"/>
  <c r="B809" i="39"/>
  <c r="B810" i="39"/>
  <c r="B811" i="39"/>
  <c r="B812" i="39"/>
  <c r="B813" i="39"/>
  <c r="B814" i="39"/>
  <c r="B815" i="39"/>
  <c r="B816" i="39"/>
  <c r="B817" i="39"/>
  <c r="B818" i="39"/>
  <c r="B819" i="39"/>
  <c r="B820" i="39"/>
  <c r="B821" i="39"/>
  <c r="B822" i="39"/>
  <c r="B823" i="39"/>
  <c r="B824" i="39"/>
  <c r="B825" i="39"/>
  <c r="B826" i="39"/>
  <c r="B827" i="39"/>
  <c r="B828" i="39"/>
  <c r="B829" i="39"/>
  <c r="B830" i="39"/>
  <c r="B831" i="39"/>
  <c r="B832" i="39"/>
  <c r="B833" i="39"/>
  <c r="B834" i="39"/>
  <c r="B835" i="39"/>
  <c r="B836" i="39"/>
  <c r="B837" i="39"/>
  <c r="B838" i="39"/>
  <c r="B839" i="39"/>
  <c r="B840" i="39"/>
  <c r="B841" i="39"/>
  <c r="B842" i="39"/>
  <c r="B843" i="39"/>
  <c r="B844" i="39"/>
  <c r="B845" i="39"/>
  <c r="B846" i="39"/>
  <c r="B847" i="39"/>
  <c r="B848" i="39"/>
  <c r="B849" i="39"/>
  <c r="B850" i="39"/>
  <c r="B851" i="39"/>
  <c r="B852" i="39"/>
  <c r="B853" i="39"/>
  <c r="B854" i="39"/>
  <c r="B855" i="39"/>
  <c r="B856" i="39"/>
  <c r="B857" i="39"/>
  <c r="B858" i="39"/>
  <c r="B859" i="39"/>
  <c r="B860" i="39"/>
  <c r="B861" i="39"/>
  <c r="B862" i="39"/>
  <c r="B863" i="39"/>
  <c r="B864" i="39"/>
  <c r="B865" i="39"/>
  <c r="B866" i="39"/>
  <c r="B867" i="39"/>
  <c r="B868" i="39"/>
  <c r="B869" i="39"/>
  <c r="B870" i="39"/>
  <c r="B871" i="39"/>
  <c r="B872" i="39"/>
  <c r="B873" i="39"/>
  <c r="B874" i="39"/>
  <c r="B875" i="39"/>
  <c r="B876" i="39"/>
  <c r="B877" i="39"/>
  <c r="B878" i="39"/>
  <c r="B879" i="39"/>
  <c r="B880" i="39"/>
  <c r="B881" i="39"/>
  <c r="B882" i="39"/>
  <c r="B883" i="39"/>
  <c r="B884" i="39"/>
  <c r="B885" i="39"/>
  <c r="B886" i="39"/>
  <c r="B887" i="39"/>
  <c r="B888" i="39"/>
  <c r="B889" i="39"/>
  <c r="B890" i="39"/>
  <c r="B891" i="39"/>
  <c r="B892" i="39"/>
  <c r="B893" i="39"/>
  <c r="B894" i="39"/>
  <c r="B895" i="39"/>
  <c r="B896" i="39"/>
  <c r="B897" i="39"/>
  <c r="B898" i="39"/>
  <c r="B899" i="39"/>
  <c r="B900" i="39"/>
  <c r="B901" i="39"/>
  <c r="B902" i="39"/>
  <c r="B903" i="39"/>
  <c r="B904" i="39"/>
  <c r="B905" i="39"/>
  <c r="B906" i="39"/>
  <c r="B907" i="39"/>
  <c r="B908" i="39"/>
  <c r="B909" i="39"/>
  <c r="B910" i="39"/>
  <c r="B911" i="39"/>
  <c r="B912" i="39"/>
  <c r="B913" i="39"/>
  <c r="B914" i="39"/>
  <c r="B915" i="39"/>
  <c r="B916" i="39"/>
  <c r="B917" i="39"/>
  <c r="B918" i="39"/>
  <c r="B919" i="39"/>
  <c r="B920" i="39"/>
  <c r="B921" i="39"/>
  <c r="B922" i="39"/>
  <c r="B923" i="39"/>
  <c r="B924" i="39"/>
  <c r="B925" i="39"/>
  <c r="B926" i="39"/>
  <c r="B927" i="39"/>
  <c r="B928" i="39"/>
  <c r="B929" i="39"/>
  <c r="B930" i="39"/>
  <c r="B931" i="39"/>
  <c r="B932" i="39"/>
  <c r="B933" i="39"/>
  <c r="B934" i="39"/>
  <c r="B935" i="39"/>
  <c r="B936" i="39"/>
  <c r="B937" i="39"/>
  <c r="B938" i="39"/>
  <c r="B939" i="39"/>
  <c r="B940" i="39"/>
  <c r="B941" i="39"/>
  <c r="B942" i="39"/>
  <c r="B943" i="39"/>
  <c r="B944" i="39"/>
  <c r="B945" i="39"/>
  <c r="B946" i="39"/>
  <c r="B947" i="39"/>
  <c r="B948" i="39"/>
  <c r="B949" i="39"/>
  <c r="B950" i="39"/>
  <c r="B951" i="39"/>
  <c r="B952" i="39"/>
  <c r="B953" i="39"/>
  <c r="B954" i="39"/>
  <c r="B955" i="39"/>
  <c r="B956" i="39"/>
  <c r="B957" i="39"/>
  <c r="B958" i="39"/>
  <c r="B959" i="39"/>
  <c r="B960" i="39"/>
  <c r="B961" i="39"/>
  <c r="B962" i="39"/>
  <c r="B963" i="39"/>
  <c r="B964" i="39"/>
  <c r="B965" i="39"/>
  <c r="B966" i="39"/>
  <c r="B967" i="39"/>
  <c r="B968" i="39"/>
  <c r="B969" i="39"/>
  <c r="B970" i="39"/>
  <c r="B971" i="39"/>
  <c r="B972" i="39"/>
  <c r="B973" i="39"/>
  <c r="B974" i="39"/>
  <c r="B975" i="39"/>
  <c r="B976" i="39"/>
  <c r="B977" i="39"/>
  <c r="B978" i="39"/>
  <c r="B979" i="39"/>
  <c r="B980" i="39"/>
  <c r="B981" i="39"/>
  <c r="B982" i="39"/>
  <c r="B983" i="39"/>
  <c r="B984" i="39"/>
  <c r="B985" i="39"/>
  <c r="B986" i="39"/>
  <c r="B987" i="39"/>
  <c r="B988" i="39"/>
  <c r="B989" i="39"/>
  <c r="B990" i="39"/>
  <c r="B991" i="39"/>
  <c r="B992" i="39"/>
  <c r="B993" i="39"/>
  <c r="B994" i="39"/>
  <c r="B995" i="39"/>
  <c r="B996" i="39"/>
  <c r="B997" i="39"/>
  <c r="B998" i="39"/>
  <c r="B999" i="39"/>
  <c r="B1000" i="39"/>
  <c r="B1001" i="39"/>
  <c r="B1002" i="39"/>
  <c r="B1003" i="39"/>
  <c r="B1004" i="39"/>
  <c r="B1005" i="39"/>
  <c r="B1006" i="39"/>
  <c r="B1007" i="39"/>
  <c r="B1008" i="39"/>
  <c r="B1009" i="39"/>
  <c r="B1010" i="39"/>
  <c r="B1011" i="39"/>
  <c r="B1012" i="39"/>
  <c r="B1013" i="39"/>
  <c r="B1014" i="39"/>
  <c r="B1015" i="39"/>
  <c r="B1016" i="39"/>
  <c r="B1017" i="39"/>
  <c r="B1018" i="39"/>
  <c r="B1019" i="39"/>
  <c r="B1020" i="39"/>
  <c r="B1021" i="39"/>
  <c r="B1022" i="39"/>
  <c r="B1023" i="39"/>
  <c r="B1024" i="39"/>
  <c r="B1025" i="39"/>
  <c r="B1026" i="39"/>
  <c r="B1027" i="39"/>
  <c r="B1028" i="39"/>
  <c r="B1029" i="39"/>
  <c r="B1030" i="39"/>
  <c r="B1031" i="39"/>
  <c r="B1032" i="39"/>
  <c r="B1033" i="39"/>
  <c r="B1034" i="39"/>
  <c r="B1035" i="39"/>
  <c r="B1036" i="39"/>
  <c r="B1037" i="39"/>
  <c r="B1038" i="39"/>
  <c r="B1039" i="39"/>
  <c r="B1040" i="39"/>
  <c r="B1041" i="39"/>
  <c r="B1042" i="39"/>
  <c r="B1043" i="39"/>
  <c r="B1044" i="39"/>
  <c r="B1045" i="39"/>
  <c r="B1046" i="39"/>
  <c r="B1047" i="39"/>
  <c r="B1048" i="39"/>
  <c r="B1049" i="39"/>
  <c r="B1050" i="39"/>
  <c r="B1051" i="39"/>
  <c r="B1052" i="39"/>
  <c r="B1053" i="39"/>
  <c r="B1054" i="39"/>
  <c r="B1055" i="39"/>
  <c r="B1056" i="39"/>
  <c r="B1057" i="39"/>
  <c r="B1058" i="39"/>
  <c r="B1059" i="39"/>
  <c r="B1060" i="39"/>
  <c r="B1061" i="39"/>
  <c r="B1062" i="39"/>
  <c r="B1063" i="39"/>
  <c r="B1064" i="39"/>
  <c r="B1065" i="39"/>
  <c r="B1066" i="39"/>
  <c r="B1067" i="39"/>
  <c r="B1068" i="39"/>
  <c r="B1069" i="39"/>
  <c r="B1070" i="39"/>
  <c r="B1071" i="39"/>
  <c r="B1072" i="39"/>
  <c r="B1073" i="39"/>
  <c r="B1074" i="39"/>
  <c r="B1075" i="39"/>
  <c r="B1076" i="39"/>
  <c r="B1077" i="39"/>
  <c r="B1078" i="39"/>
  <c r="B1079" i="39"/>
  <c r="B1080" i="39"/>
  <c r="B1081" i="39"/>
  <c r="B1082" i="39"/>
  <c r="B1083" i="39"/>
  <c r="B1084" i="39"/>
  <c r="B1085" i="39"/>
  <c r="B1086" i="39"/>
  <c r="B1087" i="39"/>
  <c r="B1088" i="39"/>
  <c r="B1089" i="39"/>
  <c r="B1090" i="39"/>
  <c r="B1091" i="39"/>
  <c r="B1092" i="39"/>
  <c r="B1093" i="39"/>
  <c r="B1094" i="39"/>
  <c r="B1095" i="39"/>
  <c r="B1096" i="39"/>
  <c r="B1097" i="39"/>
  <c r="B1098" i="39"/>
  <c r="B1099" i="39"/>
  <c r="B1100" i="39"/>
  <c r="B63" i="39"/>
  <c r="B64" i="39"/>
  <c r="B65" i="39"/>
  <c r="B66" i="39"/>
  <c r="B67" i="39"/>
  <c r="B68" i="39"/>
  <c r="B69" i="39"/>
  <c r="B57" i="39"/>
  <c r="B51" i="39"/>
  <c r="B45" i="39"/>
  <c r="B39" i="39"/>
  <c r="B33" i="39"/>
  <c r="B27" i="39"/>
  <c r="B21" i="39"/>
  <c r="B15" i="39"/>
  <c r="B9" i="39"/>
  <c r="W234" i="13" l="1"/>
  <c r="AF234" i="13" s="1"/>
  <c r="AE234" i="13"/>
  <c r="W143" i="13"/>
  <c r="AF143" i="13" s="1"/>
  <c r="AE143" i="13"/>
  <c r="W34" i="13"/>
  <c r="AF34" i="13" s="1"/>
  <c r="AE34" i="13"/>
  <c r="W137" i="13"/>
  <c r="AF137" i="13" s="1"/>
  <c r="AE137" i="13"/>
  <c r="W229" i="13"/>
  <c r="AF229" i="13" s="1"/>
  <c r="AE229" i="13"/>
  <c r="W152" i="13"/>
  <c r="AF152" i="13" s="1"/>
  <c r="AE152" i="13"/>
  <c r="W197" i="13"/>
  <c r="AF197" i="13" s="1"/>
  <c r="AE197" i="13"/>
  <c r="W119" i="13"/>
  <c r="AF119" i="13" s="1"/>
  <c r="AE119" i="13"/>
  <c r="W204" i="13"/>
  <c r="AF204" i="13" s="1"/>
  <c r="AE204" i="13"/>
  <c r="W165" i="13"/>
  <c r="AF165" i="13" s="1"/>
  <c r="AE165" i="13"/>
  <c r="W93" i="13"/>
  <c r="AF93" i="13" s="1"/>
  <c r="AE93" i="13"/>
  <c r="W79" i="13"/>
  <c r="AF79" i="13" s="1"/>
  <c r="AE79" i="13"/>
  <c r="W236" i="13"/>
  <c r="AF236" i="13" s="1"/>
  <c r="AE236" i="13"/>
  <c r="W90" i="13"/>
  <c r="AF90" i="13" s="1"/>
  <c r="AE90" i="13"/>
  <c r="W125" i="13"/>
  <c r="AF125" i="13" s="1"/>
  <c r="AE125" i="13"/>
  <c r="W53" i="13"/>
  <c r="AF53" i="13" s="1"/>
  <c r="AE53" i="13"/>
  <c r="W98" i="13"/>
  <c r="AF98" i="13" s="1"/>
  <c r="AE98" i="13"/>
  <c r="W147" i="13"/>
  <c r="AF147" i="13" s="1"/>
  <c r="AE147" i="13"/>
  <c r="W193" i="13"/>
  <c r="AF193" i="13" s="1"/>
  <c r="AE193" i="13"/>
  <c r="W240" i="13"/>
  <c r="AF240" i="13" s="1"/>
  <c r="AE240" i="13"/>
  <c r="W94" i="13"/>
  <c r="AF94" i="13" s="1"/>
  <c r="AE94" i="13"/>
  <c r="W22" i="13"/>
  <c r="AF22" i="13" s="1"/>
  <c r="AE22" i="13"/>
  <c r="W239" i="13"/>
  <c r="AF239" i="13" s="1"/>
  <c r="AE239" i="13"/>
  <c r="W175" i="13"/>
  <c r="AF175" i="13" s="1"/>
  <c r="AE175" i="13"/>
  <c r="W180" i="13"/>
  <c r="AF180" i="13" s="1"/>
  <c r="AE180" i="13"/>
  <c r="W212" i="13"/>
  <c r="AF212" i="13" s="1"/>
  <c r="AE212" i="13"/>
  <c r="W140" i="13"/>
  <c r="AF140" i="13" s="1"/>
  <c r="AE140" i="13"/>
  <c r="W68" i="13"/>
  <c r="AF68" i="13" s="1"/>
  <c r="AE68" i="13"/>
  <c r="W43" i="13"/>
  <c r="AF43" i="13" s="1"/>
  <c r="AE43" i="13"/>
  <c r="W162" i="13"/>
  <c r="AF162" i="13" s="1"/>
  <c r="AE162" i="13"/>
  <c r="W182" i="13"/>
  <c r="AF182" i="13" s="1"/>
  <c r="AE182" i="13"/>
  <c r="W97" i="13"/>
  <c r="AF97" i="13" s="1"/>
  <c r="AE97" i="13"/>
  <c r="W113" i="13"/>
  <c r="AF113" i="13" s="1"/>
  <c r="AE113" i="13"/>
  <c r="W194" i="13"/>
  <c r="AF194" i="13" s="1"/>
  <c r="AE194" i="13"/>
  <c r="W220" i="13"/>
  <c r="AF220" i="13" s="1"/>
  <c r="AE220" i="13"/>
  <c r="W148" i="13"/>
  <c r="AF148" i="13" s="1"/>
  <c r="AE148" i="13"/>
  <c r="W76" i="13"/>
  <c r="AF76" i="13" s="1"/>
  <c r="AE76" i="13"/>
  <c r="W51" i="13"/>
  <c r="AF51" i="13" s="1"/>
  <c r="AE51" i="13"/>
  <c r="W71" i="13"/>
  <c r="AF71" i="13" s="1"/>
  <c r="AE71" i="13"/>
  <c r="W92" i="13"/>
  <c r="AF92" i="13" s="1"/>
  <c r="AE92" i="13"/>
  <c r="W172" i="13"/>
  <c r="AF172" i="13" s="1"/>
  <c r="AE172" i="13"/>
  <c r="W233" i="13"/>
  <c r="AF233" i="13" s="1"/>
  <c r="AE233" i="13"/>
  <c r="W8" i="13"/>
  <c r="AF8" i="13" s="1"/>
  <c r="AE8" i="13"/>
  <c r="W88" i="13"/>
  <c r="AF88" i="13" s="1"/>
  <c r="AE88" i="13"/>
  <c r="W105" i="13"/>
  <c r="AF105" i="13" s="1"/>
  <c r="AE105" i="13"/>
  <c r="W219" i="13"/>
  <c r="AF219" i="13" s="1"/>
  <c r="AE219" i="13"/>
  <c r="W166" i="13"/>
  <c r="AF166" i="13" s="1"/>
  <c r="AE166" i="13"/>
  <c r="W21" i="13"/>
  <c r="AF21" i="13" s="1"/>
  <c r="AE21" i="13"/>
  <c r="W67" i="13"/>
  <c r="AF67" i="13" s="1"/>
  <c r="AE67" i="13"/>
  <c r="W84" i="13"/>
  <c r="AF84" i="13" s="1"/>
  <c r="AE84" i="13"/>
  <c r="W18" i="13"/>
  <c r="AF18" i="13" s="1"/>
  <c r="AE18" i="13"/>
  <c r="AE62" i="13"/>
  <c r="W62" i="13"/>
  <c r="AF62" i="13" s="1"/>
  <c r="W232" i="13"/>
  <c r="AF232" i="13" s="1"/>
  <c r="AE232" i="13"/>
  <c r="W168" i="13"/>
  <c r="AF168" i="13" s="1"/>
  <c r="AE168" i="13"/>
  <c r="W75" i="13"/>
  <c r="AF75" i="13" s="1"/>
  <c r="AE75" i="13"/>
  <c r="W63" i="13"/>
  <c r="AF63" i="13" s="1"/>
  <c r="AE63" i="13"/>
  <c r="W48" i="13"/>
  <c r="AF48" i="13" s="1"/>
  <c r="AE48" i="13"/>
  <c r="W179" i="13"/>
  <c r="AF179" i="13" s="1"/>
  <c r="AE179" i="13"/>
  <c r="W107" i="13"/>
  <c r="AF107" i="13" s="1"/>
  <c r="AE107" i="13"/>
  <c r="W35" i="13"/>
  <c r="AF35" i="13" s="1"/>
  <c r="AE35" i="13"/>
  <c r="W154" i="13"/>
  <c r="AF154" i="13" s="1"/>
  <c r="AE154" i="13"/>
  <c r="W82" i="13"/>
  <c r="AF82" i="13" s="1"/>
  <c r="AE82" i="13"/>
  <c r="W156" i="13"/>
  <c r="AF156" i="13" s="1"/>
  <c r="AE156" i="13"/>
  <c r="W226" i="13"/>
  <c r="AF226" i="13" s="1"/>
  <c r="AE226" i="13"/>
  <c r="W9" i="13"/>
  <c r="AF9" i="13" s="1"/>
  <c r="AE9" i="13"/>
  <c r="W151" i="13"/>
  <c r="AF151" i="13" s="1"/>
  <c r="AE151" i="13"/>
  <c r="W132" i="13"/>
  <c r="AF132" i="13" s="1"/>
  <c r="AE132" i="13"/>
  <c r="W200" i="13"/>
  <c r="AF200" i="13" s="1"/>
  <c r="AE200" i="13"/>
  <c r="W237" i="13"/>
  <c r="AF237" i="13" s="1"/>
  <c r="AE237" i="13"/>
  <c r="W60" i="13"/>
  <c r="AF60" i="13" s="1"/>
  <c r="AE60" i="13"/>
  <c r="W78" i="13"/>
  <c r="AF78" i="13" s="1"/>
  <c r="AE78" i="13"/>
  <c r="W50" i="13"/>
  <c r="AF50" i="13" s="1"/>
  <c r="AE50" i="13"/>
  <c r="W185" i="13"/>
  <c r="AF185" i="13" s="1"/>
  <c r="AE185" i="13"/>
  <c r="W41" i="13"/>
  <c r="AF41" i="13" s="1"/>
  <c r="AE41" i="13"/>
  <c r="W38" i="13"/>
  <c r="AF38" i="13" s="1"/>
  <c r="AE38" i="13"/>
  <c r="W61" i="13"/>
  <c r="AF61" i="13" s="1"/>
  <c r="AE61" i="13"/>
  <c r="W96" i="13"/>
  <c r="AF96" i="13" s="1"/>
  <c r="AE96" i="13"/>
  <c r="W136" i="13"/>
  <c r="AF136" i="13" s="1"/>
  <c r="AE136" i="13"/>
  <c r="W207" i="13"/>
  <c r="AF207" i="13" s="1"/>
  <c r="AE207" i="13"/>
  <c r="W135" i="13"/>
  <c r="AF135" i="13" s="1"/>
  <c r="AE135" i="13"/>
  <c r="W215" i="13"/>
  <c r="AF215" i="13" s="1"/>
  <c r="AE215" i="13"/>
  <c r="W164" i="13"/>
  <c r="AF164" i="13" s="1"/>
  <c r="AE164" i="13"/>
  <c r="W145" i="13"/>
  <c r="AF145" i="13" s="1"/>
  <c r="AE145" i="13"/>
  <c r="W230" i="13"/>
  <c r="AF230" i="13" s="1"/>
  <c r="AE230" i="13"/>
  <c r="W181" i="13"/>
  <c r="AF181" i="13" s="1"/>
  <c r="AE181" i="13"/>
  <c r="W45" i="13"/>
  <c r="AF45" i="13" s="1"/>
  <c r="AE45" i="13"/>
  <c r="W12" i="13"/>
  <c r="AF12" i="13" s="1"/>
  <c r="AE12" i="13"/>
  <c r="W242" i="13"/>
  <c r="AF242" i="13" s="1"/>
  <c r="AE242" i="13"/>
  <c r="W203" i="13"/>
  <c r="AF203" i="13" s="1"/>
  <c r="AE203" i="13"/>
  <c r="W59" i="13"/>
  <c r="AF59" i="13" s="1"/>
  <c r="AE59" i="13"/>
  <c r="W26" i="13"/>
  <c r="AF26" i="13" s="1"/>
  <c r="AE26" i="13"/>
  <c r="W225" i="13"/>
  <c r="AF225" i="13" s="1"/>
  <c r="AE225" i="13"/>
  <c r="W65" i="13"/>
  <c r="AF65" i="13" s="1"/>
  <c r="AE65" i="13"/>
  <c r="W110" i="13"/>
  <c r="AF110" i="13" s="1"/>
  <c r="AE110" i="13"/>
  <c r="W178" i="13"/>
  <c r="AF178" i="13" s="1"/>
  <c r="AE178" i="13"/>
  <c r="W174" i="13"/>
  <c r="AF174" i="13" s="1"/>
  <c r="AE174" i="13"/>
  <c r="W108" i="13"/>
  <c r="AF108" i="13" s="1"/>
  <c r="AE108" i="13"/>
  <c r="W95" i="13"/>
  <c r="AF95" i="13" s="1"/>
  <c r="AE95" i="13"/>
  <c r="W56" i="13"/>
  <c r="AF56" i="13" s="1"/>
  <c r="AE56" i="13"/>
  <c r="W222" i="13"/>
  <c r="AF222" i="13" s="1"/>
  <c r="AE222" i="13"/>
  <c r="W69" i="13"/>
  <c r="AF69" i="13" s="1"/>
  <c r="AE69" i="13"/>
  <c r="W199" i="13"/>
  <c r="AF199" i="13" s="1"/>
  <c r="AE199" i="13"/>
  <c r="W14" i="13"/>
  <c r="AF14" i="13" s="1"/>
  <c r="AE14" i="13"/>
  <c r="W133" i="13"/>
  <c r="AF133" i="13" s="1"/>
  <c r="AE133" i="13"/>
  <c r="W39" i="13"/>
  <c r="AF39" i="13" s="1"/>
  <c r="AE39" i="13"/>
  <c r="W228" i="13"/>
  <c r="AF228" i="13" s="1"/>
  <c r="AE228" i="13"/>
  <c r="W19" i="13"/>
  <c r="AF19" i="13" s="1"/>
  <c r="AE19" i="13"/>
  <c r="W36" i="13"/>
  <c r="AF36" i="13" s="1"/>
  <c r="AE36" i="13"/>
  <c r="W188" i="13"/>
  <c r="AF188" i="13" s="1"/>
  <c r="AE188" i="13"/>
  <c r="W44" i="13"/>
  <c r="AF44" i="13" s="1"/>
  <c r="AE44" i="13"/>
  <c r="W7" i="13"/>
  <c r="AF7" i="13" s="1"/>
  <c r="AE7" i="13"/>
  <c r="W210" i="13"/>
  <c r="AF210" i="13" s="1"/>
  <c r="AE210" i="13"/>
  <c r="W66" i="13"/>
  <c r="AF66" i="13" s="1"/>
  <c r="AE66" i="13"/>
  <c r="W231" i="13"/>
  <c r="AF231" i="13" s="1"/>
  <c r="AE231" i="13"/>
  <c r="W52" i="13"/>
  <c r="AF52" i="13" s="1"/>
  <c r="AE52" i="13"/>
  <c r="W72" i="13"/>
  <c r="AF72" i="13" s="1"/>
  <c r="AE72" i="13"/>
  <c r="W117" i="13"/>
  <c r="AF117" i="13" s="1"/>
  <c r="AE117" i="13"/>
  <c r="W46" i="13"/>
  <c r="AF46" i="13" s="1"/>
  <c r="AE46" i="13"/>
  <c r="W218" i="13"/>
  <c r="AF218" i="13" s="1"/>
  <c r="AE218" i="13"/>
  <c r="W33" i="13"/>
  <c r="AF33" i="13" s="1"/>
  <c r="AE33" i="13"/>
  <c r="W73" i="13"/>
  <c r="AF73" i="13" s="1"/>
  <c r="AE73" i="13"/>
  <c r="W211" i="13"/>
  <c r="AF211" i="13" s="1"/>
  <c r="AE211" i="13"/>
  <c r="W23" i="13"/>
  <c r="AF23" i="13" s="1"/>
  <c r="AE23" i="13"/>
  <c r="W10" i="13"/>
  <c r="AF10" i="13" s="1"/>
  <c r="AE10" i="13"/>
  <c r="W153" i="13"/>
  <c r="AF153" i="13" s="1"/>
  <c r="AE153" i="13"/>
  <c r="W81" i="13"/>
  <c r="AF81" i="13" s="1"/>
  <c r="AE81" i="13"/>
  <c r="W55" i="13"/>
  <c r="AF55" i="13" s="1"/>
  <c r="AE55" i="13"/>
  <c r="W128" i="13"/>
  <c r="AF128" i="13" s="1"/>
  <c r="AE128" i="13"/>
  <c r="W31" i="13"/>
  <c r="AF31" i="13" s="1"/>
  <c r="AE31" i="13"/>
  <c r="W150" i="13"/>
  <c r="AF150" i="13" s="1"/>
  <c r="AE150" i="13"/>
  <c r="W6" i="13"/>
  <c r="AF6" i="13" s="1"/>
  <c r="AE6" i="13"/>
  <c r="W173" i="13"/>
  <c r="AF173" i="13" s="1"/>
  <c r="AE173" i="13"/>
  <c r="W170" i="13"/>
  <c r="AF170" i="13" s="1"/>
  <c r="AE170" i="13"/>
  <c r="W208" i="13"/>
  <c r="AF208" i="13" s="1"/>
  <c r="AE208" i="13"/>
  <c r="W64" i="13"/>
  <c r="AF64" i="13" s="1"/>
  <c r="AE64" i="13"/>
  <c r="W241" i="13"/>
  <c r="AF241" i="13" s="1"/>
  <c r="AE241" i="13"/>
  <c r="W167" i="13"/>
  <c r="AF167" i="13" s="1"/>
  <c r="AE167" i="13"/>
  <c r="W70" i="13"/>
  <c r="AF70" i="13" s="1"/>
  <c r="AE70" i="13"/>
  <c r="W24" i="13"/>
  <c r="AF24" i="13" s="1"/>
  <c r="AE24" i="13"/>
  <c r="W139" i="13"/>
  <c r="AF139" i="13" s="1"/>
  <c r="AE139" i="13"/>
  <c r="W157" i="13"/>
  <c r="AF157" i="13" s="1"/>
  <c r="AE157" i="13"/>
  <c r="W116" i="13"/>
  <c r="AF116" i="13" s="1"/>
  <c r="AE116" i="13"/>
  <c r="W138" i="13"/>
  <c r="AF138" i="13" s="1"/>
  <c r="AE138" i="13"/>
  <c r="W146" i="13"/>
  <c r="AF146" i="13" s="1"/>
  <c r="AE146" i="13"/>
  <c r="W29" i="13"/>
  <c r="AF29" i="13" s="1"/>
  <c r="AE29" i="13"/>
  <c r="W37" i="13"/>
  <c r="AF37" i="13" s="1"/>
  <c r="AE37" i="13"/>
  <c r="W196" i="13"/>
  <c r="AF196" i="13" s="1"/>
  <c r="AE196" i="13"/>
  <c r="W124" i="13"/>
  <c r="AF124" i="13" s="1"/>
  <c r="AE124" i="13"/>
  <c r="W195" i="13"/>
  <c r="AF195" i="13" s="1"/>
  <c r="AE195" i="13"/>
  <c r="W123" i="13"/>
  <c r="AF123" i="13" s="1"/>
  <c r="AE123" i="13"/>
  <c r="W155" i="13"/>
  <c r="AF155" i="13" s="1"/>
  <c r="AE155" i="13"/>
  <c r="W214" i="13"/>
  <c r="AF214" i="13" s="1"/>
  <c r="AE214" i="13"/>
  <c r="W213" i="13"/>
  <c r="AF213" i="13" s="1"/>
  <c r="AE213" i="13"/>
  <c r="W141" i="13"/>
  <c r="AF141" i="13" s="1"/>
  <c r="AE141" i="13"/>
  <c r="W83" i="13"/>
  <c r="AF83" i="13" s="1"/>
  <c r="AE83" i="13"/>
  <c r="W11" i="13"/>
  <c r="AF11" i="13" s="1"/>
  <c r="AE11" i="13"/>
  <c r="W202" i="13"/>
  <c r="AF202" i="13" s="1"/>
  <c r="AE202" i="13"/>
  <c r="W130" i="13"/>
  <c r="AF130" i="13" s="1"/>
  <c r="AE130" i="13"/>
  <c r="W224" i="13"/>
  <c r="AF224" i="13" s="1"/>
  <c r="AE224" i="13"/>
  <c r="W104" i="13"/>
  <c r="AF104" i="13" s="1"/>
  <c r="AE104" i="13"/>
  <c r="W187" i="13"/>
  <c r="AF187" i="13" s="1"/>
  <c r="AE187" i="13"/>
  <c r="W169" i="13"/>
  <c r="AF169" i="13" s="1"/>
  <c r="AE169" i="13"/>
  <c r="W198" i="13"/>
  <c r="AF198" i="13" s="1"/>
  <c r="AE198" i="13"/>
  <c r="W126" i="13"/>
  <c r="AF126" i="13" s="1"/>
  <c r="AE126" i="13"/>
  <c r="W54" i="13"/>
  <c r="AF54" i="13" s="1"/>
  <c r="AE54" i="13"/>
  <c r="W134" i="13"/>
  <c r="AF134" i="13" s="1"/>
  <c r="AE134" i="13"/>
  <c r="W192" i="13"/>
  <c r="AF192" i="13" s="1"/>
  <c r="AE192" i="13"/>
  <c r="W235" i="13"/>
  <c r="AF235" i="13" s="1"/>
  <c r="AE235" i="13"/>
  <c r="W161" i="13"/>
  <c r="AF161" i="13" s="1"/>
  <c r="AE161" i="13"/>
  <c r="W89" i="13"/>
  <c r="AF89" i="13" s="1"/>
  <c r="AE89" i="13"/>
  <c r="W17" i="13"/>
  <c r="AF17" i="13" s="1"/>
  <c r="AE17" i="13"/>
  <c r="W158" i="13"/>
  <c r="AF158" i="13" s="1"/>
  <c r="AE158" i="13"/>
  <c r="W40" i="13"/>
  <c r="AF40" i="13" s="1"/>
  <c r="AE40" i="13"/>
  <c r="W183" i="13"/>
  <c r="AF183" i="13" s="1"/>
  <c r="AE183" i="13"/>
  <c r="W111" i="13"/>
  <c r="AF111" i="13" s="1"/>
  <c r="AE111" i="13"/>
  <c r="W27" i="13"/>
  <c r="AF27" i="13" s="1"/>
  <c r="AE27" i="13"/>
  <c r="W217" i="13"/>
  <c r="AF217" i="13" s="1"/>
  <c r="AE217" i="13"/>
  <c r="W223" i="13"/>
  <c r="AF223" i="13" s="1"/>
  <c r="AE223" i="13"/>
  <c r="W238" i="13"/>
  <c r="AF238" i="13" s="1"/>
  <c r="AE238" i="13"/>
  <c r="W216" i="13"/>
  <c r="AF216" i="13" s="1"/>
  <c r="AE216" i="13"/>
  <c r="W244" i="13"/>
  <c r="AF244" i="13" s="1"/>
  <c r="AE244" i="13"/>
  <c r="W221" i="13"/>
  <c r="AF221" i="13" s="1"/>
  <c r="AE221" i="13"/>
  <c r="W28" i="13"/>
  <c r="AF28" i="13" s="1"/>
  <c r="AE28" i="13"/>
  <c r="W99" i="13"/>
  <c r="AF99" i="13" s="1"/>
  <c r="AE99" i="13"/>
  <c r="W190" i="13"/>
  <c r="AF190" i="13" s="1"/>
  <c r="AE190" i="13"/>
  <c r="W118" i="13"/>
  <c r="AF118" i="13" s="1"/>
  <c r="AE118" i="13"/>
  <c r="W189" i="13"/>
  <c r="AF189" i="13" s="1"/>
  <c r="AE189" i="13"/>
  <c r="AE103" i="13"/>
  <c r="W103" i="13"/>
  <c r="AF103" i="13" s="1"/>
  <c r="W20" i="13"/>
  <c r="AF20" i="13" s="1"/>
  <c r="AE20" i="13"/>
  <c r="W127" i="13"/>
  <c r="AF127" i="13" s="1"/>
  <c r="AE127" i="13"/>
  <c r="W121" i="13"/>
  <c r="AF121" i="13" s="1"/>
  <c r="AE121" i="13"/>
  <c r="W144" i="13"/>
  <c r="AF144" i="13" s="1"/>
  <c r="AE144" i="13"/>
  <c r="W186" i="13"/>
  <c r="AF186" i="13" s="1"/>
  <c r="AE186" i="13"/>
  <c r="W114" i="13"/>
  <c r="AF114" i="13" s="1"/>
  <c r="AE114" i="13"/>
  <c r="W42" i="13"/>
  <c r="AF42" i="13" s="1"/>
  <c r="AE42" i="13"/>
  <c r="W74" i="13"/>
  <c r="AF74" i="13" s="1"/>
  <c r="AE74" i="13"/>
  <c r="W100" i="13"/>
  <c r="AF100" i="13" s="1"/>
  <c r="AE100" i="13"/>
  <c r="W159" i="13"/>
  <c r="AF159" i="13" s="1"/>
  <c r="AE159" i="13"/>
  <c r="W131" i="13"/>
  <c r="AF131" i="13" s="1"/>
  <c r="AE131" i="13"/>
  <c r="W13" i="13"/>
  <c r="AF13" i="13" s="1"/>
  <c r="AE13" i="13"/>
  <c r="W80" i="13"/>
  <c r="AF80" i="13" s="1"/>
  <c r="AE80" i="13"/>
  <c r="W102" i="13"/>
  <c r="AF102" i="13" s="1"/>
  <c r="AE102" i="13"/>
  <c r="W209" i="13"/>
  <c r="AF209" i="13" s="1"/>
  <c r="AE209" i="13"/>
  <c r="W109" i="13"/>
  <c r="AF109" i="13" s="1"/>
  <c r="AE109" i="13"/>
  <c r="W16" i="13"/>
  <c r="AF16" i="13" s="1"/>
  <c r="AE16" i="13"/>
  <c r="W87" i="13"/>
  <c r="AF87" i="13" s="1"/>
  <c r="AE87" i="13"/>
  <c r="W120" i="13"/>
  <c r="AF120" i="13" s="1"/>
  <c r="AE120" i="13"/>
  <c r="W191" i="13"/>
  <c r="AF191" i="13" s="1"/>
  <c r="AE191" i="13"/>
  <c r="W47" i="13"/>
  <c r="AF47" i="13" s="1"/>
  <c r="AE47" i="13"/>
  <c r="W106" i="13"/>
  <c r="AF106" i="13" s="1"/>
  <c r="AE106" i="13"/>
  <c r="W177" i="13"/>
  <c r="AF177" i="13" s="1"/>
  <c r="AE177" i="13"/>
  <c r="W91" i="13"/>
  <c r="AF91" i="13" s="1"/>
  <c r="AE91" i="13"/>
  <c r="W30" i="13"/>
  <c r="AF30" i="13" s="1"/>
  <c r="AE30" i="13"/>
  <c r="W206" i="13"/>
  <c r="AF206" i="13" s="1"/>
  <c r="AE206" i="13"/>
  <c r="W205" i="13"/>
  <c r="AF205" i="13" s="1"/>
  <c r="AE205" i="13"/>
  <c r="AE85" i="13"/>
  <c r="W85" i="13"/>
  <c r="AF85" i="13" s="1"/>
  <c r="W160" i="13"/>
  <c r="AF160" i="13" s="1"/>
  <c r="AE160" i="13"/>
  <c r="W227" i="13"/>
  <c r="AF227" i="13" s="1"/>
  <c r="AE227" i="13"/>
  <c r="AE243" i="13"/>
  <c r="W243" i="13"/>
  <c r="AF243" i="13" s="1"/>
  <c r="W49" i="13"/>
  <c r="AF49" i="13" s="1"/>
  <c r="AE49" i="13"/>
  <c r="W101" i="13"/>
  <c r="AF101" i="13" s="1"/>
  <c r="AE101" i="13"/>
  <c r="W142" i="13"/>
  <c r="AF142" i="13" s="1"/>
  <c r="AE142" i="13"/>
  <c r="W58" i="13"/>
  <c r="AF58" i="13" s="1"/>
  <c r="AE58" i="13"/>
  <c r="W201" i="13"/>
  <c r="AF201" i="13" s="1"/>
  <c r="AE201" i="13"/>
  <c r="W129" i="13"/>
  <c r="AF129" i="13" s="1"/>
  <c r="AE129" i="13"/>
  <c r="W57" i="13"/>
  <c r="AF57" i="13" s="1"/>
  <c r="AE57" i="13"/>
  <c r="W115" i="13"/>
  <c r="AF115" i="13" s="1"/>
  <c r="AE115" i="13"/>
  <c r="W25" i="13"/>
  <c r="AF25" i="13" s="1"/>
  <c r="AE25" i="13"/>
  <c r="W176" i="13"/>
  <c r="AF176" i="13" s="1"/>
  <c r="AE176" i="13"/>
  <c r="W32" i="13"/>
  <c r="AF32" i="13" s="1"/>
  <c r="AE32" i="13"/>
  <c r="W163" i="13"/>
  <c r="AF163" i="13" s="1"/>
  <c r="AE163" i="13"/>
  <c r="W86" i="13"/>
  <c r="AF86" i="13" s="1"/>
  <c r="AE86" i="13"/>
  <c r="W149" i="13"/>
  <c r="AF149" i="13" s="1"/>
  <c r="AE149" i="13"/>
  <c r="W77" i="13"/>
  <c r="AF77" i="13" s="1"/>
  <c r="AE77" i="13"/>
  <c r="W122" i="13"/>
  <c r="AF122" i="13" s="1"/>
  <c r="AE122" i="13"/>
  <c r="W184" i="13"/>
  <c r="AF184" i="13" s="1"/>
  <c r="AE184" i="13"/>
  <c r="W112" i="13"/>
  <c r="AF112" i="13" s="1"/>
  <c r="AE112" i="13"/>
  <c r="W171" i="13"/>
  <c r="AF171" i="13" s="1"/>
  <c r="AE171" i="13"/>
  <c r="W15" i="13"/>
  <c r="AF15" i="13" s="1"/>
  <c r="AE15" i="13"/>
  <c r="B27" i="22"/>
  <c r="B22" i="22"/>
  <c r="B23" i="22"/>
  <c r="B24" i="22"/>
  <c r="B28" i="22"/>
  <c r="G16" i="40"/>
  <c r="H16" i="40" s="1"/>
  <c r="B16" i="40"/>
  <c r="G15" i="40"/>
  <c r="H15" i="40" s="1"/>
  <c r="B15" i="40"/>
  <c r="G14" i="40"/>
  <c r="B14" i="40"/>
  <c r="D14" i="19" l="1"/>
  <c r="G20" i="40"/>
  <c r="E13" i="19" s="1"/>
  <c r="H14" i="40"/>
  <c r="H20" i="40" s="1"/>
  <c r="E14" i="19" l="1"/>
  <c r="I32" i="31"/>
  <c r="K32" i="31" s="1"/>
  <c r="M32" i="31" s="1"/>
  <c r="O32" i="31" s="1"/>
  <c r="Q32" i="31" s="1"/>
  <c r="I31" i="31"/>
  <c r="K31" i="31" s="1"/>
  <c r="M31" i="31" s="1"/>
  <c r="O31" i="31" s="1"/>
  <c r="Q31" i="31" s="1"/>
  <c r="I30" i="31"/>
  <c r="K30" i="31" s="1"/>
  <c r="M30" i="31" s="1"/>
  <c r="O30" i="31" s="1"/>
  <c r="Q30" i="31" s="1"/>
  <c r="I25" i="31"/>
  <c r="K25" i="31" s="1"/>
  <c r="M25" i="31" s="1"/>
  <c r="O25" i="31" s="1"/>
  <c r="Q25" i="31" s="1"/>
  <c r="I23" i="31"/>
  <c r="K23" i="31" s="1"/>
  <c r="M23" i="31" s="1"/>
  <c r="O23" i="31" s="1"/>
  <c r="Q23" i="31" s="1"/>
  <c r="I22" i="31"/>
  <c r="K22" i="31" s="1"/>
  <c r="M22" i="31" s="1"/>
  <c r="O22" i="31" s="1"/>
  <c r="Q22" i="31" s="1"/>
  <c r="I21" i="31"/>
  <c r="K21" i="31" s="1"/>
  <c r="D9" i="31"/>
  <c r="E8" i="31"/>
  <c r="E7" i="31"/>
  <c r="E6" i="31"/>
  <c r="E5" i="31"/>
  <c r="E9" i="31" s="1"/>
  <c r="E10" i="31" s="1"/>
  <c r="E15" i="19" l="1"/>
  <c r="M21" i="31"/>
  <c r="I10" i="31"/>
  <c r="K10" i="31" s="1"/>
  <c r="M10" i="31" s="1"/>
  <c r="O10" i="31" s="1"/>
  <c r="Q10" i="31" s="1"/>
  <c r="E24" i="31"/>
  <c r="E17" i="31"/>
  <c r="I17" i="31" s="1"/>
  <c r="K17" i="31" s="1"/>
  <c r="M17" i="31" s="1"/>
  <c r="O17" i="31" s="1"/>
  <c r="Q17" i="31" s="1"/>
  <c r="E16" i="31"/>
  <c r="I16" i="31" s="1"/>
  <c r="K16" i="31" s="1"/>
  <c r="M16" i="31" s="1"/>
  <c r="O16" i="31" s="1"/>
  <c r="Q16" i="31" s="1"/>
  <c r="E15" i="31"/>
  <c r="I15" i="31" s="1"/>
  <c r="K15" i="31" s="1"/>
  <c r="M15" i="31" s="1"/>
  <c r="O15" i="31" s="1"/>
  <c r="Q15" i="31" s="1"/>
  <c r="E14" i="31"/>
  <c r="I14" i="31" s="1"/>
  <c r="K14" i="31" s="1"/>
  <c r="M14" i="31" s="1"/>
  <c r="O14" i="31" s="1"/>
  <c r="Q14" i="31" s="1"/>
  <c r="E13" i="31"/>
  <c r="I13" i="31" l="1"/>
  <c r="E18" i="31"/>
  <c r="O21" i="31"/>
  <c r="I24" i="31"/>
  <c r="E26" i="31"/>
  <c r="K13" i="31" l="1"/>
  <c r="I18" i="31"/>
  <c r="K24" i="31"/>
  <c r="I26" i="31"/>
  <c r="Q21" i="31"/>
  <c r="E29" i="31"/>
  <c r="I29" i="31" l="1"/>
  <c r="E33" i="31"/>
  <c r="M24" i="31"/>
  <c r="K26" i="31"/>
  <c r="K18" i="31"/>
  <c r="M13" i="31"/>
  <c r="O24" i="31" l="1"/>
  <c r="M26" i="31"/>
  <c r="E35" i="31"/>
  <c r="D41" i="31"/>
  <c r="D39" i="31"/>
  <c r="D40" i="31"/>
  <c r="K29" i="31"/>
  <c r="I33" i="31"/>
  <c r="M18" i="31"/>
  <c r="O13" i="31"/>
  <c r="I35" i="31" l="1"/>
  <c r="I37" i="31" s="1"/>
  <c r="E15" i="38" s="1"/>
  <c r="D32" i="31"/>
  <c r="D31" i="31"/>
  <c r="D30" i="31"/>
  <c r="D25" i="31"/>
  <c r="D23" i="31"/>
  <c r="D22" i="31"/>
  <c r="D21" i="31"/>
  <c r="D38" i="31"/>
  <c r="K33" i="31"/>
  <c r="M29" i="31"/>
  <c r="Q24" i="31"/>
  <c r="Q26" i="31" s="1"/>
  <c r="O26" i="31"/>
  <c r="E40" i="31"/>
  <c r="E39" i="31"/>
  <c r="Q13" i="31"/>
  <c r="Q18" i="31" s="1"/>
  <c r="O18" i="31"/>
  <c r="E41" i="31"/>
  <c r="E35" i="24" l="1"/>
  <c r="E27" i="24"/>
  <c r="E19" i="24"/>
  <c r="E11" i="24"/>
  <c r="E18" i="22"/>
  <c r="E9" i="38"/>
  <c r="E34" i="24"/>
  <c r="E26" i="24"/>
  <c r="E18" i="24"/>
  <c r="E10" i="24"/>
  <c r="E17" i="22"/>
  <c r="E11" i="22"/>
  <c r="E10" i="38"/>
  <c r="E33" i="24"/>
  <c r="E25" i="24"/>
  <c r="E17" i="24"/>
  <c r="E9" i="24"/>
  <c r="E16" i="22"/>
  <c r="E10" i="22"/>
  <c r="E11" i="38"/>
  <c r="E32" i="24"/>
  <c r="E24" i="24"/>
  <c r="E16" i="24"/>
  <c r="E15" i="22"/>
  <c r="E9" i="22"/>
  <c r="E12" i="38"/>
  <c r="E31" i="24"/>
  <c r="E23" i="24"/>
  <c r="E15" i="24"/>
  <c r="E14" i="22"/>
  <c r="E9" i="40"/>
  <c r="E13" i="38"/>
  <c r="E30" i="24"/>
  <c r="E22" i="24"/>
  <c r="E14" i="24"/>
  <c r="E10" i="40"/>
  <c r="E14" i="38"/>
  <c r="E29" i="24"/>
  <c r="E21" i="24"/>
  <c r="E13" i="24"/>
  <c r="E13" i="22"/>
  <c r="E11" i="40"/>
  <c r="E16" i="38"/>
  <c r="E36" i="24"/>
  <c r="E28" i="24"/>
  <c r="E20" i="24"/>
  <c r="E12" i="24"/>
  <c r="E19" i="22"/>
  <c r="E12" i="22"/>
  <c r="E17" i="38"/>
  <c r="I39" i="31"/>
  <c r="I38" i="31"/>
  <c r="I40" i="31"/>
  <c r="I41" i="31"/>
  <c r="K35" i="31"/>
  <c r="O29" i="31"/>
  <c r="M33" i="31"/>
  <c r="E38" i="31"/>
  <c r="M35" i="31" l="1"/>
  <c r="M37" i="31" s="1"/>
  <c r="K37" i="31"/>
  <c r="Q29" i="31"/>
  <c r="Q33" i="31" s="1"/>
  <c r="O33" i="31"/>
  <c r="F10" i="22" l="1"/>
  <c r="G10" i="22" s="1"/>
  <c r="F15" i="38"/>
  <c r="G15" i="38" s="1"/>
  <c r="F23" i="24"/>
  <c r="G23" i="24" s="1"/>
  <c r="F11" i="22"/>
  <c r="G11" i="22" s="1"/>
  <c r="F14" i="24"/>
  <c r="G14" i="24" s="1"/>
  <c r="F15" i="24"/>
  <c r="G15" i="24" s="1"/>
  <c r="F14" i="22"/>
  <c r="G14" i="22" s="1"/>
  <c r="F17" i="22"/>
  <c r="G17" i="22" s="1"/>
  <c r="F9" i="38"/>
  <c r="G9" i="38" s="1"/>
  <c r="F10" i="38"/>
  <c r="G10" i="38" s="1"/>
  <c r="F11" i="38"/>
  <c r="G11" i="38" s="1"/>
  <c r="F12" i="38"/>
  <c r="G12" i="38" s="1"/>
  <c r="F9" i="40"/>
  <c r="G9" i="40" s="1"/>
  <c r="F13" i="38"/>
  <c r="G13" i="38" s="1"/>
  <c r="F10" i="40"/>
  <c r="G10" i="40" s="1"/>
  <c r="F14" i="38"/>
  <c r="G14" i="38" s="1"/>
  <c r="F11" i="40"/>
  <c r="G11" i="40" s="1"/>
  <c r="F16" i="38"/>
  <c r="G16" i="38" s="1"/>
  <c r="F17" i="38"/>
  <c r="G17" i="38" s="1"/>
  <c r="F11" i="24"/>
  <c r="G11" i="24" s="1"/>
  <c r="F16" i="22"/>
  <c r="G16" i="22" s="1"/>
  <c r="F29" i="24"/>
  <c r="G29" i="24" s="1"/>
  <c r="F19" i="22"/>
  <c r="G19" i="22" s="1"/>
  <c r="F10" i="24"/>
  <c r="G10" i="24" s="1"/>
  <c r="F9" i="22"/>
  <c r="G9" i="22" s="1"/>
  <c r="F28" i="24"/>
  <c r="G28" i="24" s="1"/>
  <c r="F16" i="24"/>
  <c r="G16" i="24" s="1"/>
  <c r="F13" i="22"/>
  <c r="G13" i="22" s="1"/>
  <c r="F12" i="22"/>
  <c r="G12" i="22" s="1"/>
  <c r="F35" i="24"/>
  <c r="G35" i="24" s="1"/>
  <c r="K39" i="31"/>
  <c r="M39" i="31" s="1"/>
  <c r="K38" i="31"/>
  <c r="M38" i="31" s="1"/>
  <c r="F9" i="24"/>
  <c r="G9" i="24" s="1"/>
  <c r="F36" i="24"/>
  <c r="G36" i="24" s="1"/>
  <c r="F30" i="24"/>
  <c r="G30" i="24" s="1"/>
  <c r="F24" i="24"/>
  <c r="G24" i="24" s="1"/>
  <c r="F12" i="24"/>
  <c r="G12" i="24" s="1"/>
  <c r="F27" i="24"/>
  <c r="G27" i="24" s="1"/>
  <c r="F19" i="24"/>
  <c r="G19" i="24" s="1"/>
  <c r="F15" i="22"/>
  <c r="G15" i="22" s="1"/>
  <c r="K41" i="31"/>
  <c r="M41" i="31" s="1"/>
  <c r="F31" i="24"/>
  <c r="G31" i="24" s="1"/>
  <c r="F33" i="24"/>
  <c r="G33" i="24" s="1"/>
  <c r="F26" i="24"/>
  <c r="G26" i="24" s="1"/>
  <c r="F18" i="24"/>
  <c r="G18" i="24" s="1"/>
  <c r="K40" i="31"/>
  <c r="M40" i="31" s="1"/>
  <c r="F20" i="24"/>
  <c r="G20" i="24" s="1"/>
  <c r="F22" i="24"/>
  <c r="G22" i="24" s="1"/>
  <c r="F18" i="22"/>
  <c r="G18" i="22" s="1"/>
  <c r="F34" i="24"/>
  <c r="G34" i="24" s="1"/>
  <c r="F32" i="24"/>
  <c r="G32" i="24" s="1"/>
  <c r="F25" i="24"/>
  <c r="G25" i="24" s="1"/>
  <c r="F17" i="24"/>
  <c r="G17" i="24" s="1"/>
  <c r="F21" i="24"/>
  <c r="G21" i="24" s="1"/>
  <c r="F13" i="24"/>
  <c r="G13" i="24" s="1"/>
  <c r="O35" i="31"/>
  <c r="O37" i="31" s="1"/>
  <c r="Q35" i="31"/>
  <c r="G27" i="22"/>
  <c r="E5" i="13"/>
  <c r="E6" i="13"/>
  <c r="E7" i="13"/>
  <c r="E8" i="13"/>
  <c r="E9" i="13"/>
  <c r="E10" i="13"/>
  <c r="E11" i="13"/>
  <c r="E12" i="13"/>
  <c r="E13" i="13"/>
  <c r="E14" i="13"/>
  <c r="E15" i="13"/>
  <c r="E16"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13"/>
  <c r="E72" i="13"/>
  <c r="E73" i="13"/>
  <c r="E74" i="13"/>
  <c r="E75" i="13"/>
  <c r="E76" i="13"/>
  <c r="E77" i="13"/>
  <c r="E78" i="13"/>
  <c r="E79" i="13"/>
  <c r="E80" i="13"/>
  <c r="E81" i="13"/>
  <c r="E82" i="13"/>
  <c r="E83" i="13"/>
  <c r="E84" i="13"/>
  <c r="E85" i="13"/>
  <c r="E86" i="13"/>
  <c r="E87" i="13"/>
  <c r="E88" i="13"/>
  <c r="E89" i="13"/>
  <c r="E90" i="13"/>
  <c r="E91" i="13"/>
  <c r="E92" i="13"/>
  <c r="E93" i="13"/>
  <c r="E94" i="13"/>
  <c r="E95" i="13"/>
  <c r="E96" i="13"/>
  <c r="E97" i="13"/>
  <c r="E98" i="13"/>
  <c r="E99" i="13"/>
  <c r="E100" i="13"/>
  <c r="E101" i="13"/>
  <c r="E102" i="13"/>
  <c r="E103" i="13"/>
  <c r="E104" i="13"/>
  <c r="E105" i="13"/>
  <c r="E106" i="13"/>
  <c r="E107" i="13"/>
  <c r="E108" i="13"/>
  <c r="E109" i="13"/>
  <c r="E110" i="13"/>
  <c r="E111" i="13"/>
  <c r="E112" i="13"/>
  <c r="E113" i="13"/>
  <c r="E114" i="13"/>
  <c r="E115" i="13"/>
  <c r="E116" i="13"/>
  <c r="E117" i="13"/>
  <c r="E126" i="13"/>
  <c r="E127" i="13"/>
  <c r="E128" i="13"/>
  <c r="E129" i="13"/>
  <c r="E130" i="13"/>
  <c r="E131" i="13"/>
  <c r="E132" i="13"/>
  <c r="E133" i="13"/>
  <c r="E134" i="13"/>
  <c r="E135" i="13"/>
  <c r="E136" i="13"/>
  <c r="E163" i="13"/>
  <c r="E164" i="13"/>
  <c r="E165" i="13"/>
  <c r="E166" i="13"/>
  <c r="E167" i="13"/>
  <c r="E168" i="13"/>
  <c r="E169" i="13"/>
  <c r="E170" i="13"/>
  <c r="E171" i="13"/>
  <c r="E172" i="13"/>
  <c r="E173" i="13"/>
  <c r="E191" i="13"/>
  <c r="E192" i="13"/>
  <c r="E193" i="13"/>
  <c r="E194" i="13"/>
  <c r="E195" i="13"/>
  <c r="E196" i="13"/>
  <c r="E197" i="13"/>
  <c r="E198" i="13"/>
  <c r="E199" i="13"/>
  <c r="E200" i="13"/>
  <c r="E201" i="13"/>
  <c r="E202" i="13"/>
  <c r="E203" i="13"/>
  <c r="E204" i="13"/>
  <c r="E220" i="13"/>
  <c r="E221" i="13"/>
  <c r="E222" i="13"/>
  <c r="E223" i="13"/>
  <c r="E225" i="13"/>
  <c r="E226"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D72" i="13"/>
  <c r="D73" i="13"/>
  <c r="D74" i="13"/>
  <c r="D75" i="13"/>
  <c r="D76" i="13"/>
  <c r="D77" i="13"/>
  <c r="D78" i="13"/>
  <c r="D79" i="13"/>
  <c r="D80" i="13"/>
  <c r="D81" i="13"/>
  <c r="D82" i="13"/>
  <c r="D83" i="13"/>
  <c r="D84" i="13"/>
  <c r="D85" i="13"/>
  <c r="D86" i="13"/>
  <c r="D87" i="13"/>
  <c r="D88" i="13"/>
  <c r="D89" i="13"/>
  <c r="D90" i="13"/>
  <c r="D91" i="13"/>
  <c r="D92" i="13"/>
  <c r="D93" i="13"/>
  <c r="D94" i="13"/>
  <c r="D95" i="13"/>
  <c r="D96" i="13"/>
  <c r="D97" i="13"/>
  <c r="D98" i="13"/>
  <c r="D99" i="13"/>
  <c r="D100" i="13"/>
  <c r="D101" i="13"/>
  <c r="D102" i="13"/>
  <c r="D103" i="13"/>
  <c r="D104" i="13"/>
  <c r="D105" i="13"/>
  <c r="D106" i="13"/>
  <c r="D107" i="13"/>
  <c r="D108" i="13"/>
  <c r="D109" i="13"/>
  <c r="D110" i="13"/>
  <c r="D111" i="13"/>
  <c r="D112" i="13"/>
  <c r="D113" i="13"/>
  <c r="D114" i="13"/>
  <c r="D115" i="13"/>
  <c r="D116" i="13"/>
  <c r="D117" i="13"/>
  <c r="D126" i="13"/>
  <c r="D127" i="13"/>
  <c r="D128" i="13"/>
  <c r="D129" i="13"/>
  <c r="D130" i="13"/>
  <c r="D131" i="13"/>
  <c r="D132" i="13"/>
  <c r="D133" i="13"/>
  <c r="D134" i="13"/>
  <c r="D135" i="13"/>
  <c r="D136" i="13"/>
  <c r="D163" i="13"/>
  <c r="D164" i="13"/>
  <c r="D165" i="13"/>
  <c r="D166" i="13"/>
  <c r="D167" i="13"/>
  <c r="D168" i="13"/>
  <c r="D169" i="13"/>
  <c r="D170" i="13"/>
  <c r="D171" i="13"/>
  <c r="D172" i="13"/>
  <c r="D173" i="13"/>
  <c r="D191" i="13"/>
  <c r="D192" i="13"/>
  <c r="D193" i="13"/>
  <c r="D194" i="13"/>
  <c r="D195" i="13"/>
  <c r="D196" i="13"/>
  <c r="D197" i="13"/>
  <c r="D198" i="13"/>
  <c r="D199" i="13"/>
  <c r="D200" i="13"/>
  <c r="D201" i="13"/>
  <c r="D202" i="13"/>
  <c r="D203" i="13"/>
  <c r="D204" i="13"/>
  <c r="D220" i="13"/>
  <c r="D221" i="13"/>
  <c r="D222" i="13"/>
  <c r="D223" i="13"/>
  <c r="D225" i="13"/>
  <c r="D226" i="13"/>
  <c r="C5" i="13"/>
  <c r="C6" i="13"/>
  <c r="C7" i="13"/>
  <c r="C8" i="13"/>
  <c r="C9" i="13"/>
  <c r="C10" i="13"/>
  <c r="C11"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49" i="13"/>
  <c r="C50" i="13"/>
  <c r="C51" i="13"/>
  <c r="C52" i="13"/>
  <c r="C53" i="13"/>
  <c r="C54" i="13"/>
  <c r="C55" i="13"/>
  <c r="C56" i="13"/>
  <c r="C57" i="13"/>
  <c r="C58" i="13"/>
  <c r="C59" i="13"/>
  <c r="C60" i="13"/>
  <c r="C61" i="13"/>
  <c r="C62" i="13"/>
  <c r="C63" i="13"/>
  <c r="C64" i="13"/>
  <c r="C65" i="13"/>
  <c r="C66" i="13"/>
  <c r="C67" i="13"/>
  <c r="C68" i="13"/>
  <c r="C69" i="13"/>
  <c r="C70" i="13"/>
  <c r="C71" i="13"/>
  <c r="C72" i="13"/>
  <c r="C73" i="13"/>
  <c r="C74" i="13"/>
  <c r="C75" i="13"/>
  <c r="C76" i="13"/>
  <c r="C77" i="13"/>
  <c r="C78" i="13"/>
  <c r="C79" i="13"/>
  <c r="C80" i="13"/>
  <c r="C81" i="13"/>
  <c r="C82" i="13"/>
  <c r="C83" i="13"/>
  <c r="C84" i="13"/>
  <c r="C85" i="13"/>
  <c r="C86" i="13"/>
  <c r="C87" i="13"/>
  <c r="C88" i="13"/>
  <c r="C89" i="13"/>
  <c r="C90" i="13"/>
  <c r="C91" i="13"/>
  <c r="C92" i="13"/>
  <c r="C93" i="13"/>
  <c r="C94" i="13"/>
  <c r="C95" i="13"/>
  <c r="C96" i="13"/>
  <c r="C97" i="13"/>
  <c r="C98" i="13"/>
  <c r="C99" i="13"/>
  <c r="C100" i="13"/>
  <c r="C101" i="13"/>
  <c r="C102" i="13"/>
  <c r="C103" i="13"/>
  <c r="C104" i="13"/>
  <c r="C105" i="13"/>
  <c r="C106" i="13"/>
  <c r="C107" i="13"/>
  <c r="C108" i="13"/>
  <c r="C109" i="13"/>
  <c r="C110" i="13"/>
  <c r="C111" i="13"/>
  <c r="C112" i="13"/>
  <c r="C113" i="13"/>
  <c r="C114" i="13"/>
  <c r="C115" i="13"/>
  <c r="C116" i="13"/>
  <c r="C117" i="13"/>
  <c r="C126" i="13"/>
  <c r="C127" i="13"/>
  <c r="C128" i="13"/>
  <c r="C129" i="13"/>
  <c r="C130" i="13"/>
  <c r="C131" i="13"/>
  <c r="C132" i="13"/>
  <c r="C133" i="13"/>
  <c r="C134" i="13"/>
  <c r="C135" i="13"/>
  <c r="C136" i="13"/>
  <c r="C163" i="13"/>
  <c r="C164" i="13"/>
  <c r="C165" i="13"/>
  <c r="C166" i="13"/>
  <c r="C167" i="13"/>
  <c r="C168" i="13"/>
  <c r="C169" i="13"/>
  <c r="C170" i="13"/>
  <c r="C171" i="13"/>
  <c r="C172" i="13"/>
  <c r="C173" i="13"/>
  <c r="C191" i="13"/>
  <c r="C192" i="13"/>
  <c r="C193" i="13"/>
  <c r="C194" i="13"/>
  <c r="C195" i="13"/>
  <c r="C196" i="13"/>
  <c r="C197" i="13"/>
  <c r="C198" i="13"/>
  <c r="C199" i="13"/>
  <c r="C200" i="13"/>
  <c r="C201" i="13"/>
  <c r="C202" i="13"/>
  <c r="C203" i="13"/>
  <c r="C204" i="13"/>
  <c r="C220" i="13"/>
  <c r="C221" i="13"/>
  <c r="C222" i="13"/>
  <c r="C223" i="13"/>
  <c r="C225" i="13"/>
  <c r="C226" i="13"/>
  <c r="H10" i="22" l="1"/>
  <c r="H15" i="38"/>
  <c r="H22" i="24"/>
  <c r="O39" i="31"/>
  <c r="H17" i="24"/>
  <c r="H12" i="22"/>
  <c r="H10" i="24"/>
  <c r="H25" i="24"/>
  <c r="H26" i="24"/>
  <c r="H24" i="24"/>
  <c r="H19" i="22"/>
  <c r="I19" i="22" s="1"/>
  <c r="H13" i="24"/>
  <c r="H18" i="24"/>
  <c r="H32" i="24"/>
  <c r="H33" i="24"/>
  <c r="H30" i="24"/>
  <c r="H15" i="22"/>
  <c r="H12" i="24"/>
  <c r="Q37" i="31"/>
  <c r="H13" i="22"/>
  <c r="I13" i="22" s="1"/>
  <c r="H11" i="24"/>
  <c r="I11" i="24" s="1"/>
  <c r="H15" i="24"/>
  <c r="I15" i="24" s="1"/>
  <c r="O38" i="31"/>
  <c r="Q38" i="31" s="1"/>
  <c r="H14" i="24"/>
  <c r="I14" i="24" s="1"/>
  <c r="H20" i="24"/>
  <c r="H19" i="24"/>
  <c r="H21" i="24"/>
  <c r="H16" i="24"/>
  <c r="H34" i="24"/>
  <c r="H31" i="24"/>
  <c r="H36" i="24"/>
  <c r="H29" i="24"/>
  <c r="I29" i="24" s="1"/>
  <c r="H17" i="22"/>
  <c r="I17" i="22" s="1"/>
  <c r="H9" i="38"/>
  <c r="H10" i="38"/>
  <c r="H11" i="38"/>
  <c r="H12" i="38"/>
  <c r="I12" i="38" s="1"/>
  <c r="H9" i="40"/>
  <c r="I9" i="40" s="1"/>
  <c r="H13" i="38"/>
  <c r="I13" i="38" s="1"/>
  <c r="H10" i="40"/>
  <c r="I10" i="40" s="1"/>
  <c r="H14" i="38"/>
  <c r="H11" i="40"/>
  <c r="H16" i="38"/>
  <c r="H17" i="38"/>
  <c r="H18" i="22"/>
  <c r="O41" i="31"/>
  <c r="Q41" i="31" s="1"/>
  <c r="H9" i="24"/>
  <c r="I9" i="24" s="1"/>
  <c r="H16" i="22"/>
  <c r="I16" i="22" s="1"/>
  <c r="H14" i="22"/>
  <c r="I14" i="22" s="1"/>
  <c r="O40" i="31"/>
  <c r="Q40" i="31" s="1"/>
  <c r="H27" i="24"/>
  <c r="I27" i="24" s="1"/>
  <c r="H35" i="24"/>
  <c r="H28" i="24"/>
  <c r="H11" i="22"/>
  <c r="H9" i="22"/>
  <c r="H23" i="24"/>
  <c r="H27" i="22"/>
  <c r="I10" i="22" l="1"/>
  <c r="I24" i="24"/>
  <c r="I36" i="24"/>
  <c r="I11" i="22"/>
  <c r="I11" i="38"/>
  <c r="I31" i="24"/>
  <c r="I18" i="22"/>
  <c r="I17" i="38"/>
  <c r="I10" i="24"/>
  <c r="I12" i="22"/>
  <c r="I34" i="24"/>
  <c r="I9" i="22"/>
  <c r="I15" i="22"/>
  <c r="I10" i="38"/>
  <c r="I16" i="24"/>
  <c r="I30" i="24"/>
  <c r="I28" i="24"/>
  <c r="I21" i="24"/>
  <c r="I22" i="24"/>
  <c r="I23" i="24"/>
  <c r="I16" i="38"/>
  <c r="I11" i="40"/>
  <c r="I35" i="24"/>
  <c r="I14" i="38"/>
  <c r="I19" i="24"/>
  <c r="I32" i="24"/>
  <c r="I9" i="38"/>
  <c r="I20" i="24"/>
  <c r="I18" i="24"/>
  <c r="I15" i="38"/>
  <c r="I33" i="24"/>
  <c r="I26" i="24"/>
  <c r="I25" i="24"/>
  <c r="I17" i="24"/>
  <c r="I12" i="24"/>
  <c r="I13" i="24"/>
  <c r="Q39" i="31"/>
  <c r="B62" i="39" l="1"/>
  <c r="B61" i="39"/>
  <c r="B60" i="39"/>
  <c r="B59" i="39"/>
  <c r="B58" i="39"/>
  <c r="B56" i="39"/>
  <c r="B55" i="39"/>
  <c r="B54" i="39"/>
  <c r="B53" i="39"/>
  <c r="B52" i="39"/>
  <c r="B50" i="39"/>
  <c r="B49" i="39"/>
  <c r="B48" i="39"/>
  <c r="B47" i="39"/>
  <c r="B46" i="39"/>
  <c r="B44" i="39"/>
  <c r="B43" i="39"/>
  <c r="B42" i="39"/>
  <c r="B41" i="39"/>
  <c r="B40" i="39"/>
  <c r="B38" i="39"/>
  <c r="B37" i="39"/>
  <c r="B36" i="39"/>
  <c r="B35" i="39"/>
  <c r="B34" i="39"/>
  <c r="B32" i="39"/>
  <c r="B31" i="39"/>
  <c r="B30" i="39"/>
  <c r="B29" i="39"/>
  <c r="B28" i="39"/>
  <c r="B26" i="39"/>
  <c r="B25" i="39"/>
  <c r="B24" i="39"/>
  <c r="B23" i="39"/>
  <c r="B22" i="39"/>
  <c r="B20" i="39"/>
  <c r="B19" i="39"/>
  <c r="B18" i="39"/>
  <c r="B17" i="39"/>
  <c r="B16" i="39"/>
  <c r="B14" i="39"/>
  <c r="B13" i="39"/>
  <c r="B12" i="39"/>
  <c r="B11" i="39"/>
  <c r="B10" i="39"/>
  <c r="B8" i="39"/>
  <c r="B7" i="39"/>
  <c r="B6" i="39"/>
  <c r="B5" i="39"/>
  <c r="B4" i="39"/>
  <c r="BC5" i="13" l="1"/>
  <c r="AH226" i="13"/>
  <c r="AH225" i="13"/>
  <c r="AH223" i="13"/>
  <c r="AH222" i="13"/>
  <c r="AH221" i="13"/>
  <c r="AH220" i="13"/>
  <c r="AH204" i="13"/>
  <c r="AH203" i="13"/>
  <c r="AH202" i="13"/>
  <c r="AH201" i="13"/>
  <c r="AH200" i="13"/>
  <c r="AH199" i="13"/>
  <c r="AH198" i="13"/>
  <c r="AH197" i="13"/>
  <c r="AH196" i="13"/>
  <c r="AH195" i="13"/>
  <c r="AH194" i="13"/>
  <c r="AH193" i="13"/>
  <c r="AH192" i="13"/>
  <c r="AH191" i="13"/>
  <c r="AH173" i="13"/>
  <c r="AH172" i="13"/>
  <c r="AH171" i="13"/>
  <c r="AH170" i="13"/>
  <c r="AH169" i="13"/>
  <c r="AH168" i="13"/>
  <c r="AH167" i="13"/>
  <c r="AH166" i="13"/>
  <c r="AH165" i="13"/>
  <c r="AH164" i="13"/>
  <c r="AH163" i="13"/>
  <c r="AH136" i="13"/>
  <c r="AH135" i="13"/>
  <c r="AH134" i="13"/>
  <c r="AH133" i="13"/>
  <c r="AH132" i="13"/>
  <c r="AH131" i="13"/>
  <c r="AH130" i="13"/>
  <c r="AH129" i="13"/>
  <c r="AH128" i="13"/>
  <c r="AH127" i="13"/>
  <c r="AH126" i="13"/>
  <c r="AH117" i="13"/>
  <c r="AH116" i="13"/>
  <c r="AH115" i="13"/>
  <c r="AH114" i="13"/>
  <c r="AH113" i="13"/>
  <c r="AH112" i="13"/>
  <c r="AH111" i="13"/>
  <c r="AH110" i="13"/>
  <c r="AH109" i="13"/>
  <c r="AH108" i="13"/>
  <c r="AH107" i="13"/>
  <c r="AH106" i="13"/>
  <c r="AH105" i="13"/>
  <c r="AH104" i="13"/>
  <c r="AH103" i="13"/>
  <c r="AH102" i="13"/>
  <c r="AH101" i="13"/>
  <c r="AH100" i="13"/>
  <c r="AH99" i="13"/>
  <c r="AH98" i="13"/>
  <c r="AH97" i="13"/>
  <c r="AH96" i="13"/>
  <c r="AH95" i="13"/>
  <c r="AH94" i="13"/>
  <c r="AH93" i="13"/>
  <c r="AH92" i="13"/>
  <c r="AH91" i="13"/>
  <c r="AH90" i="13"/>
  <c r="AH89" i="13"/>
  <c r="AH88" i="13"/>
  <c r="AH87" i="13"/>
  <c r="AH86" i="13"/>
  <c r="AH85" i="13"/>
  <c r="AH84" i="13"/>
  <c r="AH83" i="13"/>
  <c r="AH82" i="13"/>
  <c r="AH81" i="13"/>
  <c r="AH80" i="13"/>
  <c r="AH79" i="13"/>
  <c r="AH78" i="13"/>
  <c r="AH77" i="13"/>
  <c r="AH76" i="13"/>
  <c r="AH75" i="13"/>
  <c r="AH74" i="13"/>
  <c r="AH73" i="13"/>
  <c r="AH72" i="13"/>
  <c r="AH71" i="13"/>
  <c r="AH70" i="13"/>
  <c r="AH69" i="13"/>
  <c r="AH68" i="13"/>
  <c r="AH67" i="13"/>
  <c r="AH66" i="13"/>
  <c r="AH65" i="13"/>
  <c r="AH64" i="13"/>
  <c r="AH63" i="13"/>
  <c r="AH62" i="13"/>
  <c r="AH61" i="13"/>
  <c r="AH60" i="13"/>
  <c r="AH59" i="13"/>
  <c r="AH58" i="13"/>
  <c r="AH57" i="13"/>
  <c r="AH56" i="13"/>
  <c r="AH55" i="13"/>
  <c r="AH54" i="13"/>
  <c r="AH53" i="13"/>
  <c r="AH52" i="13"/>
  <c r="AH51" i="13"/>
  <c r="AH50" i="13"/>
  <c r="AH49" i="13"/>
  <c r="AH48" i="13"/>
  <c r="AH47" i="13"/>
  <c r="AH46" i="13"/>
  <c r="AH45" i="13"/>
  <c r="AH44" i="13"/>
  <c r="AH43" i="13"/>
  <c r="AH42" i="13"/>
  <c r="AH41" i="13"/>
  <c r="AH40" i="13"/>
  <c r="AH39" i="13"/>
  <c r="AH38" i="13"/>
  <c r="AH37" i="13"/>
  <c r="AH36" i="13"/>
  <c r="AH35" i="13"/>
  <c r="AH34" i="13"/>
  <c r="AH33" i="13"/>
  <c r="AH32" i="13"/>
  <c r="AH31" i="13"/>
  <c r="AH30" i="13"/>
  <c r="AH29" i="13"/>
  <c r="AH28" i="13"/>
  <c r="AH27" i="13"/>
  <c r="AH26" i="13"/>
  <c r="AH25" i="13"/>
  <c r="AH24" i="13"/>
  <c r="AH23" i="13"/>
  <c r="AH22" i="13"/>
  <c r="AH21" i="13"/>
  <c r="AH20" i="13"/>
  <c r="AH19" i="13"/>
  <c r="AH18" i="13"/>
  <c r="AH17" i="13"/>
  <c r="AH16" i="13"/>
  <c r="AH15" i="13"/>
  <c r="AH14" i="13"/>
  <c r="AH13" i="13"/>
  <c r="AH12" i="13"/>
  <c r="AH11" i="13"/>
  <c r="AH10" i="13"/>
  <c r="AH9" i="13"/>
  <c r="AH8" i="13"/>
  <c r="AH7" i="13"/>
  <c r="AH6" i="13"/>
  <c r="AH5" i="13"/>
  <c r="AO52" i="13" l="1"/>
  <c r="BA52" i="13"/>
  <c r="AS52" i="13"/>
  <c r="AT52" i="13"/>
  <c r="AI52" i="13"/>
  <c r="AW52" i="13"/>
  <c r="AX52" i="13"/>
  <c r="AY52" i="13"/>
  <c r="AL52" i="13"/>
  <c r="AK52" i="13"/>
  <c r="AM52" i="13"/>
  <c r="AN52" i="13"/>
  <c r="AP52" i="13"/>
  <c r="AR52" i="13"/>
  <c r="AJ52" i="13"/>
  <c r="AU52" i="13"/>
  <c r="AQ52" i="13"/>
  <c r="AV52" i="13"/>
  <c r="AZ52" i="13"/>
  <c r="AI41" i="13"/>
  <c r="AU41" i="13"/>
  <c r="AJ41" i="13"/>
  <c r="AW41" i="13"/>
  <c r="AM41" i="13"/>
  <c r="AZ41" i="13"/>
  <c r="AS41" i="13"/>
  <c r="AK41" i="13"/>
  <c r="AO41" i="13"/>
  <c r="AP41" i="13"/>
  <c r="AQ41" i="13"/>
  <c r="AV41" i="13"/>
  <c r="AN41" i="13"/>
  <c r="AL41" i="13"/>
  <c r="AR41" i="13"/>
  <c r="AT41" i="13"/>
  <c r="AX41" i="13"/>
  <c r="AY41" i="13"/>
  <c r="BA41" i="13"/>
  <c r="AM133" i="13"/>
  <c r="AY133" i="13"/>
  <c r="AO133" i="13"/>
  <c r="BA133" i="13"/>
  <c r="AV133" i="13"/>
  <c r="AI133" i="13"/>
  <c r="AW133" i="13"/>
  <c r="AJ133" i="13"/>
  <c r="AX133" i="13"/>
  <c r="AK133" i="13"/>
  <c r="AZ133" i="13"/>
  <c r="AL133" i="13"/>
  <c r="AN133" i="13"/>
  <c r="AP133" i="13"/>
  <c r="AR133" i="13"/>
  <c r="AT133" i="13"/>
  <c r="AU133" i="13"/>
  <c r="AQ133" i="13"/>
  <c r="AS133" i="13"/>
  <c r="AL18" i="13"/>
  <c r="AX18" i="13"/>
  <c r="AM18" i="13"/>
  <c r="AY18" i="13"/>
  <c r="AN18" i="13"/>
  <c r="AZ18" i="13"/>
  <c r="AT18" i="13"/>
  <c r="AW18" i="13"/>
  <c r="BA18" i="13"/>
  <c r="AI18" i="13"/>
  <c r="AJ18" i="13"/>
  <c r="AK18" i="13"/>
  <c r="AP18" i="13"/>
  <c r="AR18" i="13"/>
  <c r="AV18" i="13"/>
  <c r="AQ18" i="13"/>
  <c r="AU18" i="13"/>
  <c r="AS18" i="13"/>
  <c r="AO18" i="13"/>
  <c r="AS134" i="13"/>
  <c r="AI134" i="13"/>
  <c r="AU134" i="13"/>
  <c r="AV134" i="13"/>
  <c r="AW134" i="13"/>
  <c r="AJ134" i="13"/>
  <c r="AX134" i="13"/>
  <c r="AK134" i="13"/>
  <c r="AY134" i="13"/>
  <c r="AL134" i="13"/>
  <c r="AZ134" i="13"/>
  <c r="AM134" i="13"/>
  <c r="BA134" i="13"/>
  <c r="AO134" i="13"/>
  <c r="AQ134" i="13"/>
  <c r="AP134" i="13"/>
  <c r="AR134" i="13"/>
  <c r="AT134" i="13"/>
  <c r="AN134" i="13"/>
  <c r="AS19" i="13"/>
  <c r="AT19" i="13"/>
  <c r="AI19" i="13"/>
  <c r="AU19" i="13"/>
  <c r="AX19" i="13"/>
  <c r="AL19" i="13"/>
  <c r="BA19" i="13"/>
  <c r="AO19" i="13"/>
  <c r="AP19" i="13"/>
  <c r="AQ19" i="13"/>
  <c r="AR19" i="13"/>
  <c r="AV19" i="13"/>
  <c r="AJ19" i="13"/>
  <c r="AM19" i="13"/>
  <c r="AY19" i="13"/>
  <c r="AN19" i="13"/>
  <c r="AZ19" i="13"/>
  <c r="AW19" i="13"/>
  <c r="AK19" i="13"/>
  <c r="AO55" i="13"/>
  <c r="BA55" i="13"/>
  <c r="AM55" i="13"/>
  <c r="AZ55" i="13"/>
  <c r="AV55" i="13"/>
  <c r="AK55" i="13"/>
  <c r="AY55" i="13"/>
  <c r="AJ55" i="13"/>
  <c r="AL55" i="13"/>
  <c r="AQ55" i="13"/>
  <c r="AW55" i="13"/>
  <c r="AX55" i="13"/>
  <c r="AI55" i="13"/>
  <c r="AR55" i="13"/>
  <c r="AS55" i="13"/>
  <c r="AT55" i="13"/>
  <c r="AU55" i="13"/>
  <c r="AN55" i="13"/>
  <c r="AP55" i="13"/>
  <c r="AL115" i="13"/>
  <c r="AX115" i="13"/>
  <c r="AN115" i="13"/>
  <c r="AZ115" i="13"/>
  <c r="AK115" i="13"/>
  <c r="BA115" i="13"/>
  <c r="AO115" i="13"/>
  <c r="AV115" i="13"/>
  <c r="AW115" i="13"/>
  <c r="AY115" i="13"/>
  <c r="AI115" i="13"/>
  <c r="AJ115" i="13"/>
  <c r="AM115" i="13"/>
  <c r="AQ115" i="13"/>
  <c r="AR115" i="13"/>
  <c r="AT115" i="13"/>
  <c r="AP115" i="13"/>
  <c r="AS115" i="13"/>
  <c r="AU115" i="13"/>
  <c r="AQ20" i="13"/>
  <c r="AR20" i="13"/>
  <c r="AS20" i="13"/>
  <c r="AM20" i="13"/>
  <c r="AP20" i="13"/>
  <c r="AI20" i="13"/>
  <c r="AZ20" i="13"/>
  <c r="AJ20" i="13"/>
  <c r="BA20" i="13"/>
  <c r="AK20" i="13"/>
  <c r="AL20" i="13"/>
  <c r="AN20" i="13"/>
  <c r="AT20" i="13"/>
  <c r="AV20" i="13"/>
  <c r="AY20" i="13"/>
  <c r="AW20" i="13"/>
  <c r="AO20" i="13"/>
  <c r="AX20" i="13"/>
  <c r="AU20" i="13"/>
  <c r="AP56" i="13"/>
  <c r="AQ56" i="13"/>
  <c r="AM56" i="13"/>
  <c r="BA56" i="13"/>
  <c r="AR56" i="13"/>
  <c r="AV56" i="13"/>
  <c r="AW56" i="13"/>
  <c r="AJ56" i="13"/>
  <c r="AZ56" i="13"/>
  <c r="AX56" i="13"/>
  <c r="AY56" i="13"/>
  <c r="AK56" i="13"/>
  <c r="AI56" i="13"/>
  <c r="AL56" i="13"/>
  <c r="AN56" i="13"/>
  <c r="AO56" i="13"/>
  <c r="AS56" i="13"/>
  <c r="AT56" i="13"/>
  <c r="AU56" i="13"/>
  <c r="AR92" i="13"/>
  <c r="AS92" i="13"/>
  <c r="AT92" i="13"/>
  <c r="AJ92" i="13"/>
  <c r="AV92" i="13"/>
  <c r="AQ92" i="13"/>
  <c r="AU92" i="13"/>
  <c r="AX92" i="13"/>
  <c r="AI92" i="13"/>
  <c r="AK92" i="13"/>
  <c r="AL92" i="13"/>
  <c r="AM92" i="13"/>
  <c r="AN92" i="13"/>
  <c r="AO92" i="13"/>
  <c r="AP92" i="13"/>
  <c r="BA92" i="13"/>
  <c r="AZ92" i="13"/>
  <c r="AW92" i="13"/>
  <c r="AY92" i="13"/>
  <c r="AK136" i="13"/>
  <c r="AW136" i="13"/>
  <c r="AM136" i="13"/>
  <c r="AY136" i="13"/>
  <c r="AJ136" i="13"/>
  <c r="AZ136" i="13"/>
  <c r="AL136" i="13"/>
  <c r="BA136" i="13"/>
  <c r="AN136" i="13"/>
  <c r="AO136" i="13"/>
  <c r="AP136" i="13"/>
  <c r="AQ136" i="13"/>
  <c r="AT136" i="13"/>
  <c r="AU136" i="13"/>
  <c r="AX136" i="13"/>
  <c r="AS136" i="13"/>
  <c r="AI136" i="13"/>
  <c r="AR136" i="13"/>
  <c r="AV136" i="13"/>
  <c r="AT21" i="13"/>
  <c r="AI21" i="13"/>
  <c r="AU21" i="13"/>
  <c r="AJ21" i="13"/>
  <c r="AV21" i="13"/>
  <c r="AM21" i="13"/>
  <c r="AP21" i="13"/>
  <c r="AL21" i="13"/>
  <c r="AN21" i="13"/>
  <c r="AQ21" i="13"/>
  <c r="AR21" i="13"/>
  <c r="AS21" i="13"/>
  <c r="AO21" i="13"/>
  <c r="AY21" i="13"/>
  <c r="AK21" i="13"/>
  <c r="AZ21" i="13"/>
  <c r="BA21" i="13"/>
  <c r="AW21" i="13"/>
  <c r="AX21" i="13"/>
  <c r="AJ57" i="13"/>
  <c r="AV57" i="13"/>
  <c r="AL57" i="13"/>
  <c r="AY57" i="13"/>
  <c r="AI57" i="13"/>
  <c r="AX57" i="13"/>
  <c r="AN57" i="13"/>
  <c r="AU57" i="13"/>
  <c r="AW57" i="13"/>
  <c r="AK57" i="13"/>
  <c r="AM57" i="13"/>
  <c r="AO57" i="13"/>
  <c r="AP57" i="13"/>
  <c r="AR57" i="13"/>
  <c r="AS57" i="13"/>
  <c r="AT57" i="13"/>
  <c r="AZ57" i="13"/>
  <c r="BA57" i="13"/>
  <c r="AQ57" i="13"/>
  <c r="AR93" i="13"/>
  <c r="AS93" i="13"/>
  <c r="AT93" i="13"/>
  <c r="AJ93" i="13"/>
  <c r="AV93" i="13"/>
  <c r="AM93" i="13"/>
  <c r="AN93" i="13"/>
  <c r="AP93" i="13"/>
  <c r="BA93" i="13"/>
  <c r="AI93" i="13"/>
  <c r="AK93" i="13"/>
  <c r="AL93" i="13"/>
  <c r="AO93" i="13"/>
  <c r="AQ93" i="13"/>
  <c r="AU93" i="13"/>
  <c r="AW93" i="13"/>
  <c r="AX93" i="13"/>
  <c r="AZ93" i="13"/>
  <c r="AY93" i="13"/>
  <c r="AP117" i="13"/>
  <c r="AR117" i="13"/>
  <c r="AL117" i="13"/>
  <c r="AZ117" i="13"/>
  <c r="AN117" i="13"/>
  <c r="AS117" i="13"/>
  <c r="AT117" i="13"/>
  <c r="AU117" i="13"/>
  <c r="AV117" i="13"/>
  <c r="AW117" i="13"/>
  <c r="AX117" i="13"/>
  <c r="AJ117" i="13"/>
  <c r="AK117" i="13"/>
  <c r="AO117" i="13"/>
  <c r="AY117" i="13"/>
  <c r="AI117" i="13"/>
  <c r="AM117" i="13"/>
  <c r="BA117" i="13"/>
  <c r="AQ117" i="13"/>
  <c r="AQ163" i="13"/>
  <c r="AR163" i="13"/>
  <c r="AT163" i="13"/>
  <c r="AP163" i="13"/>
  <c r="AU163" i="13"/>
  <c r="AW163" i="13"/>
  <c r="AK163" i="13"/>
  <c r="AL163" i="13"/>
  <c r="AM163" i="13"/>
  <c r="AN163" i="13"/>
  <c r="AS163" i="13"/>
  <c r="AJ163" i="13"/>
  <c r="AO163" i="13"/>
  <c r="AI163" i="13"/>
  <c r="AV163" i="13"/>
  <c r="AX163" i="13"/>
  <c r="AY163" i="13"/>
  <c r="AZ163" i="13"/>
  <c r="BA163" i="13"/>
  <c r="AI204" i="13"/>
  <c r="AU204" i="13"/>
  <c r="AK204" i="13"/>
  <c r="AW204" i="13"/>
  <c r="AM204" i="13"/>
  <c r="AY204" i="13"/>
  <c r="AZ204" i="13"/>
  <c r="AJ204" i="13"/>
  <c r="BA204" i="13"/>
  <c r="AL204" i="13"/>
  <c r="AN204" i="13"/>
  <c r="AP204" i="13"/>
  <c r="AX204" i="13"/>
  <c r="AO204" i="13"/>
  <c r="AQ204" i="13"/>
  <c r="AR204" i="13"/>
  <c r="AV204" i="13"/>
  <c r="AS204" i="13"/>
  <c r="AT204" i="13"/>
  <c r="AI10" i="13"/>
  <c r="AU10" i="13"/>
  <c r="AK10" i="13"/>
  <c r="AW10" i="13"/>
  <c r="AL10" i="13"/>
  <c r="AX10" i="13"/>
  <c r="AM10" i="13"/>
  <c r="AY10" i="13"/>
  <c r="AT10" i="13"/>
  <c r="AV10" i="13"/>
  <c r="AZ10" i="13"/>
  <c r="BA10" i="13"/>
  <c r="AQ10" i="13"/>
  <c r="AR10" i="13"/>
  <c r="AS10" i="13"/>
  <c r="AJ10" i="13"/>
  <c r="AO10" i="13"/>
  <c r="AN10" i="13"/>
  <c r="AP10" i="13"/>
  <c r="AT22" i="13"/>
  <c r="AI22" i="13"/>
  <c r="AU22" i="13"/>
  <c r="AJ22" i="13"/>
  <c r="AV22" i="13"/>
  <c r="AY22" i="13"/>
  <c r="AM22" i="13"/>
  <c r="AL22" i="13"/>
  <c r="AN22" i="13"/>
  <c r="AQ22" i="13"/>
  <c r="AO22" i="13"/>
  <c r="AR22" i="13"/>
  <c r="AX22" i="13"/>
  <c r="AS22" i="13"/>
  <c r="AW22" i="13"/>
  <c r="AZ22" i="13"/>
  <c r="BA22" i="13"/>
  <c r="AK22" i="13"/>
  <c r="AP22" i="13"/>
  <c r="AK34" i="13"/>
  <c r="AW34" i="13"/>
  <c r="AS34" i="13"/>
  <c r="AN34" i="13"/>
  <c r="AO34" i="13"/>
  <c r="AR34" i="13"/>
  <c r="AJ34" i="13"/>
  <c r="AT34" i="13"/>
  <c r="AM34" i="13"/>
  <c r="AU34" i="13"/>
  <c r="AI34" i="13"/>
  <c r="AQ34" i="13"/>
  <c r="AL34" i="13"/>
  <c r="AP34" i="13"/>
  <c r="AV34" i="13"/>
  <c r="AY34" i="13"/>
  <c r="AZ34" i="13"/>
  <c r="BA34" i="13"/>
  <c r="AX34" i="13"/>
  <c r="AQ46" i="13"/>
  <c r="AR46" i="13"/>
  <c r="AU46" i="13"/>
  <c r="AW46" i="13"/>
  <c r="AK46" i="13"/>
  <c r="AZ46" i="13"/>
  <c r="AM46" i="13"/>
  <c r="AN46" i="13"/>
  <c r="AS46" i="13"/>
  <c r="AO46" i="13"/>
  <c r="AP46" i="13"/>
  <c r="AT46" i="13"/>
  <c r="AV46" i="13"/>
  <c r="AY46" i="13"/>
  <c r="AX46" i="13"/>
  <c r="BA46" i="13"/>
  <c r="AI46" i="13"/>
  <c r="AL46" i="13"/>
  <c r="AJ46" i="13"/>
  <c r="AN58" i="13"/>
  <c r="AZ58" i="13"/>
  <c r="AO58" i="13"/>
  <c r="AM58" i="13"/>
  <c r="AP58" i="13"/>
  <c r="AS58" i="13"/>
  <c r="AX58" i="13"/>
  <c r="AY58" i="13"/>
  <c r="AI58" i="13"/>
  <c r="BA58" i="13"/>
  <c r="AJ58" i="13"/>
  <c r="AL58" i="13"/>
  <c r="AU58" i="13"/>
  <c r="AV58" i="13"/>
  <c r="AW58" i="13"/>
  <c r="AK58" i="13"/>
  <c r="AQ58" i="13"/>
  <c r="AR58" i="13"/>
  <c r="AT58" i="13"/>
  <c r="AL70" i="13"/>
  <c r="AX70" i="13"/>
  <c r="AM70" i="13"/>
  <c r="AZ70" i="13"/>
  <c r="AN70" i="13"/>
  <c r="BA70" i="13"/>
  <c r="AQ70" i="13"/>
  <c r="AI70" i="13"/>
  <c r="AJ70" i="13"/>
  <c r="AK70" i="13"/>
  <c r="AO70" i="13"/>
  <c r="AR70" i="13"/>
  <c r="AP70" i="13"/>
  <c r="AS70" i="13"/>
  <c r="AT70" i="13"/>
  <c r="AV70" i="13"/>
  <c r="AU70" i="13"/>
  <c r="AW70" i="13"/>
  <c r="AY70" i="13"/>
  <c r="AN82" i="13"/>
  <c r="AZ82" i="13"/>
  <c r="AO82" i="13"/>
  <c r="BA82" i="13"/>
  <c r="AP82" i="13"/>
  <c r="AR82" i="13"/>
  <c r="AM82" i="13"/>
  <c r="AQ82" i="13"/>
  <c r="AS82" i="13"/>
  <c r="AT82" i="13"/>
  <c r="AX82" i="13"/>
  <c r="AY82" i="13"/>
  <c r="AI82" i="13"/>
  <c r="AL82" i="13"/>
  <c r="AU82" i="13"/>
  <c r="AV82" i="13"/>
  <c r="AW82" i="13"/>
  <c r="AK82" i="13"/>
  <c r="AJ82" i="13"/>
  <c r="AT94" i="13"/>
  <c r="AI94" i="13"/>
  <c r="AU94" i="13"/>
  <c r="AJ94" i="13"/>
  <c r="AV94" i="13"/>
  <c r="AL94" i="13"/>
  <c r="AX94" i="13"/>
  <c r="BA94" i="13"/>
  <c r="AK94" i="13"/>
  <c r="AN94" i="13"/>
  <c r="AM94" i="13"/>
  <c r="AO94" i="13"/>
  <c r="AP94" i="13"/>
  <c r="AQ94" i="13"/>
  <c r="AR94" i="13"/>
  <c r="AS94" i="13"/>
  <c r="AW94" i="13"/>
  <c r="AZ94" i="13"/>
  <c r="AY94" i="13"/>
  <c r="AL106" i="13"/>
  <c r="AX106" i="13"/>
  <c r="AM106" i="13"/>
  <c r="AY106" i="13"/>
  <c r="AN106" i="13"/>
  <c r="AZ106" i="13"/>
  <c r="AR106" i="13"/>
  <c r="AT106" i="13"/>
  <c r="AW106" i="13"/>
  <c r="BA106" i="13"/>
  <c r="AI106" i="13"/>
  <c r="AJ106" i="13"/>
  <c r="AK106" i="13"/>
  <c r="AS106" i="13"/>
  <c r="AU106" i="13"/>
  <c r="AO106" i="13"/>
  <c r="AP106" i="13"/>
  <c r="AV106" i="13"/>
  <c r="AQ106" i="13"/>
  <c r="AR126" i="13"/>
  <c r="AT126" i="13"/>
  <c r="AO126" i="13"/>
  <c r="AP126" i="13"/>
  <c r="AQ126" i="13"/>
  <c r="AS126" i="13"/>
  <c r="AU126" i="13"/>
  <c r="AV126" i="13"/>
  <c r="AK126" i="13"/>
  <c r="AL126" i="13"/>
  <c r="AN126" i="13"/>
  <c r="AX126" i="13"/>
  <c r="AW126" i="13"/>
  <c r="AY126" i="13"/>
  <c r="AZ126" i="13"/>
  <c r="BA126" i="13"/>
  <c r="AI126" i="13"/>
  <c r="AJ126" i="13"/>
  <c r="AM126" i="13"/>
  <c r="AQ164" i="13"/>
  <c r="AR164" i="13"/>
  <c r="AT164" i="13"/>
  <c r="AM164" i="13"/>
  <c r="AO164" i="13"/>
  <c r="AS164" i="13"/>
  <c r="AP164" i="13"/>
  <c r="AU164" i="13"/>
  <c r="AV164" i="13"/>
  <c r="AW164" i="13"/>
  <c r="AY164" i="13"/>
  <c r="AI164" i="13"/>
  <c r="AK164" i="13"/>
  <c r="AL164" i="13"/>
  <c r="BA164" i="13"/>
  <c r="AJ164" i="13"/>
  <c r="AN164" i="13"/>
  <c r="AX164" i="13"/>
  <c r="AZ164" i="13"/>
  <c r="AS193" i="13"/>
  <c r="AI193" i="13"/>
  <c r="AU193" i="13"/>
  <c r="AK193" i="13"/>
  <c r="AW193" i="13"/>
  <c r="AT193" i="13"/>
  <c r="AV193" i="13"/>
  <c r="AX193" i="13"/>
  <c r="AY193" i="13"/>
  <c r="AL193" i="13"/>
  <c r="BA193" i="13"/>
  <c r="AR193" i="13"/>
  <c r="AZ193" i="13"/>
  <c r="AJ193" i="13"/>
  <c r="AO193" i="13"/>
  <c r="AP193" i="13"/>
  <c r="AQ193" i="13"/>
  <c r="AM193" i="13"/>
  <c r="AN193" i="13"/>
  <c r="AP220" i="13"/>
  <c r="AR220" i="13"/>
  <c r="AQ220" i="13"/>
  <c r="AS220" i="13"/>
  <c r="AT220" i="13"/>
  <c r="AU220" i="13"/>
  <c r="AI220" i="13"/>
  <c r="AW220" i="13"/>
  <c r="AY220" i="13"/>
  <c r="AZ220" i="13"/>
  <c r="BA220" i="13"/>
  <c r="AK220" i="13"/>
  <c r="AL220" i="13"/>
  <c r="AV220" i="13"/>
  <c r="AX220" i="13"/>
  <c r="AJ220" i="13"/>
  <c r="AM220" i="13"/>
  <c r="AN220" i="13"/>
  <c r="AO220" i="13"/>
  <c r="AK15" i="13"/>
  <c r="AW15" i="13"/>
  <c r="AL15" i="13"/>
  <c r="AX15" i="13"/>
  <c r="AM15" i="13"/>
  <c r="AY15" i="13"/>
  <c r="AV15" i="13"/>
  <c r="AJ15" i="13"/>
  <c r="AO15" i="13"/>
  <c r="AP15" i="13"/>
  <c r="AQ15" i="13"/>
  <c r="AR15" i="13"/>
  <c r="AS15" i="13"/>
  <c r="AI15" i="13"/>
  <c r="AT15" i="13"/>
  <c r="BA15" i="13"/>
  <c r="AZ15" i="13"/>
  <c r="AN15" i="13"/>
  <c r="AU15" i="13"/>
  <c r="AT29" i="13"/>
  <c r="AI29" i="13"/>
  <c r="AU29" i="13"/>
  <c r="AP29" i="13"/>
  <c r="AN29" i="13"/>
  <c r="AO29" i="13"/>
  <c r="AS29" i="13"/>
  <c r="AZ29" i="13"/>
  <c r="AM29" i="13"/>
  <c r="BA29" i="13"/>
  <c r="AJ29" i="13"/>
  <c r="AY29" i="13"/>
  <c r="AX29" i="13"/>
  <c r="AK29" i="13"/>
  <c r="AL29" i="13"/>
  <c r="AW29" i="13"/>
  <c r="AV29" i="13"/>
  <c r="AR29" i="13"/>
  <c r="AQ29" i="13"/>
  <c r="AN65" i="13"/>
  <c r="AZ65" i="13"/>
  <c r="AR65" i="13"/>
  <c r="AT65" i="13"/>
  <c r="AU65" i="13"/>
  <c r="AJ65" i="13"/>
  <c r="AX65" i="13"/>
  <c r="AK65" i="13"/>
  <c r="AL65" i="13"/>
  <c r="AM65" i="13"/>
  <c r="AO65" i="13"/>
  <c r="AQ65" i="13"/>
  <c r="AI65" i="13"/>
  <c r="AP65" i="13"/>
  <c r="AS65" i="13"/>
  <c r="AV65" i="13"/>
  <c r="AW65" i="13"/>
  <c r="BA65" i="13"/>
  <c r="AY65" i="13"/>
  <c r="AJ101" i="13"/>
  <c r="AV101" i="13"/>
  <c r="AK101" i="13"/>
  <c r="AW101" i="13"/>
  <c r="AL101" i="13"/>
  <c r="AX101" i="13"/>
  <c r="AN101" i="13"/>
  <c r="AZ101" i="13"/>
  <c r="AI101" i="13"/>
  <c r="AM101" i="13"/>
  <c r="AP101" i="13"/>
  <c r="AO101" i="13"/>
  <c r="AQ101" i="13"/>
  <c r="AR101" i="13"/>
  <c r="AS101" i="13"/>
  <c r="AT101" i="13"/>
  <c r="AY101" i="13"/>
  <c r="AU101" i="13"/>
  <c r="BA101" i="13"/>
  <c r="AR171" i="13"/>
  <c r="AS171" i="13"/>
  <c r="AI171" i="13"/>
  <c r="AU171" i="13"/>
  <c r="AK171" i="13"/>
  <c r="AZ171" i="13"/>
  <c r="AM171" i="13"/>
  <c r="AO171" i="13"/>
  <c r="AT171" i="13"/>
  <c r="AV171" i="13"/>
  <c r="AW171" i="13"/>
  <c r="AX171" i="13"/>
  <c r="BA171" i="13"/>
  <c r="AL171" i="13"/>
  <c r="AN171" i="13"/>
  <c r="AJ171" i="13"/>
  <c r="AP171" i="13"/>
  <c r="AQ171" i="13"/>
  <c r="AY171" i="13"/>
  <c r="AT30" i="13"/>
  <c r="AI30" i="13"/>
  <c r="AU30" i="13"/>
  <c r="AJ30" i="13"/>
  <c r="AX30" i="13"/>
  <c r="AK30" i="13"/>
  <c r="AZ30" i="13"/>
  <c r="AL30" i="13"/>
  <c r="BA30" i="13"/>
  <c r="AO30" i="13"/>
  <c r="AM30" i="13"/>
  <c r="AS30" i="13"/>
  <c r="AQ30" i="13"/>
  <c r="AW30" i="13"/>
  <c r="AV30" i="13"/>
  <c r="AY30" i="13"/>
  <c r="AN30" i="13"/>
  <c r="AP30" i="13"/>
  <c r="AR30" i="13"/>
  <c r="AQ54" i="13"/>
  <c r="AL54" i="13"/>
  <c r="AY54" i="13"/>
  <c r="AR54" i="13"/>
  <c r="AU54" i="13"/>
  <c r="AN54" i="13"/>
  <c r="AO54" i="13"/>
  <c r="AT54" i="13"/>
  <c r="AP54" i="13"/>
  <c r="AS54" i="13"/>
  <c r="AV54" i="13"/>
  <c r="AW54" i="13"/>
  <c r="AZ54" i="13"/>
  <c r="AK54" i="13"/>
  <c r="AM54" i="13"/>
  <c r="AX54" i="13"/>
  <c r="BA54" i="13"/>
  <c r="AI54" i="13"/>
  <c r="AJ54" i="13"/>
  <c r="AN90" i="13"/>
  <c r="AZ90" i="13"/>
  <c r="AO90" i="13"/>
  <c r="BA90" i="13"/>
  <c r="AP90" i="13"/>
  <c r="AR90" i="13"/>
  <c r="AJ90" i="13"/>
  <c r="AK90" i="13"/>
  <c r="AL90" i="13"/>
  <c r="AM90" i="13"/>
  <c r="AI90" i="13"/>
  <c r="AQ90" i="13"/>
  <c r="AS90" i="13"/>
  <c r="AT90" i="13"/>
  <c r="AU90" i="13"/>
  <c r="AV90" i="13"/>
  <c r="AX90" i="13"/>
  <c r="AY90" i="13"/>
  <c r="AW90" i="13"/>
  <c r="AS114" i="13"/>
  <c r="AI114" i="13"/>
  <c r="AU114" i="13"/>
  <c r="AN114" i="13"/>
  <c r="AP114" i="13"/>
  <c r="AW114" i="13"/>
  <c r="AX114" i="13"/>
  <c r="AY114" i="13"/>
  <c r="AJ114" i="13"/>
  <c r="AZ114" i="13"/>
  <c r="AK114" i="13"/>
  <c r="BA114" i="13"/>
  <c r="AL114" i="13"/>
  <c r="AV114" i="13"/>
  <c r="AM114" i="13"/>
  <c r="AR114" i="13"/>
  <c r="AT114" i="13"/>
  <c r="AO114" i="13"/>
  <c r="AQ114" i="13"/>
  <c r="AL201" i="13"/>
  <c r="AX201" i="13"/>
  <c r="AN201" i="13"/>
  <c r="AZ201" i="13"/>
  <c r="AP201" i="13"/>
  <c r="AU201" i="13"/>
  <c r="AV201" i="13"/>
  <c r="AW201" i="13"/>
  <c r="AI201" i="13"/>
  <c r="AY201" i="13"/>
  <c r="AK201" i="13"/>
  <c r="AT201" i="13"/>
  <c r="BA201" i="13"/>
  <c r="AJ201" i="13"/>
  <c r="AM201" i="13"/>
  <c r="AO201" i="13"/>
  <c r="AS201" i="13"/>
  <c r="AQ201" i="13"/>
  <c r="AR201" i="13"/>
  <c r="AR31" i="13"/>
  <c r="AS31" i="13"/>
  <c r="AN31" i="13"/>
  <c r="AT31" i="13"/>
  <c r="AU31" i="13"/>
  <c r="AI31" i="13"/>
  <c r="AX31" i="13"/>
  <c r="AO31" i="13"/>
  <c r="AY31" i="13"/>
  <c r="AK31" i="13"/>
  <c r="AM31" i="13"/>
  <c r="AP31" i="13"/>
  <c r="AW31" i="13"/>
  <c r="AJ31" i="13"/>
  <c r="AL31" i="13"/>
  <c r="AQ31" i="13"/>
  <c r="AV31" i="13"/>
  <c r="BA31" i="13"/>
  <c r="AZ31" i="13"/>
  <c r="AL79" i="13"/>
  <c r="AX79" i="13"/>
  <c r="AM79" i="13"/>
  <c r="AY79" i="13"/>
  <c r="AP79" i="13"/>
  <c r="AT79" i="13"/>
  <c r="AU79" i="13"/>
  <c r="AV79" i="13"/>
  <c r="AI79" i="13"/>
  <c r="AZ79" i="13"/>
  <c r="AQ79" i="13"/>
  <c r="AR79" i="13"/>
  <c r="AS79" i="13"/>
  <c r="AW79" i="13"/>
  <c r="BA79" i="13"/>
  <c r="AJ79" i="13"/>
  <c r="AN79" i="13"/>
  <c r="AO79" i="13"/>
  <c r="AK79" i="13"/>
  <c r="AQ135" i="13"/>
  <c r="AS135" i="13"/>
  <c r="AL135" i="13"/>
  <c r="AZ135" i="13"/>
  <c r="AM135" i="13"/>
  <c r="BA135" i="13"/>
  <c r="AN135" i="13"/>
  <c r="AO135" i="13"/>
  <c r="AP135" i="13"/>
  <c r="AR135" i="13"/>
  <c r="AX135" i="13"/>
  <c r="AY135" i="13"/>
  <c r="AI135" i="13"/>
  <c r="AJ135" i="13"/>
  <c r="AU135" i="13"/>
  <c r="AK135" i="13"/>
  <c r="AT135" i="13"/>
  <c r="AW135" i="13"/>
  <c r="AV135" i="13"/>
  <c r="AM202" i="13"/>
  <c r="AY202" i="13"/>
  <c r="AO202" i="13"/>
  <c r="BA202" i="13"/>
  <c r="AQ202" i="13"/>
  <c r="AL202" i="13"/>
  <c r="AN202" i="13"/>
  <c r="AP202" i="13"/>
  <c r="AR202" i="13"/>
  <c r="AT202" i="13"/>
  <c r="AW202" i="13"/>
  <c r="AX202" i="13"/>
  <c r="AZ202" i="13"/>
  <c r="AI202" i="13"/>
  <c r="AU202" i="13"/>
  <c r="AV202" i="13"/>
  <c r="AJ202" i="13"/>
  <c r="AK202" i="13"/>
  <c r="AS202" i="13"/>
  <c r="AO44" i="13"/>
  <c r="BA44" i="13"/>
  <c r="AK44" i="13"/>
  <c r="AX44" i="13"/>
  <c r="AN44" i="13"/>
  <c r="AW44" i="13"/>
  <c r="AV44" i="13"/>
  <c r="AJ44" i="13"/>
  <c r="AZ44" i="13"/>
  <c r="AM44" i="13"/>
  <c r="AR44" i="13"/>
  <c r="AS44" i="13"/>
  <c r="AT44" i="13"/>
  <c r="AU44" i="13"/>
  <c r="AI44" i="13"/>
  <c r="AL44" i="13"/>
  <c r="AP44" i="13"/>
  <c r="AY44" i="13"/>
  <c r="AQ44" i="13"/>
  <c r="AS80" i="13"/>
  <c r="AT80" i="13"/>
  <c r="AU80" i="13"/>
  <c r="AI80" i="13"/>
  <c r="AV80" i="13"/>
  <c r="AK80" i="13"/>
  <c r="AX80" i="13"/>
  <c r="BA80" i="13"/>
  <c r="AJ80" i="13"/>
  <c r="AL80" i="13"/>
  <c r="AM80" i="13"/>
  <c r="AR80" i="13"/>
  <c r="AW80" i="13"/>
  <c r="AY80" i="13"/>
  <c r="AZ80" i="13"/>
  <c r="AQ80" i="13"/>
  <c r="AN80" i="13"/>
  <c r="AP80" i="13"/>
  <c r="AO80" i="13"/>
  <c r="AP116" i="13"/>
  <c r="AR116" i="13"/>
  <c r="AI116" i="13"/>
  <c r="AW116" i="13"/>
  <c r="AK116" i="13"/>
  <c r="AY116" i="13"/>
  <c r="AZ116" i="13"/>
  <c r="AJ116" i="13"/>
  <c r="BA116" i="13"/>
  <c r="AL116" i="13"/>
  <c r="AM116" i="13"/>
  <c r="AN116" i="13"/>
  <c r="AO116" i="13"/>
  <c r="AQ116" i="13"/>
  <c r="AT116" i="13"/>
  <c r="AV116" i="13"/>
  <c r="AU116" i="13"/>
  <c r="AX116" i="13"/>
  <c r="AS116" i="13"/>
  <c r="AI203" i="13"/>
  <c r="AU203" i="13"/>
  <c r="AK203" i="13"/>
  <c r="AW203" i="13"/>
  <c r="AM203" i="13"/>
  <c r="AY203" i="13"/>
  <c r="AQ203" i="13"/>
  <c r="AR203" i="13"/>
  <c r="AS203" i="13"/>
  <c r="AT203" i="13"/>
  <c r="AX203" i="13"/>
  <c r="AZ203" i="13"/>
  <c r="BA203" i="13"/>
  <c r="AJ203" i="13"/>
  <c r="AL203" i="13"/>
  <c r="AN203" i="13"/>
  <c r="AP203" i="13"/>
  <c r="AV203" i="13"/>
  <c r="AO203" i="13"/>
  <c r="AK69" i="13"/>
  <c r="AW69" i="13"/>
  <c r="AU69" i="13"/>
  <c r="AI69" i="13"/>
  <c r="AV69" i="13"/>
  <c r="AM69" i="13"/>
  <c r="AZ69" i="13"/>
  <c r="AJ69" i="13"/>
  <c r="AL69" i="13"/>
  <c r="AN69" i="13"/>
  <c r="AO69" i="13"/>
  <c r="AQ69" i="13"/>
  <c r="AP69" i="13"/>
  <c r="AR69" i="13"/>
  <c r="AS69" i="13"/>
  <c r="AT69" i="13"/>
  <c r="AX69" i="13"/>
  <c r="AY69" i="13"/>
  <c r="BA69" i="13"/>
  <c r="AM105" i="13"/>
  <c r="AY105" i="13"/>
  <c r="AN105" i="13"/>
  <c r="AZ105" i="13"/>
  <c r="AO105" i="13"/>
  <c r="BA105" i="13"/>
  <c r="AV105" i="13"/>
  <c r="AI105" i="13"/>
  <c r="AX105" i="13"/>
  <c r="AU105" i="13"/>
  <c r="AW105" i="13"/>
  <c r="AJ105" i="13"/>
  <c r="AK105" i="13"/>
  <c r="AL105" i="13"/>
  <c r="AQ105" i="13"/>
  <c r="AS105" i="13"/>
  <c r="AT105" i="13"/>
  <c r="AP105" i="13"/>
  <c r="AR105" i="13"/>
  <c r="AQ192" i="13"/>
  <c r="AS192" i="13"/>
  <c r="AU192" i="13"/>
  <c r="AJ192" i="13"/>
  <c r="AW192" i="13"/>
  <c r="AY192" i="13"/>
  <c r="AI192" i="13"/>
  <c r="AZ192" i="13"/>
  <c r="AK192" i="13"/>
  <c r="BA192" i="13"/>
  <c r="AL192" i="13"/>
  <c r="AN192" i="13"/>
  <c r="AO192" i="13"/>
  <c r="AP192" i="13"/>
  <c r="AT192" i="13"/>
  <c r="AR192" i="13"/>
  <c r="AX192" i="13"/>
  <c r="AM192" i="13"/>
  <c r="AV192" i="13"/>
  <c r="AO11" i="13"/>
  <c r="BA11" i="13"/>
  <c r="AQ11" i="13"/>
  <c r="AR11" i="13"/>
  <c r="AS11" i="13"/>
  <c r="AJ11" i="13"/>
  <c r="AZ11" i="13"/>
  <c r="AK11" i="13"/>
  <c r="AL11" i="13"/>
  <c r="AM11" i="13"/>
  <c r="AP11" i="13"/>
  <c r="AT11" i="13"/>
  <c r="AU11" i="13"/>
  <c r="AV11" i="13"/>
  <c r="AW11" i="13"/>
  <c r="AI11" i="13"/>
  <c r="AX11" i="13"/>
  <c r="AN11" i="13"/>
  <c r="AY11" i="13"/>
  <c r="AR23" i="13"/>
  <c r="AS23" i="13"/>
  <c r="AT23" i="13"/>
  <c r="AW23" i="13"/>
  <c r="AI23" i="13"/>
  <c r="AY23" i="13"/>
  <c r="AJ23" i="13"/>
  <c r="AZ23" i="13"/>
  <c r="AM23" i="13"/>
  <c r="AO23" i="13"/>
  <c r="AQ23" i="13"/>
  <c r="AX23" i="13"/>
  <c r="AN23" i="13"/>
  <c r="AK23" i="13"/>
  <c r="AU23" i="13"/>
  <c r="AV23" i="13"/>
  <c r="AL23" i="13"/>
  <c r="AP23" i="13"/>
  <c r="BA23" i="13"/>
  <c r="AL35" i="13"/>
  <c r="AX35" i="13"/>
  <c r="AI35" i="13"/>
  <c r="AV35" i="13"/>
  <c r="AS35" i="13"/>
  <c r="AT35" i="13"/>
  <c r="AJ35" i="13"/>
  <c r="AY35" i="13"/>
  <c r="AZ35" i="13"/>
  <c r="AN35" i="13"/>
  <c r="AK35" i="13"/>
  <c r="AP35" i="13"/>
  <c r="AM35" i="13"/>
  <c r="AR35" i="13"/>
  <c r="AQ35" i="13"/>
  <c r="AU35" i="13"/>
  <c r="AW35" i="13"/>
  <c r="BA35" i="13"/>
  <c r="AO35" i="13"/>
  <c r="AO47" i="13"/>
  <c r="BA47" i="13"/>
  <c r="AS47" i="13"/>
  <c r="AK47" i="13"/>
  <c r="AY47" i="13"/>
  <c r="AP47" i="13"/>
  <c r="AT47" i="13"/>
  <c r="AL47" i="13"/>
  <c r="AM47" i="13"/>
  <c r="AR47" i="13"/>
  <c r="AZ47" i="13"/>
  <c r="AJ47" i="13"/>
  <c r="AN47" i="13"/>
  <c r="AI47" i="13"/>
  <c r="AQ47" i="13"/>
  <c r="AU47" i="13"/>
  <c r="AV47" i="13"/>
  <c r="AW47" i="13"/>
  <c r="AX47" i="13"/>
  <c r="AQ59" i="13"/>
  <c r="AT59" i="13"/>
  <c r="AU59" i="13"/>
  <c r="AV59" i="13"/>
  <c r="AK59" i="13"/>
  <c r="AY59" i="13"/>
  <c r="AR59" i="13"/>
  <c r="AS59" i="13"/>
  <c r="AW59" i="13"/>
  <c r="AX59" i="13"/>
  <c r="AI59" i="13"/>
  <c r="BA59" i="13"/>
  <c r="AO59" i="13"/>
  <c r="AP59" i="13"/>
  <c r="AZ59" i="13"/>
  <c r="AJ59" i="13"/>
  <c r="AM59" i="13"/>
  <c r="AL59" i="13"/>
  <c r="AN59" i="13"/>
  <c r="AK71" i="13"/>
  <c r="AW71" i="13"/>
  <c r="AN71" i="13"/>
  <c r="BA71" i="13"/>
  <c r="AO71" i="13"/>
  <c r="AR71" i="13"/>
  <c r="AT71" i="13"/>
  <c r="AU71" i="13"/>
  <c r="AV71" i="13"/>
  <c r="AX71" i="13"/>
  <c r="AI71" i="13"/>
  <c r="AZ71" i="13"/>
  <c r="AJ71" i="13"/>
  <c r="AL71" i="13"/>
  <c r="AM71" i="13"/>
  <c r="AP71" i="13"/>
  <c r="AQ71" i="13"/>
  <c r="AS71" i="13"/>
  <c r="AY71" i="13"/>
  <c r="AN83" i="13"/>
  <c r="AZ83" i="13"/>
  <c r="AO83" i="13"/>
  <c r="BA83" i="13"/>
  <c r="AP83" i="13"/>
  <c r="AR83" i="13"/>
  <c r="AX83" i="13"/>
  <c r="AI83" i="13"/>
  <c r="AY83" i="13"/>
  <c r="AJ83" i="13"/>
  <c r="AK83" i="13"/>
  <c r="AV83" i="13"/>
  <c r="AW83" i="13"/>
  <c r="AT83" i="13"/>
  <c r="AU83" i="13"/>
  <c r="AL83" i="13"/>
  <c r="AM83" i="13"/>
  <c r="AS83" i="13"/>
  <c r="AQ83" i="13"/>
  <c r="AS95" i="13"/>
  <c r="AT95" i="13"/>
  <c r="AI95" i="13"/>
  <c r="AU95" i="13"/>
  <c r="AK95" i="13"/>
  <c r="AW95" i="13"/>
  <c r="AR95" i="13"/>
  <c r="AV95" i="13"/>
  <c r="AY95" i="13"/>
  <c r="BA95" i="13"/>
  <c r="AJ95" i="13"/>
  <c r="AL95" i="13"/>
  <c r="AM95" i="13"/>
  <c r="AO95" i="13"/>
  <c r="AQ95" i="13"/>
  <c r="AX95" i="13"/>
  <c r="AZ95" i="13"/>
  <c r="AP95" i="13"/>
  <c r="AN95" i="13"/>
  <c r="AO107" i="13"/>
  <c r="BA107" i="13"/>
  <c r="AP107" i="13"/>
  <c r="AQ107" i="13"/>
  <c r="AL107" i="13"/>
  <c r="AN107" i="13"/>
  <c r="AV107" i="13"/>
  <c r="AW107" i="13"/>
  <c r="AX107" i="13"/>
  <c r="AY107" i="13"/>
  <c r="AI107" i="13"/>
  <c r="AZ107" i="13"/>
  <c r="AJ107" i="13"/>
  <c r="AK107" i="13"/>
  <c r="AU107" i="13"/>
  <c r="AM107" i="13"/>
  <c r="AR107" i="13"/>
  <c r="AS107" i="13"/>
  <c r="AT107" i="13"/>
  <c r="AQ127" i="13"/>
  <c r="AS127" i="13"/>
  <c r="AV127" i="13"/>
  <c r="AI127" i="13"/>
  <c r="AW127" i="13"/>
  <c r="AJ127" i="13"/>
  <c r="AX127" i="13"/>
  <c r="AK127" i="13"/>
  <c r="AY127" i="13"/>
  <c r="AL127" i="13"/>
  <c r="AZ127" i="13"/>
  <c r="AM127" i="13"/>
  <c r="BA127" i="13"/>
  <c r="AO127" i="13"/>
  <c r="AU127" i="13"/>
  <c r="AP127" i="13"/>
  <c r="AN127" i="13"/>
  <c r="AT127" i="13"/>
  <c r="AR127" i="13"/>
  <c r="AI165" i="13"/>
  <c r="AU165" i="13"/>
  <c r="AJ165" i="13"/>
  <c r="AV165" i="13"/>
  <c r="AL165" i="13"/>
  <c r="AX165" i="13"/>
  <c r="AZ165" i="13"/>
  <c r="AM165" i="13"/>
  <c r="AO165" i="13"/>
  <c r="AQ165" i="13"/>
  <c r="AR165" i="13"/>
  <c r="AS165" i="13"/>
  <c r="AT165" i="13"/>
  <c r="AY165" i="13"/>
  <c r="AK165" i="13"/>
  <c r="AW165" i="13"/>
  <c r="AN165" i="13"/>
  <c r="AP165" i="13"/>
  <c r="BA165" i="13"/>
  <c r="AS194" i="13"/>
  <c r="AI194" i="13"/>
  <c r="AU194" i="13"/>
  <c r="AK194" i="13"/>
  <c r="AW194" i="13"/>
  <c r="AM194" i="13"/>
  <c r="AN194" i="13"/>
  <c r="AO194" i="13"/>
  <c r="AP194" i="13"/>
  <c r="AR194" i="13"/>
  <c r="AY194" i="13"/>
  <c r="AZ194" i="13"/>
  <c r="BA194" i="13"/>
  <c r="AJ194" i="13"/>
  <c r="AT194" i="13"/>
  <c r="AV194" i="13"/>
  <c r="AL194" i="13"/>
  <c r="AQ194" i="13"/>
  <c r="AX194" i="13"/>
  <c r="AJ221" i="13"/>
  <c r="AV221" i="13"/>
  <c r="AL221" i="13"/>
  <c r="AX221" i="13"/>
  <c r="AO221" i="13"/>
  <c r="AP221" i="13"/>
  <c r="AQ221" i="13"/>
  <c r="AR221" i="13"/>
  <c r="AT221" i="13"/>
  <c r="AI221" i="13"/>
  <c r="AK221" i="13"/>
  <c r="AS221" i="13"/>
  <c r="AU221" i="13"/>
  <c r="AM221" i="13"/>
  <c r="AN221" i="13"/>
  <c r="AW221" i="13"/>
  <c r="AY221" i="13"/>
  <c r="AZ221" i="13"/>
  <c r="BA221" i="13"/>
  <c r="AI16" i="13"/>
  <c r="AU16" i="13"/>
  <c r="AJ16" i="13"/>
  <c r="AV16" i="13"/>
  <c r="AK16" i="13"/>
  <c r="AW16" i="13"/>
  <c r="AN16" i="13"/>
  <c r="AQ16" i="13"/>
  <c r="AY16" i="13"/>
  <c r="AZ16" i="13"/>
  <c r="BA16" i="13"/>
  <c r="AL16" i="13"/>
  <c r="AO16" i="13"/>
  <c r="AS16" i="13"/>
  <c r="AP16" i="13"/>
  <c r="AX16" i="13"/>
  <c r="AT16" i="13"/>
  <c r="AR16" i="13"/>
  <c r="AM16" i="13"/>
  <c r="AR40" i="13"/>
  <c r="AQ40" i="13"/>
  <c r="AN40" i="13"/>
  <c r="AO40" i="13"/>
  <c r="AT40" i="13"/>
  <c r="AL40" i="13"/>
  <c r="AV40" i="13"/>
  <c r="BA40" i="13"/>
  <c r="AK40" i="13"/>
  <c r="AI40" i="13"/>
  <c r="AP40" i="13"/>
  <c r="AU40" i="13"/>
  <c r="AW40" i="13"/>
  <c r="AX40" i="13"/>
  <c r="AY40" i="13"/>
  <c r="AJ40" i="13"/>
  <c r="AM40" i="13"/>
  <c r="AZ40" i="13"/>
  <c r="AS40" i="13"/>
  <c r="AL64" i="13"/>
  <c r="AX64" i="13"/>
  <c r="AN64" i="13"/>
  <c r="BA64" i="13"/>
  <c r="AM64" i="13"/>
  <c r="AO64" i="13"/>
  <c r="AR64" i="13"/>
  <c r="AQ64" i="13"/>
  <c r="AS64" i="13"/>
  <c r="AT64" i="13"/>
  <c r="AU64" i="13"/>
  <c r="AW64" i="13"/>
  <c r="AI64" i="13"/>
  <c r="AZ64" i="13"/>
  <c r="AJ64" i="13"/>
  <c r="AK64" i="13"/>
  <c r="AP64" i="13"/>
  <c r="AV64" i="13"/>
  <c r="AY64" i="13"/>
  <c r="AS17" i="13"/>
  <c r="AT17" i="13"/>
  <c r="AI17" i="13"/>
  <c r="AU17" i="13"/>
  <c r="AR17" i="13"/>
  <c r="AX17" i="13"/>
  <c r="AP17" i="13"/>
  <c r="AQ17" i="13"/>
  <c r="AV17" i="13"/>
  <c r="AW17" i="13"/>
  <c r="AY17" i="13"/>
  <c r="AL17" i="13"/>
  <c r="AN17" i="13"/>
  <c r="BA17" i="13"/>
  <c r="AM17" i="13"/>
  <c r="AO17" i="13"/>
  <c r="AZ17" i="13"/>
  <c r="AJ17" i="13"/>
  <c r="AK17" i="13"/>
  <c r="AP53" i="13"/>
  <c r="AJ53" i="13"/>
  <c r="AW53" i="13"/>
  <c r="AM53" i="13"/>
  <c r="BA53" i="13"/>
  <c r="AQ53" i="13"/>
  <c r="AV53" i="13"/>
  <c r="AX53" i="13"/>
  <c r="AK53" i="13"/>
  <c r="AT53" i="13"/>
  <c r="AU53" i="13"/>
  <c r="AY53" i="13"/>
  <c r="AZ53" i="13"/>
  <c r="AI53" i="13"/>
  <c r="AL53" i="13"/>
  <c r="AN53" i="13"/>
  <c r="AO53" i="13"/>
  <c r="AS53" i="13"/>
  <c r="AR53" i="13"/>
  <c r="AL77" i="13"/>
  <c r="AX77" i="13"/>
  <c r="AM77" i="13"/>
  <c r="AY77" i="13"/>
  <c r="AP77" i="13"/>
  <c r="AU77" i="13"/>
  <c r="AV77" i="13"/>
  <c r="AW77" i="13"/>
  <c r="AJ77" i="13"/>
  <c r="BA77" i="13"/>
  <c r="AZ77" i="13"/>
  <c r="AQ77" i="13"/>
  <c r="AR77" i="13"/>
  <c r="AS77" i="13"/>
  <c r="AT77" i="13"/>
  <c r="AI77" i="13"/>
  <c r="AK77" i="13"/>
  <c r="AO77" i="13"/>
  <c r="AN77" i="13"/>
  <c r="AJ89" i="13"/>
  <c r="AV89" i="13"/>
  <c r="AK89" i="13"/>
  <c r="AW89" i="13"/>
  <c r="AL89" i="13"/>
  <c r="AX89" i="13"/>
  <c r="AN89" i="13"/>
  <c r="AZ89" i="13"/>
  <c r="AY89" i="13"/>
  <c r="BA89" i="13"/>
  <c r="AI89" i="13"/>
  <c r="AP89" i="13"/>
  <c r="AQ89" i="13"/>
  <c r="AR89" i="13"/>
  <c r="AS89" i="13"/>
  <c r="AT89" i="13"/>
  <c r="AU89" i="13"/>
  <c r="AO89" i="13"/>
  <c r="AM89" i="13"/>
  <c r="AR113" i="13"/>
  <c r="AT113" i="13"/>
  <c r="AI113" i="13"/>
  <c r="AW113" i="13"/>
  <c r="AK113" i="13"/>
  <c r="AY113" i="13"/>
  <c r="AL113" i="13"/>
  <c r="AM113" i="13"/>
  <c r="AN113" i="13"/>
  <c r="AO113" i="13"/>
  <c r="AP113" i="13"/>
  <c r="AQ113" i="13"/>
  <c r="AS113" i="13"/>
  <c r="AU113" i="13"/>
  <c r="AX113" i="13"/>
  <c r="BA113" i="13"/>
  <c r="AJ113" i="13"/>
  <c r="AV113" i="13"/>
  <c r="AZ113" i="13"/>
  <c r="AL200" i="13"/>
  <c r="AX200" i="13"/>
  <c r="AN200" i="13"/>
  <c r="AZ200" i="13"/>
  <c r="AP200" i="13"/>
  <c r="AK200" i="13"/>
  <c r="AM200" i="13"/>
  <c r="AO200" i="13"/>
  <c r="AQ200" i="13"/>
  <c r="AS200" i="13"/>
  <c r="AW200" i="13"/>
  <c r="AY200" i="13"/>
  <c r="BA200" i="13"/>
  <c r="AI200" i="13"/>
  <c r="AJ200" i="13"/>
  <c r="AR200" i="13"/>
  <c r="AU200" i="13"/>
  <c r="AV200" i="13"/>
  <c r="AT200" i="13"/>
  <c r="AI6" i="13"/>
  <c r="AU6" i="13"/>
  <c r="AJ6" i="13"/>
  <c r="AV6" i="13"/>
  <c r="AK6" i="13"/>
  <c r="AW6" i="13"/>
  <c r="AL6" i="13"/>
  <c r="AX6" i="13"/>
  <c r="AM6" i="13"/>
  <c r="AY6" i="13"/>
  <c r="AN6" i="13"/>
  <c r="AO6" i="13"/>
  <c r="AP6" i="13"/>
  <c r="AQ6" i="13"/>
  <c r="AR6" i="13"/>
  <c r="AS6" i="13"/>
  <c r="AT6" i="13"/>
  <c r="AZ6" i="13"/>
  <c r="BA6" i="13"/>
  <c r="AO42" i="13"/>
  <c r="BA42" i="13"/>
  <c r="AS42" i="13"/>
  <c r="AI42" i="13"/>
  <c r="AV42" i="13"/>
  <c r="AU42" i="13"/>
  <c r="AN42" i="13"/>
  <c r="AR42" i="13"/>
  <c r="AY42" i="13"/>
  <c r="AZ42" i="13"/>
  <c r="AK42" i="13"/>
  <c r="AW42" i="13"/>
  <c r="AX42" i="13"/>
  <c r="AJ42" i="13"/>
  <c r="AL42" i="13"/>
  <c r="AM42" i="13"/>
  <c r="AP42" i="13"/>
  <c r="AQ42" i="13"/>
  <c r="AT42" i="13"/>
  <c r="AK66" i="13"/>
  <c r="AW66" i="13"/>
  <c r="AO66" i="13"/>
  <c r="AP66" i="13"/>
  <c r="AS66" i="13"/>
  <c r="AN66" i="13"/>
  <c r="AQ66" i="13"/>
  <c r="AR66" i="13"/>
  <c r="AT66" i="13"/>
  <c r="AV66" i="13"/>
  <c r="AI66" i="13"/>
  <c r="AJ66" i="13"/>
  <c r="AL66" i="13"/>
  <c r="AM66" i="13"/>
  <c r="AU66" i="13"/>
  <c r="AX66" i="13"/>
  <c r="AY66" i="13"/>
  <c r="AZ66" i="13"/>
  <c r="BA66" i="13"/>
  <c r="AK78" i="13"/>
  <c r="AW78" i="13"/>
  <c r="AL78" i="13"/>
  <c r="AX78" i="13"/>
  <c r="AO78" i="13"/>
  <c r="BA78" i="13"/>
  <c r="AJ78" i="13"/>
  <c r="AM78" i="13"/>
  <c r="AN78" i="13"/>
  <c r="AQ78" i="13"/>
  <c r="AU78" i="13"/>
  <c r="AV78" i="13"/>
  <c r="AY78" i="13"/>
  <c r="AZ78" i="13"/>
  <c r="AR78" i="13"/>
  <c r="AS78" i="13"/>
  <c r="AT78" i="13"/>
  <c r="AI78" i="13"/>
  <c r="AP78" i="13"/>
  <c r="AN102" i="13"/>
  <c r="AZ102" i="13"/>
  <c r="AO102" i="13"/>
  <c r="BA102" i="13"/>
  <c r="AP102" i="13"/>
  <c r="AR102" i="13"/>
  <c r="AM102" i="13"/>
  <c r="AQ102" i="13"/>
  <c r="AT102" i="13"/>
  <c r="AV102" i="13"/>
  <c r="AW102" i="13"/>
  <c r="AX102" i="13"/>
  <c r="AY102" i="13"/>
  <c r="AK102" i="13"/>
  <c r="AL102" i="13"/>
  <c r="AS102" i="13"/>
  <c r="AU102" i="13"/>
  <c r="AI102" i="13"/>
  <c r="AJ102" i="13"/>
  <c r="AR172" i="13"/>
  <c r="AS172" i="13"/>
  <c r="AI172" i="13"/>
  <c r="AU172" i="13"/>
  <c r="AW172" i="13"/>
  <c r="AJ172" i="13"/>
  <c r="AY172" i="13"/>
  <c r="AL172" i="13"/>
  <c r="BA172" i="13"/>
  <c r="AV172" i="13"/>
  <c r="AX172" i="13"/>
  <c r="AZ172" i="13"/>
  <c r="AK172" i="13"/>
  <c r="AP172" i="13"/>
  <c r="AQ172" i="13"/>
  <c r="AT172" i="13"/>
  <c r="AM172" i="13"/>
  <c r="AN172" i="13"/>
  <c r="AO172" i="13"/>
  <c r="AS7" i="13"/>
  <c r="AT7" i="13"/>
  <c r="AI7" i="13"/>
  <c r="AU7" i="13"/>
  <c r="AJ7" i="13"/>
  <c r="AV7" i="13"/>
  <c r="AK7" i="13"/>
  <c r="AW7" i="13"/>
  <c r="BA7" i="13"/>
  <c r="AL7" i="13"/>
  <c r="AM7" i="13"/>
  <c r="AN7" i="13"/>
  <c r="AY7" i="13"/>
  <c r="AZ7" i="13"/>
  <c r="AQ7" i="13"/>
  <c r="AO7" i="13"/>
  <c r="AR7" i="13"/>
  <c r="AP7" i="13"/>
  <c r="AX7" i="13"/>
  <c r="AS43" i="13"/>
  <c r="AM43" i="13"/>
  <c r="AZ43" i="13"/>
  <c r="AP43" i="13"/>
  <c r="AU43" i="13"/>
  <c r="AQ43" i="13"/>
  <c r="AV43" i="13"/>
  <c r="AL43" i="13"/>
  <c r="AN43" i="13"/>
  <c r="AT43" i="13"/>
  <c r="AR43" i="13"/>
  <c r="AW43" i="13"/>
  <c r="AX43" i="13"/>
  <c r="AY43" i="13"/>
  <c r="AI43" i="13"/>
  <c r="AJ43" i="13"/>
  <c r="AK43" i="13"/>
  <c r="AO43" i="13"/>
  <c r="BA43" i="13"/>
  <c r="AJ67" i="13"/>
  <c r="AV67" i="13"/>
  <c r="AP67" i="13"/>
  <c r="AQ67" i="13"/>
  <c r="AT67" i="13"/>
  <c r="AW67" i="13"/>
  <c r="AX67" i="13"/>
  <c r="AY67" i="13"/>
  <c r="AI67" i="13"/>
  <c r="AZ67" i="13"/>
  <c r="AL67" i="13"/>
  <c r="AK67" i="13"/>
  <c r="AM67" i="13"/>
  <c r="AR67" i="13"/>
  <c r="AS67" i="13"/>
  <c r="AU67" i="13"/>
  <c r="BA67" i="13"/>
  <c r="AO67" i="13"/>
  <c r="AN67" i="13"/>
  <c r="AN91" i="13"/>
  <c r="AZ91" i="13"/>
  <c r="AO91" i="13"/>
  <c r="BA91" i="13"/>
  <c r="AP91" i="13"/>
  <c r="AR91" i="13"/>
  <c r="AU91" i="13"/>
  <c r="AV91" i="13"/>
  <c r="AX91" i="13"/>
  <c r="AY91" i="13"/>
  <c r="AI91" i="13"/>
  <c r="AJ91" i="13"/>
  <c r="AK91" i="13"/>
  <c r="AM91" i="13"/>
  <c r="AQ91" i="13"/>
  <c r="AS91" i="13"/>
  <c r="AT91" i="13"/>
  <c r="AL91" i="13"/>
  <c r="AW91" i="13"/>
  <c r="AS103" i="13"/>
  <c r="AT103" i="13"/>
  <c r="AI103" i="13"/>
  <c r="AU103" i="13"/>
  <c r="AN103" i="13"/>
  <c r="AP103" i="13"/>
  <c r="AW103" i="13"/>
  <c r="AX103" i="13"/>
  <c r="AY103" i="13"/>
  <c r="AZ103" i="13"/>
  <c r="AJ103" i="13"/>
  <c r="BA103" i="13"/>
  <c r="AK103" i="13"/>
  <c r="AM103" i="13"/>
  <c r="AL103" i="13"/>
  <c r="AQ103" i="13"/>
  <c r="AR103" i="13"/>
  <c r="AV103" i="13"/>
  <c r="AO103" i="13"/>
  <c r="AT173" i="13"/>
  <c r="AI173" i="13"/>
  <c r="AU173" i="13"/>
  <c r="AK173" i="13"/>
  <c r="AW173" i="13"/>
  <c r="AP173" i="13"/>
  <c r="AR173" i="13"/>
  <c r="AV173" i="13"/>
  <c r="AX173" i="13"/>
  <c r="AY173" i="13"/>
  <c r="AZ173" i="13"/>
  <c r="BA173" i="13"/>
  <c r="AJ173" i="13"/>
  <c r="AL173" i="13"/>
  <c r="AM173" i="13"/>
  <c r="AN173" i="13"/>
  <c r="AO173" i="13"/>
  <c r="AS173" i="13"/>
  <c r="AQ173" i="13"/>
  <c r="AO8" i="13"/>
  <c r="BA8" i="13"/>
  <c r="AP8" i="13"/>
  <c r="AQ8" i="13"/>
  <c r="AR8" i="13"/>
  <c r="AS8" i="13"/>
  <c r="AU8" i="13"/>
  <c r="AV8" i="13"/>
  <c r="AW8" i="13"/>
  <c r="AX8" i="13"/>
  <c r="AY8" i="13"/>
  <c r="AZ8" i="13"/>
  <c r="AJ8" i="13"/>
  <c r="AL8" i="13"/>
  <c r="AT8" i="13"/>
  <c r="AM8" i="13"/>
  <c r="AN8" i="13"/>
  <c r="AI8" i="13"/>
  <c r="AK8" i="13"/>
  <c r="AS32" i="13"/>
  <c r="AT32" i="13"/>
  <c r="AU32" i="13"/>
  <c r="AK32" i="13"/>
  <c r="AZ32" i="13"/>
  <c r="AL32" i="13"/>
  <c r="BA32" i="13"/>
  <c r="AO32" i="13"/>
  <c r="AM32" i="13"/>
  <c r="AV32" i="13"/>
  <c r="AJ32" i="13"/>
  <c r="AQ32" i="13"/>
  <c r="AR32" i="13"/>
  <c r="AY32" i="13"/>
  <c r="AI32" i="13"/>
  <c r="AN32" i="13"/>
  <c r="AW32" i="13"/>
  <c r="AX32" i="13"/>
  <c r="AP32" i="13"/>
  <c r="AL68" i="13"/>
  <c r="AX68" i="13"/>
  <c r="AT68" i="13"/>
  <c r="AU68" i="13"/>
  <c r="AK68" i="13"/>
  <c r="AY68" i="13"/>
  <c r="AQ68" i="13"/>
  <c r="AR68" i="13"/>
  <c r="AS68" i="13"/>
  <c r="AV68" i="13"/>
  <c r="AZ68" i="13"/>
  <c r="AJ68" i="13"/>
  <c r="AM68" i="13"/>
  <c r="AN68" i="13"/>
  <c r="AO68" i="13"/>
  <c r="AI68" i="13"/>
  <c r="AW68" i="13"/>
  <c r="AP68" i="13"/>
  <c r="BA68" i="13"/>
  <c r="AO104" i="13"/>
  <c r="BA104" i="13"/>
  <c r="AP104" i="13"/>
  <c r="AQ104" i="13"/>
  <c r="AS104" i="13"/>
  <c r="AU104" i="13"/>
  <c r="AL104" i="13"/>
  <c r="AM104" i="13"/>
  <c r="AN104" i="13"/>
  <c r="AR104" i="13"/>
  <c r="AT104" i="13"/>
  <c r="AV104" i="13"/>
  <c r="AI104" i="13"/>
  <c r="AJ104" i="13"/>
  <c r="AW104" i="13"/>
  <c r="AK104" i="13"/>
  <c r="AX104" i="13"/>
  <c r="AY104" i="13"/>
  <c r="AZ104" i="13"/>
  <c r="AT191" i="13"/>
  <c r="AS191" i="13"/>
  <c r="AI191" i="13"/>
  <c r="AV191" i="13"/>
  <c r="AK191" i="13"/>
  <c r="AX191" i="13"/>
  <c r="AP191" i="13"/>
  <c r="AQ191" i="13"/>
  <c r="AR191" i="13"/>
  <c r="AU191" i="13"/>
  <c r="AY191" i="13"/>
  <c r="AL191" i="13"/>
  <c r="AO191" i="13"/>
  <c r="AM191" i="13"/>
  <c r="AN191" i="13"/>
  <c r="AZ191" i="13"/>
  <c r="BA191" i="13"/>
  <c r="AJ191" i="13"/>
  <c r="AW191" i="13"/>
  <c r="AR9" i="13"/>
  <c r="AT9" i="13"/>
  <c r="AI9" i="13"/>
  <c r="AU9" i="13"/>
  <c r="AJ9" i="13"/>
  <c r="AV9" i="13"/>
  <c r="AY9" i="13"/>
  <c r="AZ9" i="13"/>
  <c r="AK9" i="13"/>
  <c r="BA9" i="13"/>
  <c r="AL9" i="13"/>
  <c r="AO9" i="13"/>
  <c r="AP9" i="13"/>
  <c r="AQ9" i="13"/>
  <c r="AS9" i="13"/>
  <c r="AW9" i="13"/>
  <c r="AX9" i="13"/>
  <c r="AN9" i="13"/>
  <c r="AM9" i="13"/>
  <c r="AO33" i="13"/>
  <c r="BA33" i="13"/>
  <c r="AP33" i="13"/>
  <c r="AU33" i="13"/>
  <c r="AM33" i="13"/>
  <c r="AN33" i="13"/>
  <c r="AS33" i="13"/>
  <c r="AY33" i="13"/>
  <c r="AL33" i="13"/>
  <c r="AZ33" i="13"/>
  <c r="AI33" i="13"/>
  <c r="AT33" i="13"/>
  <c r="AV33" i="13"/>
  <c r="AQ33" i="13"/>
  <c r="AR33" i="13"/>
  <c r="AW33" i="13"/>
  <c r="AX33" i="13"/>
  <c r="AJ33" i="13"/>
  <c r="AK33" i="13"/>
  <c r="AP45" i="13"/>
  <c r="AO45" i="13"/>
  <c r="AS45" i="13"/>
  <c r="AQ45" i="13"/>
  <c r="AR45" i="13"/>
  <c r="AV45" i="13"/>
  <c r="AW45" i="13"/>
  <c r="AX45" i="13"/>
  <c r="AI45" i="13"/>
  <c r="BA45" i="13"/>
  <c r="AN45" i="13"/>
  <c r="AT45" i="13"/>
  <c r="AU45" i="13"/>
  <c r="AY45" i="13"/>
  <c r="AM45" i="13"/>
  <c r="AZ45" i="13"/>
  <c r="AJ45" i="13"/>
  <c r="AK45" i="13"/>
  <c r="AL45" i="13"/>
  <c r="AI81" i="13"/>
  <c r="AU81" i="13"/>
  <c r="AJ81" i="13"/>
  <c r="AV81" i="13"/>
  <c r="AK81" i="13"/>
  <c r="AW81" i="13"/>
  <c r="AM81" i="13"/>
  <c r="AY81" i="13"/>
  <c r="AL81" i="13"/>
  <c r="AN81" i="13"/>
  <c r="AO81" i="13"/>
  <c r="AP81" i="13"/>
  <c r="AQ81" i="13"/>
  <c r="AS81" i="13"/>
  <c r="AT81" i="13"/>
  <c r="AX81" i="13"/>
  <c r="AZ81" i="13"/>
  <c r="AR81" i="13"/>
  <c r="BA81" i="13"/>
  <c r="AP12" i="13"/>
  <c r="AR12" i="13"/>
  <c r="AS12" i="13"/>
  <c r="AT12" i="13"/>
  <c r="AW12" i="13"/>
  <c r="AI12" i="13"/>
  <c r="AY12" i="13"/>
  <c r="AJ12" i="13"/>
  <c r="AZ12" i="13"/>
  <c r="AO12" i="13"/>
  <c r="AQ12" i="13"/>
  <c r="AU12" i="13"/>
  <c r="AV12" i="13"/>
  <c r="AX12" i="13"/>
  <c r="AL12" i="13"/>
  <c r="AN12" i="13"/>
  <c r="AK12" i="13"/>
  <c r="BA12" i="13"/>
  <c r="AM12" i="13"/>
  <c r="AQ24" i="13"/>
  <c r="AR24" i="13"/>
  <c r="AS24" i="13"/>
  <c r="AM24" i="13"/>
  <c r="AP24" i="13"/>
  <c r="AT24" i="13"/>
  <c r="AW24" i="13"/>
  <c r="AL24" i="13"/>
  <c r="AO24" i="13"/>
  <c r="AX24" i="13"/>
  <c r="AK24" i="13"/>
  <c r="AV24" i="13"/>
  <c r="AU24" i="13"/>
  <c r="AY24" i="13"/>
  <c r="AN24" i="13"/>
  <c r="AZ24" i="13"/>
  <c r="BA24" i="13"/>
  <c r="AI24" i="13"/>
  <c r="AJ24" i="13"/>
  <c r="AQ36" i="13"/>
  <c r="AR36" i="13"/>
  <c r="AP36" i="13"/>
  <c r="AS36" i="13"/>
  <c r="AV36" i="13"/>
  <c r="AL36" i="13"/>
  <c r="AU36" i="13"/>
  <c r="AY36" i="13"/>
  <c r="AI36" i="13"/>
  <c r="AJ36" i="13"/>
  <c r="AN36" i="13"/>
  <c r="AW36" i="13"/>
  <c r="AX36" i="13"/>
  <c r="AZ36" i="13"/>
  <c r="BA36" i="13"/>
  <c r="AM36" i="13"/>
  <c r="AO36" i="13"/>
  <c r="AT36" i="13"/>
  <c r="AK36" i="13"/>
  <c r="AK48" i="13"/>
  <c r="AW48" i="13"/>
  <c r="AQ48" i="13"/>
  <c r="AL48" i="13"/>
  <c r="AZ48" i="13"/>
  <c r="AS48" i="13"/>
  <c r="AV48" i="13"/>
  <c r="AU48" i="13"/>
  <c r="AX48" i="13"/>
  <c r="AI48" i="13"/>
  <c r="AY48" i="13"/>
  <c r="BA48" i="13"/>
  <c r="AJ48" i="13"/>
  <c r="AM48" i="13"/>
  <c r="AO48" i="13"/>
  <c r="AN48" i="13"/>
  <c r="AP48" i="13"/>
  <c r="AR48" i="13"/>
  <c r="AT48" i="13"/>
  <c r="AP60" i="13"/>
  <c r="AU60" i="13"/>
  <c r="AJ60" i="13"/>
  <c r="AX60" i="13"/>
  <c r="AK60" i="13"/>
  <c r="AY60" i="13"/>
  <c r="AN60" i="13"/>
  <c r="AM60" i="13"/>
  <c r="AO60" i="13"/>
  <c r="AQ60" i="13"/>
  <c r="AR60" i="13"/>
  <c r="AT60" i="13"/>
  <c r="AI60" i="13"/>
  <c r="AL60" i="13"/>
  <c r="AS60" i="13"/>
  <c r="AV60" i="13"/>
  <c r="AZ60" i="13"/>
  <c r="BA60" i="13"/>
  <c r="AW60" i="13"/>
  <c r="AQ72" i="13"/>
  <c r="AR72" i="13"/>
  <c r="AI72" i="13"/>
  <c r="AU72" i="13"/>
  <c r="AM72" i="13"/>
  <c r="AN72" i="13"/>
  <c r="AO72" i="13"/>
  <c r="AP72" i="13"/>
  <c r="AT72" i="13"/>
  <c r="AJ72" i="13"/>
  <c r="AK72" i="13"/>
  <c r="AL72" i="13"/>
  <c r="AS72" i="13"/>
  <c r="AZ72" i="13"/>
  <c r="BA72" i="13"/>
  <c r="AV72" i="13"/>
  <c r="AW72" i="13"/>
  <c r="AX72" i="13"/>
  <c r="AY72" i="13"/>
  <c r="AM84" i="13"/>
  <c r="AY84" i="13"/>
  <c r="AN84" i="13"/>
  <c r="AZ84" i="13"/>
  <c r="AO84" i="13"/>
  <c r="BA84" i="13"/>
  <c r="AQ84" i="13"/>
  <c r="AR84" i="13"/>
  <c r="AS84" i="13"/>
  <c r="AT84" i="13"/>
  <c r="AU84" i="13"/>
  <c r="AV84" i="13"/>
  <c r="AW84" i="13"/>
  <c r="AX84" i="13"/>
  <c r="AJ84" i="13"/>
  <c r="AK84" i="13"/>
  <c r="AL84" i="13"/>
  <c r="AP84" i="13"/>
  <c r="AI84" i="13"/>
  <c r="AR96" i="13"/>
  <c r="AS96" i="13"/>
  <c r="AT96" i="13"/>
  <c r="AJ96" i="13"/>
  <c r="AV96" i="13"/>
  <c r="AQ96" i="13"/>
  <c r="AU96" i="13"/>
  <c r="AX96" i="13"/>
  <c r="AM96" i="13"/>
  <c r="AN96" i="13"/>
  <c r="AO96" i="13"/>
  <c r="AP96" i="13"/>
  <c r="AW96" i="13"/>
  <c r="AY96" i="13"/>
  <c r="AK96" i="13"/>
  <c r="AL96" i="13"/>
  <c r="AZ96" i="13"/>
  <c r="BA96" i="13"/>
  <c r="AI96" i="13"/>
  <c r="AR108" i="13"/>
  <c r="AS108" i="13"/>
  <c r="AT108" i="13"/>
  <c r="AJ108" i="13"/>
  <c r="AY108" i="13"/>
  <c r="AL108" i="13"/>
  <c r="BA108" i="13"/>
  <c r="AV108" i="13"/>
  <c r="AW108" i="13"/>
  <c r="AX108" i="13"/>
  <c r="AZ108" i="13"/>
  <c r="AI108" i="13"/>
  <c r="AK108" i="13"/>
  <c r="AO108" i="13"/>
  <c r="AP108" i="13"/>
  <c r="AU108" i="13"/>
  <c r="AM108" i="13"/>
  <c r="AN108" i="13"/>
  <c r="AQ108" i="13"/>
  <c r="AR128" i="13"/>
  <c r="AT128" i="13"/>
  <c r="AM128" i="13"/>
  <c r="BA128" i="13"/>
  <c r="AN128" i="13"/>
  <c r="AO128" i="13"/>
  <c r="AP128" i="13"/>
  <c r="AQ128" i="13"/>
  <c r="AS128" i="13"/>
  <c r="AI128" i="13"/>
  <c r="AJ128" i="13"/>
  <c r="AL128" i="13"/>
  <c r="AV128" i="13"/>
  <c r="AK128" i="13"/>
  <c r="AW128" i="13"/>
  <c r="AU128" i="13"/>
  <c r="AX128" i="13"/>
  <c r="AY128" i="13"/>
  <c r="AZ128" i="13"/>
  <c r="AI166" i="13"/>
  <c r="AU166" i="13"/>
  <c r="AJ166" i="13"/>
  <c r="AV166" i="13"/>
  <c r="AL166" i="13"/>
  <c r="AX166" i="13"/>
  <c r="AQ166" i="13"/>
  <c r="AS166" i="13"/>
  <c r="AW166" i="13"/>
  <c r="AK166" i="13"/>
  <c r="AM166" i="13"/>
  <c r="AN166" i="13"/>
  <c r="AO166" i="13"/>
  <c r="AR166" i="13"/>
  <c r="AY166" i="13"/>
  <c r="AZ166" i="13"/>
  <c r="BA166" i="13"/>
  <c r="AT166" i="13"/>
  <c r="AP166" i="13"/>
  <c r="AO195" i="13"/>
  <c r="BA195" i="13"/>
  <c r="AQ195" i="13"/>
  <c r="AS195" i="13"/>
  <c r="AP195" i="13"/>
  <c r="AR195" i="13"/>
  <c r="AT195" i="13"/>
  <c r="AU195" i="13"/>
  <c r="AW195" i="13"/>
  <c r="AN195" i="13"/>
  <c r="AV195" i="13"/>
  <c r="AX195" i="13"/>
  <c r="AI195" i="13"/>
  <c r="AJ195" i="13"/>
  <c r="AK195" i="13"/>
  <c r="AM195" i="13"/>
  <c r="AY195" i="13"/>
  <c r="AL195" i="13"/>
  <c r="AZ195" i="13"/>
  <c r="AI222" i="13"/>
  <c r="AU222" i="13"/>
  <c r="AK222" i="13"/>
  <c r="AW222" i="13"/>
  <c r="AT222" i="13"/>
  <c r="AV222" i="13"/>
  <c r="AX222" i="13"/>
  <c r="AJ222" i="13"/>
  <c r="AY222" i="13"/>
  <c r="AM222" i="13"/>
  <c r="BA222" i="13"/>
  <c r="AR222" i="13"/>
  <c r="AS222" i="13"/>
  <c r="AZ222" i="13"/>
  <c r="AP222" i="13"/>
  <c r="AQ222" i="13"/>
  <c r="AL222" i="13"/>
  <c r="AN222" i="13"/>
  <c r="AO222" i="13"/>
  <c r="AI13" i="13"/>
  <c r="AU13" i="13"/>
  <c r="AJ13" i="13"/>
  <c r="AV13" i="13"/>
  <c r="AK13" i="13"/>
  <c r="AW13" i="13"/>
  <c r="AT13" i="13"/>
  <c r="AZ13" i="13"/>
  <c r="AS13" i="13"/>
  <c r="AX13" i="13"/>
  <c r="AY13" i="13"/>
  <c r="BA13" i="13"/>
  <c r="AN13" i="13"/>
  <c r="AQ13" i="13"/>
  <c r="AO13" i="13"/>
  <c r="AP13" i="13"/>
  <c r="AL13" i="13"/>
  <c r="AM13" i="13"/>
  <c r="AR13" i="13"/>
  <c r="AI25" i="13"/>
  <c r="AU25" i="13"/>
  <c r="AJ25" i="13"/>
  <c r="AV25" i="13"/>
  <c r="AK25" i="13"/>
  <c r="AW25" i="13"/>
  <c r="AN25" i="13"/>
  <c r="AR25" i="13"/>
  <c r="AS25" i="13"/>
  <c r="AY25" i="13"/>
  <c r="AT25" i="13"/>
  <c r="BA25" i="13"/>
  <c r="AO25" i="13"/>
  <c r="AL25" i="13"/>
  <c r="AM25" i="13"/>
  <c r="AP25" i="13"/>
  <c r="AX25" i="13"/>
  <c r="AZ25" i="13"/>
  <c r="AQ25" i="13"/>
  <c r="AR37" i="13"/>
  <c r="AI37" i="13"/>
  <c r="AV37" i="13"/>
  <c r="AK37" i="13"/>
  <c r="AY37" i="13"/>
  <c r="AL37" i="13"/>
  <c r="AZ37" i="13"/>
  <c r="AO37" i="13"/>
  <c r="AP37" i="13"/>
  <c r="AW37" i="13"/>
  <c r="AM37" i="13"/>
  <c r="AS37" i="13"/>
  <c r="AX37" i="13"/>
  <c r="BA37" i="13"/>
  <c r="AJ37" i="13"/>
  <c r="AN37" i="13"/>
  <c r="AQ37" i="13"/>
  <c r="AT37" i="13"/>
  <c r="AU37" i="13"/>
  <c r="AQ49" i="13"/>
  <c r="AM49" i="13"/>
  <c r="AZ49" i="13"/>
  <c r="AJ49" i="13"/>
  <c r="AX49" i="13"/>
  <c r="AT49" i="13"/>
  <c r="AW49" i="13"/>
  <c r="AK49" i="13"/>
  <c r="AL49" i="13"/>
  <c r="AP49" i="13"/>
  <c r="AR49" i="13"/>
  <c r="AS49" i="13"/>
  <c r="AU49" i="13"/>
  <c r="AV49" i="13"/>
  <c r="BA49" i="13"/>
  <c r="AN49" i="13"/>
  <c r="AI49" i="13"/>
  <c r="AO49" i="13"/>
  <c r="AY49" i="13"/>
  <c r="AQ61" i="13"/>
  <c r="AJ61" i="13"/>
  <c r="AW61" i="13"/>
  <c r="AN61" i="13"/>
  <c r="AO61" i="13"/>
  <c r="AS61" i="13"/>
  <c r="AY61" i="13"/>
  <c r="AZ61" i="13"/>
  <c r="AI61" i="13"/>
  <c r="BA61" i="13"/>
  <c r="AK61" i="13"/>
  <c r="AM61" i="13"/>
  <c r="AL61" i="13"/>
  <c r="AP61" i="13"/>
  <c r="AR61" i="13"/>
  <c r="AT61" i="13"/>
  <c r="AU61" i="13"/>
  <c r="AV61" i="13"/>
  <c r="AX61" i="13"/>
  <c r="AN73" i="13"/>
  <c r="AZ73" i="13"/>
  <c r="AO73" i="13"/>
  <c r="BA73" i="13"/>
  <c r="AR73" i="13"/>
  <c r="AS73" i="13"/>
  <c r="AT73" i="13"/>
  <c r="AU73" i="13"/>
  <c r="AV73" i="13"/>
  <c r="AI73" i="13"/>
  <c r="AX73" i="13"/>
  <c r="AJ73" i="13"/>
  <c r="AK73" i="13"/>
  <c r="AL73" i="13"/>
  <c r="AM73" i="13"/>
  <c r="AP73" i="13"/>
  <c r="AQ73" i="13"/>
  <c r="AW73" i="13"/>
  <c r="AY73" i="13"/>
  <c r="AL85" i="13"/>
  <c r="AX85" i="13"/>
  <c r="AM85" i="13"/>
  <c r="AY85" i="13"/>
  <c r="AN85" i="13"/>
  <c r="AZ85" i="13"/>
  <c r="AP85" i="13"/>
  <c r="AI85" i="13"/>
  <c r="AJ85" i="13"/>
  <c r="AK85" i="13"/>
  <c r="AO85" i="13"/>
  <c r="AU85" i="13"/>
  <c r="AV85" i="13"/>
  <c r="AW85" i="13"/>
  <c r="BA85" i="13"/>
  <c r="AR85" i="13"/>
  <c r="AS85" i="13"/>
  <c r="AT85" i="13"/>
  <c r="AQ85" i="13"/>
  <c r="AK97" i="13"/>
  <c r="AW97" i="13"/>
  <c r="AL97" i="13"/>
  <c r="AX97" i="13"/>
  <c r="AM97" i="13"/>
  <c r="AY97" i="13"/>
  <c r="AO97" i="13"/>
  <c r="BA97" i="13"/>
  <c r="AV97" i="13"/>
  <c r="AZ97" i="13"/>
  <c r="AI97" i="13"/>
  <c r="AJ97" i="13"/>
  <c r="AN97" i="13"/>
  <c r="AP97" i="13"/>
  <c r="AQ97" i="13"/>
  <c r="AR97" i="13"/>
  <c r="AT97" i="13"/>
  <c r="AS97" i="13"/>
  <c r="AU97" i="13"/>
  <c r="AR109" i="13"/>
  <c r="AT109" i="13"/>
  <c r="AP109" i="13"/>
  <c r="AS109" i="13"/>
  <c r="AO109" i="13"/>
  <c r="AQ109" i="13"/>
  <c r="AU109" i="13"/>
  <c r="AV109" i="13"/>
  <c r="AW109" i="13"/>
  <c r="AX109" i="13"/>
  <c r="AZ109" i="13"/>
  <c r="BA109" i="13"/>
  <c r="AI109" i="13"/>
  <c r="AK109" i="13"/>
  <c r="AN109" i="13"/>
  <c r="AY109" i="13"/>
  <c r="AJ109" i="13"/>
  <c r="AL109" i="13"/>
  <c r="AM109" i="13"/>
  <c r="AS129" i="13"/>
  <c r="AI129" i="13"/>
  <c r="AU129" i="13"/>
  <c r="AV129" i="13"/>
  <c r="AW129" i="13"/>
  <c r="AJ129" i="13"/>
  <c r="AX129" i="13"/>
  <c r="AK129" i="13"/>
  <c r="AY129" i="13"/>
  <c r="AL129" i="13"/>
  <c r="AZ129" i="13"/>
  <c r="AM129" i="13"/>
  <c r="BA129" i="13"/>
  <c r="AO129" i="13"/>
  <c r="AP129" i="13"/>
  <c r="AR129" i="13"/>
  <c r="AT129" i="13"/>
  <c r="AN129" i="13"/>
  <c r="AQ129" i="13"/>
  <c r="AS167" i="13"/>
  <c r="AT167" i="13"/>
  <c r="AJ167" i="13"/>
  <c r="AV167" i="13"/>
  <c r="AX167" i="13"/>
  <c r="AK167" i="13"/>
  <c r="AZ167" i="13"/>
  <c r="AM167" i="13"/>
  <c r="BA167" i="13"/>
  <c r="AI167" i="13"/>
  <c r="AL167" i="13"/>
  <c r="AO167" i="13"/>
  <c r="AN167" i="13"/>
  <c r="AP167" i="13"/>
  <c r="AQ167" i="13"/>
  <c r="AR167" i="13"/>
  <c r="AU167" i="13"/>
  <c r="AW167" i="13"/>
  <c r="AY167" i="13"/>
  <c r="AL196" i="13"/>
  <c r="AX196" i="13"/>
  <c r="AN196" i="13"/>
  <c r="AZ196" i="13"/>
  <c r="AP196" i="13"/>
  <c r="AU196" i="13"/>
  <c r="AV196" i="13"/>
  <c r="AW196" i="13"/>
  <c r="AI196" i="13"/>
  <c r="AY196" i="13"/>
  <c r="AK196" i="13"/>
  <c r="AR196" i="13"/>
  <c r="AS196" i="13"/>
  <c r="AT196" i="13"/>
  <c r="AJ196" i="13"/>
  <c r="AM196" i="13"/>
  <c r="AO196" i="13"/>
  <c r="AQ196" i="13"/>
  <c r="BA196" i="13"/>
  <c r="AM223" i="13"/>
  <c r="AY223" i="13"/>
  <c r="AO223" i="13"/>
  <c r="BA223" i="13"/>
  <c r="AP223" i="13"/>
  <c r="AQ223" i="13"/>
  <c r="AR223" i="13"/>
  <c r="AS223" i="13"/>
  <c r="AU223" i="13"/>
  <c r="AX223" i="13"/>
  <c r="AZ223" i="13"/>
  <c r="AJ223" i="13"/>
  <c r="AK223" i="13"/>
  <c r="AI223" i="13"/>
  <c r="AL223" i="13"/>
  <c r="AN223" i="13"/>
  <c r="AW223" i="13"/>
  <c r="AT223" i="13"/>
  <c r="AV223" i="13"/>
  <c r="AM14" i="13"/>
  <c r="AY14" i="13"/>
  <c r="AN14" i="13"/>
  <c r="AZ14" i="13"/>
  <c r="AO14" i="13"/>
  <c r="BA14" i="13"/>
  <c r="AR14" i="13"/>
  <c r="AU14" i="13"/>
  <c r="AT14" i="13"/>
  <c r="AV14" i="13"/>
  <c r="AW14" i="13"/>
  <c r="AX14" i="13"/>
  <c r="AJ14" i="13"/>
  <c r="AL14" i="13"/>
  <c r="AS14" i="13"/>
  <c r="AI14" i="13"/>
  <c r="AP14" i="13"/>
  <c r="AK14" i="13"/>
  <c r="AQ14" i="13"/>
  <c r="AL26" i="13"/>
  <c r="AX26" i="13"/>
  <c r="AM26" i="13"/>
  <c r="AY26" i="13"/>
  <c r="AN26" i="13"/>
  <c r="AZ26" i="13"/>
  <c r="AK26" i="13"/>
  <c r="AT26" i="13"/>
  <c r="AU26" i="13"/>
  <c r="BA26" i="13"/>
  <c r="AJ26" i="13"/>
  <c r="AS26" i="13"/>
  <c r="AV26" i="13"/>
  <c r="AP26" i="13"/>
  <c r="AQ26" i="13"/>
  <c r="AR26" i="13"/>
  <c r="AW26" i="13"/>
  <c r="AI26" i="13"/>
  <c r="AO26" i="13"/>
  <c r="AS38" i="13"/>
  <c r="AM38" i="13"/>
  <c r="AZ38" i="13"/>
  <c r="AR38" i="13"/>
  <c r="AT38" i="13"/>
  <c r="AI38" i="13"/>
  <c r="AW38" i="13"/>
  <c r="AQ38" i="13"/>
  <c r="BA38" i="13"/>
  <c r="AX38" i="13"/>
  <c r="AO38" i="13"/>
  <c r="AP38" i="13"/>
  <c r="AY38" i="13"/>
  <c r="AL38" i="13"/>
  <c r="AN38" i="13"/>
  <c r="AU38" i="13"/>
  <c r="AV38" i="13"/>
  <c r="AJ38" i="13"/>
  <c r="AK38" i="13"/>
  <c r="AO50" i="13"/>
  <c r="BA50" i="13"/>
  <c r="AM50" i="13"/>
  <c r="AZ50" i="13"/>
  <c r="AL50" i="13"/>
  <c r="AI50" i="13"/>
  <c r="AX50" i="13"/>
  <c r="AN50" i="13"/>
  <c r="AU50" i="13"/>
  <c r="AV50" i="13"/>
  <c r="AQ50" i="13"/>
  <c r="AR50" i="13"/>
  <c r="AS50" i="13"/>
  <c r="AT50" i="13"/>
  <c r="AY50" i="13"/>
  <c r="AK50" i="13"/>
  <c r="AP50" i="13"/>
  <c r="AW50" i="13"/>
  <c r="AJ50" i="13"/>
  <c r="AI62" i="13"/>
  <c r="AU62" i="13"/>
  <c r="AQ62" i="13"/>
  <c r="AK62" i="13"/>
  <c r="AY62" i="13"/>
  <c r="AL62" i="13"/>
  <c r="AZ62" i="13"/>
  <c r="AO62" i="13"/>
  <c r="AJ62" i="13"/>
  <c r="AM62" i="13"/>
  <c r="AN62" i="13"/>
  <c r="AR62" i="13"/>
  <c r="AW62" i="13"/>
  <c r="AX62" i="13"/>
  <c r="BA62" i="13"/>
  <c r="AP62" i="13"/>
  <c r="AS62" i="13"/>
  <c r="AT62" i="13"/>
  <c r="AV62" i="13"/>
  <c r="AI74" i="13"/>
  <c r="AU74" i="13"/>
  <c r="AJ74" i="13"/>
  <c r="AV74" i="13"/>
  <c r="AM74" i="13"/>
  <c r="AY74" i="13"/>
  <c r="AT74" i="13"/>
  <c r="AW74" i="13"/>
  <c r="AX74" i="13"/>
  <c r="AZ74" i="13"/>
  <c r="AL74" i="13"/>
  <c r="AK74" i="13"/>
  <c r="AN74" i="13"/>
  <c r="AO74" i="13"/>
  <c r="AP74" i="13"/>
  <c r="AQ74" i="13"/>
  <c r="AR74" i="13"/>
  <c r="AS74" i="13"/>
  <c r="BA74" i="13"/>
  <c r="AO86" i="13"/>
  <c r="BA86" i="13"/>
  <c r="AP86" i="13"/>
  <c r="AQ86" i="13"/>
  <c r="AS86" i="13"/>
  <c r="AW86" i="13"/>
  <c r="AX86" i="13"/>
  <c r="AI86" i="13"/>
  <c r="AY86" i="13"/>
  <c r="AJ86" i="13"/>
  <c r="AZ86" i="13"/>
  <c r="AU86" i="13"/>
  <c r="AV86" i="13"/>
  <c r="AM86" i="13"/>
  <c r="AN86" i="13"/>
  <c r="AR86" i="13"/>
  <c r="AT86" i="13"/>
  <c r="AK86" i="13"/>
  <c r="AL86" i="13"/>
  <c r="AK98" i="13"/>
  <c r="AW98" i="13"/>
  <c r="AL98" i="13"/>
  <c r="AX98" i="13"/>
  <c r="AM98" i="13"/>
  <c r="AY98" i="13"/>
  <c r="AO98" i="13"/>
  <c r="BA98" i="13"/>
  <c r="AV98" i="13"/>
  <c r="AZ98" i="13"/>
  <c r="AI98" i="13"/>
  <c r="AR98" i="13"/>
  <c r="AS98" i="13"/>
  <c r="AT98" i="13"/>
  <c r="AU98" i="13"/>
  <c r="AN98" i="13"/>
  <c r="AP98" i="13"/>
  <c r="AQ98" i="13"/>
  <c r="AJ98" i="13"/>
  <c r="AS110" i="13"/>
  <c r="AI110" i="13"/>
  <c r="AU110" i="13"/>
  <c r="AK110" i="13"/>
  <c r="AY110" i="13"/>
  <c r="AM110" i="13"/>
  <c r="BA110" i="13"/>
  <c r="AP110" i="13"/>
  <c r="AQ110" i="13"/>
  <c r="AR110" i="13"/>
  <c r="AT110" i="13"/>
  <c r="AV110" i="13"/>
  <c r="AW110" i="13"/>
  <c r="AZ110" i="13"/>
  <c r="AJ110" i="13"/>
  <c r="AL110" i="13"/>
  <c r="AN110" i="13"/>
  <c r="AX110" i="13"/>
  <c r="AO110" i="13"/>
  <c r="AJ130" i="13"/>
  <c r="AV130" i="13"/>
  <c r="AL130" i="13"/>
  <c r="AX130" i="13"/>
  <c r="AQ130" i="13"/>
  <c r="AR130" i="13"/>
  <c r="AS130" i="13"/>
  <c r="AT130" i="13"/>
  <c r="AU130" i="13"/>
  <c r="AW130" i="13"/>
  <c r="AK130" i="13"/>
  <c r="AM130" i="13"/>
  <c r="AO130" i="13"/>
  <c r="AY130" i="13"/>
  <c r="AZ130" i="13"/>
  <c r="BA130" i="13"/>
  <c r="AI130" i="13"/>
  <c r="AN130" i="13"/>
  <c r="AP130" i="13"/>
  <c r="AT168" i="13"/>
  <c r="AI168" i="13"/>
  <c r="AU168" i="13"/>
  <c r="AK168" i="13"/>
  <c r="AW168" i="13"/>
  <c r="AP168" i="13"/>
  <c r="AR168" i="13"/>
  <c r="AV168" i="13"/>
  <c r="AY168" i="13"/>
  <c r="AZ168" i="13"/>
  <c r="BA168" i="13"/>
  <c r="AL168" i="13"/>
  <c r="AJ168" i="13"/>
  <c r="AN168" i="13"/>
  <c r="AO168" i="13"/>
  <c r="AM168" i="13"/>
  <c r="AQ168" i="13"/>
  <c r="AX168" i="13"/>
  <c r="AS168" i="13"/>
  <c r="AQ197" i="13"/>
  <c r="AS197" i="13"/>
  <c r="AI197" i="13"/>
  <c r="AU197" i="13"/>
  <c r="AV197" i="13"/>
  <c r="AW197" i="13"/>
  <c r="AX197" i="13"/>
  <c r="AJ197" i="13"/>
  <c r="AY197" i="13"/>
  <c r="AL197" i="13"/>
  <c r="BA197" i="13"/>
  <c r="AK197" i="13"/>
  <c r="AO197" i="13"/>
  <c r="AP197" i="13"/>
  <c r="AM197" i="13"/>
  <c r="AN197" i="13"/>
  <c r="AZ197" i="13"/>
  <c r="AR197" i="13"/>
  <c r="AT197" i="13"/>
  <c r="AO225" i="13"/>
  <c r="BA225" i="13"/>
  <c r="AQ225" i="13"/>
  <c r="AM225" i="13"/>
  <c r="AN225" i="13"/>
  <c r="AP225" i="13"/>
  <c r="AR225" i="13"/>
  <c r="AT225" i="13"/>
  <c r="AK225" i="13"/>
  <c r="AL225" i="13"/>
  <c r="AS225" i="13"/>
  <c r="AW225" i="13"/>
  <c r="AX225" i="13"/>
  <c r="AI225" i="13"/>
  <c r="AJ225" i="13"/>
  <c r="AU225" i="13"/>
  <c r="AV225" i="13"/>
  <c r="AY225" i="13"/>
  <c r="AZ225" i="13"/>
  <c r="AJ27" i="13"/>
  <c r="AV27" i="13"/>
  <c r="AK27" i="13"/>
  <c r="AW27" i="13"/>
  <c r="AL27" i="13"/>
  <c r="AX27" i="13"/>
  <c r="AR27" i="13"/>
  <c r="AM27" i="13"/>
  <c r="AN27" i="13"/>
  <c r="AQ27" i="13"/>
  <c r="AS27" i="13"/>
  <c r="AY27" i="13"/>
  <c r="AI27" i="13"/>
  <c r="AO27" i="13"/>
  <c r="AU27" i="13"/>
  <c r="AP27" i="13"/>
  <c r="AT27" i="13"/>
  <c r="BA27" i="13"/>
  <c r="AZ27" i="13"/>
  <c r="AQ39" i="13"/>
  <c r="AN39" i="13"/>
  <c r="BA39" i="13"/>
  <c r="AI39" i="13"/>
  <c r="AW39" i="13"/>
  <c r="AJ39" i="13"/>
  <c r="AX39" i="13"/>
  <c r="AM39" i="13"/>
  <c r="AS39" i="13"/>
  <c r="AZ39" i="13"/>
  <c r="AO39" i="13"/>
  <c r="AP39" i="13"/>
  <c r="AL39" i="13"/>
  <c r="AR39" i="13"/>
  <c r="AT39" i="13"/>
  <c r="AU39" i="13"/>
  <c r="AY39" i="13"/>
  <c r="AV39" i="13"/>
  <c r="AK39" i="13"/>
  <c r="AO51" i="13"/>
  <c r="BA51" i="13"/>
  <c r="AP51" i="13"/>
  <c r="AR51" i="13"/>
  <c r="AN51" i="13"/>
  <c r="AT51" i="13"/>
  <c r="AL51" i="13"/>
  <c r="AM51" i="13"/>
  <c r="AU51" i="13"/>
  <c r="AJ51" i="13"/>
  <c r="AK51" i="13"/>
  <c r="AQ51" i="13"/>
  <c r="AS51" i="13"/>
  <c r="AW51" i="13"/>
  <c r="AZ51" i="13"/>
  <c r="AI51" i="13"/>
  <c r="AV51" i="13"/>
  <c r="AX51" i="13"/>
  <c r="AY51" i="13"/>
  <c r="AS63" i="13"/>
  <c r="AR63" i="13"/>
  <c r="AO63" i="13"/>
  <c r="AP63" i="13"/>
  <c r="AU63" i="13"/>
  <c r="AJ63" i="13"/>
  <c r="BA63" i="13"/>
  <c r="AK63" i="13"/>
  <c r="AL63" i="13"/>
  <c r="AM63" i="13"/>
  <c r="AQ63" i="13"/>
  <c r="AI63" i="13"/>
  <c r="AN63" i="13"/>
  <c r="AT63" i="13"/>
  <c r="AV63" i="13"/>
  <c r="AW63" i="13"/>
  <c r="AX63" i="13"/>
  <c r="AZ63" i="13"/>
  <c r="AY63" i="13"/>
  <c r="AM75" i="13"/>
  <c r="AY75" i="13"/>
  <c r="AN75" i="13"/>
  <c r="AZ75" i="13"/>
  <c r="AQ75" i="13"/>
  <c r="AU75" i="13"/>
  <c r="AV75" i="13"/>
  <c r="AW75" i="13"/>
  <c r="AI75" i="13"/>
  <c r="AX75" i="13"/>
  <c r="AK75" i="13"/>
  <c r="BA75" i="13"/>
  <c r="AJ75" i="13"/>
  <c r="AL75" i="13"/>
  <c r="AO75" i="13"/>
  <c r="AP75" i="13"/>
  <c r="AR75" i="13"/>
  <c r="AT75" i="13"/>
  <c r="AS75" i="13"/>
  <c r="AM87" i="13"/>
  <c r="AY87" i="13"/>
  <c r="AN87" i="13"/>
  <c r="AZ87" i="13"/>
  <c r="AO87" i="13"/>
  <c r="BA87" i="13"/>
  <c r="AQ87" i="13"/>
  <c r="AP87" i="13"/>
  <c r="AR87" i="13"/>
  <c r="AS87" i="13"/>
  <c r="AT87" i="13"/>
  <c r="AW87" i="13"/>
  <c r="AX87" i="13"/>
  <c r="AU87" i="13"/>
  <c r="AV87" i="13"/>
  <c r="AI87" i="13"/>
  <c r="AK87" i="13"/>
  <c r="AJ87" i="13"/>
  <c r="AL87" i="13"/>
  <c r="AS99" i="13"/>
  <c r="AT99" i="13"/>
  <c r="AI99" i="13"/>
  <c r="AU99" i="13"/>
  <c r="AK99" i="13"/>
  <c r="AW99" i="13"/>
  <c r="AN99" i="13"/>
  <c r="AO99" i="13"/>
  <c r="AQ99" i="13"/>
  <c r="AM99" i="13"/>
  <c r="AP99" i="13"/>
  <c r="AR99" i="13"/>
  <c r="AV99" i="13"/>
  <c r="AX99" i="13"/>
  <c r="AY99" i="13"/>
  <c r="AJ99" i="13"/>
  <c r="AL99" i="13"/>
  <c r="AZ99" i="13"/>
  <c r="BA99" i="13"/>
  <c r="AL111" i="13"/>
  <c r="AX111" i="13"/>
  <c r="AN111" i="13"/>
  <c r="AZ111" i="13"/>
  <c r="AV111" i="13"/>
  <c r="AJ111" i="13"/>
  <c r="AY111" i="13"/>
  <c r="AS111" i="13"/>
  <c r="AT111" i="13"/>
  <c r="AU111" i="13"/>
  <c r="AW111" i="13"/>
  <c r="BA111" i="13"/>
  <c r="AI111" i="13"/>
  <c r="AK111" i="13"/>
  <c r="AP111" i="13"/>
  <c r="AQ111" i="13"/>
  <c r="AR111" i="13"/>
  <c r="AO111" i="13"/>
  <c r="AM111" i="13"/>
  <c r="AT131" i="13"/>
  <c r="AJ131" i="13"/>
  <c r="AV131" i="13"/>
  <c r="AS131" i="13"/>
  <c r="AU131" i="13"/>
  <c r="AW131" i="13"/>
  <c r="AI131" i="13"/>
  <c r="AX131" i="13"/>
  <c r="AK131" i="13"/>
  <c r="AY131" i="13"/>
  <c r="AL131" i="13"/>
  <c r="AZ131" i="13"/>
  <c r="AN131" i="13"/>
  <c r="AO131" i="13"/>
  <c r="AQ131" i="13"/>
  <c r="BA131" i="13"/>
  <c r="AM131" i="13"/>
  <c r="AR131" i="13"/>
  <c r="AP131" i="13"/>
  <c r="AR169" i="13"/>
  <c r="AS169" i="13"/>
  <c r="AI169" i="13"/>
  <c r="AU169" i="13"/>
  <c r="AK169" i="13"/>
  <c r="AZ169" i="13"/>
  <c r="AM169" i="13"/>
  <c r="AO169" i="13"/>
  <c r="BA169" i="13"/>
  <c r="AJ169" i="13"/>
  <c r="AL169" i="13"/>
  <c r="AP169" i="13"/>
  <c r="AW169" i="13"/>
  <c r="AX169" i="13"/>
  <c r="AY169" i="13"/>
  <c r="AT169" i="13"/>
  <c r="AV169" i="13"/>
  <c r="AQ169" i="13"/>
  <c r="AN169" i="13"/>
  <c r="AR198" i="13"/>
  <c r="AT198" i="13"/>
  <c r="AJ198" i="13"/>
  <c r="AV198" i="13"/>
  <c r="AN198" i="13"/>
  <c r="AO198" i="13"/>
  <c r="AP198" i="13"/>
  <c r="AQ198" i="13"/>
  <c r="AU198" i="13"/>
  <c r="AI198" i="13"/>
  <c r="AK198" i="13"/>
  <c r="AL198" i="13"/>
  <c r="AW198" i="13"/>
  <c r="AX198" i="13"/>
  <c r="AS198" i="13"/>
  <c r="AY198" i="13"/>
  <c r="AZ198" i="13"/>
  <c r="BA198" i="13"/>
  <c r="AM198" i="13"/>
  <c r="AN226" i="13"/>
  <c r="AZ226" i="13"/>
  <c r="AP226" i="13"/>
  <c r="AR226" i="13"/>
  <c r="AS226" i="13"/>
  <c r="AT226" i="13"/>
  <c r="AU226" i="13"/>
  <c r="AI226" i="13"/>
  <c r="AW226" i="13"/>
  <c r="AJ226" i="13"/>
  <c r="AK226" i="13"/>
  <c r="AL226" i="13"/>
  <c r="AQ226" i="13"/>
  <c r="AV226" i="13"/>
  <c r="AY226" i="13"/>
  <c r="BA226" i="13"/>
  <c r="AM226" i="13"/>
  <c r="AO226" i="13"/>
  <c r="AX226" i="13"/>
  <c r="AP28" i="13"/>
  <c r="AQ28" i="13"/>
  <c r="AR28" i="13"/>
  <c r="AU28" i="13"/>
  <c r="AO28" i="13"/>
  <c r="AS28" i="13"/>
  <c r="AW28" i="13"/>
  <c r="AY28" i="13"/>
  <c r="AK28" i="13"/>
  <c r="AV28" i="13"/>
  <c r="BA28" i="13"/>
  <c r="AL28" i="13"/>
  <c r="AM28" i="13"/>
  <c r="AX28" i="13"/>
  <c r="AI28" i="13"/>
  <c r="AJ28" i="13"/>
  <c r="AT28" i="13"/>
  <c r="AZ28" i="13"/>
  <c r="AN28" i="13"/>
  <c r="AK76" i="13"/>
  <c r="AW76" i="13"/>
  <c r="AL76" i="13"/>
  <c r="AX76" i="13"/>
  <c r="AO76" i="13"/>
  <c r="BA76" i="13"/>
  <c r="AJ76" i="13"/>
  <c r="AM76" i="13"/>
  <c r="AN76" i="13"/>
  <c r="AP76" i="13"/>
  <c r="AR76" i="13"/>
  <c r="AV76" i="13"/>
  <c r="AY76" i="13"/>
  <c r="AZ76" i="13"/>
  <c r="AI76" i="13"/>
  <c r="AQ76" i="13"/>
  <c r="AS76" i="13"/>
  <c r="AT76" i="13"/>
  <c r="AU76" i="13"/>
  <c r="AM88" i="13"/>
  <c r="AY88" i="13"/>
  <c r="AN88" i="13"/>
  <c r="AZ88" i="13"/>
  <c r="AO88" i="13"/>
  <c r="BA88" i="13"/>
  <c r="AQ88" i="13"/>
  <c r="AP88" i="13"/>
  <c r="AR88" i="13"/>
  <c r="AS88" i="13"/>
  <c r="AT88" i="13"/>
  <c r="AK88" i="13"/>
  <c r="AL88" i="13"/>
  <c r="AU88" i="13"/>
  <c r="AV88" i="13"/>
  <c r="AW88" i="13"/>
  <c r="AX88" i="13"/>
  <c r="AI88" i="13"/>
  <c r="AJ88" i="13"/>
  <c r="AT100" i="13"/>
  <c r="AI100" i="13"/>
  <c r="AU100" i="13"/>
  <c r="AJ100" i="13"/>
  <c r="AV100" i="13"/>
  <c r="AL100" i="13"/>
  <c r="AX100" i="13"/>
  <c r="AO100" i="13"/>
  <c r="AP100" i="13"/>
  <c r="AR100" i="13"/>
  <c r="BA100" i="13"/>
  <c r="AK100" i="13"/>
  <c r="AM100" i="13"/>
  <c r="AQ100" i="13"/>
  <c r="AN100" i="13"/>
  <c r="AS100" i="13"/>
  <c r="AW100" i="13"/>
  <c r="AY100" i="13"/>
  <c r="AZ100" i="13"/>
  <c r="AN112" i="13"/>
  <c r="AZ112" i="13"/>
  <c r="AP112" i="13"/>
  <c r="AO112" i="13"/>
  <c r="AR112" i="13"/>
  <c r="AM112" i="13"/>
  <c r="AQ112" i="13"/>
  <c r="AS112" i="13"/>
  <c r="AT112" i="13"/>
  <c r="AU112" i="13"/>
  <c r="AV112" i="13"/>
  <c r="AJ112" i="13"/>
  <c r="AL112" i="13"/>
  <c r="AK112" i="13"/>
  <c r="AI112" i="13"/>
  <c r="AX112" i="13"/>
  <c r="AY112" i="13"/>
  <c r="BA112" i="13"/>
  <c r="AW112" i="13"/>
  <c r="AT132" i="13"/>
  <c r="AJ132" i="13"/>
  <c r="AV132" i="13"/>
  <c r="AK132" i="13"/>
  <c r="AY132" i="13"/>
  <c r="AL132" i="13"/>
  <c r="AZ132" i="13"/>
  <c r="AM132" i="13"/>
  <c r="BA132" i="13"/>
  <c r="AN132" i="13"/>
  <c r="AO132" i="13"/>
  <c r="AP132" i="13"/>
  <c r="AR132" i="13"/>
  <c r="AS132" i="13"/>
  <c r="AW132" i="13"/>
  <c r="AU132" i="13"/>
  <c r="AX132" i="13"/>
  <c r="AQ132" i="13"/>
  <c r="AI132" i="13"/>
  <c r="AQ170" i="13"/>
  <c r="AR170" i="13"/>
  <c r="AT170" i="13"/>
  <c r="AP170" i="13"/>
  <c r="AU170" i="13"/>
  <c r="AW170" i="13"/>
  <c r="AV170" i="13"/>
  <c r="AX170" i="13"/>
  <c r="AY170" i="13"/>
  <c r="AZ170" i="13"/>
  <c r="AJ170" i="13"/>
  <c r="AS170" i="13"/>
  <c r="BA170" i="13"/>
  <c r="AI170" i="13"/>
  <c r="AK170" i="13"/>
  <c r="AN170" i="13"/>
  <c r="AO170" i="13"/>
  <c r="AL170" i="13"/>
  <c r="AM170" i="13"/>
  <c r="AI199" i="13"/>
  <c r="AU199" i="13"/>
  <c r="AK199" i="13"/>
  <c r="AW199" i="13"/>
  <c r="AM199" i="13"/>
  <c r="AY199" i="13"/>
  <c r="AN199" i="13"/>
  <c r="AO199" i="13"/>
  <c r="AP199" i="13"/>
  <c r="AQ199" i="13"/>
  <c r="AS199" i="13"/>
  <c r="AL199" i="13"/>
  <c r="AR199" i="13"/>
  <c r="BA199" i="13"/>
  <c r="AT199" i="13"/>
  <c r="AJ199" i="13"/>
  <c r="AV199" i="13"/>
  <c r="AX199" i="13"/>
  <c r="AZ199" i="13"/>
  <c r="AI5" i="13"/>
  <c r="AP5" i="13"/>
  <c r="AX5" i="13"/>
  <c r="AQ5" i="13"/>
  <c r="BA5" i="13"/>
  <c r="AZ5" i="13"/>
  <c r="AY5" i="13"/>
  <c r="AR5" i="13"/>
  <c r="AK5" i="13"/>
  <c r="AU5" i="13"/>
  <c r="AT5" i="13"/>
  <c r="AS5" i="13"/>
  <c r="AL5" i="13"/>
  <c r="AV5" i="13"/>
  <c r="AW5" i="13"/>
  <c r="AO5" i="13"/>
  <c r="AJ5" i="13"/>
  <c r="AN5" i="13"/>
  <c r="AM5" i="13"/>
  <c r="BP5" i="13"/>
  <c r="BO5" i="13"/>
  <c r="BN5" i="13"/>
  <c r="BM5" i="13"/>
  <c r="BL5" i="13"/>
  <c r="BJ5" i="13"/>
  <c r="BI5" i="13"/>
  <c r="BH5" i="13"/>
  <c r="BG5" i="13"/>
  <c r="BF5" i="13"/>
  <c r="BV5" i="13"/>
  <c r="BT5" i="13"/>
  <c r="BR5" i="13"/>
  <c r="BE5" i="13"/>
  <c r="BK5" i="13"/>
  <c r="BU5" i="13"/>
  <c r="BS5" i="13"/>
  <c r="BD5" i="13"/>
  <c r="BQ5" i="13"/>
  <c r="B226" i="13"/>
  <c r="B225" i="13"/>
  <c r="B223" i="13"/>
  <c r="B222" i="13"/>
  <c r="B221" i="13"/>
  <c r="B220" i="13"/>
  <c r="B204" i="13"/>
  <c r="B203" i="13"/>
  <c r="B202" i="13"/>
  <c r="B201" i="13"/>
  <c r="B200" i="13"/>
  <c r="B199" i="13"/>
  <c r="B198" i="13"/>
  <c r="B197" i="13"/>
  <c r="B196" i="13"/>
  <c r="B195" i="13"/>
  <c r="B194" i="13"/>
  <c r="B193" i="13"/>
  <c r="B192" i="13"/>
  <c r="B191" i="13"/>
  <c r="B173" i="13"/>
  <c r="B172" i="13"/>
  <c r="B171" i="13"/>
  <c r="B170" i="13"/>
  <c r="B169" i="13"/>
  <c r="B168" i="13"/>
  <c r="B167" i="13"/>
  <c r="B166" i="13"/>
  <c r="B165" i="13"/>
  <c r="B164" i="13"/>
  <c r="B163" i="13"/>
  <c r="B136" i="13"/>
  <c r="B135" i="13"/>
  <c r="B134" i="13"/>
  <c r="B133" i="13"/>
  <c r="B132" i="13"/>
  <c r="B131" i="13"/>
  <c r="B130" i="13"/>
  <c r="B129" i="13"/>
  <c r="B128" i="13"/>
  <c r="B127" i="13"/>
  <c r="B117" i="13"/>
  <c r="B116" i="13"/>
  <c r="B115" i="13"/>
  <c r="B114" i="13"/>
  <c r="B113" i="13"/>
  <c r="B112" i="13"/>
  <c r="B111" i="13"/>
  <c r="B110" i="13"/>
  <c r="B109" i="13"/>
  <c r="B108" i="13"/>
  <c r="B107" i="13"/>
  <c r="B106" i="13"/>
  <c r="B105" i="13"/>
  <c r="B104" i="13"/>
  <c r="B103" i="13"/>
  <c r="B102" i="13"/>
  <c r="B101" i="13"/>
  <c r="B100" i="13"/>
  <c r="B99" i="13"/>
  <c r="B98" i="13"/>
  <c r="B97" i="13"/>
  <c r="B96" i="13"/>
  <c r="B95" i="13"/>
  <c r="B94" i="13"/>
  <c r="B93" i="13"/>
  <c r="B92" i="13"/>
  <c r="B91" i="13"/>
  <c r="B90" i="13"/>
  <c r="B89" i="13"/>
  <c r="B88" i="13"/>
  <c r="B87" i="13"/>
  <c r="B86" i="13"/>
  <c r="B85" i="13"/>
  <c r="B84" i="13"/>
  <c r="B83" i="13"/>
  <c r="B82" i="13"/>
  <c r="B81" i="13"/>
  <c r="B80" i="13"/>
  <c r="B79" i="13"/>
  <c r="B78" i="13"/>
  <c r="B77" i="13"/>
  <c r="B76" i="13"/>
  <c r="B75" i="13"/>
  <c r="B74" i="13"/>
  <c r="B73" i="13"/>
  <c r="B72" i="13"/>
  <c r="B71" i="13"/>
  <c r="B70" i="13"/>
  <c r="B69" i="13"/>
  <c r="B68" i="13"/>
  <c r="B67" i="13"/>
  <c r="B66" i="13"/>
  <c r="B65" i="13"/>
  <c r="B64" i="13"/>
  <c r="B63" i="13"/>
  <c r="B62" i="13"/>
  <c r="B61" i="13"/>
  <c r="B60" i="13"/>
  <c r="B59" i="13"/>
  <c r="B58" i="13"/>
  <c r="B57" i="13"/>
  <c r="B56" i="13"/>
  <c r="B55" i="13"/>
  <c r="B54" i="13"/>
  <c r="B53" i="13"/>
  <c r="B52" i="13"/>
  <c r="B51" i="13"/>
  <c r="B50" i="13"/>
  <c r="B49" i="13"/>
  <c r="B48" i="13"/>
  <c r="B47" i="13"/>
  <c r="B46" i="13"/>
  <c r="B45" i="13"/>
  <c r="B44" i="13"/>
  <c r="B43" i="13"/>
  <c r="B42" i="13"/>
  <c r="B41" i="13"/>
  <c r="B40" i="13"/>
  <c r="B39" i="13"/>
  <c r="B38" i="13"/>
  <c r="B37" i="13"/>
  <c r="B36" i="13"/>
  <c r="B35" i="13"/>
  <c r="B34" i="13"/>
  <c r="B33" i="13"/>
  <c r="B32" i="13"/>
  <c r="B31" i="13"/>
  <c r="B30" i="13"/>
  <c r="B29" i="13"/>
  <c r="B28" i="13"/>
  <c r="B27" i="13"/>
  <c r="B26" i="13"/>
  <c r="B25" i="13"/>
  <c r="B24" i="13"/>
  <c r="B23" i="13"/>
  <c r="B22" i="13"/>
  <c r="B21" i="13"/>
  <c r="B20" i="13"/>
  <c r="B19" i="13"/>
  <c r="B18" i="13"/>
  <c r="B17" i="13"/>
  <c r="B16" i="13"/>
  <c r="B15" i="13"/>
  <c r="B14" i="13"/>
  <c r="B13" i="13"/>
  <c r="B12" i="13"/>
  <c r="B11" i="13"/>
  <c r="B10" i="13"/>
  <c r="B9" i="13"/>
  <c r="B8" i="13"/>
  <c r="B7" i="13"/>
  <c r="B6" i="13"/>
  <c r="B5" i="13"/>
  <c r="B24" i="38" l="1"/>
  <c r="B23" i="38"/>
  <c r="B22" i="38"/>
  <c r="B21" i="38"/>
  <c r="G28" i="22" l="1"/>
  <c r="H28" i="22" l="1"/>
  <c r="B13" i="19"/>
  <c r="K127" i="13" l="1"/>
  <c r="K126" i="13"/>
  <c r="K117" i="13"/>
  <c r="D8" i="19" l="1"/>
  <c r="K5" i="13"/>
  <c r="K6" i="13"/>
  <c r="K7" i="13"/>
  <c r="K8" i="13"/>
  <c r="K9" i="13"/>
  <c r="K10" i="13"/>
  <c r="K11" i="13"/>
  <c r="K12" i="13"/>
  <c r="K13" i="13"/>
  <c r="K14" i="13"/>
  <c r="K15" i="13"/>
  <c r="K16" i="13"/>
  <c r="K17" i="13"/>
  <c r="K18" i="13"/>
  <c r="K19" i="13"/>
  <c r="K20" i="13"/>
  <c r="K21" i="13"/>
  <c r="K22" i="13"/>
  <c r="K23" i="13"/>
  <c r="K24" i="13"/>
  <c r="K25" i="13"/>
  <c r="K26" i="13"/>
  <c r="K27" i="13"/>
  <c r="K28" i="13"/>
  <c r="K29" i="13"/>
  <c r="K30" i="13"/>
  <c r="K31" i="13"/>
  <c r="K32" i="13"/>
  <c r="K33" i="13"/>
  <c r="K34" i="13"/>
  <c r="F23" i="38" l="1"/>
  <c r="H23" i="38" s="1"/>
  <c r="I23" i="38" s="1"/>
  <c r="G24" i="22"/>
  <c r="H24" i="22" s="1"/>
  <c r="G22" i="22"/>
  <c r="K35" i="13"/>
  <c r="K36" i="13"/>
  <c r="K37" i="13"/>
  <c r="F22" i="38" s="1"/>
  <c r="H22" i="38" s="1"/>
  <c r="I22" i="38" s="1"/>
  <c r="K38" i="13"/>
  <c r="F26" i="38" s="1"/>
  <c r="H26" i="38" s="1"/>
  <c r="I26" i="38" s="1"/>
  <c r="K39" i="13"/>
  <c r="K40" i="13"/>
  <c r="K41" i="13"/>
  <c r="K42" i="13"/>
  <c r="K43" i="13"/>
  <c r="K44" i="13"/>
  <c r="K45" i="13"/>
  <c r="K46" i="13"/>
  <c r="K47" i="13"/>
  <c r="K48" i="13"/>
  <c r="K49" i="13"/>
  <c r="K50" i="13"/>
  <c r="K51" i="13"/>
  <c r="K52" i="13"/>
  <c r="F24" i="38" s="1"/>
  <c r="H24" i="38" s="1"/>
  <c r="I24" i="38" s="1"/>
  <c r="K53" i="13"/>
  <c r="K54" i="13"/>
  <c r="K55" i="13"/>
  <c r="K56" i="13"/>
  <c r="K57" i="13"/>
  <c r="K58" i="13"/>
  <c r="K59" i="13"/>
  <c r="K60" i="13"/>
  <c r="K61" i="13"/>
  <c r="K62" i="13"/>
  <c r="K63" i="13"/>
  <c r="K64" i="13"/>
  <c r="K65" i="13"/>
  <c r="K66" i="13"/>
  <c r="K67" i="13"/>
  <c r="K68" i="13"/>
  <c r="K69" i="13"/>
  <c r="K70" i="13"/>
  <c r="K71" i="13"/>
  <c r="K72" i="13"/>
  <c r="K73" i="13"/>
  <c r="K74" i="13"/>
  <c r="K75" i="13"/>
  <c r="K76" i="13"/>
  <c r="K77" i="13"/>
  <c r="K78" i="13"/>
  <c r="K79" i="13"/>
  <c r="K80" i="13"/>
  <c r="K81" i="13"/>
  <c r="K82" i="13"/>
  <c r="K83" i="13"/>
  <c r="K84" i="13"/>
  <c r="K85" i="13"/>
  <c r="K86" i="13"/>
  <c r="K87" i="13"/>
  <c r="K88" i="13"/>
  <c r="K89" i="13"/>
  <c r="K90" i="13"/>
  <c r="K91" i="13"/>
  <c r="K92" i="13"/>
  <c r="K93" i="13"/>
  <c r="K94" i="13"/>
  <c r="K95" i="13"/>
  <c r="K96" i="13"/>
  <c r="K97" i="13"/>
  <c r="K98" i="13"/>
  <c r="K99" i="13"/>
  <c r="K100" i="13"/>
  <c r="K101" i="13"/>
  <c r="K102" i="13"/>
  <c r="K103" i="13"/>
  <c r="K104" i="13"/>
  <c r="K105" i="13"/>
  <c r="K106" i="13"/>
  <c r="K107" i="13"/>
  <c r="K108" i="13"/>
  <c r="K109" i="13"/>
  <c r="K110" i="13"/>
  <c r="K111" i="13"/>
  <c r="K112" i="13"/>
  <c r="K113" i="13"/>
  <c r="K114" i="13"/>
  <c r="K115" i="13"/>
  <c r="K116" i="13"/>
  <c r="K128" i="13"/>
  <c r="K129" i="13"/>
  <c r="K130" i="13"/>
  <c r="K131" i="13"/>
  <c r="K132" i="13"/>
  <c r="K133" i="13"/>
  <c r="K134" i="13"/>
  <c r="K135" i="13"/>
  <c r="K136" i="13"/>
  <c r="K163" i="13"/>
  <c r="K164" i="13"/>
  <c r="K165" i="13"/>
  <c r="K166" i="13"/>
  <c r="K167" i="13"/>
  <c r="K168" i="13"/>
  <c r="K169" i="13"/>
  <c r="K170" i="13"/>
  <c r="K171" i="13"/>
  <c r="K172" i="13"/>
  <c r="K173" i="13"/>
  <c r="K191" i="13"/>
  <c r="K192" i="13"/>
  <c r="K193" i="13"/>
  <c r="K194" i="13"/>
  <c r="K195" i="13"/>
  <c r="K196" i="13"/>
  <c r="K197" i="13"/>
  <c r="K198" i="13"/>
  <c r="K199" i="13"/>
  <c r="K200" i="13"/>
  <c r="K201" i="13"/>
  <c r="K202" i="13"/>
  <c r="K203" i="13"/>
  <c r="K204" i="13"/>
  <c r="K220" i="13"/>
  <c r="K221" i="13"/>
  <c r="K222" i="13"/>
  <c r="K223" i="13"/>
  <c r="K225" i="13"/>
  <c r="K226" i="13"/>
  <c r="F29" i="38" l="1"/>
  <c r="H29" i="38" s="1"/>
  <c r="I29" i="38" s="1"/>
  <c r="F27" i="38"/>
  <c r="H27" i="38" s="1"/>
  <c r="I27" i="38" s="1"/>
  <c r="F25" i="38"/>
  <c r="H25" i="38" s="1"/>
  <c r="I25" i="38" s="1"/>
  <c r="F28" i="38"/>
  <c r="H28" i="38" s="1"/>
  <c r="I28" i="38" s="1"/>
  <c r="F21" i="38"/>
  <c r="H22" i="22"/>
  <c r="G23" i="22"/>
  <c r="H23" i="22" s="1"/>
  <c r="H14" i="19" l="1"/>
  <c r="H21" i="38"/>
  <c r="D13" i="19"/>
  <c r="D15" i="19" s="1"/>
  <c r="H34" i="22"/>
  <c r="G34" i="22"/>
  <c r="H13" i="19" l="1"/>
  <c r="H15" i="19" s="1"/>
  <c r="I21" i="38"/>
  <c r="I30" i="38" s="1"/>
  <c r="H30" i="38"/>
  <c r="E8" i="19" l="1"/>
  <c r="F8" i="19" s="1"/>
  <c r="S5" i="13" l="1"/>
  <c r="T5" i="13" s="1"/>
  <c r="Y5" i="13"/>
  <c r="AA5" i="13" l="1"/>
  <c r="Z5" i="13"/>
  <c r="AB5" i="13" s="1"/>
  <c r="AC5" i="13" s="1"/>
  <c r="U5" i="13"/>
  <c r="AD5" i="13" l="1"/>
  <c r="V5" i="13"/>
  <c r="W5" i="13" l="1"/>
  <c r="AE5" i="13"/>
  <c r="D7" i="19" s="1"/>
  <c r="C9" i="19" l="1"/>
  <c r="AF5" i="13" l="1"/>
  <c r="C13" i="19" l="1"/>
  <c r="F13" i="19" s="1"/>
  <c r="E7" i="19"/>
  <c r="F7" i="19" s="1"/>
  <c r="C14" i="19"/>
  <c r="F14" i="19" s="1"/>
  <c r="D9" i="19" l="1"/>
  <c r="E9" i="19"/>
  <c r="F9" i="19" l="1"/>
  <c r="C15" i="19"/>
  <c r="F15" i="19" l="1"/>
</calcChain>
</file>

<file path=xl/sharedStrings.xml><?xml version="1.0" encoding="utf-8"?>
<sst xmlns="http://schemas.openxmlformats.org/spreadsheetml/2006/main" count="27108" uniqueCount="1776">
  <si>
    <t>1 x per maand</t>
  </si>
  <si>
    <t>5 x per week</t>
  </si>
  <si>
    <t>5w</t>
  </si>
  <si>
    <t xml:space="preserve"> </t>
  </si>
  <si>
    <t>Vakantiedagen, -toeslag, feestdagen</t>
  </si>
  <si>
    <t>Suppletie ziekengeld</t>
  </si>
  <si>
    <t>Sociale lasten</t>
  </si>
  <si>
    <t>Materialen</t>
  </si>
  <si>
    <t>Middelen</t>
  </si>
  <si>
    <t>Afschrijving machines</t>
  </si>
  <si>
    <t>Directe leiding</t>
  </si>
  <si>
    <t>Indirecte leiding</t>
  </si>
  <si>
    <t>3 x per week</t>
  </si>
  <si>
    <t>1 x per week</t>
  </si>
  <si>
    <t>2 x per week</t>
  </si>
  <si>
    <t>1w</t>
  </si>
  <si>
    <t>1m</t>
  </si>
  <si>
    <t>2w</t>
  </si>
  <si>
    <t>3w</t>
  </si>
  <si>
    <t>10w</t>
  </si>
  <si>
    <t>4w</t>
  </si>
  <si>
    <t>4 x per week</t>
  </si>
  <si>
    <t>Sanitair</t>
  </si>
  <si>
    <t>Ruimte code</t>
  </si>
  <si>
    <t>Weekend</t>
  </si>
  <si>
    <t>2ww</t>
  </si>
  <si>
    <t>1ww</t>
  </si>
  <si>
    <t>1 x per weekend</t>
  </si>
  <si>
    <t>2 x per weekend</t>
  </si>
  <si>
    <t>5 x per week met naloop</t>
  </si>
  <si>
    <t>Gebouw gedeelte</t>
  </si>
  <si>
    <t>Oppervlak (netto)</t>
  </si>
  <si>
    <t>Totaal</t>
  </si>
  <si>
    <t>Code</t>
  </si>
  <si>
    <t>Tariefsopbouw</t>
  </si>
  <si>
    <t>uren / jaar</t>
  </si>
  <si>
    <t>Tapijt</t>
  </si>
  <si>
    <t>Vloer afwerking</t>
  </si>
  <si>
    <t>Entree</t>
  </si>
  <si>
    <t>Glasbewassing</t>
  </si>
  <si>
    <t>Wassen handdoeken</t>
  </si>
  <si>
    <t>Prijs per stuk</t>
  </si>
  <si>
    <t>Wassen theedoeken</t>
  </si>
  <si>
    <t>prijs per stuk</t>
  </si>
  <si>
    <t>Verwijderen kauwgom buitenterrein</t>
  </si>
  <si>
    <t>Vlek verwijderen textiele bekleding zitvlak stoelen</t>
  </si>
  <si>
    <t>Prijs per beurt</t>
  </si>
  <si>
    <t xml:space="preserve">Reinigen van plafonds </t>
  </si>
  <si>
    <t>prijs per m²</t>
  </si>
  <si>
    <t>Reinigen van vitrage</t>
  </si>
  <si>
    <t>Reinigen van kunststoflamellen</t>
  </si>
  <si>
    <t>Reinigen van stoffenlamellen</t>
  </si>
  <si>
    <t>Reinigen van horizontale kunststoflamellen (luxaflex)</t>
  </si>
  <si>
    <t xml:space="preserve">Het verwijderen van aanslag per unit incl. (de-)montage </t>
  </si>
  <si>
    <t>Het desinfecteren van alle sanitaire onderdelen</t>
  </si>
  <si>
    <t>prijs per toiletunit</t>
  </si>
  <si>
    <t xml:space="preserve">Vegen van het buitenterrein </t>
  </si>
  <si>
    <t>Magazijnen/bergingen</t>
  </si>
  <si>
    <t>Kantoren</t>
  </si>
  <si>
    <t>Reproruimte</t>
  </si>
  <si>
    <t>Gangen/hallen</t>
  </si>
  <si>
    <t>Trappenhuizen/lift</t>
  </si>
  <si>
    <t>Keuken/pantry</t>
  </si>
  <si>
    <t>Inspectie categorie</t>
  </si>
  <si>
    <t>Schoonmaakmedewerker</t>
  </si>
  <si>
    <t>Meewerkend leidinggevende</t>
  </si>
  <si>
    <t>Totaal geindexeerd uurloon</t>
  </si>
  <si>
    <t>Loonkosten:</t>
  </si>
  <si>
    <t>Directe kosten:</t>
  </si>
  <si>
    <t>Indirecte kosten:</t>
  </si>
  <si>
    <t>Overheadkosten</t>
  </si>
  <si>
    <t>Winst en risico</t>
  </si>
  <si>
    <t>Loon:</t>
  </si>
  <si>
    <t>Subtotaal Loonkosten</t>
  </si>
  <si>
    <t>Subtotaal Directe kosten</t>
  </si>
  <si>
    <t>Subtotaal Indirecte kosten</t>
  </si>
  <si>
    <t>% v.h. loon</t>
  </si>
  <si>
    <t>% v.h. loon incl. loonkosten</t>
  </si>
  <si>
    <t>Rekentarieven</t>
  </si>
  <si>
    <t>€</t>
  </si>
  <si>
    <t>Standaard</t>
  </si>
  <si>
    <t>Eindejaarsuitkering</t>
  </si>
  <si>
    <t>Overige directe kosten</t>
  </si>
  <si>
    <t>Overige indirecte kosten</t>
  </si>
  <si>
    <t>Overige loonkosten</t>
  </si>
  <si>
    <t>Ochtend/avond</t>
  </si>
  <si>
    <t>ma. t/m vr. 6:00 - 21:30 uur</t>
  </si>
  <si>
    <t>ma. t/m vr. 21:30 - 6:00 uur</t>
  </si>
  <si>
    <t>vr. 21:30 t/m ma. 6:00 uur</t>
  </si>
  <si>
    <t>Feestdag</t>
  </si>
  <si>
    <t>Erkende feestdagen</t>
  </si>
  <si>
    <t>% opslag op loonkosten</t>
  </si>
  <si>
    <t>Tarief</t>
  </si>
  <si>
    <t xml:space="preserve">Over te nemen personeel </t>
  </si>
  <si>
    <t>Totale berekende productieve ureninzet (contractjaar 1)</t>
  </si>
  <si>
    <t>Norm (5w)</t>
  </si>
  <si>
    <t>Ruimte omschrijving</t>
  </si>
  <si>
    <t>Vloersoort omschrijving</t>
  </si>
  <si>
    <t>Aanpassing norm</t>
  </si>
  <si>
    <t>T</t>
  </si>
  <si>
    <t>L</t>
  </si>
  <si>
    <t>S</t>
  </si>
  <si>
    <t>P</t>
  </si>
  <si>
    <t>Vloerafwerkingen met beschermlaag, zoals linoleum, marmoleum e.d.</t>
  </si>
  <si>
    <t>Textiele vloerafwerking, zoals tapijt, schoonloopmat, flotex e.d.</t>
  </si>
  <si>
    <t>Vloeren zonder beschermlaag, die wel behandeling nodig hebben, zoals pvc e.d.</t>
  </si>
  <si>
    <t>Aanpassing standaardnorm o.b.v. frequentie</t>
  </si>
  <si>
    <t>Frequentie omschrijving</t>
  </si>
  <si>
    <t>2,5w</t>
  </si>
  <si>
    <t>2,5 x per week (om-de-dag)</t>
  </si>
  <si>
    <t>Prestatie</t>
  </si>
  <si>
    <t>Etage</t>
  </si>
  <si>
    <t>Ruimtesoort</t>
  </si>
  <si>
    <t>Vloer code</t>
  </si>
  <si>
    <t>Frequentie werkdagen</t>
  </si>
  <si>
    <t>Frequentie weekend</t>
  </si>
  <si>
    <t>Aantal weken/jr</t>
  </si>
  <si>
    <t>Frequentie</t>
  </si>
  <si>
    <t>Prest. (m2 /jaar)</t>
  </si>
  <si>
    <t>Steen</t>
  </si>
  <si>
    <t>PVC</t>
  </si>
  <si>
    <t>Pantry</t>
  </si>
  <si>
    <t>Naam</t>
  </si>
  <si>
    <t>Lino</t>
  </si>
  <si>
    <t>Oppervlakte n.i.o.</t>
  </si>
  <si>
    <t>uren / jaar werkdagen</t>
  </si>
  <si>
    <t>kosten / jaar werkdagen</t>
  </si>
  <si>
    <t>Uitvoeringen werkdagen</t>
  </si>
  <si>
    <t>Norm (m2/uur) werkdagen</t>
  </si>
  <si>
    <t>Prest. (m2 /jaar) werkdagen</t>
  </si>
  <si>
    <t>Norm (m2/uur) weekend</t>
  </si>
  <si>
    <t>Prest. (m2 /jaar) weekend</t>
  </si>
  <si>
    <t>uren / jaar weekend</t>
  </si>
  <si>
    <t>kosten / jaar weekend</t>
  </si>
  <si>
    <t>Uitvoeringen weekend</t>
  </si>
  <si>
    <t>Locatie</t>
  </si>
  <si>
    <t>Glassoort/voorziening</t>
  </si>
  <si>
    <t>Kosten/jaar excl. BTW</t>
  </si>
  <si>
    <t>Gevelglas buitenzijde</t>
  </si>
  <si>
    <t>Prijs per m2 per beurt</t>
  </si>
  <si>
    <t>Separatieglas (enkel gemeten, dubbel te wassen)</t>
  </si>
  <si>
    <t>Eenheid</t>
  </si>
  <si>
    <t>Prijs</t>
  </si>
  <si>
    <t>Hoogwerker buiten max 12 meter</t>
  </si>
  <si>
    <t>Hoogwerker buiten max 16 meter</t>
  </si>
  <si>
    <t>Hoogwerker buiten max 20 meter</t>
  </si>
  <si>
    <t>Oppervlakte of dagen</t>
  </si>
  <si>
    <t>H1</t>
  </si>
  <si>
    <t>H2</t>
  </si>
  <si>
    <t>H3</t>
  </si>
  <si>
    <t>Werkzaamheden</t>
  </si>
  <si>
    <t>Prijs per m2 per beurt, incl. in- en uitruimen</t>
  </si>
  <si>
    <t>Prijs per m2 per beurt, incl. in- en uitruimen, minimaal 2 lagen, kruislings</t>
  </si>
  <si>
    <t>Vloersoort</t>
  </si>
  <si>
    <t>Oppervlakte</t>
  </si>
  <si>
    <t>Sprayen/opblokken</t>
  </si>
  <si>
    <t>Diepstrippen, sealen en conserveren</t>
  </si>
  <si>
    <t>Schuren en lakken houten vloer</t>
  </si>
  <si>
    <t>Frequentie (uitv./jaar)</t>
  </si>
  <si>
    <t>Handmatig schrobben en droogzuigen</t>
  </si>
  <si>
    <t>Ruimtestaat</t>
  </si>
  <si>
    <t>Oppervlakte i/o</t>
  </si>
  <si>
    <t>Uren / jaar</t>
  </si>
  <si>
    <t>Kosten / m2</t>
  </si>
  <si>
    <t>Totalisatie (excl. BTW)</t>
  </si>
  <si>
    <t>Kolom1</t>
  </si>
  <si>
    <t>Prijs excl. BTW</t>
  </si>
  <si>
    <t xml:space="preserve">Aan genoemde aantallen kunnen geen rechten worden ontleend. </t>
  </si>
  <si>
    <t>Regie- en afroepwerkzaamheden</t>
  </si>
  <si>
    <t>Genoemde aantallen zijn fictief en dienen om een vergelijkingsprijs op te stellen</t>
  </si>
  <si>
    <t>Werkzaamheid</t>
  </si>
  <si>
    <t>Prijs per uur</t>
  </si>
  <si>
    <t>Regiewerkzaamheden (schoonmaakonderhoud, ma-vr. tussen 6:00 en 21:30)</t>
  </si>
  <si>
    <t>Specialistische regiewerkzaamheden  (ma-vr. tussen 6:00 en 21:30)</t>
  </si>
  <si>
    <t>Cateringwerkzaamheden (ma-vr. tussen 6:00 en 21:30)</t>
  </si>
  <si>
    <t>Prijs per stuk per beurt</t>
  </si>
  <si>
    <t>Vaatwasser inruimen, activeren en uitruimen</t>
  </si>
  <si>
    <t>Reinigen koelkast binnen- en buitenzijde</t>
  </si>
  <si>
    <t>Reinigen van magnetron binnen- en buitenzijde</t>
  </si>
  <si>
    <t>Reinigen van koffieautomaat binnen- en buitenzijde</t>
  </si>
  <si>
    <t>Calamiteitenservice inclusief materialen en middelen</t>
  </si>
  <si>
    <t>Buiten</t>
  </si>
  <si>
    <t>Intensief reinigen voegen tegelwanden</t>
  </si>
  <si>
    <t>Regie per uur</t>
  </si>
  <si>
    <t>De opgegeven prijzen zijn tijdens de gehele contractduur van toepassing als afroepprijs.</t>
  </si>
  <si>
    <t>Machinaal schrobben en droogzuigen</t>
  </si>
  <si>
    <t>Textiel reinigen</t>
  </si>
  <si>
    <t>Dieptereiniging sanitair</t>
  </si>
  <si>
    <t>Fantomatten sanitaire ruimte</t>
  </si>
  <si>
    <t>Stoomreinigen sanitaire ruimte</t>
  </si>
  <si>
    <t>Klein technisch onderhoud, verhelpen techische gebreken</t>
  </si>
  <si>
    <t>Wanden en plafonds</t>
  </si>
  <si>
    <t>Volledig (diep)reinigen van de deur (beide zijden), (tegel-)wanden, vloeren en putjes (in- en uitwendig)</t>
  </si>
  <si>
    <t>Kolom2</t>
  </si>
  <si>
    <t>Inspectiecategorie</t>
  </si>
  <si>
    <t>Gemiddeld brutoloon</t>
  </si>
  <si>
    <t>Code Locatie</t>
  </si>
  <si>
    <t>Code Taak</t>
  </si>
  <si>
    <t>Code taak</t>
  </si>
  <si>
    <t>Alle groen gearceerde velden dienen ingevuld te worden, overige cellen mogen niet gewijzigd worden</t>
  </si>
  <si>
    <t>Totalisatie</t>
  </si>
  <si>
    <t>Locaties</t>
  </si>
  <si>
    <t>Rechtsgeldig ondertekening</t>
  </si>
  <si>
    <t>Functie</t>
  </si>
  <si>
    <t>Plaats, datum</t>
  </si>
  <si>
    <t>Handtekening</t>
  </si>
  <si>
    <t>Naam Inschrijver:</t>
  </si>
  <si>
    <t>% van de prod. uren</t>
  </si>
  <si>
    <t>Samenvatting schoonmaakonderhoud</t>
  </si>
  <si>
    <t>prijs per toiletunit*</t>
  </si>
  <si>
    <t>* zie tabblad Werkprogramma voor definities</t>
  </si>
  <si>
    <t>……………</t>
  </si>
  <si>
    <t>Lichtkoepels (enkel gemeten, dubbel te wassen)</t>
  </si>
  <si>
    <t>Gevelglas binnenzijde</t>
  </si>
  <si>
    <t>De opgegeven prijzen zijn tijdens de gehele contractduur van toepassing als all-in afroepprijs.</t>
  </si>
  <si>
    <t>Aanpassing standaardnorm schoonmaakonderhoud o.b.v. locatie</t>
  </si>
  <si>
    <t>Standaardnorm schoonmaakonderhoud per ruimtegroep / werkprogramma</t>
  </si>
  <si>
    <t>Aanpassing standaardnorm schoonmaakonderhoud o.b.v. vloersoort</t>
  </si>
  <si>
    <t>Volledig reinigen kunststofwanden (maximaal 6 meter hoog)</t>
  </si>
  <si>
    <t>Volledig reinigen geschilderde wanden (maximaal 6 meter hoog)</t>
  </si>
  <si>
    <t>Volledig reinigen tegelwanden (maximaal 6 meter hoog)</t>
  </si>
  <si>
    <t xml:space="preserve">Opdrachtgever heeft tijdens de gehele contractduur het recht frequenties en uitvoermomenten aan te passen of werkzaamheden aan derden uit te besteden. </t>
  </si>
  <si>
    <t>Werkdagen</t>
  </si>
  <si>
    <t>Weekenddagen</t>
  </si>
  <si>
    <t>Totaal (werkdagen + weekenddagen</t>
  </si>
  <si>
    <t>Reinigen van keukenkastjes binnen- en buitenzijde</t>
  </si>
  <si>
    <t>Vloersoort / toelichting</t>
  </si>
  <si>
    <t>H4</t>
  </si>
  <si>
    <t>Spinhoogwerker</t>
  </si>
  <si>
    <t>Geboorte- datum</t>
  </si>
  <si>
    <t>Branche datum</t>
  </si>
  <si>
    <t>Soort  contract</t>
  </si>
  <si>
    <t>&gt; 1,5 jaar op object?</t>
  </si>
  <si>
    <t>Functiecode</t>
  </si>
  <si>
    <t>Loongroep</t>
  </si>
  <si>
    <t>Basis-uurloon</t>
  </si>
  <si>
    <t>OT Dienstjaren</t>
  </si>
  <si>
    <t>VET toeslag</t>
  </si>
  <si>
    <t>Pers. Toeslag</t>
  </si>
  <si>
    <t>Reiskosten boven CAO voor 31-12-2007 afgesproken</t>
  </si>
  <si>
    <t>In het bezit van basisvak-diploma? Ja/Nee</t>
  </si>
  <si>
    <t>Harde vloeren zonder extra behandeling, zoals steen, beton e.d.</t>
  </si>
  <si>
    <t>Vergader/spreekkamers</t>
  </si>
  <si>
    <t>Indexatie</t>
  </si>
  <si>
    <t>Topstrippen en conserveren</t>
  </si>
  <si>
    <t>Tapijtreinigen, sproei-extractiemethode</t>
  </si>
  <si>
    <t>Tapijtreinigen, poedermethode</t>
  </si>
  <si>
    <t>Ruimte- 
nummer</t>
  </si>
  <si>
    <t>Hout</t>
  </si>
  <si>
    <t>1j</t>
  </si>
  <si>
    <t>1 x per jaar</t>
  </si>
  <si>
    <t>5x per week met 2 nalooprondes</t>
  </si>
  <si>
    <t>15w</t>
  </si>
  <si>
    <t>WERKPROGRAMMA WERKDAGEN</t>
  </si>
  <si>
    <t>WERKPROGRAMMA WEEKEND</t>
  </si>
  <si>
    <t>VLOER</t>
  </si>
  <si>
    <t>INVENTARIS EN INTERIEUR</t>
  </si>
  <si>
    <t>SANITAIR</t>
  </si>
  <si>
    <t>vl1</t>
  </si>
  <si>
    <t>vl2</t>
  </si>
  <si>
    <t>vl3</t>
  </si>
  <si>
    <t>vl4</t>
  </si>
  <si>
    <t>vl5</t>
  </si>
  <si>
    <t>vl6</t>
  </si>
  <si>
    <t>vl7</t>
  </si>
  <si>
    <t>vnl</t>
  </si>
  <si>
    <t>i8</t>
  </si>
  <si>
    <t>i9</t>
  </si>
  <si>
    <t>i10</t>
  </si>
  <si>
    <t>i11</t>
  </si>
  <si>
    <t>i12</t>
  </si>
  <si>
    <t>i13</t>
  </si>
  <si>
    <t>i14</t>
  </si>
  <si>
    <t>inl</t>
  </si>
  <si>
    <t>s15</t>
  </si>
  <si>
    <t>s16</t>
  </si>
  <si>
    <t>snl</t>
  </si>
  <si>
    <t>Code Weekend</t>
  </si>
  <si>
    <t>Frequentieomschrijving</t>
  </si>
  <si>
    <t>Vloercode</t>
  </si>
  <si>
    <t>1-10w</t>
  </si>
  <si>
    <t>1-10w L</t>
  </si>
  <si>
    <t>_</t>
  </si>
  <si>
    <t>4j</t>
  </si>
  <si>
    <t>1-10w T</t>
  </si>
  <si>
    <t>1-10w S</t>
  </si>
  <si>
    <t>1-10w P</t>
  </si>
  <si>
    <t>1-5w</t>
  </si>
  <si>
    <t>1-5w L</t>
  </si>
  <si>
    <t>1-5w T</t>
  </si>
  <si>
    <t>1-5w S</t>
  </si>
  <si>
    <t>1-5w P</t>
  </si>
  <si>
    <t>1-4w</t>
  </si>
  <si>
    <t>1-4w L</t>
  </si>
  <si>
    <t>1-4w T</t>
  </si>
  <si>
    <t>1-4w S</t>
  </si>
  <si>
    <t>1-4w P</t>
  </si>
  <si>
    <t>1-3w</t>
  </si>
  <si>
    <t>1-3w L</t>
  </si>
  <si>
    <t>1-3w T</t>
  </si>
  <si>
    <t>1-3w S</t>
  </si>
  <si>
    <t>1-3w P</t>
  </si>
  <si>
    <t>1-2w</t>
  </si>
  <si>
    <t>1-2w L</t>
  </si>
  <si>
    <t>1-2w T</t>
  </si>
  <si>
    <t>1-2w S</t>
  </si>
  <si>
    <t>1-2w P</t>
  </si>
  <si>
    <t>1-1w</t>
  </si>
  <si>
    <t>1-1w L</t>
  </si>
  <si>
    <t>1-1w T</t>
  </si>
  <si>
    <t>1-1w S</t>
  </si>
  <si>
    <t>1-1w P</t>
  </si>
  <si>
    <t>1-1m</t>
  </si>
  <si>
    <t>1-1m L</t>
  </si>
  <si>
    <t>1-1m T</t>
  </si>
  <si>
    <t>1-1m S</t>
  </si>
  <si>
    <t>1-1m P</t>
  </si>
  <si>
    <t>1-1ww</t>
  </si>
  <si>
    <t>1-1ww L</t>
  </si>
  <si>
    <t>1-1ww T</t>
  </si>
  <si>
    <t>1-1ww S</t>
  </si>
  <si>
    <t>1-1ww P</t>
  </si>
  <si>
    <t>1-2ww</t>
  </si>
  <si>
    <t>1-2ww L</t>
  </si>
  <si>
    <t>1-2ww T</t>
  </si>
  <si>
    <t>1-2ww S</t>
  </si>
  <si>
    <t>1-2ww P</t>
  </si>
  <si>
    <t>2-10w</t>
  </si>
  <si>
    <t>2-10w L</t>
  </si>
  <si>
    <t>2j</t>
  </si>
  <si>
    <t>2-10w T</t>
  </si>
  <si>
    <t>2-10w S</t>
  </si>
  <si>
    <t>2-10w P</t>
  </si>
  <si>
    <t>2-5w</t>
  </si>
  <si>
    <t>2-5w L</t>
  </si>
  <si>
    <t>2-5w T</t>
  </si>
  <si>
    <t>2-5w S</t>
  </si>
  <si>
    <t>2-5w P</t>
  </si>
  <si>
    <t>2-4w</t>
  </si>
  <si>
    <t>2-4w L</t>
  </si>
  <si>
    <t>2-4w T</t>
  </si>
  <si>
    <t>2-4w S</t>
  </si>
  <si>
    <t>2-4w P</t>
  </si>
  <si>
    <t>2-3w</t>
  </si>
  <si>
    <t>2-3w L</t>
  </si>
  <si>
    <t>2-3w T</t>
  </si>
  <si>
    <t>2-3w S</t>
  </si>
  <si>
    <t>2-3w P</t>
  </si>
  <si>
    <t>2-2w</t>
  </si>
  <si>
    <t>2-2w L</t>
  </si>
  <si>
    <t>2-2w T</t>
  </si>
  <si>
    <t>2-2w S</t>
  </si>
  <si>
    <t>2-2w P</t>
  </si>
  <si>
    <t>2-1w</t>
  </si>
  <si>
    <t>2-1w L</t>
  </si>
  <si>
    <t>2-1w T</t>
  </si>
  <si>
    <t>2-1w S</t>
  </si>
  <si>
    <t>2-1w P</t>
  </si>
  <si>
    <t>2-1m</t>
  </si>
  <si>
    <t>2-1m L</t>
  </si>
  <si>
    <t>2-1m T</t>
  </si>
  <si>
    <t xml:space="preserve">_ </t>
  </si>
  <si>
    <t>2-1m S</t>
  </si>
  <si>
    <t>2-1m P</t>
  </si>
  <si>
    <t>2-1ww</t>
  </si>
  <si>
    <t>2-1ww L</t>
  </si>
  <si>
    <t>2-1ww T</t>
  </si>
  <si>
    <t>2-1ww S</t>
  </si>
  <si>
    <t>2-1ww P</t>
  </si>
  <si>
    <t>2-2ww</t>
  </si>
  <si>
    <t>2-2ww L</t>
  </si>
  <si>
    <t>2-2ww T</t>
  </si>
  <si>
    <t>2-2ww S</t>
  </si>
  <si>
    <t>2-2ww P</t>
  </si>
  <si>
    <t>3-10w</t>
  </si>
  <si>
    <t>3-10w L</t>
  </si>
  <si>
    <t>3-10w T</t>
  </si>
  <si>
    <t>3-10w S</t>
  </si>
  <si>
    <t>3-10w P</t>
  </si>
  <si>
    <t>3-5w</t>
  </si>
  <si>
    <t>3-5w L</t>
  </si>
  <si>
    <t>3-5w T</t>
  </si>
  <si>
    <t>3-5w S</t>
  </si>
  <si>
    <t>3-5w P</t>
  </si>
  <si>
    <t>3-4w</t>
  </si>
  <si>
    <t>3-4w L</t>
  </si>
  <si>
    <t>3-4w T</t>
  </si>
  <si>
    <t>3-4w S</t>
  </si>
  <si>
    <t>3-4w P</t>
  </si>
  <si>
    <t>3-3w</t>
  </si>
  <si>
    <t>3-3w L</t>
  </si>
  <si>
    <t>3-3w T</t>
  </si>
  <si>
    <t>3-3w S</t>
  </si>
  <si>
    <t>3-3w P</t>
  </si>
  <si>
    <t>3-2w</t>
  </si>
  <si>
    <t>3-2w L</t>
  </si>
  <si>
    <t>3-2w T</t>
  </si>
  <si>
    <t>3-2w S</t>
  </si>
  <si>
    <t>3-2w P</t>
  </si>
  <si>
    <t>3-1w</t>
  </si>
  <si>
    <t>3-1w L</t>
  </si>
  <si>
    <t>3-1w T</t>
  </si>
  <si>
    <t>3-1w S</t>
  </si>
  <si>
    <t>3-1w P</t>
  </si>
  <si>
    <t>3-1m</t>
  </si>
  <si>
    <t>3-1m L</t>
  </si>
  <si>
    <t>3-1m T</t>
  </si>
  <si>
    <t>3-1m S</t>
  </si>
  <si>
    <t>3-1m P</t>
  </si>
  <si>
    <t>3-1ww</t>
  </si>
  <si>
    <t>3-1ww L</t>
  </si>
  <si>
    <t>3-1ww T</t>
  </si>
  <si>
    <t>3-1ww S</t>
  </si>
  <si>
    <t>3-1ww P</t>
  </si>
  <si>
    <t>3-2ww</t>
  </si>
  <si>
    <t>3-2ww L</t>
  </si>
  <si>
    <t>3-2ww T</t>
  </si>
  <si>
    <t>3-2ww S</t>
  </si>
  <si>
    <t>3-2ww P</t>
  </si>
  <si>
    <t>4-10w</t>
  </si>
  <si>
    <t>4-10w L</t>
  </si>
  <si>
    <t>4-10w T</t>
  </si>
  <si>
    <t>4-10w S</t>
  </si>
  <si>
    <t>4-10w P</t>
  </si>
  <si>
    <t>4-5w</t>
  </si>
  <si>
    <t>4-5w L</t>
  </si>
  <si>
    <t>4-5w T</t>
  </si>
  <si>
    <t>4-5w S</t>
  </si>
  <si>
    <t>4-5w P</t>
  </si>
  <si>
    <t>4-4w</t>
  </si>
  <si>
    <t>4-4w L</t>
  </si>
  <si>
    <t>4-4w T</t>
  </si>
  <si>
    <t>4-4w S</t>
  </si>
  <si>
    <t>4-4w P</t>
  </si>
  <si>
    <t>4-3w</t>
  </si>
  <si>
    <t>4-3w L</t>
  </si>
  <si>
    <t>4-3w T</t>
  </si>
  <si>
    <t>4-3w S</t>
  </si>
  <si>
    <t>4-3w P</t>
  </si>
  <si>
    <t>4-2w</t>
  </si>
  <si>
    <t>4-2w L</t>
  </si>
  <si>
    <t>4-2w T</t>
  </si>
  <si>
    <t>4-2w S</t>
  </si>
  <si>
    <t>4-2w P</t>
  </si>
  <si>
    <t>4-1w</t>
  </si>
  <si>
    <t>4-1w L</t>
  </si>
  <si>
    <t>4-1w T</t>
  </si>
  <si>
    <t>4-1w S</t>
  </si>
  <si>
    <t>4-1w P</t>
  </si>
  <si>
    <t>4-1m</t>
  </si>
  <si>
    <t>4-1m L</t>
  </si>
  <si>
    <t>4-1m T</t>
  </si>
  <si>
    <t>4-1m S</t>
  </si>
  <si>
    <t>4-1m P</t>
  </si>
  <si>
    <t>4-1ww</t>
  </si>
  <si>
    <t>4-1ww L</t>
  </si>
  <si>
    <t>4-1ww T</t>
  </si>
  <si>
    <t>4-1ww S</t>
  </si>
  <si>
    <t>4-1ww P</t>
  </si>
  <si>
    <t>4-2ww</t>
  </si>
  <si>
    <t>4-2ww L</t>
  </si>
  <si>
    <t>4-2ww T</t>
  </si>
  <si>
    <t>4-2ww S</t>
  </si>
  <si>
    <t>4-2ww P</t>
  </si>
  <si>
    <t>5-10w</t>
  </si>
  <si>
    <t>5-10w L</t>
  </si>
  <si>
    <t>5-10w T</t>
  </si>
  <si>
    <t>5-10w S</t>
  </si>
  <si>
    <t>5-10w P</t>
  </si>
  <si>
    <t>5-5w</t>
  </si>
  <si>
    <t>5-5w L</t>
  </si>
  <si>
    <t>5-5w T</t>
  </si>
  <si>
    <t>5-5w S</t>
  </si>
  <si>
    <t>5-5w P</t>
  </si>
  <si>
    <t>5-15w</t>
  </si>
  <si>
    <t>3 x per dag</t>
  </si>
  <si>
    <t>5-15w L</t>
  </si>
  <si>
    <t>14w</t>
  </si>
  <si>
    <t>5-15w T</t>
  </si>
  <si>
    <t>5-15w S</t>
  </si>
  <si>
    <t>5-15w P</t>
  </si>
  <si>
    <t>3x per dag 3x in het weekend</t>
  </si>
  <si>
    <t>5-14w L</t>
  </si>
  <si>
    <t>5-14w T</t>
  </si>
  <si>
    <t>5-14w S</t>
  </si>
  <si>
    <t>5-14w P</t>
  </si>
  <si>
    <t>5-4w</t>
  </si>
  <si>
    <t>5-4w L</t>
  </si>
  <si>
    <t>5-4w T</t>
  </si>
  <si>
    <t>5-4w S</t>
  </si>
  <si>
    <t>5-4w P</t>
  </si>
  <si>
    <t>5-3w</t>
  </si>
  <si>
    <t>5-3w L</t>
  </si>
  <si>
    <t>5-3w T</t>
  </si>
  <si>
    <t>5-3w S</t>
  </si>
  <si>
    <t>5-3w P</t>
  </si>
  <si>
    <t>5-2w</t>
  </si>
  <si>
    <t>5-2w L</t>
  </si>
  <si>
    <t>5-2w T</t>
  </si>
  <si>
    <t>5-2w S</t>
  </si>
  <si>
    <t>5-2w P</t>
  </si>
  <si>
    <t>5-1w</t>
  </si>
  <si>
    <t>5-1w L</t>
  </si>
  <si>
    <t>5-1w T</t>
  </si>
  <si>
    <t>5-1w S</t>
  </si>
  <si>
    <t>5-1w P</t>
  </si>
  <si>
    <t>5-1m</t>
  </si>
  <si>
    <t>5-1m L</t>
  </si>
  <si>
    <t>5-1m T</t>
  </si>
  <si>
    <t>5-1m S</t>
  </si>
  <si>
    <t>5-1m P</t>
  </si>
  <si>
    <t>5-1ww</t>
  </si>
  <si>
    <t>5-1ww L</t>
  </si>
  <si>
    <t>5-1ww T</t>
  </si>
  <si>
    <t>5-1ww S</t>
  </si>
  <si>
    <t>5-1ww P</t>
  </si>
  <si>
    <t>5-2ww</t>
  </si>
  <si>
    <t>5-2ww L</t>
  </si>
  <si>
    <t>5-2ww T</t>
  </si>
  <si>
    <t>5-2ww S</t>
  </si>
  <si>
    <t>5-2ww P</t>
  </si>
  <si>
    <t>5-4ww</t>
  </si>
  <si>
    <t>4 x per weekend</t>
  </si>
  <si>
    <t>5-4ww L</t>
  </si>
  <si>
    <t>5-4ww T</t>
  </si>
  <si>
    <t>5-4ww S</t>
  </si>
  <si>
    <t>5-4ww P</t>
  </si>
  <si>
    <t>6-10w</t>
  </si>
  <si>
    <t>6-10w L</t>
  </si>
  <si>
    <t>6-10w T</t>
  </si>
  <si>
    <t>6-10w S</t>
  </si>
  <si>
    <t>6-10w P</t>
  </si>
  <si>
    <t>6-5w</t>
  </si>
  <si>
    <t>6-5w L</t>
  </si>
  <si>
    <t>6-5w T</t>
  </si>
  <si>
    <t>6-5w S</t>
  </si>
  <si>
    <t>6-5w P</t>
  </si>
  <si>
    <t>6-4w</t>
  </si>
  <si>
    <t>6-4w L</t>
  </si>
  <si>
    <t>6-4w T</t>
  </si>
  <si>
    <t>6-4w S</t>
  </si>
  <si>
    <t>6-4w P</t>
  </si>
  <si>
    <t>6-3w</t>
  </si>
  <si>
    <t>6-3w L</t>
  </si>
  <si>
    <t>6-3w T</t>
  </si>
  <si>
    <t>6-3w S</t>
  </si>
  <si>
    <t>6-3w P</t>
  </si>
  <si>
    <t>6-2w</t>
  </si>
  <si>
    <t>6-2w L</t>
  </si>
  <si>
    <t>6-2w T</t>
  </si>
  <si>
    <t>6-2w S</t>
  </si>
  <si>
    <t>6-2w P</t>
  </si>
  <si>
    <t>6-1w</t>
  </si>
  <si>
    <t>6-1w L</t>
  </si>
  <si>
    <t>6-1w T</t>
  </si>
  <si>
    <t>6-1w S</t>
  </si>
  <si>
    <t>6-1w P</t>
  </si>
  <si>
    <t>6-1m</t>
  </si>
  <si>
    <t>6-1m L</t>
  </si>
  <si>
    <t>6-1m T</t>
  </si>
  <si>
    <t>6-1m S</t>
  </si>
  <si>
    <t>6-1m P</t>
  </si>
  <si>
    <t>6-1ww</t>
  </si>
  <si>
    <t>6-1ww L</t>
  </si>
  <si>
    <t>6-1ww T</t>
  </si>
  <si>
    <t>6-1ww S</t>
  </si>
  <si>
    <t>6-1ww P</t>
  </si>
  <si>
    <t>6-2ww</t>
  </si>
  <si>
    <t>6-2ww L</t>
  </si>
  <si>
    <t>6-2ww T</t>
  </si>
  <si>
    <t>6-2ww S</t>
  </si>
  <si>
    <t>6-2ww P</t>
  </si>
  <si>
    <t>7-10w</t>
  </si>
  <si>
    <t>7-10w L</t>
  </si>
  <si>
    <t>7-10w T</t>
  </si>
  <si>
    <t>7-10w S</t>
  </si>
  <si>
    <t>7-10w P</t>
  </si>
  <si>
    <t>7-5w</t>
  </si>
  <si>
    <t>7-5w L</t>
  </si>
  <si>
    <t>7-5w T</t>
  </si>
  <si>
    <t>7-5w S</t>
  </si>
  <si>
    <t>7-5w P</t>
  </si>
  <si>
    <t>7-4w</t>
  </si>
  <si>
    <t>7-4w L</t>
  </si>
  <si>
    <t>7-4w T</t>
  </si>
  <si>
    <t>7-4w S</t>
  </si>
  <si>
    <t>7-4w P</t>
  </si>
  <si>
    <t>7-3w</t>
  </si>
  <si>
    <t>7-3w L</t>
  </si>
  <si>
    <t>7-3w T</t>
  </si>
  <si>
    <t>7-3w S</t>
  </si>
  <si>
    <t>7-3w P</t>
  </si>
  <si>
    <t>7-2w</t>
  </si>
  <si>
    <t>7-2w L</t>
  </si>
  <si>
    <t>7-2w T</t>
  </si>
  <si>
    <t>7-2w S</t>
  </si>
  <si>
    <t>7-2w P</t>
  </si>
  <si>
    <t>7-1w</t>
  </si>
  <si>
    <t>7-1w L</t>
  </si>
  <si>
    <t>7-1w T</t>
  </si>
  <si>
    <t>7-1w S</t>
  </si>
  <si>
    <t>7-1w P</t>
  </si>
  <si>
    <t>7-1m</t>
  </si>
  <si>
    <t>7-1m L</t>
  </si>
  <si>
    <t>7-1m T</t>
  </si>
  <si>
    <t>7-1m S</t>
  </si>
  <si>
    <t>7-1m P</t>
  </si>
  <si>
    <t>7-1ww</t>
  </si>
  <si>
    <t>7-1ww L</t>
  </si>
  <si>
    <t>7-1ww T</t>
  </si>
  <si>
    <t>7-1ww S</t>
  </si>
  <si>
    <t>7-1ww P</t>
  </si>
  <si>
    <t>7-2ww</t>
  </si>
  <si>
    <t>7-2ww L</t>
  </si>
  <si>
    <t>7-2ww T</t>
  </si>
  <si>
    <t>7-2ww S</t>
  </si>
  <si>
    <t>7-2ww P</t>
  </si>
  <si>
    <t>8-10w</t>
  </si>
  <si>
    <t>8-10w L</t>
  </si>
  <si>
    <t>8-10w T</t>
  </si>
  <si>
    <t>8-10w S</t>
  </si>
  <si>
    <t>8-10w P</t>
  </si>
  <si>
    <t>8-5w</t>
  </si>
  <si>
    <t>8-5w L</t>
  </si>
  <si>
    <t>8-5w T</t>
  </si>
  <si>
    <t>8-5w S</t>
  </si>
  <si>
    <t>8-5w P</t>
  </si>
  <si>
    <t>8-4w</t>
  </si>
  <si>
    <t>8-4w L</t>
  </si>
  <si>
    <t>8-4w T</t>
  </si>
  <si>
    <t>8-4w S</t>
  </si>
  <si>
    <t>8-4w P</t>
  </si>
  <si>
    <t>8-3w</t>
  </si>
  <si>
    <t>8-3w L</t>
  </si>
  <si>
    <t>8-3w T</t>
  </si>
  <si>
    <t>8-3w S</t>
  </si>
  <si>
    <t>8-3w P</t>
  </si>
  <si>
    <t>8-2w</t>
  </si>
  <si>
    <t>8-2w L</t>
  </si>
  <si>
    <t>8-2w T</t>
  </si>
  <si>
    <t>8-2w S</t>
  </si>
  <si>
    <t>8-2w P</t>
  </si>
  <si>
    <t>8-1w</t>
  </si>
  <si>
    <t>8-1w L</t>
  </si>
  <si>
    <t>8-1w T</t>
  </si>
  <si>
    <t>8-1w S</t>
  </si>
  <si>
    <t>8-1w P</t>
  </si>
  <si>
    <t>8-1m</t>
  </si>
  <si>
    <t>8-1m L</t>
  </si>
  <si>
    <t>8-1m T</t>
  </si>
  <si>
    <t>8-1m S</t>
  </si>
  <si>
    <t>8-1m P</t>
  </si>
  <si>
    <t>8-1ww</t>
  </si>
  <si>
    <t>8-1ww L</t>
  </si>
  <si>
    <t>8-1ww T</t>
  </si>
  <si>
    <t>8-1ww S</t>
  </si>
  <si>
    <t>8-1ww P</t>
  </si>
  <si>
    <t>8-2ww</t>
  </si>
  <si>
    <t>8-2ww L</t>
  </si>
  <si>
    <t>8-2ww T</t>
  </si>
  <si>
    <t>8-2ww S</t>
  </si>
  <si>
    <t>8-2ww P</t>
  </si>
  <si>
    <t>9-10w</t>
  </si>
  <si>
    <t>9-10w L</t>
  </si>
  <si>
    <t>9-10w T</t>
  </si>
  <si>
    <t>9-10w S</t>
  </si>
  <si>
    <t>9-10w P</t>
  </si>
  <si>
    <t>9-5w</t>
  </si>
  <si>
    <t>9-5w L</t>
  </si>
  <si>
    <t>9-5w T</t>
  </si>
  <si>
    <t>9-5w S</t>
  </si>
  <si>
    <t>9-5w P</t>
  </si>
  <si>
    <t>9-4w</t>
  </si>
  <si>
    <t>9-4w L</t>
  </si>
  <si>
    <t>9-4w T</t>
  </si>
  <si>
    <t>9-4w S</t>
  </si>
  <si>
    <t>9-4w P</t>
  </si>
  <si>
    <t>9-3w</t>
  </si>
  <si>
    <t>9-3w L</t>
  </si>
  <si>
    <t>9-3w T</t>
  </si>
  <si>
    <t>9-3w S</t>
  </si>
  <si>
    <t>9-3w P</t>
  </si>
  <si>
    <t>9-2w</t>
  </si>
  <si>
    <t>9-2w L</t>
  </si>
  <si>
    <t>9-2w T</t>
  </si>
  <si>
    <t>9-2w S</t>
  </si>
  <si>
    <t>9-2w P</t>
  </si>
  <si>
    <t>9-1w</t>
  </si>
  <si>
    <t>9-1w L</t>
  </si>
  <si>
    <t>9-1w T</t>
  </si>
  <si>
    <t>9-1w S</t>
  </si>
  <si>
    <t>9-1w P</t>
  </si>
  <si>
    <t>9-1m</t>
  </si>
  <si>
    <t>9-1m L</t>
  </si>
  <si>
    <t>9-1m T</t>
  </si>
  <si>
    <t>9-1m S</t>
  </si>
  <si>
    <t>9-1m P</t>
  </si>
  <si>
    <t>9-1ww</t>
  </si>
  <si>
    <t>9-1ww L</t>
  </si>
  <si>
    <t>9-1ww T</t>
  </si>
  <si>
    <t>9-1ww S</t>
  </si>
  <si>
    <t>9-1ww P</t>
  </si>
  <si>
    <t>9-2ww</t>
  </si>
  <si>
    <t>9-2ww L</t>
  </si>
  <si>
    <t>9-2ww T</t>
  </si>
  <si>
    <t>9-2ww S</t>
  </si>
  <si>
    <t>9-2ww P</t>
  </si>
  <si>
    <t>10-10w</t>
  </si>
  <si>
    <t>10-10w L</t>
  </si>
  <si>
    <t>10-10w T</t>
  </si>
  <si>
    <t>10-10w S</t>
  </si>
  <si>
    <t>10-10w P</t>
  </si>
  <si>
    <t>10-5w</t>
  </si>
  <si>
    <t>10-5w L</t>
  </si>
  <si>
    <t>10-5w T</t>
  </si>
  <si>
    <t>10-5w S</t>
  </si>
  <si>
    <t>10-5w P</t>
  </si>
  <si>
    <t>10-4w</t>
  </si>
  <si>
    <t>10-4w L</t>
  </si>
  <si>
    <t>10-4w T</t>
  </si>
  <si>
    <t>10-4w S</t>
  </si>
  <si>
    <t>10-4w P</t>
  </si>
  <si>
    <t>10-3w</t>
  </si>
  <si>
    <t>10-3w L</t>
  </si>
  <si>
    <t>10-3w T</t>
  </si>
  <si>
    <t>10-3w S</t>
  </si>
  <si>
    <t>10-3w P</t>
  </si>
  <si>
    <t>10-2w</t>
  </si>
  <si>
    <t>10-2w L</t>
  </si>
  <si>
    <t>10-2w T</t>
  </si>
  <si>
    <t>10-2w S</t>
  </si>
  <si>
    <t>10-2w P</t>
  </si>
  <si>
    <t>10-1w</t>
  </si>
  <si>
    <t>10-1w L</t>
  </si>
  <si>
    <t>10-1w T</t>
  </si>
  <si>
    <t>10-1w S</t>
  </si>
  <si>
    <t>10-1w P</t>
  </si>
  <si>
    <t>10-1m</t>
  </si>
  <si>
    <t>10-1m L</t>
  </si>
  <si>
    <t>10-1m T</t>
  </si>
  <si>
    <t>10-1m S</t>
  </si>
  <si>
    <t>10-1m P</t>
  </si>
  <si>
    <t>10-1ww</t>
  </si>
  <si>
    <t>10-1ww L</t>
  </si>
  <si>
    <t>10-1ww T</t>
  </si>
  <si>
    <t>10-1ww S</t>
  </si>
  <si>
    <t>10-1ww P</t>
  </si>
  <si>
    <t>10-2ww</t>
  </si>
  <si>
    <t>10-2ww L</t>
  </si>
  <si>
    <t>10-2ww T</t>
  </si>
  <si>
    <t>10-2ww S</t>
  </si>
  <si>
    <t>10-2ww P</t>
  </si>
  <si>
    <t>11-10w</t>
  </si>
  <si>
    <t>11-10w L</t>
  </si>
  <si>
    <t>11-10w T</t>
  </si>
  <si>
    <t>11-10w S</t>
  </si>
  <si>
    <t>11-10w P</t>
  </si>
  <si>
    <t>11-5w</t>
  </si>
  <si>
    <t>11-5w L</t>
  </si>
  <si>
    <t>11-5w T</t>
  </si>
  <si>
    <t>11-5w S</t>
  </si>
  <si>
    <t>11-5w P</t>
  </si>
  <si>
    <t>11-4w</t>
  </si>
  <si>
    <t>11-4w L</t>
  </si>
  <si>
    <t>11-4w T</t>
  </si>
  <si>
    <t>11-4w S</t>
  </si>
  <si>
    <t>11-4w P</t>
  </si>
  <si>
    <t>11-3w</t>
  </si>
  <si>
    <t>11-3w L</t>
  </si>
  <si>
    <t>11-3w T</t>
  </si>
  <si>
    <t>11-3w S</t>
  </si>
  <si>
    <t>11-3w P</t>
  </si>
  <si>
    <t>11-2w</t>
  </si>
  <si>
    <t>11-2w L</t>
  </si>
  <si>
    <t>11-2w T</t>
  </si>
  <si>
    <t>11-2w S</t>
  </si>
  <si>
    <t>11-2w P</t>
  </si>
  <si>
    <t>11-1w</t>
  </si>
  <si>
    <t>11-1w L</t>
  </si>
  <si>
    <t>11-1w T</t>
  </si>
  <si>
    <t>11-1w S</t>
  </si>
  <si>
    <t>11-1w P</t>
  </si>
  <si>
    <t>11-1m</t>
  </si>
  <si>
    <t>11-1m L</t>
  </si>
  <si>
    <t>11-1m T</t>
  </si>
  <si>
    <t>11-1m S</t>
  </si>
  <si>
    <t>11-1m P</t>
  </si>
  <si>
    <t>11-1ww</t>
  </si>
  <si>
    <t>11-1ww L</t>
  </si>
  <si>
    <t>11-1ww T</t>
  </si>
  <si>
    <t>11-1ww S</t>
  </si>
  <si>
    <t>11-1ww P</t>
  </si>
  <si>
    <t>11-2ww</t>
  </si>
  <si>
    <t>11-2ww L</t>
  </si>
  <si>
    <t>11-2ww T</t>
  </si>
  <si>
    <t>11-2ww S</t>
  </si>
  <si>
    <t>11-2ww P</t>
  </si>
  <si>
    <t>12-10w</t>
  </si>
  <si>
    <t>12-10w L</t>
  </si>
  <si>
    <t>12-10w T</t>
  </si>
  <si>
    <t>12-10w S</t>
  </si>
  <si>
    <t>12-10w P</t>
  </si>
  <si>
    <t>12-5w</t>
  </si>
  <si>
    <t>12-5w L</t>
  </si>
  <si>
    <t>12-5w T</t>
  </si>
  <si>
    <t>12-5w S</t>
  </si>
  <si>
    <t>12-5w P</t>
  </si>
  <si>
    <t>12-4w</t>
  </si>
  <si>
    <t>12-4w L</t>
  </si>
  <si>
    <t>12-4w T</t>
  </si>
  <si>
    <t>12-4w S</t>
  </si>
  <si>
    <t>12-4w P</t>
  </si>
  <si>
    <t>12-3w</t>
  </si>
  <si>
    <t>12-3w L</t>
  </si>
  <si>
    <t>12-3w T</t>
  </si>
  <si>
    <t>12-3w S</t>
  </si>
  <si>
    <t>12-3w P</t>
  </si>
  <si>
    <t>12-2w</t>
  </si>
  <si>
    <t>12-2w L</t>
  </si>
  <si>
    <t>12-2w T</t>
  </si>
  <si>
    <t>12-2w S</t>
  </si>
  <si>
    <t>12-2w P</t>
  </si>
  <si>
    <t>12-1w</t>
  </si>
  <si>
    <t>12-1w L</t>
  </si>
  <si>
    <t>12-1w T</t>
  </si>
  <si>
    <t>12-1w S</t>
  </si>
  <si>
    <t>12-1w P</t>
  </si>
  <si>
    <t>12-1m</t>
  </si>
  <si>
    <t>12-1m L</t>
  </si>
  <si>
    <t>12-1m T</t>
  </si>
  <si>
    <t>12-1m S</t>
  </si>
  <si>
    <t>12-1m P</t>
  </si>
  <si>
    <t>12-1ww</t>
  </si>
  <si>
    <t>12-1ww L</t>
  </si>
  <si>
    <t>12-1ww T</t>
  </si>
  <si>
    <t>12-1ww S</t>
  </si>
  <si>
    <t>12-1ww P</t>
  </si>
  <si>
    <t>12-2ww</t>
  </si>
  <si>
    <t>12-2ww L</t>
  </si>
  <si>
    <t>12-2ww T</t>
  </si>
  <si>
    <t>12-2ww S</t>
  </si>
  <si>
    <t>12-2ww P</t>
  </si>
  <si>
    <t>13-10w</t>
  </si>
  <si>
    <t>13-10w L</t>
  </si>
  <si>
    <t>13-10w T</t>
  </si>
  <si>
    <t>13-10w S</t>
  </si>
  <si>
    <t>13-10w P</t>
  </si>
  <si>
    <t>13-5w</t>
  </si>
  <si>
    <t>13-5w L</t>
  </si>
  <si>
    <t>13-5w T</t>
  </si>
  <si>
    <t>13-5w S</t>
  </si>
  <si>
    <t>13-5w P</t>
  </si>
  <si>
    <t>13-4w</t>
  </si>
  <si>
    <t>13-4w L</t>
  </si>
  <si>
    <t>13-4w T</t>
  </si>
  <si>
    <t>13-4w S</t>
  </si>
  <si>
    <t>13-4w P</t>
  </si>
  <si>
    <t>13-3w</t>
  </si>
  <si>
    <t>13-3w L</t>
  </si>
  <si>
    <t>13-3w T</t>
  </si>
  <si>
    <t>13-3w S</t>
  </si>
  <si>
    <t>13-3w P</t>
  </si>
  <si>
    <t>13-2w</t>
  </si>
  <si>
    <t>13-2w L</t>
  </si>
  <si>
    <t>13-2w T</t>
  </si>
  <si>
    <t>13-2w S</t>
  </si>
  <si>
    <t>13-2w P</t>
  </si>
  <si>
    <t>13-1w</t>
  </si>
  <si>
    <t>13-1w L</t>
  </si>
  <si>
    <t>13-1w T</t>
  </si>
  <si>
    <t>13-1w S</t>
  </si>
  <si>
    <t>13-1w P</t>
  </si>
  <si>
    <t>13-1m</t>
  </si>
  <si>
    <t>13-1m L</t>
  </si>
  <si>
    <t>13-1m T</t>
  </si>
  <si>
    <t>13-1m S</t>
  </si>
  <si>
    <t>13-1m P</t>
  </si>
  <si>
    <t>13-1ww</t>
  </si>
  <si>
    <t>13-1ww L</t>
  </si>
  <si>
    <t>13-1ww T</t>
  </si>
  <si>
    <t>13-1ww S</t>
  </si>
  <si>
    <t>13-1ww P</t>
  </si>
  <si>
    <t>13-2ww</t>
  </si>
  <si>
    <t>13-2ww L</t>
  </si>
  <si>
    <t>13-2ww T</t>
  </si>
  <si>
    <t>13-2ww S</t>
  </si>
  <si>
    <t>13-2ww P</t>
  </si>
  <si>
    <t>14-10w</t>
  </si>
  <si>
    <t>14-10w L</t>
  </si>
  <si>
    <t>14-10w T</t>
  </si>
  <si>
    <t>14-10w S</t>
  </si>
  <si>
    <t>14-10w P</t>
  </si>
  <si>
    <t>14-5w</t>
  </si>
  <si>
    <t>14-5w L</t>
  </si>
  <si>
    <t>14-5w T</t>
  </si>
  <si>
    <t>14-5w S</t>
  </si>
  <si>
    <t>14-5w P</t>
  </si>
  <si>
    <t>14-4w</t>
  </si>
  <si>
    <t>14-4w L</t>
  </si>
  <si>
    <t>14-4w T</t>
  </si>
  <si>
    <t>14-4w S</t>
  </si>
  <si>
    <t>14-4w P</t>
  </si>
  <si>
    <t>14-3w</t>
  </si>
  <si>
    <t>14-3w L</t>
  </si>
  <si>
    <t>14-3w T</t>
  </si>
  <si>
    <t>14-3w S</t>
  </si>
  <si>
    <t>14-3w P</t>
  </si>
  <si>
    <t>14-2w</t>
  </si>
  <si>
    <t>14-2w L</t>
  </si>
  <si>
    <t>14-2w T</t>
  </si>
  <si>
    <t>14-2w S</t>
  </si>
  <si>
    <t>14-2w P</t>
  </si>
  <si>
    <t>14-1w</t>
  </si>
  <si>
    <t>14-1w L</t>
  </si>
  <si>
    <t>14-1w T</t>
  </si>
  <si>
    <t>14-1w S</t>
  </si>
  <si>
    <t>14-1w P</t>
  </si>
  <si>
    <t>14-1m</t>
  </si>
  <si>
    <t>14-1m L</t>
  </si>
  <si>
    <t>14-1m T</t>
  </si>
  <si>
    <t>14-1m S</t>
  </si>
  <si>
    <t>14-1m P</t>
  </si>
  <si>
    <t>14-1ww</t>
  </si>
  <si>
    <t>14-1ww L</t>
  </si>
  <si>
    <t>14-1ww T</t>
  </si>
  <si>
    <t>14-1ww S</t>
  </si>
  <si>
    <t>14-1ww P</t>
  </si>
  <si>
    <t>14-2ww</t>
  </si>
  <si>
    <t>14-2ww L</t>
  </si>
  <si>
    <t>14-2ww T</t>
  </si>
  <si>
    <t>14-2ww S</t>
  </si>
  <si>
    <t>14-2ww P</t>
  </si>
  <si>
    <t>15-10w</t>
  </si>
  <si>
    <t>15-10w L</t>
  </si>
  <si>
    <t>15-10w T</t>
  </si>
  <si>
    <t>15-10w S</t>
  </si>
  <si>
    <t>15-10w P</t>
  </si>
  <si>
    <t>15-5w</t>
  </si>
  <si>
    <t>15-5w L</t>
  </si>
  <si>
    <t>15-5w T</t>
  </si>
  <si>
    <t>15-5w S</t>
  </si>
  <si>
    <t>15-5w P</t>
  </si>
  <si>
    <t>15-4w</t>
  </si>
  <si>
    <t>15-4w L</t>
  </si>
  <si>
    <t>15-4w T</t>
  </si>
  <si>
    <t>15-4w S</t>
  </si>
  <si>
    <t>15-4w P</t>
  </si>
  <si>
    <t>15-3w</t>
  </si>
  <si>
    <t>15-3w L</t>
  </si>
  <si>
    <t>15-3w T</t>
  </si>
  <si>
    <t>15-3w S</t>
  </si>
  <si>
    <t>15-3w P</t>
  </si>
  <si>
    <t>15-2w</t>
  </si>
  <si>
    <t>15-2w L</t>
  </si>
  <si>
    <t>15-2w T</t>
  </si>
  <si>
    <t>15-2w S</t>
  </si>
  <si>
    <t>15-2w P</t>
  </si>
  <si>
    <t>15-1w</t>
  </si>
  <si>
    <t>15-1w L</t>
  </si>
  <si>
    <t>15-1w T</t>
  </si>
  <si>
    <t>15-1w S</t>
  </si>
  <si>
    <t>15-1w P</t>
  </si>
  <si>
    <t>15-1m</t>
  </si>
  <si>
    <t>15-1m L</t>
  </si>
  <si>
    <t>15-1m T</t>
  </si>
  <si>
    <t>15-1m S</t>
  </si>
  <si>
    <t>15-1m P</t>
  </si>
  <si>
    <t>15-1ww</t>
  </si>
  <si>
    <t>15-1ww L</t>
  </si>
  <si>
    <t>15-1ww T</t>
  </si>
  <si>
    <t>15-1ww S</t>
  </si>
  <si>
    <t>15-1ww P</t>
  </si>
  <si>
    <t>15-2ww</t>
  </si>
  <si>
    <t>15-2ww L</t>
  </si>
  <si>
    <t>15-2ww T</t>
  </si>
  <si>
    <t>15-2ww S</t>
  </si>
  <si>
    <t>15-2ww P</t>
  </si>
  <si>
    <t>16-10w</t>
  </si>
  <si>
    <t>16-10w L</t>
  </si>
  <si>
    <t>16-10w T</t>
  </si>
  <si>
    <t>16-10w S</t>
  </si>
  <si>
    <t>16-10w P</t>
  </si>
  <si>
    <t>16-5w</t>
  </si>
  <si>
    <t>16-5w L</t>
  </si>
  <si>
    <t>16-5w T</t>
  </si>
  <si>
    <t>16-5w S</t>
  </si>
  <si>
    <t>16-5w P</t>
  </si>
  <si>
    <t>16-4w</t>
  </si>
  <si>
    <t>16-4w L</t>
  </si>
  <si>
    <t>16-4w T</t>
  </si>
  <si>
    <t>16-4w S</t>
  </si>
  <si>
    <t>16-4w P</t>
  </si>
  <si>
    <t>16-3w</t>
  </si>
  <si>
    <t>16-3w L</t>
  </si>
  <si>
    <t>16-3w T</t>
  </si>
  <si>
    <t>16-3w S</t>
  </si>
  <si>
    <t>16-3w P</t>
  </si>
  <si>
    <t>16-2w</t>
  </si>
  <si>
    <t>16-2w L</t>
  </si>
  <si>
    <t>16-2w T</t>
  </si>
  <si>
    <t>16-2w S</t>
  </si>
  <si>
    <t>16-2w P</t>
  </si>
  <si>
    <t>16-1w</t>
  </si>
  <si>
    <t>16-1w L</t>
  </si>
  <si>
    <t>16-1w T</t>
  </si>
  <si>
    <t>16-1w S</t>
  </si>
  <si>
    <t>16-1w P</t>
  </si>
  <si>
    <t>16-1m</t>
  </si>
  <si>
    <t>16-1m L</t>
  </si>
  <si>
    <t>16-1m T</t>
  </si>
  <si>
    <t>16-1m S</t>
  </si>
  <si>
    <t>16-1m P</t>
  </si>
  <si>
    <t>16-1ww</t>
  </si>
  <si>
    <t>16-1ww L</t>
  </si>
  <si>
    <t>16-1ww T</t>
  </si>
  <si>
    <t>16-1ww S</t>
  </si>
  <si>
    <t>16-1ww P</t>
  </si>
  <si>
    <t>16-2ww</t>
  </si>
  <si>
    <t>16-2ww L</t>
  </si>
  <si>
    <t>16-2ww T</t>
  </si>
  <si>
    <t>16-2ww S</t>
  </si>
  <si>
    <t>16-2ww P</t>
  </si>
  <si>
    <t>17-10w</t>
  </si>
  <si>
    <t>17-10w L</t>
  </si>
  <si>
    <t>17-10w T</t>
  </si>
  <si>
    <t>17-10w S</t>
  </si>
  <si>
    <t>17-10w P</t>
  </si>
  <si>
    <t>17-5w</t>
  </si>
  <si>
    <t>17-5w L</t>
  </si>
  <si>
    <t>17-5w T</t>
  </si>
  <si>
    <t>17-5w S</t>
  </si>
  <si>
    <t>17-5w P</t>
  </si>
  <si>
    <t>17-4w</t>
  </si>
  <si>
    <t>17-4w L</t>
  </si>
  <si>
    <t>17-4w T</t>
  </si>
  <si>
    <t>17-4w S</t>
  </si>
  <si>
    <t>17-4w P</t>
  </si>
  <si>
    <t>17-3w</t>
  </si>
  <si>
    <t>17-3w L</t>
  </si>
  <si>
    <t>17-3w T</t>
  </si>
  <si>
    <t>17-3w S</t>
  </si>
  <si>
    <t>17-3w P</t>
  </si>
  <si>
    <t>17-2w</t>
  </si>
  <si>
    <t>17-2w L</t>
  </si>
  <si>
    <t>17-2w T</t>
  </si>
  <si>
    <t>17-2w S</t>
  </si>
  <si>
    <t>17-2w P</t>
  </si>
  <si>
    <t>17-1w</t>
  </si>
  <si>
    <t>17-1w L</t>
  </si>
  <si>
    <t>17-1w T</t>
  </si>
  <si>
    <t>17-1w S</t>
  </si>
  <si>
    <t>17-1w P</t>
  </si>
  <si>
    <t>17-1m</t>
  </si>
  <si>
    <t>17-1m L</t>
  </si>
  <si>
    <t>17-1m T</t>
  </si>
  <si>
    <t>17-1m S</t>
  </si>
  <si>
    <t>17-1m P</t>
  </si>
  <si>
    <t>17-1ww</t>
  </si>
  <si>
    <t>17-1ww L</t>
  </si>
  <si>
    <t>17-1ww T</t>
  </si>
  <si>
    <t>17-1ww S</t>
  </si>
  <si>
    <t>17-1ww P</t>
  </si>
  <si>
    <t>17-2ww</t>
  </si>
  <si>
    <t>17-2ww L</t>
  </si>
  <si>
    <t>17-2ww T</t>
  </si>
  <si>
    <t>17-2ww S</t>
  </si>
  <si>
    <t>17-2ww P</t>
  </si>
  <si>
    <t>18-10w</t>
  </si>
  <si>
    <t>18-10w L</t>
  </si>
  <si>
    <t>18-10w T</t>
  </si>
  <si>
    <t>18-10w S</t>
  </si>
  <si>
    <t>18-10w P</t>
  </si>
  <si>
    <t>18-5w</t>
  </si>
  <si>
    <t>18-5w L</t>
  </si>
  <si>
    <t>18-5w T</t>
  </si>
  <si>
    <t>18-5w S</t>
  </si>
  <si>
    <t>18-5w P</t>
  </si>
  <si>
    <t>18-4w</t>
  </si>
  <si>
    <t>18-4w L</t>
  </si>
  <si>
    <t>18-4w T</t>
  </si>
  <si>
    <t>18-4w S</t>
  </si>
  <si>
    <t>18-4w P</t>
  </si>
  <si>
    <t>18-3w</t>
  </si>
  <si>
    <t>18-3w L</t>
  </si>
  <si>
    <t>18-3w T</t>
  </si>
  <si>
    <t>18-3w S</t>
  </si>
  <si>
    <t>18-3w P</t>
  </si>
  <si>
    <t>18-2w</t>
  </si>
  <si>
    <t>18-2w L</t>
  </si>
  <si>
    <t>18-2w T</t>
  </si>
  <si>
    <t>18-2w S</t>
  </si>
  <si>
    <t>18-2w P</t>
  </si>
  <si>
    <t>18-1w</t>
  </si>
  <si>
    <t>18-1w L</t>
  </si>
  <si>
    <t>18-1w T</t>
  </si>
  <si>
    <t>18-1w S</t>
  </si>
  <si>
    <t>18-1w P</t>
  </si>
  <si>
    <t>18-1m</t>
  </si>
  <si>
    <t>18-1m L</t>
  </si>
  <si>
    <t>18-1m T</t>
  </si>
  <si>
    <t>18-1m S</t>
  </si>
  <si>
    <t>18-1m P</t>
  </si>
  <si>
    <t>18-1ww</t>
  </si>
  <si>
    <t>18-1ww L</t>
  </si>
  <si>
    <t>18-1ww T</t>
  </si>
  <si>
    <t>18-1ww S</t>
  </si>
  <si>
    <t>18-1ww P</t>
  </si>
  <si>
    <t>18-2ww</t>
  </si>
  <si>
    <t>18-2ww L</t>
  </si>
  <si>
    <t>18-2ww T</t>
  </si>
  <si>
    <t>18-2ww S</t>
  </si>
  <si>
    <t>18-2ww P</t>
  </si>
  <si>
    <t>19-10w</t>
  </si>
  <si>
    <t>19-10w L</t>
  </si>
  <si>
    <t>19-10w T</t>
  </si>
  <si>
    <t>19-10w S</t>
  </si>
  <si>
    <t>19-10w P</t>
  </si>
  <si>
    <t>19-5w</t>
  </si>
  <si>
    <t>19-5w L</t>
  </si>
  <si>
    <t>19-5w T</t>
  </si>
  <si>
    <t>19-5w S</t>
  </si>
  <si>
    <t>19-5w P</t>
  </si>
  <si>
    <t>19-4w</t>
  </si>
  <si>
    <t>19-4w L</t>
  </si>
  <si>
    <t>19-4w T</t>
  </si>
  <si>
    <t>19-4w S</t>
  </si>
  <si>
    <t>19-4w P</t>
  </si>
  <si>
    <t>19-3w</t>
  </si>
  <si>
    <t>19-3w L</t>
  </si>
  <si>
    <t>19-3w T</t>
  </si>
  <si>
    <t>19-3w S</t>
  </si>
  <si>
    <t>19-3w P</t>
  </si>
  <si>
    <t>19-2w</t>
  </si>
  <si>
    <t>19-2w L</t>
  </si>
  <si>
    <t>19-2w T</t>
  </si>
  <si>
    <t>19-2w S</t>
  </si>
  <si>
    <t>19-2w P</t>
  </si>
  <si>
    <t>19-1w</t>
  </si>
  <si>
    <t>19-1w L</t>
  </si>
  <si>
    <t>19-1w T</t>
  </si>
  <si>
    <t>19-1w S</t>
  </si>
  <si>
    <t>19-1w P</t>
  </si>
  <si>
    <t>19-1m</t>
  </si>
  <si>
    <t>19-1m L</t>
  </si>
  <si>
    <t>19-1m T</t>
  </si>
  <si>
    <t>19-1m S</t>
  </si>
  <si>
    <t>19-1m P</t>
  </si>
  <si>
    <t>19-1ww</t>
  </si>
  <si>
    <t>19-1ww L</t>
  </si>
  <si>
    <t>19-1ww T</t>
  </si>
  <si>
    <t>19-1ww S</t>
  </si>
  <si>
    <t>19-1ww P</t>
  </si>
  <si>
    <t>19-2ww</t>
  </si>
  <si>
    <t>19-2ww L</t>
  </si>
  <si>
    <t>19-2ww T</t>
  </si>
  <si>
    <t>19-2ww S</t>
  </si>
  <si>
    <t>19-2ww P</t>
  </si>
  <si>
    <t>20-10w</t>
  </si>
  <si>
    <t>20-10w L</t>
  </si>
  <si>
    <t>20-10w T</t>
  </si>
  <si>
    <t>20-10w S</t>
  </si>
  <si>
    <t>20-10w P</t>
  </si>
  <si>
    <t>20-5w</t>
  </si>
  <si>
    <t>20-5w L</t>
  </si>
  <si>
    <t>20-5w T</t>
  </si>
  <si>
    <t>20-5w S</t>
  </si>
  <si>
    <t>20-5w P</t>
  </si>
  <si>
    <t>20-4w</t>
  </si>
  <si>
    <t>20-4w L</t>
  </si>
  <si>
    <t>20-4w T</t>
  </si>
  <si>
    <t>20-4w S</t>
  </si>
  <si>
    <t>20-4w P</t>
  </si>
  <si>
    <t>20-3w</t>
  </si>
  <si>
    <t>20-3w L</t>
  </si>
  <si>
    <t>20-3w T</t>
  </si>
  <si>
    <t>20-3w S</t>
  </si>
  <si>
    <t>20-3w P</t>
  </si>
  <si>
    <t>20-2w</t>
  </si>
  <si>
    <t>20-2w L</t>
  </si>
  <si>
    <t>20-2w T</t>
  </si>
  <si>
    <t>20-2w S</t>
  </si>
  <si>
    <t>20-2w P</t>
  </si>
  <si>
    <t>20-1w</t>
  </si>
  <si>
    <t>20-1w L</t>
  </si>
  <si>
    <t>20-1w T</t>
  </si>
  <si>
    <t>20-1w S</t>
  </si>
  <si>
    <t>20-1w P</t>
  </si>
  <si>
    <t>20-1m</t>
  </si>
  <si>
    <t>20-1m L</t>
  </si>
  <si>
    <t>20-1m T</t>
  </si>
  <si>
    <t>20-1m S</t>
  </si>
  <si>
    <t>20-1m P</t>
  </si>
  <si>
    <t>20-1ww</t>
  </si>
  <si>
    <t>20-1ww L</t>
  </si>
  <si>
    <t>20-1ww T</t>
  </si>
  <si>
    <t>20-1ww S</t>
  </si>
  <si>
    <t>20-1ww P</t>
  </si>
  <si>
    <t>20-2ww</t>
  </si>
  <si>
    <t>20-2ww L</t>
  </si>
  <si>
    <t>20-2ww T</t>
  </si>
  <si>
    <t>20-2ww S</t>
  </si>
  <si>
    <t>20-2ww P</t>
  </si>
  <si>
    <t>Vloeren</t>
  </si>
  <si>
    <t>Vlekken, licht aangehecht en losliggend vuil verwijderen (zo ook vlekken uit het tapijt bij aanvullende opmerkingen);</t>
  </si>
  <si>
    <t>** recoaten:</t>
  </si>
  <si>
    <t>Vloerhandeling naloop</t>
  </si>
  <si>
    <t>Inventaris en interieur</t>
  </si>
  <si>
    <t>Telefoontoestellen: klamvochtig reinigen.</t>
  </si>
  <si>
    <t xml:space="preserve">Papier- en afvalbakken (uitwendig) nat reinigen; </t>
  </si>
  <si>
    <t xml:space="preserve">Restafvalbakken (afvalboxen) nat reinigen; </t>
  </si>
  <si>
    <t>Alle horizontale vlakken van meubilair (incl. bureauonderleggers, bovenzijde lage en hoge kasten e.d.), handgrepen en vensterbanken: vochtig reinigen.</t>
  </si>
  <si>
    <t>Interieurhandeling naloop</t>
  </si>
  <si>
    <t xml:space="preserve">Toiletpotten, urinoirs, schaamschotten, wasbakken e.d. + tegelwanden (tot reikhoogte, 2 meter): nat reinigen; </t>
  </si>
  <si>
    <t xml:space="preserve">Planchetten, doorspoelmechanismen, handgrepen e.d.: nat reinigen; </t>
  </si>
  <si>
    <t>Afvalbakken: legen en uitwendig nat/vochtig reinigen, plastic binnenzakken vervangen indien nodig.</t>
  </si>
  <si>
    <t xml:space="preserve">Gehele inventaris, deuren, tegelwanden en leidingen e.d.: nat reinigen; </t>
  </si>
  <si>
    <t xml:space="preserve">Vloeren: enkelvoudig moppen; </t>
  </si>
  <si>
    <t>Indien een bureau een verplaatsbaar ladeblok heeft, dan dient dit ladeblok wekelijks geheel stofvrij te worden gemaakt. De ondervloer dient wekelijks te worden gestofzuigd/ gestofwist.</t>
  </si>
  <si>
    <t xml:space="preserve">Televisieschermen en/of beeldschermen dienen wekelijks geheel stof- en vlekvrij te worden gemaakt. </t>
  </si>
  <si>
    <t xml:space="preserve">Opdrachtnemer is verantwoordelijk voor het in- en uitruimen van de inventaris van de ruimten. Alle ruimten dienen na het inruimen op dezelfde wijze te zijn ingericht als vóór het uitruimen het geval was. Van niet juist ingerichte ruimten dient het meubilair alsnog op een correcte wijze terug geplaatst te worden. Kosten voor het in- en uitruimen zijn voor rekening van Opdrachtnemer. </t>
  </si>
  <si>
    <t>Separatieglas (incl. glazen deuren) dient dagelijks tot reikhoogte (2 meter) te worden ontdaan van vlekken en vingertasten.</t>
  </si>
  <si>
    <t>Het gevelglas binnenzijde dient dagelijks te worden ontdaan van vingertasten.</t>
  </si>
  <si>
    <t xml:space="preserve">Staande en hangende lampen tot reikhoogte dienen wekelijks stofvrij te worden gemaakt. </t>
  </si>
  <si>
    <t>Wekelijks behandelen RVS-delen bij en in liftpartijen met RVS reiniging c.q. onderhoudsmiddel.</t>
  </si>
  <si>
    <t>Bovenzijde dient wekelijks stofvrij te worden gemaakt. De voorzijde dient maandelijks vochtig afgenomen te worden.</t>
  </si>
  <si>
    <t>De schrobputjes dienen gelijk met de schrobbeurten gereinigd en bijgevuld te worden.</t>
  </si>
  <si>
    <t>De luchtroosters in sanitaire ruimten dienen wekelijks vochtig te worden gereinigd.</t>
  </si>
  <si>
    <t>Armaturen dienen maandelijks uitwendig stofvrij te worden gemaakt.</t>
  </si>
  <si>
    <t>De inlooproosters dienen 2x per jaar gereinigd te worden, de ruimte eronder dient 2x per jaar leeggeschept te worden.</t>
  </si>
  <si>
    <t>De buitenentrees dienen wekelijks spinragvrij gemaakt te worden. De prullenbakken dienen te worden geledigd en gereinigd</t>
  </si>
  <si>
    <t>Bestekvervolg werkzaamheden</t>
  </si>
  <si>
    <t>Televisieschermen e.d.</t>
  </si>
  <si>
    <t>Computerapparatuur</t>
  </si>
  <si>
    <t>Entree en verkeersruimten</t>
  </si>
  <si>
    <t>Separatieglas (incl. glazen deuren)</t>
  </si>
  <si>
    <t>Luchtroosters stofvrij maken</t>
  </si>
  <si>
    <t>Prullenbakken</t>
  </si>
  <si>
    <t>Algemeen interieur-/inventarisonderhoud</t>
  </si>
  <si>
    <t>Liften</t>
  </si>
  <si>
    <t>Lockers</t>
  </si>
  <si>
    <t>Sanitair/douche en kleedruimten</t>
  </si>
  <si>
    <t>Inlooproosters</t>
  </si>
  <si>
    <t>Spinrag en prullenbakken buitenentree</t>
  </si>
  <si>
    <t>Programmacode
Regulier</t>
  </si>
  <si>
    <t>2027</t>
  </si>
  <si>
    <t>Legenda Handelingen (zie ook Programma van Eisen)</t>
  </si>
  <si>
    <t>coderingen</t>
  </si>
  <si>
    <t>Er dienen bij het periodieke onderhoud minimaal 2 polymeerbeschermlagen te worden aangebracht op de vloeren.</t>
  </si>
  <si>
    <t>Alleen de zichtbare verstoringen (waaronder vlekken) verwijderen</t>
  </si>
  <si>
    <t>code</t>
  </si>
  <si>
    <t xml:space="preserve">Alle horizontale vlakken van inventaris/interieur (tot reikhoogte, 2 meter), stof, vingertasten en vlekken verwijderen. </t>
  </si>
  <si>
    <t>in het bijzonder</t>
  </si>
  <si>
    <t>aanvullend op i8</t>
  </si>
  <si>
    <t>Sanitaire ruimten</t>
  </si>
  <si>
    <t>als aanvulling op de reguliere vloer, interieur, inventaris en sanitair werkzaamheden</t>
  </si>
  <si>
    <t>Bureaus, werktafels</t>
  </si>
  <si>
    <t>De gehele vloer en alle wanden reinigen met stoomreiniging bv fantomat</t>
  </si>
  <si>
    <t>Programma</t>
  </si>
  <si>
    <t>zie tabblad vloeronderhoud en het PvE.</t>
  </si>
  <si>
    <t>Kosten/jaar incl. BTW</t>
  </si>
  <si>
    <t>kosten / jaar excl btw</t>
  </si>
  <si>
    <t>Kosten / jaar excl btw</t>
  </si>
  <si>
    <t>Kosten/jaar incl BTW</t>
  </si>
  <si>
    <t>6w</t>
  </si>
  <si>
    <t>5-21w</t>
  </si>
  <si>
    <t>Beplating wassen</t>
  </si>
  <si>
    <t>Garderobes</t>
  </si>
  <si>
    <t>Kantine/Aula</t>
  </si>
  <si>
    <t>Praktijklokalen</t>
  </si>
  <si>
    <t>Leslokalen</t>
  </si>
  <si>
    <t>Toestelberging</t>
  </si>
  <si>
    <t>Gymzaal</t>
  </si>
  <si>
    <t>Niet in Onderhoud</t>
  </si>
  <si>
    <t>Le</t>
  </si>
  <si>
    <t>Ve</t>
  </si>
  <si>
    <t>Bu</t>
  </si>
  <si>
    <t>Sa</t>
  </si>
  <si>
    <t>Sp</t>
  </si>
  <si>
    <t>Kinderopvang</t>
  </si>
  <si>
    <t>Adres</t>
  </si>
  <si>
    <t>Postcode</t>
  </si>
  <si>
    <t>Plaatsnaam</t>
  </si>
  <si>
    <t>Plaats</t>
  </si>
  <si>
    <t>Schoonmaakonderhoud
Kosten / jaar excl btw</t>
  </si>
  <si>
    <t>Vloeronderhoud
Kosten / jaar excl btw</t>
  </si>
  <si>
    <t>Totaalprijs
Kosten / jaar excl. btw</t>
  </si>
  <si>
    <t>Soort indexatie</t>
  </si>
  <si>
    <t>Percentage</t>
  </si>
  <si>
    <t>Tarief excl btw</t>
  </si>
  <si>
    <t>CAO</t>
  </si>
  <si>
    <t>Tarief 
excl. 21% BTW</t>
  </si>
  <si>
    <t>Tarief 
incl. 21% BTW</t>
  </si>
  <si>
    <t>Datum in dienst</t>
  </si>
  <si>
    <t>Aantal uur op object per week</t>
  </si>
  <si>
    <t>Reiskosten op basis van CAO</t>
  </si>
  <si>
    <t xml:space="preserve">Beeldschermen dienen dagelijks te worden gereinigd (stof- en vlekvrij). </t>
  </si>
  <si>
    <t>Sanitaire voorzieningen</t>
  </si>
  <si>
    <t>Omschrijving</t>
  </si>
  <si>
    <t>2028</t>
  </si>
  <si>
    <t>Bijtippend stofzuigen;</t>
  </si>
  <si>
    <t>Kauwgum verwijderen;</t>
  </si>
  <si>
    <t>(Entree)mat stofzuigen.</t>
  </si>
  <si>
    <t>Kauwgom verwijderen.</t>
  </si>
  <si>
    <t>Stofwissen en enkelvoudig moppen- vlekken, licht aangehecht en losliggend vuil verwijderen (vrije ruimten schrobzuigen);</t>
  </si>
  <si>
    <t>Schrobstrepen en kauwgum verwijderen.</t>
  </si>
  <si>
    <t>Stofwissen en dubbelvoudmoppen; aangehechtvuil verwijderen (vrije ruimten schrobzuigen);</t>
  </si>
  <si>
    <t>H</t>
  </si>
  <si>
    <t>1-10w H</t>
  </si>
  <si>
    <t>1-5w H</t>
  </si>
  <si>
    <t>1-4w H</t>
  </si>
  <si>
    <t>1-3w H</t>
  </si>
  <si>
    <t>1-2w H</t>
  </si>
  <si>
    <t>1-1w H</t>
  </si>
  <si>
    <t>1-1m H</t>
  </si>
  <si>
    <t>1-1ww H</t>
  </si>
  <si>
    <t>1-2ww H</t>
  </si>
  <si>
    <t>20-2ww H</t>
  </si>
  <si>
    <t>20-1ww H</t>
  </si>
  <si>
    <t>20-1m H</t>
  </si>
  <si>
    <t>20-1w H</t>
  </si>
  <si>
    <t>20-2w H</t>
  </si>
  <si>
    <t>20-3w H</t>
  </si>
  <si>
    <t>20-4w H</t>
  </si>
  <si>
    <t>20-5w H</t>
  </si>
  <si>
    <t>20-10w H</t>
  </si>
  <si>
    <t>2-10w H</t>
  </si>
  <si>
    <t>2-5w H</t>
  </si>
  <si>
    <t>2-3w H</t>
  </si>
  <si>
    <t>2-4w H</t>
  </si>
  <si>
    <t>2-2w H</t>
  </si>
  <si>
    <t>2-1w H</t>
  </si>
  <si>
    <t>2-1m H</t>
  </si>
  <si>
    <t>2-1ww H</t>
  </si>
  <si>
    <t>2-2ww H</t>
  </si>
  <si>
    <t>3-10w H</t>
  </si>
  <si>
    <t>3-5w H</t>
  </si>
  <si>
    <t>3-4w H</t>
  </si>
  <si>
    <t>3-3w H</t>
  </si>
  <si>
    <t>3-2w H</t>
  </si>
  <si>
    <t>3-1w H</t>
  </si>
  <si>
    <t>3-1m H</t>
  </si>
  <si>
    <t>4-1m H</t>
  </si>
  <si>
    <t>5-1m H</t>
  </si>
  <si>
    <t>6-1m H</t>
  </si>
  <si>
    <t>7-1m H</t>
  </si>
  <si>
    <t>8-1m H</t>
  </si>
  <si>
    <t>9-1m H</t>
  </si>
  <si>
    <t>10-1m H</t>
  </si>
  <si>
    <t>11-1m H</t>
  </si>
  <si>
    <t>12-1m H</t>
  </si>
  <si>
    <t>13-1m H</t>
  </si>
  <si>
    <t>14-1m H</t>
  </si>
  <si>
    <t>15-1m H</t>
  </si>
  <si>
    <t>16-1m H</t>
  </si>
  <si>
    <t>17-1m H</t>
  </si>
  <si>
    <t>18-1m H</t>
  </si>
  <si>
    <t>19-1m H</t>
  </si>
  <si>
    <t>4-1w H</t>
  </si>
  <si>
    <t>5-1w H</t>
  </si>
  <si>
    <t>6-1w H</t>
  </si>
  <si>
    <t>7-1w H</t>
  </si>
  <si>
    <t>8-1w H</t>
  </si>
  <si>
    <t>9-1w H</t>
  </si>
  <si>
    <t>10-1w H</t>
  </si>
  <si>
    <t>11-1w H</t>
  </si>
  <si>
    <t>12-1w H</t>
  </si>
  <si>
    <t>13-1w H</t>
  </si>
  <si>
    <t>14-1w H</t>
  </si>
  <si>
    <t>15-1w H</t>
  </si>
  <si>
    <t>16-1w H</t>
  </si>
  <si>
    <t>17-1w H</t>
  </si>
  <si>
    <t>18-1w H</t>
  </si>
  <si>
    <t>19-1w H</t>
  </si>
  <si>
    <t>3-1ww H</t>
  </si>
  <si>
    <t>4-1ww H</t>
  </si>
  <si>
    <t>5-1ww H</t>
  </si>
  <si>
    <t>6-1ww H</t>
  </si>
  <si>
    <t>7-1ww H</t>
  </si>
  <si>
    <t>8-1ww H</t>
  </si>
  <si>
    <t>9-1ww H</t>
  </si>
  <si>
    <t>10-1ww H</t>
  </si>
  <si>
    <t>11-1ww H</t>
  </si>
  <si>
    <t>12-1ww H</t>
  </si>
  <si>
    <t>13-1ww H</t>
  </si>
  <si>
    <t>14-1ww H</t>
  </si>
  <si>
    <t>15-1ww H</t>
  </si>
  <si>
    <t>16-1ww H</t>
  </si>
  <si>
    <t>17-1ww H</t>
  </si>
  <si>
    <t>18-1ww H</t>
  </si>
  <si>
    <t>19-1ww H</t>
  </si>
  <si>
    <t>4-2w H</t>
  </si>
  <si>
    <t>5-2w H</t>
  </si>
  <si>
    <t>6-2w H</t>
  </si>
  <si>
    <t>7-2w H</t>
  </si>
  <si>
    <t>8-2w H</t>
  </si>
  <si>
    <t>9-2w H</t>
  </si>
  <si>
    <t>10-2w H</t>
  </si>
  <si>
    <t>11-2w H</t>
  </si>
  <si>
    <t>12-2w H</t>
  </si>
  <si>
    <t>13-2w H</t>
  </si>
  <si>
    <t>14-2w H</t>
  </si>
  <si>
    <t>15-2w H</t>
  </si>
  <si>
    <t>16-2w H</t>
  </si>
  <si>
    <t>17-2w H</t>
  </si>
  <si>
    <t>18-2w H</t>
  </si>
  <si>
    <t>19-2w H</t>
  </si>
  <si>
    <t>3-2ww H</t>
  </si>
  <si>
    <t>4-2ww H</t>
  </si>
  <si>
    <t>5-2ww H</t>
  </si>
  <si>
    <t>6-2ww H</t>
  </si>
  <si>
    <t>7-2ww H</t>
  </si>
  <si>
    <t>8-2ww H</t>
  </si>
  <si>
    <t>9-2ww H</t>
  </si>
  <si>
    <t>10-2ww H</t>
  </si>
  <si>
    <t>11-2ww H</t>
  </si>
  <si>
    <t>12-2ww H</t>
  </si>
  <si>
    <t>13-2ww H</t>
  </si>
  <si>
    <t>14-2ww H</t>
  </si>
  <si>
    <t>15-2ww H</t>
  </si>
  <si>
    <t>16-2ww H</t>
  </si>
  <si>
    <t>17-2ww H</t>
  </si>
  <si>
    <t>18-2ww H</t>
  </si>
  <si>
    <t>19-2ww H</t>
  </si>
  <si>
    <t>4-3w H</t>
  </si>
  <si>
    <t>5-3w H</t>
  </si>
  <si>
    <t>6-3w H</t>
  </si>
  <si>
    <t>7-3w H</t>
  </si>
  <si>
    <t>8-3w H</t>
  </si>
  <si>
    <t>9-3w H</t>
  </si>
  <si>
    <t>10-3w H</t>
  </si>
  <si>
    <t>11-3w H</t>
  </si>
  <si>
    <t>12-3w H</t>
  </si>
  <si>
    <t>13-3w H</t>
  </si>
  <si>
    <t>14-3w H</t>
  </si>
  <si>
    <t>15-3w H</t>
  </si>
  <si>
    <t>16-3w H</t>
  </si>
  <si>
    <t>17-3w H</t>
  </si>
  <si>
    <t>18-3w H</t>
  </si>
  <si>
    <t>19-3w H</t>
  </si>
  <si>
    <t>5-14w H</t>
  </si>
  <si>
    <t>4-4w H</t>
  </si>
  <si>
    <t>5-5w H</t>
  </si>
  <si>
    <t>5-4w H</t>
  </si>
  <si>
    <t>6-4w H</t>
  </si>
  <si>
    <t>7-4w H</t>
  </si>
  <si>
    <t>8-4w H</t>
  </si>
  <si>
    <t>9-4w H</t>
  </si>
  <si>
    <t>10-4w H</t>
  </si>
  <si>
    <t>11-4w H</t>
  </si>
  <si>
    <t>12-4w H</t>
  </si>
  <si>
    <t>13-4w H</t>
  </si>
  <si>
    <t>14-4w H</t>
  </si>
  <si>
    <t>15-4w H</t>
  </si>
  <si>
    <t>16-4w H</t>
  </si>
  <si>
    <t>17-4w H</t>
  </si>
  <si>
    <t>18-4w H</t>
  </si>
  <si>
    <t>19-4w H</t>
  </si>
  <si>
    <t>5-4ww H</t>
  </si>
  <si>
    <t>5-15w H</t>
  </si>
  <si>
    <t>4-5w H</t>
  </si>
  <si>
    <t>6-5w H</t>
  </si>
  <si>
    <t>7-5w H</t>
  </si>
  <si>
    <t>8-5w H</t>
  </si>
  <si>
    <t>9-5w H</t>
  </si>
  <si>
    <t>10-5w H</t>
  </si>
  <si>
    <t>11-5w H</t>
  </si>
  <si>
    <t>12-5w H</t>
  </si>
  <si>
    <t>13-5w H</t>
  </si>
  <si>
    <t>14-5w H</t>
  </si>
  <si>
    <t>15-5w H</t>
  </si>
  <si>
    <t>16-5w H</t>
  </si>
  <si>
    <t>17-5w H</t>
  </si>
  <si>
    <t>18-5w H</t>
  </si>
  <si>
    <t>19-5w H</t>
  </si>
  <si>
    <t>4-10w H</t>
  </si>
  <si>
    <t>5-10w H</t>
  </si>
  <si>
    <t>6-10w H</t>
  </si>
  <si>
    <t>7-10w H</t>
  </si>
  <si>
    <t>8-10w H</t>
  </si>
  <si>
    <t>9-10w H</t>
  </si>
  <si>
    <t>10-10w H</t>
  </si>
  <si>
    <t>11-10w H</t>
  </si>
  <si>
    <t>12-10w H</t>
  </si>
  <si>
    <t>13-10w H</t>
  </si>
  <si>
    <t>14-10w H</t>
  </si>
  <si>
    <t>15-10w H</t>
  </si>
  <si>
    <t>16-10w H</t>
  </si>
  <si>
    <t>17-10w H</t>
  </si>
  <si>
    <t>18-10w H</t>
  </si>
  <si>
    <t>19-10w H</t>
  </si>
  <si>
    <t>Houten vloeren</t>
  </si>
  <si>
    <t>Werkzaamheden/Producten</t>
  </si>
  <si>
    <t>Stofzuigen en vlek(ken) verwijderen;</t>
  </si>
  <si>
    <t>Schrobben/drogen inclusief in- en uitruimen (vrije ruimten schrobzuigen).</t>
  </si>
  <si>
    <t>Sprayen / opwrijven inclusief in- en uitruimen;</t>
  </si>
  <si>
    <t>Schrobben drogen inclusief in- en uitruimen;</t>
  </si>
  <si>
    <t>Flotex vloeren borstelen/reinigen inclusief in- en uitruimen.</t>
  </si>
  <si>
    <t>Harde vloeren met was- of polymeerlaag: top-coaten, waar nodig re-coaten ** inclusief in- en uitruimen;</t>
  </si>
  <si>
    <t>Tapijtvloeren; sproei-extractie inclusief in- en uitruimen;</t>
  </si>
  <si>
    <t>Entreedeuren, tochtdeuren, spiegels en loketten: vlek-, stof-, en vingertasten verwijderen;</t>
  </si>
  <si>
    <t>Prullenbakken ledigen en indien nodig afvalzakken vervangen;</t>
  </si>
  <si>
    <t>Voorzijde kasten en lockers vlek- en vingertasten verwijderen, stoelen/banken los vuil verwijderen;</t>
  </si>
  <si>
    <t>Keukenkasten, koelkast e.d. voorzijde vlek- en vingertasten verwijderen;</t>
  </si>
  <si>
    <t>Watercoolers, koffieautomaten buitenzijde, koelkast vrijstaande bovenzijde vlek verwijderen en stof afnemen;</t>
  </si>
  <si>
    <t>Schrobstrepen van deuren en wanden verwijderen;</t>
  </si>
  <si>
    <t>Wasbakken/aanrecht reinigen;</t>
  </si>
  <si>
    <t>Stof- en vlekvrij maken kasten buitenzijde;</t>
  </si>
  <si>
    <t>Vochtig reiningen van (trap)leuningen en handgrepen deuren;</t>
  </si>
  <si>
    <t>Vochtig reiningen van liftdeuren, wanden en bedieningspaneel;</t>
  </si>
  <si>
    <t>alle niet nader genoemde interieur- en inventarisdelen stof-, vingertast- en vlekvrijmaken.</t>
  </si>
  <si>
    <t>Wanden, tegelwanden: vlek(ken) verwijderen;</t>
  </si>
  <si>
    <t>Spinrag in gehele ruimte verwijderen;</t>
  </si>
  <si>
    <t>Vlek-, stof-, en vingertasten verwijderen van deuren, meubilair, leidingen en verwarmingselementen, leuningen, randen/ richels (tot reikhoogte, 2 meter), gordijnrails, televisie(s) en lichtbakken;</t>
  </si>
  <si>
    <t>Plantenbakken, brandblusapparatuur (inclusief slangenhaspelkasten en bedrijfshulpverleningskasten) en kapstokken reinigen;</t>
  </si>
  <si>
    <t>Stofzuigen van de liftdeurgeleidingsgoot, koelkastdeurgoten e.d.</t>
  </si>
  <si>
    <t>Alle deuren (geheel), afwasbare wanden (geheel/volledig): nat reinigen;</t>
  </si>
  <si>
    <t>Textielbekleding: stofzuigen;</t>
  </si>
  <si>
    <t>Verticale vlakken van meubilair vlek verwijderen en stof afnemen.</t>
  </si>
  <si>
    <t>Gehele inventaris en interieur (uitwendig) stof afnemen;</t>
  </si>
  <si>
    <t>Randen / richels, leidingen en verwarmingselementen e.d. (boven reikhoogte, 2 meter): stof afnemen en vlekken verwijderen.</t>
  </si>
  <si>
    <t>Gehele inventaris en interieur m.u.v. kunstvoorwerpen: nat reinigen of indien noodzakelijk vochtig afnemen (uitwendig);</t>
  </si>
  <si>
    <t>Kauwgom verwijderen onder stoelen, tafels en overige meubilair.</t>
  </si>
  <si>
    <t>Alleen de zichtbare verstoringen als vlekken, vingertasten (tot reikhoogte, 2 meter) e.d.verwijderen.</t>
  </si>
  <si>
    <t>Leidingen en verwarmingselementen: nat reinigen;</t>
  </si>
  <si>
    <t>Spiegels: nat reinigen;</t>
  </si>
  <si>
    <t>Afvalbakken: legen en uitwendig nat/vochtig reinigen, plastic binnenzakken vervangen;</t>
  </si>
  <si>
    <t>Alle niet nadergenoemde sanitair interieur-inventarisdelen nat reinigen.</t>
  </si>
  <si>
    <t>Let op: 2 x per jaar dieptereiniging uitvoeren (zie tabblad diepreinigen).</t>
  </si>
  <si>
    <t>Sanitair handeling naloop</t>
  </si>
  <si>
    <t>Specialistisch vloeronderhoud (zijnde niet linoleumvloer-afwerkingen)</t>
  </si>
  <si>
    <t xml:space="preserve">De specialistische periodieke onderhoudsbeurten aan vloeren en de frequentie daarvan zijn opgenomen (zie tabblad ruimtestaat en/of het tabblad vloeronderhoud). Opdrachtgever kan bepalen om de frequentie gedurende de looptijd van de overeenkomst aan te passen. In overleg met Opdrachtgever wordt bepaald welke momenten in het jaar geschikt zijn voor het schrobben/drogen en opblokken van de overige harde vloeren en het reinigen van tapijt. </t>
  </si>
  <si>
    <t>Kosten voor het specialistisch vloeronderhoud van de vloeren dienen separaat inzichtelijk te worden gemaakt in het calculatieblad (tabblad vloeronderhoud). Betaling van de uitgevoerde werkzaamheden gebeurt na uitvoering door Opdrachtnemer en akkoord door Opdrachtgever.</t>
  </si>
  <si>
    <t>Het gevel-, separatie- en balieglas (tweezijdig) bij de entree (tourniquet) en verkeersruimten dient dagelijks te worden ontdaan van vingertasten. De entreematten binnen dienen dagelijks volledig te worden gestofzuigd, bij voorkeur met een borstelzuiger. De buitenentree dient wekelijks te worden ontdaan van aanwezige vervuiling, tot 15 meter rondom de entree. Denk hierbij aan losse vervuiling, spinrag of blikjes ed.</t>
  </si>
  <si>
    <t xml:space="preserve">Alle aanwezige luchtroosters dienen maandelijks volledig stofvrij gemaakt te worden. Dit geldt ook voor de roosters van de sportzaal  en roosters boven reikhoogte. Climarads (roosters) dienen wekelijks te worden gereinigd. </t>
  </si>
  <si>
    <t>Alle prullenbakken dienen dagelijks (ongeacht de schoonmaakfrequentie van de betreffende ruimte) geledigd te worden. Tenminste één maal per week dienen alle bakken te worden voorzien van een nieuwe, uitgevouwen, afvalzak. Indien er etensresten of drinken in de afvalzak zit, dan dient deze altijd te worden vervangen.</t>
  </si>
  <si>
    <t>Wanneer aanwezig dient kalkaanslag direct verwijderd te worden.</t>
  </si>
  <si>
    <t>Alleen eenvoudig te verwijderen vlekken (fruit, kleine koffievlekken e.d) in het tapijt dienen te worden verwijderd. Indien vlekken niet kunnen worden verwijderd, dient dit te worden gemeld aan Opdrachtgever.</t>
  </si>
  <si>
    <t>Schoonmaak in pantry / keuken</t>
  </si>
  <si>
    <t xml:space="preserve">Keukenvloeren dienen wekelijks geschrobd te worden. In alle keukens geldt dat het schoonmaken van het interieur (wanden, vloeren, plafonds, vensterbanken, armaturen e.d.) verantwoordelijkheid is van Opdrachtnemer. Opdrachtgever is verantwoordelijk voor de inventaris (meubilair en apparatuur). </t>
  </si>
  <si>
    <t>Toiletpot</t>
  </si>
  <si>
    <t>-</t>
  </si>
  <si>
    <t>verwijderen van vervuiling in spoelranden, afvoersluitingen en restant van de binnenzijde van het toilet</t>
  </si>
  <si>
    <t>reinigen van het toilet aan de buitenzijde</t>
  </si>
  <si>
    <t>bevestiging en aansluiting op het afvoersysteem controleren; waar nodig vernieuwen van pluggen en schroeven en afdichten van onregelmatige aansluiting op de afvoer</t>
  </si>
  <si>
    <t>de toiletbril ontdoen van aanslag, demonteren van een bril met brugstuk (teneinde het vuil eronder te verwijderen) en weer monteren</t>
  </si>
  <si>
    <t>binnen- en buitenzijde van de stortbak ontdoen van aanslag en vuil (gietijzer alleen buitenzijde)</t>
  </si>
  <si>
    <t>stortbak controleren op het functioneren van het mechanisme, het waterniveau en de bevestiging ervan</t>
  </si>
  <si>
    <t>stopkraan van de stortbak ontkalken en controleren op goede werking</t>
  </si>
  <si>
    <t>valpijp ontdoen van aanslag en controleren op losse of defecte bevestigingsbeugels en op de aansluiting van het toilet</t>
  </si>
  <si>
    <t>bij een inbouwstortbak de voorplaat reinigen, het waterniveau controleren en eventueel opnieuw afstellen</t>
  </si>
  <si>
    <t>de drukspoeler controleren op goede werking en ontdoen van aanslag op de buitenzijde</t>
  </si>
  <si>
    <t>spoelpijp ontdoen van aanslag en controleren op losse of defecte bevestigingsbeugels op de aansluiting van de pot en op lekkage</t>
  </si>
  <si>
    <t>reinigen van de deur (beide zijden), tegelwanden en vloeren</t>
  </si>
  <si>
    <t>Urinoir</t>
  </si>
  <si>
    <t>verwijderen van organische en anorganische vervuiling in spoelranden en afvoeraansluitingen en restant van de binnenzijde van de pot</t>
  </si>
  <si>
    <t>reinigen van de buitenzijde van het urinoir</t>
  </si>
  <si>
    <t>bevestiging en aansluiting op het afvoersysteem controleren en afdichten van onregelmatige aansluiting op de afvoer</t>
  </si>
  <si>
    <t>bij wandurinoirs controleren op bevestigingen en afsluitingen op vloerpijp en afvoer</t>
  </si>
  <si>
    <t>verwijderen van vervuiling van schaamschotten</t>
  </si>
  <si>
    <t>schaamschotten controleren op bevestiging</t>
  </si>
  <si>
    <t>tegelwand tot 1 meter aan weerszijde van de urninoir(s) tot aan de bovenzijde reinigen</t>
  </si>
  <si>
    <t>vloer tot 1 meter aan weerszijde van de urninoir(s) en 1 meter vanaf de wand reinigen</t>
  </si>
  <si>
    <t>Wastafel</t>
  </si>
  <si>
    <t>verwijderen van organische en anorganische vervuiling op de binnen- en buitenzijde</t>
  </si>
  <si>
    <t>kranen ontkalken en controleren op functioneren en eventuele rubbers vervangen</t>
  </si>
  <si>
    <t>perlators demonteren en ontkalken en eventueel vervangen</t>
  </si>
  <si>
    <t>sifon in- en uitwendig reinigen, zonodig nieuwe pakkingring aanbrengen</t>
  </si>
  <si>
    <t>spiegels reinigen</t>
  </si>
  <si>
    <t>tegelwand tot 1 meter aan weerszijde van de wastafel(s) tot aan bovenzijde reinigen</t>
  </si>
  <si>
    <t>vloer tot 1 meter aan weerszijde van de wastafel(s) en 1 meter vanaf de wand reinigen</t>
  </si>
  <si>
    <t>Handelingen dieptereiniging per toilet unit</t>
  </si>
  <si>
    <t>Sanitaire voorzieningen kosten/ jaar excl. Btw2</t>
  </si>
  <si>
    <t>Glasbewassing kosten/ jaar excl. Btw</t>
  </si>
  <si>
    <t>Gewogen
indexering</t>
  </si>
  <si>
    <t>Code2</t>
  </si>
  <si>
    <t>2029</t>
  </si>
  <si>
    <t>Opmerkingen</t>
  </si>
  <si>
    <t>CBS DPI</t>
  </si>
  <si>
    <t>Prijs per dag</t>
  </si>
  <si>
    <t>Olieen houten vloeren</t>
  </si>
  <si>
    <t>Personeelskamer</t>
  </si>
  <si>
    <r>
      <rPr>
        <b/>
        <sz val="9"/>
        <rFont val="Aptos"/>
        <family val="2"/>
      </rPr>
      <t>Alle</t>
    </r>
    <r>
      <rPr>
        <sz val="9"/>
        <rFont val="Aptos"/>
        <family val="2"/>
      </rPr>
      <t xml:space="preserve"> groen gearceerde velden dienen ingevuld te worden, overige cellen mogen niet gewijzigd worden</t>
    </r>
  </si>
  <si>
    <r>
      <t xml:space="preserve">Alle </t>
    </r>
    <r>
      <rPr>
        <sz val="9"/>
        <rFont val="Aptos"/>
        <family val="2"/>
      </rPr>
      <t>groen gearceerde velden dienen ingevuld te worden, overige cellen mogen niet gewijzigd worden</t>
    </r>
  </si>
  <si>
    <r>
      <t>vl1</t>
    </r>
    <r>
      <rPr>
        <sz val="10"/>
        <color theme="6"/>
        <rFont val="Aptos"/>
        <family val="2"/>
      </rPr>
      <t>2</t>
    </r>
  </si>
  <si>
    <r>
      <t>vl2</t>
    </r>
    <r>
      <rPr>
        <sz val="10"/>
        <color theme="6"/>
        <rFont val="Aptos"/>
        <family val="2"/>
      </rPr>
      <t>3</t>
    </r>
  </si>
  <si>
    <r>
      <t>vl3</t>
    </r>
    <r>
      <rPr>
        <sz val="10"/>
        <color theme="6"/>
        <rFont val="Aptos"/>
        <family val="2"/>
      </rPr>
      <t>4</t>
    </r>
  </si>
  <si>
    <r>
      <t>vl4</t>
    </r>
    <r>
      <rPr>
        <sz val="10"/>
        <color theme="6"/>
        <rFont val="Aptos"/>
        <family val="2"/>
      </rPr>
      <t>5</t>
    </r>
  </si>
  <si>
    <r>
      <t>vl5</t>
    </r>
    <r>
      <rPr>
        <sz val="10"/>
        <color theme="6"/>
        <rFont val="Aptos"/>
        <family val="2"/>
      </rPr>
      <t>6</t>
    </r>
  </si>
  <si>
    <r>
      <t>vl6</t>
    </r>
    <r>
      <rPr>
        <sz val="10"/>
        <color theme="6"/>
        <rFont val="Aptos"/>
        <family val="2"/>
      </rPr>
      <t>7</t>
    </r>
  </si>
  <si>
    <r>
      <t>vl7</t>
    </r>
    <r>
      <rPr>
        <sz val="10"/>
        <color theme="6"/>
        <rFont val="Aptos"/>
        <family val="2"/>
      </rPr>
      <t>8</t>
    </r>
  </si>
  <si>
    <r>
      <t>vnl</t>
    </r>
    <r>
      <rPr>
        <sz val="10"/>
        <color theme="6"/>
        <rFont val="Aptos"/>
        <family val="2"/>
      </rPr>
      <t>9</t>
    </r>
  </si>
  <si>
    <r>
      <t>i8</t>
    </r>
    <r>
      <rPr>
        <sz val="10"/>
        <color theme="4" tint="0.39997558519241921"/>
        <rFont val="Aptos"/>
        <family val="2"/>
      </rPr>
      <t>10</t>
    </r>
  </si>
  <si>
    <r>
      <t>i9</t>
    </r>
    <r>
      <rPr>
        <sz val="10"/>
        <color theme="4" tint="0.39997558519241921"/>
        <rFont val="Aptos"/>
        <family val="2"/>
      </rPr>
      <t>11</t>
    </r>
  </si>
  <si>
    <r>
      <t>i10</t>
    </r>
    <r>
      <rPr>
        <sz val="10"/>
        <color theme="3" tint="0.59999389629810485"/>
        <rFont val="Aptos"/>
        <family val="2"/>
      </rPr>
      <t>2</t>
    </r>
  </si>
  <si>
    <r>
      <rPr>
        <sz val="10"/>
        <rFont val="Aptos"/>
        <family val="2"/>
      </rPr>
      <t>i11</t>
    </r>
    <r>
      <rPr>
        <sz val="10"/>
        <color theme="4" tint="0.39997558519241921"/>
        <rFont val="Aptos"/>
        <family val="2"/>
      </rPr>
      <t>2</t>
    </r>
  </si>
  <si>
    <r>
      <t>i12</t>
    </r>
    <r>
      <rPr>
        <sz val="10"/>
        <color theme="3" tint="0.59999389629810485"/>
        <rFont val="Aptos"/>
        <family val="2"/>
      </rPr>
      <t>2</t>
    </r>
  </si>
  <si>
    <r>
      <t>i13</t>
    </r>
    <r>
      <rPr>
        <sz val="10"/>
        <color theme="3" tint="0.59999389629810485"/>
        <rFont val="Aptos"/>
        <family val="2"/>
      </rPr>
      <t>2</t>
    </r>
  </si>
  <si>
    <r>
      <t>i14</t>
    </r>
    <r>
      <rPr>
        <sz val="10"/>
        <color theme="3" tint="0.59999389629810485"/>
        <rFont val="Aptos"/>
        <family val="2"/>
      </rPr>
      <t>2</t>
    </r>
  </si>
  <si>
    <r>
      <t>inl</t>
    </r>
    <r>
      <rPr>
        <sz val="10"/>
        <color theme="3" tint="0.59999389629810485"/>
        <rFont val="Aptos"/>
        <family val="2"/>
      </rPr>
      <t>2</t>
    </r>
  </si>
  <si>
    <r>
      <t>s15</t>
    </r>
    <r>
      <rPr>
        <sz val="10"/>
        <color theme="5" tint="0.39997558519241921"/>
        <rFont val="Aptos"/>
        <family val="2"/>
      </rPr>
      <t>2</t>
    </r>
  </si>
  <si>
    <r>
      <t>s16</t>
    </r>
    <r>
      <rPr>
        <sz val="10"/>
        <color theme="5" tint="0.39997558519241921"/>
        <rFont val="Aptos"/>
        <family val="2"/>
      </rPr>
      <t>2</t>
    </r>
  </si>
  <si>
    <r>
      <t>snl</t>
    </r>
    <r>
      <rPr>
        <sz val="10"/>
        <color theme="5" tint="0.39997558519241921"/>
        <rFont val="Aptos"/>
        <family val="2"/>
      </rPr>
      <t>2</t>
    </r>
  </si>
  <si>
    <r>
      <t xml:space="preserve">Alle groen gearceerde velden dienen ingevuld te worden, overige cellen mogen niet gewijzigd worden    </t>
    </r>
    <r>
      <rPr>
        <b/>
        <sz val="9"/>
        <color rgb="FFFF0000"/>
        <rFont val="Aptos"/>
        <family val="2"/>
      </rPr>
      <t xml:space="preserve"> </t>
    </r>
  </si>
  <si>
    <r>
      <t>Prijs per m</t>
    </r>
    <r>
      <rPr>
        <vertAlign val="superscript"/>
        <sz val="9"/>
        <rFont val="Aptos"/>
        <family val="2"/>
      </rPr>
      <t>2</t>
    </r>
  </si>
  <si>
    <r>
      <t>Prijs per m</t>
    </r>
    <r>
      <rPr>
        <vertAlign val="superscript"/>
        <sz val="9"/>
        <rFont val="Aptos"/>
        <family val="2"/>
      </rPr>
      <t xml:space="preserve">2 </t>
    </r>
    <r>
      <rPr>
        <sz val="9"/>
        <rFont val="Aptos"/>
        <family val="2"/>
      </rPr>
      <t>per beurt</t>
    </r>
  </si>
  <si>
    <r>
      <t>Sanitaire eenheid:</t>
    </r>
    <r>
      <rPr>
        <sz val="10"/>
        <rFont val="Aptos"/>
        <family val="2"/>
      </rPr>
      <t xml:space="preserve"> bestaat uit 2 toiletpotten (of 1 toiletpot en 1 urinoir) en 1 wastafel</t>
    </r>
  </si>
  <si>
    <t>Bijlage 4 dient in Excel format te worden toegevoegd, deze pagina dient daarnaast rechtsgeldig ondertekend als PDF te worden toegevoegd.</t>
  </si>
  <si>
    <t>2031</t>
  </si>
  <si>
    <t>2030</t>
  </si>
  <si>
    <t>Algemeen</t>
  </si>
  <si>
    <t>Handelingen dieptereiniging 2 x per jaar</t>
  </si>
  <si>
    <t>Borden</t>
  </si>
  <si>
    <t>Alle bewegwijzeringsborden, informatieborden en dergelijke welke zich in de panden bevinden dienen één keer per maand stofvrij te worden gemaakt.</t>
  </si>
  <si>
    <t>Telefoontoestellen, beeldschermen, toetsenborden e.d. stof en vlekvrij maken;</t>
  </si>
  <si>
    <t>Onbepaalde tijd</t>
  </si>
  <si>
    <t>Ja</t>
  </si>
  <si>
    <t>Onbekend</t>
  </si>
  <si>
    <t>Mirthehuis</t>
  </si>
  <si>
    <t>10-7-20025</t>
  </si>
  <si>
    <t>Bepaalde tijd</t>
  </si>
  <si>
    <t>Nee</t>
  </si>
  <si>
    <t>Pauluskerk</t>
  </si>
  <si>
    <t>Optioneel: Vloeronderhoud</t>
  </si>
  <si>
    <t>Optioneel</t>
  </si>
  <si>
    <t>Weseperweg 6</t>
  </si>
  <si>
    <t>Heeten</t>
  </si>
  <si>
    <t>Westdorplaan 122</t>
  </si>
  <si>
    <t>Raalte</t>
  </si>
  <si>
    <t>8111 PK</t>
  </si>
  <si>
    <t>8101 BJ</t>
  </si>
  <si>
    <t>Kleedruimte</t>
  </si>
  <si>
    <t>PU-coating</t>
  </si>
  <si>
    <t>Hal</t>
  </si>
  <si>
    <t>Inloopmat</t>
  </si>
  <si>
    <t>Graniet</t>
  </si>
  <si>
    <t>Trap</t>
  </si>
  <si>
    <t>Linoleum</t>
  </si>
  <si>
    <t>1.5</t>
  </si>
  <si>
    <t>Ontvangsthal</t>
  </si>
  <si>
    <t>1.6</t>
  </si>
  <si>
    <t>Kantoor</t>
  </si>
  <si>
    <t>Toilet</t>
  </si>
  <si>
    <t>Tegels</t>
  </si>
  <si>
    <t>B3</t>
  </si>
  <si>
    <t>Woonkamer</t>
  </si>
  <si>
    <t>Keuken</t>
  </si>
  <si>
    <t>Portaal</t>
  </si>
  <si>
    <t>Bijkeuken</t>
  </si>
  <si>
    <t>1.4</t>
  </si>
  <si>
    <t>Gemeenschappelijke woonkamer</t>
  </si>
  <si>
    <t>Gang</t>
  </si>
  <si>
    <t>1.3</t>
  </si>
  <si>
    <t>1.2</t>
  </si>
  <si>
    <t>Wasruimte</t>
  </si>
  <si>
    <t>Meterkast</t>
  </si>
  <si>
    <t>14A</t>
  </si>
  <si>
    <t>Slaapkamer</t>
  </si>
  <si>
    <t>14.0</t>
  </si>
  <si>
    <t>13.0</t>
  </si>
  <si>
    <t>11.0</t>
  </si>
  <si>
    <t>10.0</t>
  </si>
  <si>
    <t>1.9</t>
  </si>
  <si>
    <t>Opslag "Kringloop"</t>
  </si>
  <si>
    <t>1.8</t>
  </si>
  <si>
    <t>Werkkast</t>
  </si>
  <si>
    <t>9.0</t>
  </si>
  <si>
    <t>Technische ruimte</t>
  </si>
  <si>
    <t>Beton</t>
  </si>
  <si>
    <t>Badkamer</t>
  </si>
  <si>
    <t>6.0</t>
  </si>
  <si>
    <t>5.0</t>
  </si>
  <si>
    <t>4.0</t>
  </si>
  <si>
    <t>3.0</t>
  </si>
  <si>
    <t>2.0</t>
  </si>
  <si>
    <t>1.0</t>
  </si>
  <si>
    <t>Begane grond</t>
  </si>
  <si>
    <t>Mirtehuis</t>
  </si>
  <si>
    <t>Eerste etage</t>
  </si>
  <si>
    <t>18A</t>
  </si>
  <si>
    <t>B7</t>
  </si>
  <si>
    <t>18C</t>
  </si>
  <si>
    <t>2.4</t>
  </si>
  <si>
    <t>2.3</t>
  </si>
  <si>
    <t>18B</t>
  </si>
  <si>
    <t>18D</t>
  </si>
  <si>
    <t>B4</t>
  </si>
  <si>
    <t>B5</t>
  </si>
  <si>
    <t>B6</t>
  </si>
  <si>
    <t>2.6</t>
  </si>
  <si>
    <t>Recreatiezaal</t>
  </si>
  <si>
    <t>15A</t>
  </si>
  <si>
    <t>Zolder</t>
  </si>
  <si>
    <t>-1.01</t>
  </si>
  <si>
    <t>-1.02</t>
  </si>
  <si>
    <t>-1.03</t>
  </si>
  <si>
    <t>-1.04</t>
  </si>
  <si>
    <t>C.V.</t>
  </si>
  <si>
    <t>Provisie</t>
  </si>
  <si>
    <t>C.V. Kerk</t>
  </si>
  <si>
    <t>0.01</t>
  </si>
  <si>
    <t>0.02</t>
  </si>
  <si>
    <t>0.03</t>
  </si>
  <si>
    <t>0.04</t>
  </si>
  <si>
    <t>0.05</t>
  </si>
  <si>
    <t>0.07</t>
  </si>
  <si>
    <t>0.06</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</si>
  <si>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</si>
  <si>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</si>
  <si>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</si>
  <si>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</si>
  <si>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</si>
  <si>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</si>
  <si>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</si>
  <si>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</si>
  <si>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</si>
  <si>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</si>
  <si>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</si>
  <si>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</si>
  <si>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</si>
  <si>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</si>
  <si>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</si>
  <si>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</si>
  <si>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</si>
  <si>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</si>
  <si>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</si>
  <si>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</si>
  <si>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</si>
  <si>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</si>
  <si>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</si>
  <si>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</si>
  <si>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</si>
  <si>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Voorportaal</t>
  </si>
  <si>
    <t>Kerk</t>
  </si>
  <si>
    <t>Zangkoor</t>
  </si>
  <si>
    <t>Zijportaal</t>
  </si>
  <si>
    <t>Garderobe</t>
  </si>
  <si>
    <t>Toilet heren</t>
  </si>
  <si>
    <t>Toilet dames</t>
  </si>
  <si>
    <t>Grote zaal</t>
  </si>
  <si>
    <t>Berging</t>
  </si>
  <si>
    <t>Dienst ingang</t>
  </si>
  <si>
    <t>Ingang</t>
  </si>
  <si>
    <t>WC</t>
  </si>
  <si>
    <t>Garage</t>
  </si>
  <si>
    <t>Loggia</t>
  </si>
  <si>
    <t>Binnenhof</t>
  </si>
  <si>
    <t>1.01</t>
  </si>
  <si>
    <t>1.02</t>
  </si>
  <si>
    <t>1.03</t>
  </si>
  <si>
    <t>1.04</t>
  </si>
  <si>
    <t>1.05</t>
  </si>
  <si>
    <t>1.06</t>
  </si>
  <si>
    <t>1.07</t>
  </si>
  <si>
    <t>1.08</t>
  </si>
  <si>
    <t>1.09</t>
  </si>
  <si>
    <t>Douches</t>
  </si>
  <si>
    <t>Woonkamer met keuken</t>
  </si>
  <si>
    <t>Zeil</t>
  </si>
  <si>
    <t>Trap kelder</t>
  </si>
  <si>
    <t>Slaapkamer 3/4p</t>
  </si>
  <si>
    <t>Slaapkamer 1/2p</t>
  </si>
  <si>
    <t>Slaapkamer 4/5p</t>
  </si>
  <si>
    <t>Slaapkamer 2/3p</t>
  </si>
  <si>
    <t>Opslag</t>
  </si>
  <si>
    <t>Kelder</t>
  </si>
  <si>
    <t>Woonruimte</t>
  </si>
  <si>
    <t>Glas in lood</t>
  </si>
  <si>
    <t>Dakraam</t>
  </si>
  <si>
    <t xml:space="preserve">Handdoekpapier </t>
  </si>
  <si>
    <t>Z-vouw cellulose 2-laags 24x21 cm 20 rollen per doos</t>
  </si>
  <si>
    <t>Toiletpapier</t>
  </si>
  <si>
    <t>2-laags, 400 vellen per rol, 40 rollen per doos</t>
  </si>
  <si>
    <t>Zeep</t>
  </si>
  <si>
    <t>Omschrijving verpakking</t>
  </si>
  <si>
    <t>Foamzeep lotion 1000ml per zes stuks</t>
  </si>
  <si>
    <t>Aantallen verpakking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</si>
</sst>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4" formatCode="_ &quot;€&quot;\ * #,##0.00_ ;_ &quot;€&quot;\ * \-#,##0.00_ ;_ &quot;€&quot;\ * &quot;-&quot;??_ ;_ @_ "/>
    <numFmt numFmtId="43" formatCode="_ * #,##0.00_ ;_ * \-#,##0.00_ ;_ * &quot;-&quot;??_ ;_ @_ "/>
    <numFmt numFmtId="164" formatCode="_-&quot;€&quot;\ * #,##0.00_-;_-&quot;€&quot;\ * #,##0.00\-;_-&quot;€&quot;\ * &quot;-&quot;??_-;_-@_-"/>
    <numFmt numFmtId="165" formatCode="_-* #,##0.00_-;_-* #,##0.00\-;_-* &quot;-&quot;??_-;_-@_-"/>
    <numFmt numFmtId="166" formatCode="_-&quot;fl&quot;\ * #,##0.00_-;_-&quot;fl&quot;\ * #,##0.00\-;_-&quot;fl&quot;\ * &quot;-&quot;??_-;_-@_-"/>
    <numFmt numFmtId="167" formatCode="_(&quot;$&quot;* #,##0.00_);_(&quot;$&quot;* \(#,##0.00\);_(&quot;$&quot;* &quot;-&quot;??_);_(@_)"/>
    <numFmt numFmtId="168" formatCode="_(* #,##0.00_);_(* \(#,##0.00\);_(* &quot;-&quot;??_);_(@_)"/>
    <numFmt numFmtId="169" formatCode="0.000"/>
    <numFmt numFmtId="170" formatCode="0.000%"/>
    <numFmt numFmtId="171" formatCode="_([$€]* #,##0.00_);_([$€]* \(#,##0.00\);_([$€]* &quot;-&quot;??_);_(@_)"/>
    <numFmt numFmtId="172" formatCode="_-[$€-2]\ * #,##0.00_-;_-[$€-2]\ * #,##0.00\-;_-[$€-2]\ * &quot;-&quot;??_-;_-@_-"/>
    <numFmt numFmtId="173" formatCode="_ [$€-413]\ * #,##0.00_ ;_ [$€-413]\ * \-#,##0.00_ ;_ [$€-413]\ * &quot;-&quot;??_ ;_ @_ "/>
    <numFmt numFmtId="174" formatCode="0\ &quot;m2&quot;"/>
    <numFmt numFmtId="175" formatCode="_-&quot;F&quot;\ * #,##0_-;_-&quot;F&quot;\ * #,##0\-;_-&quot;F&quot;\ * &quot;-&quot;_-;_-@_-"/>
    <numFmt numFmtId="176" formatCode="_-&quot;F&quot;\ * #,##0.00_-;_-&quot;F&quot;\ * #,##0.00\-;_-&quot;F&quot;\ * &quot;-&quot;??_-;_-@_-"/>
    <numFmt numFmtId="177" formatCode="General\ &quot;m²&quot;"/>
    <numFmt numFmtId="178" formatCode="0.00\ &quot;m²&quot;"/>
    <numFmt numFmtId="179" formatCode="#,##0.0"/>
    <numFmt numFmtId="180" formatCode="#,##0_ ;\-#,##0\ "/>
    <numFmt numFmtId="181" formatCode="#,##0.0_ ;\-#,##0.0\ "/>
    <numFmt numFmtId="182" formatCode="_ [$€-2]\ * #,##0.00_ ;_ [$€-2]\ * \-#,##0.00_ ;_ [$€-2]\ * &quot;-&quot;??_ ;_ @_ "/>
    <numFmt numFmtId="183" formatCode="0.0%"/>
    <numFmt numFmtId="184" formatCode="#,##0.00_ ;\-#,##0.00\ "/>
    <numFmt numFmtId="185" formatCode="&quot;€&quot;\ #,##0.00"/>
  </numFmts>
  <fonts count="69">
    <font>
      <sz val="10"/>
      <name val="Arial"/>
    </font>
    <font>
      <sz val="9"/>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8"/>
      <name val="Arial"/>
      <family val="2"/>
    </font>
    <font>
      <b/>
      <sz val="8"/>
      <name val="Arial"/>
      <family val="2"/>
    </font>
    <font>
      <b/>
      <sz val="10"/>
      <name val="Arial"/>
      <family val="2"/>
    </font>
    <font>
      <sz val="8"/>
      <name val="Arial"/>
      <family val="2"/>
    </font>
    <font>
      <sz val="10"/>
      <name val="Arial"/>
      <family val="2"/>
    </font>
    <font>
      <sz val="8"/>
      <name val="Arial"/>
      <family val="2"/>
    </font>
    <font>
      <sz val="10"/>
      <name val="Arial"/>
      <family val="2"/>
    </font>
    <font>
      <u/>
      <sz val="10"/>
      <color indexed="36"/>
      <name val="Univers"/>
      <family val="2"/>
    </font>
    <font>
      <b/>
      <sz val="10"/>
      <name val="Arial"/>
      <family val="2"/>
    </font>
    <font>
      <sz val="9"/>
      <name val="Humnst777 BT"/>
      <family val="2"/>
    </font>
    <font>
      <sz val="10"/>
      <name val="Courier"/>
      <family val="3"/>
    </font>
    <font>
      <b/>
      <sz val="11"/>
      <color indexed="9"/>
      <name val="Century Gothic"/>
      <family val="2"/>
    </font>
    <font>
      <sz val="10"/>
      <name val="Arial"/>
      <family val="2"/>
    </font>
    <font>
      <sz val="8"/>
      <name val="Arial"/>
      <family val="2"/>
    </font>
    <font>
      <sz val="8"/>
      <name val="Arial"/>
      <family val="2"/>
    </font>
    <font>
      <sz val="11"/>
      <color theme="1"/>
      <name val="Calibri"/>
      <family val="2"/>
      <scheme val="minor"/>
    </font>
    <font>
      <sz val="10"/>
      <color theme="1"/>
      <name val="Arial"/>
      <family val="2"/>
    </font>
    <font>
      <sz val="10"/>
      <name val="Arial"/>
      <family val="2"/>
    </font>
    <font>
      <sz val="10"/>
      <name val="Arial"/>
      <family val="2"/>
    </font>
    <font>
      <sz val="9"/>
      <name val="Geneva"/>
    </font>
    <font>
      <sz val="8"/>
      <name val="Arial"/>
      <family val="2"/>
    </font>
    <font>
      <sz val="9"/>
      <color theme="1"/>
      <name val="Aptos"/>
      <family val="2"/>
    </font>
    <font>
      <sz val="10"/>
      <name val="Aptos"/>
      <family val="2"/>
    </font>
    <font>
      <b/>
      <sz val="22"/>
      <name val="Aptos"/>
      <family val="2"/>
    </font>
    <font>
      <b/>
      <sz val="10"/>
      <color indexed="10"/>
      <name val="Aptos"/>
      <family val="2"/>
    </font>
    <font>
      <b/>
      <sz val="10"/>
      <name val="Aptos"/>
      <family val="2"/>
    </font>
    <font>
      <b/>
      <sz val="9"/>
      <name val="Aptos"/>
      <family val="2"/>
    </font>
    <font>
      <sz val="9"/>
      <name val="Aptos"/>
      <family val="2"/>
    </font>
    <font>
      <b/>
      <sz val="11"/>
      <name val="Aptos"/>
      <family val="2"/>
    </font>
    <font>
      <b/>
      <sz val="12"/>
      <name val="Aptos"/>
      <family val="2"/>
    </font>
    <font>
      <sz val="10"/>
      <color theme="1"/>
      <name val="Aptos"/>
      <family val="2"/>
    </font>
    <font>
      <b/>
      <u/>
      <sz val="12"/>
      <name val="Aptos"/>
      <family val="2"/>
    </font>
    <font>
      <sz val="9"/>
      <color theme="0"/>
      <name val="Aptos"/>
      <family val="2"/>
    </font>
    <font>
      <b/>
      <sz val="9"/>
      <color theme="1"/>
      <name val="Aptos"/>
      <family val="2"/>
    </font>
    <font>
      <u/>
      <sz val="9"/>
      <name val="Aptos"/>
      <family val="2"/>
    </font>
    <font>
      <b/>
      <u/>
      <sz val="9"/>
      <name val="Aptos"/>
      <family val="2"/>
    </font>
    <font>
      <sz val="10"/>
      <color theme="0"/>
      <name val="Aptos"/>
      <family val="2"/>
    </font>
    <font>
      <b/>
      <sz val="9"/>
      <color rgb="FFFF0000"/>
      <name val="Aptos"/>
      <family val="2"/>
    </font>
    <font>
      <sz val="9"/>
      <color rgb="FFFF0000"/>
      <name val="Aptos"/>
      <family val="2"/>
    </font>
    <font>
      <b/>
      <sz val="14"/>
      <color theme="0"/>
      <name val="Aptos"/>
      <family val="2"/>
    </font>
    <font>
      <b/>
      <sz val="11"/>
      <color theme="0"/>
      <name val="Aptos"/>
      <family val="2"/>
    </font>
    <font>
      <sz val="10"/>
      <color theme="6"/>
      <name val="Aptos"/>
      <family val="2"/>
    </font>
    <font>
      <sz val="10"/>
      <color theme="4" tint="0.39997558519241921"/>
      <name val="Aptos"/>
      <family val="2"/>
    </font>
    <font>
      <sz val="10"/>
      <color theme="3" tint="0.59999389629810485"/>
      <name val="Aptos"/>
      <family val="2"/>
    </font>
    <font>
      <sz val="10"/>
      <color theme="5" tint="0.39997558519241921"/>
      <name val="Aptos"/>
      <family val="2"/>
    </font>
    <font>
      <sz val="9"/>
      <color indexed="9"/>
      <name val="Aptos"/>
      <family val="2"/>
    </font>
    <font>
      <vertAlign val="superscript"/>
      <sz val="9"/>
      <name val="Aptos"/>
      <family val="2"/>
    </font>
    <font>
      <u/>
      <sz val="10"/>
      <name val="Aptos"/>
      <family val="2"/>
    </font>
    <font>
      <sz val="9"/>
      <color indexed="8"/>
      <name val="Aptos"/>
      <family val="2"/>
    </font>
    <font>
      <b/>
      <sz val="9"/>
      <color indexed="8"/>
      <name val="Aptos"/>
      <family val="2"/>
    </font>
    <font>
      <b/>
      <sz val="9"/>
      <color rgb="FFFFFFFF"/>
      <name val="Verdana"/>
      <family val="2"/>
    </font>
    <font>
      <b/>
      <sz val="12"/>
      <color theme="0"/>
      <name val="Verdana"/>
      <family val="2"/>
    </font>
    <font>
      <b/>
      <sz val="10"/>
      <color theme="0"/>
      <name val="Aptos"/>
      <family val="2"/>
    </font>
    <font>
      <b/>
      <sz val="9"/>
      <color theme="0"/>
      <name val="Verdana"/>
      <family val="2"/>
    </font>
    <font>
      <sz val="9"/>
      <color theme="0"/>
      <name val="Verdana"/>
      <family val="2"/>
    </font>
    <font>
      <sz val="9"/>
      <name val="Verdana"/>
      <family val="2"/>
    </font>
    <font>
      <b/>
      <sz val="9"/>
      <color indexed="9"/>
      <name val="Aptos"/>
      <family val="2"/>
    </font>
    <font>
      <b/>
      <u/>
      <sz val="9"/>
      <color indexed="9"/>
      <name val="Aptos"/>
      <family val="2"/>
    </font>
    <font>
      <b/>
      <u/>
      <sz val="9"/>
      <color theme="0"/>
      <name val="Aptos"/>
      <family val="2"/>
    </font>
    <font>
      <b/>
      <sz val="20"/>
      <name val="Aptos"/>
      <family val="2"/>
    </font>
    <font>
      <b/>
      <sz val="10"/>
      <color theme="1"/>
      <name val="Aptos"/>
      <family val="2"/>
    </font>
  </fonts>
  <fills count="31">
    <fill>
      <patternFill patternType="none"/>
    </fill>
    <fill>
      <patternFill patternType="gray125"/>
    </fill>
    <fill>
      <patternFill patternType="solid">
        <fgColor indexed="26"/>
        <bgColor indexed="64"/>
      </patternFill>
    </fill>
    <fill>
      <patternFill patternType="solid">
        <fgColor indexed="20"/>
        <bgColor indexed="24"/>
      </patternFill>
    </fill>
    <fill>
      <patternFill patternType="solid">
        <fgColor indexed="15"/>
        <bgColor indexed="64"/>
      </patternFill>
    </fill>
    <fill>
      <patternFill patternType="solid">
        <fgColor indexed="11"/>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0" tint="-0.249977111117893"/>
        <bgColor theme="4" tint="0.79998168889431442"/>
      </patternFill>
    </fill>
    <fill>
      <patternFill patternType="solid">
        <fgColor theme="0" tint="-0.249977111117893"/>
        <bgColor theme="4" tint="0.59999389629810485"/>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39997558519241921"/>
        <bgColor indexed="64"/>
      </patternFill>
    </fill>
    <fill>
      <patternFill patternType="solid">
        <fgColor theme="1"/>
        <bgColor indexed="64"/>
      </patternFill>
    </fill>
    <fill>
      <patternFill patternType="solid">
        <fgColor theme="2" tint="-0.499984740745262"/>
        <bgColor indexed="64"/>
      </patternFill>
    </fill>
    <fill>
      <patternFill patternType="solid">
        <fgColor theme="6"/>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249977111117893"/>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rgb="FF00FF00"/>
        <bgColor theme="4" tint="0.79998168889431442"/>
      </patternFill>
    </fill>
    <fill>
      <patternFill patternType="solid">
        <fgColor rgb="FF00FF00"/>
        <bgColor theme="4" tint="0.59999389629810485"/>
      </patternFill>
    </fill>
    <fill>
      <patternFill patternType="solid">
        <fgColor rgb="FF2B4155"/>
        <bgColor indexed="64"/>
      </patternFill>
    </fill>
    <fill>
      <patternFill patternType="solid">
        <fgColor rgb="FF2B4155"/>
        <bgColor theme="4"/>
      </patternFill>
    </fill>
    <fill>
      <patternFill patternType="solid">
        <fgColor rgb="FF00FF00"/>
        <bgColor indexed="64"/>
      </patternFill>
    </fill>
  </fills>
  <borders count="35">
    <border>
      <left/>
      <right/>
      <top/>
      <bottom/>
      <diagonal/>
    </border>
    <border>
      <left/>
      <right/>
      <top style="double">
        <color indexed="64"/>
      </top>
      <bottom/>
      <diagonal/>
    </border>
    <border>
      <left/>
      <right/>
      <top style="medium">
        <color indexed="64"/>
      </top>
      <bottom/>
      <diagonal/>
    </border>
    <border>
      <left style="double">
        <color indexed="64"/>
      </left>
      <right/>
      <top style="double">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thin">
        <color theme="0"/>
      </left>
      <right style="thin">
        <color theme="0"/>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s>
  <cellStyleXfs count="77">
    <xf numFmtId="0" fontId="0" fillId="0" borderId="0"/>
    <xf numFmtId="0" fontId="14" fillId="0" borderId="0"/>
    <xf numFmtId="171"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164" fontId="20"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15" fillId="0" borderId="0" applyNumberFormat="0" applyFill="0" applyBorder="0" applyAlignment="0" applyProtection="0">
      <alignment vertical="top"/>
      <protection locked="0"/>
    </xf>
    <xf numFmtId="168" fontId="7" fillId="0" borderId="0" applyFont="0" applyFill="0" applyBorder="0" applyAlignment="0" applyProtection="0"/>
    <xf numFmtId="168" fontId="6" fillId="0" borderId="0" applyFont="0" applyFill="0" applyBorder="0" applyAlignment="0" applyProtection="0"/>
    <xf numFmtId="165" fontId="9" fillId="0" borderId="0">
      <alignment horizontal="center" vertical="center" textRotation="90" wrapText="1"/>
    </xf>
    <xf numFmtId="0" fontId="16" fillId="2" borderId="1"/>
    <xf numFmtId="174" fontId="10" fillId="0" borderId="0"/>
    <xf numFmtId="0" fontId="17" fillId="0" borderId="0" applyNumberFormat="0" applyBorder="0">
      <protection locked="0"/>
    </xf>
    <xf numFmtId="0" fontId="18" fillId="0" borderId="0"/>
    <xf numFmtId="0" fontId="19" fillId="3" borderId="2" applyNumberFormat="0" applyFont="0" applyFill="0" applyBorder="0" applyAlignment="0">
      <alignment horizontal="right"/>
    </xf>
    <xf numFmtId="0" fontId="16" fillId="4" borderId="3" applyNumberFormat="0" applyFont="0" applyBorder="0">
      <alignment horizontal="center"/>
    </xf>
    <xf numFmtId="0" fontId="12" fillId="0" borderId="0"/>
    <xf numFmtId="0" fontId="23" fillId="0" borderId="0"/>
    <xf numFmtId="0" fontId="6" fillId="0" borderId="0"/>
    <xf numFmtId="167" fontId="6" fillId="0" borderId="0" applyFont="0" applyFill="0" applyBorder="0" applyAlignment="0" applyProtection="0"/>
    <xf numFmtId="175" fontId="14" fillId="0" borderId="0" applyFont="0" applyFill="0" applyBorder="0" applyAlignment="0" applyProtection="0"/>
    <xf numFmtId="176" fontId="14" fillId="0" borderId="0" applyFont="0" applyFill="0" applyBorder="0" applyAlignment="0" applyProtection="0"/>
    <xf numFmtId="0" fontId="24" fillId="0" borderId="0"/>
    <xf numFmtId="9" fontId="24" fillId="0" borderId="0" applyFont="0" applyFill="0" applyBorder="0" applyAlignment="0" applyProtection="0"/>
    <xf numFmtId="44" fontId="24" fillId="0" borderId="0" applyFont="0" applyFill="0" applyBorder="0" applyAlignment="0" applyProtection="0"/>
    <xf numFmtId="43" fontId="24" fillId="0" borderId="0" applyFont="0" applyFill="0" applyBorder="0" applyAlignment="0" applyProtection="0"/>
    <xf numFmtId="9" fontId="25" fillId="0" borderId="0" applyFont="0" applyFill="0" applyBorder="0" applyAlignment="0" applyProtection="0"/>
    <xf numFmtId="0" fontId="6" fillId="0" borderId="0"/>
    <xf numFmtId="164" fontId="6" fillId="0" borderId="0" applyFont="0" applyFill="0" applyBorder="0" applyAlignment="0" applyProtection="0"/>
    <xf numFmtId="0" fontId="10" fillId="2" borderId="1"/>
    <xf numFmtId="0" fontId="6" fillId="0" borderId="0"/>
    <xf numFmtId="0" fontId="5" fillId="0" borderId="0"/>
    <xf numFmtId="9" fontId="6" fillId="0" borderId="0" applyFont="0" applyFill="0" applyBorder="0" applyAlignment="0" applyProtection="0"/>
    <xf numFmtId="0" fontId="4" fillId="0" borderId="0"/>
    <xf numFmtId="44" fontId="6" fillId="0" borderId="0" applyFont="0" applyFill="0" applyBorder="0" applyAlignment="0" applyProtection="0"/>
    <xf numFmtId="0" fontId="4" fillId="0" borderId="0"/>
    <xf numFmtId="44" fontId="6" fillId="0" borderId="0" applyFont="0" applyFill="0" applyBorder="0" applyAlignment="0" applyProtection="0"/>
    <xf numFmtId="0" fontId="4" fillId="0" borderId="0"/>
    <xf numFmtId="0" fontId="4" fillId="0" borderId="0"/>
    <xf numFmtId="0" fontId="4" fillId="0" borderId="0"/>
    <xf numFmtId="0" fontId="4" fillId="0" borderId="0"/>
    <xf numFmtId="0" fontId="3" fillId="0" borderId="0"/>
    <xf numFmtId="44" fontId="26" fillId="0" borderId="0" applyFont="0" applyFill="0" applyBorder="0" applyAlignment="0" applyProtection="0"/>
    <xf numFmtId="0" fontId="27"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43" fontId="6" fillId="0" borderId="0" applyFont="0" applyFill="0" applyBorder="0" applyAlignment="0" applyProtection="0"/>
    <xf numFmtId="0" fontId="2" fillId="0" borderId="0"/>
    <xf numFmtId="44" fontId="24" fillId="0" borderId="0" applyFont="0" applyFill="0" applyBorder="0" applyAlignment="0" applyProtection="0"/>
    <xf numFmtId="43" fontId="24" fillId="0" borderId="0" applyFont="0" applyFill="0" applyBorder="0" applyAlignment="0" applyProtection="0"/>
    <xf numFmtId="0" fontId="2" fillId="0" borderId="0"/>
    <xf numFmtId="0" fontId="2" fillId="0" borderId="0"/>
    <xf numFmtId="44" fontId="6" fillId="0" borderId="0" applyFont="0" applyFill="0" applyBorder="0" applyAlignment="0" applyProtection="0"/>
    <xf numFmtId="0" fontId="2" fillId="0" borderId="0"/>
    <xf numFmtId="44"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cellStyleXfs>
  <cellXfs count="450">
    <xf numFmtId="0" fontId="0" fillId="0" borderId="0" xfId="0"/>
    <xf numFmtId="0" fontId="29" fillId="0" borderId="9" xfId="0" applyFont="1" applyBorder="1" applyAlignment="1">
      <alignment horizontal="right" vertical="center"/>
    </xf>
    <xf numFmtId="14" fontId="29" fillId="0" borderId="9" xfId="0" applyNumberFormat="1" applyFont="1" applyBorder="1" applyAlignment="1">
      <alignment vertical="center"/>
    </xf>
    <xf numFmtId="0" fontId="29" fillId="0" borderId="9" xfId="0" applyFont="1" applyBorder="1" applyAlignment="1">
      <alignment vertical="center"/>
    </xf>
    <xf numFmtId="168" fontId="29" fillId="0" borderId="9" xfId="20" applyFont="1" applyBorder="1" applyAlignment="1">
      <alignment horizontal="right" vertical="center"/>
    </xf>
    <xf numFmtId="0" fontId="29" fillId="0" borderId="9" xfId="0" applyFont="1" applyBorder="1" applyAlignment="1">
      <alignment horizontal="center" vertical="center"/>
    </xf>
    <xf numFmtId="185" fontId="29" fillId="0" borderId="9" xfId="48" applyNumberFormat="1" applyFont="1" applyBorder="1" applyAlignment="1">
      <alignment horizontal="center" vertical="center"/>
    </xf>
    <xf numFmtId="44" fontId="29" fillId="0" borderId="9" xfId="48" applyFont="1" applyBorder="1" applyAlignment="1">
      <alignment vertical="center"/>
    </xf>
    <xf numFmtId="0" fontId="30" fillId="0" borderId="0" xfId="0" applyFont="1"/>
    <xf numFmtId="0" fontId="29" fillId="0" borderId="0" xfId="0" applyFont="1"/>
    <xf numFmtId="0" fontId="29" fillId="0" borderId="0" xfId="0" applyFont="1" applyAlignment="1">
      <alignment horizontal="center"/>
    </xf>
    <xf numFmtId="0" fontId="30" fillId="0" borderId="0" xfId="30" applyFont="1"/>
    <xf numFmtId="0" fontId="30" fillId="0" borderId="0" xfId="42" applyFont="1" applyAlignment="1">
      <alignment wrapText="1"/>
    </xf>
    <xf numFmtId="0" fontId="32" fillId="0" borderId="0" xfId="30" applyFont="1" applyAlignment="1">
      <alignment vertical="top" wrapText="1"/>
    </xf>
    <xf numFmtId="0" fontId="34" fillId="0" borderId="7" xfId="0" applyFont="1" applyBorder="1" applyAlignment="1">
      <alignment vertical="center" wrapText="1"/>
    </xf>
    <xf numFmtId="0" fontId="35" fillId="0" borderId="9" xfId="0" applyFont="1" applyBorder="1" applyAlignment="1">
      <alignment vertical="center" wrapText="1"/>
    </xf>
    <xf numFmtId="0" fontId="34" fillId="0" borderId="0" xfId="0" applyFont="1" applyAlignment="1">
      <alignment vertical="center" wrapText="1"/>
    </xf>
    <xf numFmtId="0" fontId="35" fillId="0" borderId="25" xfId="30" applyFont="1" applyBorder="1" applyAlignment="1">
      <alignment vertical="center"/>
    </xf>
    <xf numFmtId="0" fontId="35" fillId="0" borderId="23" xfId="0" applyFont="1" applyBorder="1" applyAlignment="1">
      <alignment vertical="top" wrapText="1"/>
    </xf>
    <xf numFmtId="0" fontId="35" fillId="0" borderId="5" xfId="0" applyFont="1" applyBorder="1" applyAlignment="1">
      <alignment vertical="center" wrapText="1"/>
    </xf>
    <xf numFmtId="0" fontId="35" fillId="0" borderId="10" xfId="0" applyFont="1" applyBorder="1" applyAlignment="1">
      <alignment vertical="center" wrapText="1"/>
    </xf>
    <xf numFmtId="0" fontId="34" fillId="0" borderId="9" xfId="0" applyFont="1" applyBorder="1" applyAlignment="1">
      <alignment vertical="center" wrapText="1"/>
    </xf>
    <xf numFmtId="0" fontId="34" fillId="6" borderId="9" xfId="0" applyFont="1" applyFill="1" applyBorder="1" applyAlignment="1">
      <alignment vertical="center" wrapText="1"/>
    </xf>
    <xf numFmtId="0" fontId="35" fillId="6" borderId="9" xfId="0" applyFont="1" applyFill="1" applyBorder="1" applyAlignment="1">
      <alignment vertical="center" wrapText="1"/>
    </xf>
    <xf numFmtId="0" fontId="35" fillId="0" borderId="23" xfId="0" applyFont="1" applyBorder="1" applyAlignment="1">
      <alignment vertical="center" wrapText="1"/>
    </xf>
    <xf numFmtId="0" fontId="35" fillId="0" borderId="0" xfId="30" applyFont="1" applyAlignment="1">
      <alignment vertical="center"/>
    </xf>
    <xf numFmtId="0" fontId="30" fillId="0" borderId="0" xfId="0" applyFont="1" applyAlignment="1">
      <alignment horizontal="center"/>
    </xf>
    <xf numFmtId="0" fontId="39" fillId="0" borderId="0" xfId="30" applyFont="1" applyAlignment="1">
      <alignment horizontal="center" vertical="center"/>
    </xf>
    <xf numFmtId="0" fontId="35" fillId="0" borderId="0" xfId="0" applyFont="1" applyAlignment="1">
      <alignment vertical="center"/>
    </xf>
    <xf numFmtId="0" fontId="35" fillId="0" borderId="0" xfId="0" applyFont="1" applyAlignment="1">
      <alignment vertical="center" wrapText="1"/>
    </xf>
    <xf numFmtId="173" fontId="35" fillId="0" borderId="9" xfId="0" applyNumberFormat="1" applyFont="1" applyBorder="1" applyAlignment="1">
      <alignment vertical="center"/>
    </xf>
    <xf numFmtId="0" fontId="35" fillId="0" borderId="9" xfId="0" applyFont="1" applyBorder="1" applyAlignment="1">
      <alignment vertical="center"/>
    </xf>
    <xf numFmtId="10" fontId="35" fillId="0" borderId="9" xfId="0" applyNumberFormat="1" applyFont="1" applyBorder="1" applyAlignment="1">
      <alignment horizontal="center" vertical="center"/>
    </xf>
    <xf numFmtId="9" fontId="35" fillId="0" borderId="9" xfId="0" applyNumberFormat="1" applyFont="1" applyBorder="1" applyAlignment="1">
      <alignment vertical="center"/>
    </xf>
    <xf numFmtId="170" fontId="29" fillId="11" borderId="9" xfId="0" applyNumberFormat="1" applyFont="1" applyFill="1" applyBorder="1" applyAlignment="1">
      <alignment horizontal="center" vertical="center"/>
    </xf>
    <xf numFmtId="172" fontId="29" fillId="11" borderId="9" xfId="31" applyNumberFormat="1" applyFont="1" applyFill="1" applyBorder="1" applyAlignment="1" applyProtection="1">
      <alignment horizontal="left" vertical="center"/>
      <protection hidden="1"/>
    </xf>
    <xf numFmtId="0" fontId="42" fillId="0" borderId="0" xfId="0" applyFont="1" applyAlignment="1">
      <alignment vertical="center"/>
    </xf>
    <xf numFmtId="0" fontId="34" fillId="0" borderId="0" xfId="0" applyFont="1" applyAlignment="1">
      <alignment horizontal="center" vertical="center"/>
    </xf>
    <xf numFmtId="170" fontId="35" fillId="0" borderId="0" xfId="0" applyNumberFormat="1" applyFont="1" applyAlignment="1">
      <alignment vertical="center"/>
    </xf>
    <xf numFmtId="0" fontId="35" fillId="0" borderId="9" xfId="0" applyFont="1" applyBorder="1" applyAlignment="1">
      <alignment horizontal="left" vertical="center"/>
    </xf>
    <xf numFmtId="172" fontId="35" fillId="0" borderId="9" xfId="31" applyNumberFormat="1" applyFont="1" applyBorder="1" applyAlignment="1" applyProtection="1">
      <alignment horizontal="left" vertical="center"/>
      <protection hidden="1"/>
    </xf>
    <xf numFmtId="182" fontId="35" fillId="0" borderId="9" xfId="0" applyNumberFormat="1" applyFont="1" applyBorder="1" applyAlignment="1">
      <alignment vertical="center"/>
    </xf>
    <xf numFmtId="170" fontId="29" fillId="11" borderId="9" xfId="0" applyNumberFormat="1" applyFont="1" applyFill="1" applyBorder="1" applyAlignment="1" applyProtection="1">
      <alignment horizontal="center" vertical="center"/>
      <protection locked="0"/>
    </xf>
    <xf numFmtId="172" fontId="29" fillId="11" borderId="9" xfId="2" applyNumberFormat="1" applyFont="1" applyFill="1" applyBorder="1" applyAlignment="1" applyProtection="1">
      <alignment horizontal="left" vertical="center"/>
      <protection hidden="1"/>
    </xf>
    <xf numFmtId="170" fontId="35" fillId="0" borderId="0" xfId="0" applyNumberFormat="1" applyFont="1" applyAlignment="1" applyProtection="1">
      <alignment horizontal="center" vertical="center"/>
      <protection locked="0"/>
    </xf>
    <xf numFmtId="166" fontId="35" fillId="0" borderId="0" xfId="0" applyNumberFormat="1" applyFont="1" applyAlignment="1" applyProtection="1">
      <alignment horizontal="left" vertical="center"/>
      <protection hidden="1"/>
    </xf>
    <xf numFmtId="170" fontId="35" fillId="0" borderId="9" xfId="0" applyNumberFormat="1" applyFont="1" applyBorder="1" applyAlignment="1">
      <alignment horizontal="center" vertical="center"/>
    </xf>
    <xf numFmtId="171" fontId="35" fillId="0" borderId="9" xfId="0" applyNumberFormat="1" applyFont="1" applyBorder="1" applyAlignment="1">
      <alignment vertical="center"/>
    </xf>
    <xf numFmtId="171" fontId="35" fillId="0" borderId="9" xfId="2" applyFont="1" applyBorder="1" applyAlignment="1" applyProtection="1">
      <alignment horizontal="left" vertical="center"/>
      <protection locked="0"/>
    </xf>
    <xf numFmtId="0" fontId="35" fillId="0" borderId="0" xfId="0" applyFont="1" applyAlignment="1">
      <alignment horizontal="center" vertical="center"/>
    </xf>
    <xf numFmtId="170" fontId="35" fillId="0" borderId="0" xfId="0" applyNumberFormat="1" applyFont="1" applyAlignment="1">
      <alignment horizontal="center" vertical="center"/>
    </xf>
    <xf numFmtId="172" fontId="35" fillId="0" borderId="0" xfId="31" applyNumberFormat="1" applyFont="1" applyAlignment="1" applyProtection="1">
      <alignment horizontal="left" vertical="center"/>
      <protection hidden="1"/>
    </xf>
    <xf numFmtId="170" fontId="35" fillId="0" borderId="9" xfId="44" applyNumberFormat="1" applyFont="1" applyFill="1" applyBorder="1" applyAlignment="1">
      <alignment horizontal="center" vertical="center"/>
    </xf>
    <xf numFmtId="171" fontId="29" fillId="11" borderId="9" xfId="2" applyFont="1" applyFill="1" applyBorder="1" applyAlignment="1" applyProtection="1">
      <alignment horizontal="left" vertical="center"/>
      <protection locked="0"/>
    </xf>
    <xf numFmtId="171" fontId="35" fillId="0" borderId="0" xfId="2" applyFont="1" applyAlignment="1" applyProtection="1">
      <alignment horizontal="left" vertical="center"/>
      <protection locked="0"/>
    </xf>
    <xf numFmtId="173" fontId="41" fillId="11" borderId="9" xfId="0" applyNumberFormat="1" applyFont="1" applyFill="1" applyBorder="1" applyAlignment="1">
      <alignment vertical="center"/>
    </xf>
    <xf numFmtId="173" fontId="35" fillId="0" borderId="0" xfId="0" applyNumberFormat="1" applyFont="1" applyAlignment="1">
      <alignment vertical="center"/>
    </xf>
    <xf numFmtId="9" fontId="35" fillId="0" borderId="9" xfId="0" applyNumberFormat="1" applyFont="1" applyBorder="1" applyAlignment="1">
      <alignment horizontal="center" vertical="center"/>
    </xf>
    <xf numFmtId="173" fontId="35" fillId="0" borderId="9" xfId="0" applyNumberFormat="1" applyFont="1" applyBorder="1" applyAlignment="1" applyProtection="1">
      <alignment vertical="center"/>
      <protection locked="0"/>
    </xf>
    <xf numFmtId="173" fontId="35" fillId="0" borderId="9" xfId="2" applyNumberFormat="1" applyFont="1" applyBorder="1" applyAlignment="1" applyProtection="1">
      <alignment horizontal="left" vertical="center"/>
      <protection hidden="1"/>
    </xf>
    <xf numFmtId="0" fontId="39" fillId="0" borderId="0" xfId="30" applyFont="1" applyAlignment="1">
      <alignment vertical="center"/>
    </xf>
    <xf numFmtId="170" fontId="35" fillId="5" borderId="0" xfId="0" applyNumberFormat="1" applyFont="1" applyFill="1" applyAlignment="1">
      <alignment vertical="center"/>
    </xf>
    <xf numFmtId="2" fontId="34" fillId="6" borderId="0" xfId="0" applyNumberFormat="1" applyFont="1" applyFill="1" applyAlignment="1">
      <alignment vertical="center"/>
    </xf>
    <xf numFmtId="0" fontId="35" fillId="6" borderId="0" xfId="0" applyFont="1" applyFill="1" applyAlignment="1">
      <alignment vertical="center"/>
    </xf>
    <xf numFmtId="0" fontId="35" fillId="6" borderId="0" xfId="0" applyFont="1" applyFill="1"/>
    <xf numFmtId="169" fontId="35" fillId="6" borderId="0" xfId="0" applyNumberFormat="1" applyFont="1" applyFill="1"/>
    <xf numFmtId="17" fontId="35" fillId="6" borderId="0" xfId="0" applyNumberFormat="1" applyFont="1" applyFill="1" applyAlignment="1">
      <alignment horizontal="center"/>
    </xf>
    <xf numFmtId="0" fontId="35" fillId="6" borderId="0" xfId="0" applyFont="1" applyFill="1" applyAlignment="1">
      <alignment horizontal="center"/>
    </xf>
    <xf numFmtId="0" fontId="35" fillId="0" borderId="18" xfId="30" applyFont="1" applyBorder="1" applyAlignment="1">
      <alignment horizontal="center" vertical="center"/>
    </xf>
    <xf numFmtId="0" fontId="29" fillId="0" borderId="19" xfId="0" applyFont="1" applyBorder="1" applyAlignment="1">
      <alignment horizontal="left" vertical="top"/>
    </xf>
    <xf numFmtId="0" fontId="35" fillId="0" borderId="18" xfId="30" applyFont="1" applyBorder="1" applyAlignment="1">
      <alignment horizontal="left" vertical="center"/>
    </xf>
    <xf numFmtId="0" fontId="35" fillId="0" borderId="0" xfId="30" applyFont="1" applyAlignment="1">
      <alignment horizontal="left" vertical="center"/>
    </xf>
    <xf numFmtId="0" fontId="35" fillId="0" borderId="19" xfId="0" applyFont="1" applyBorder="1" applyAlignment="1">
      <alignment vertical="center"/>
    </xf>
    <xf numFmtId="0" fontId="35" fillId="0" borderId="26" xfId="0" applyFont="1" applyBorder="1" applyAlignment="1">
      <alignment vertical="center"/>
    </xf>
    <xf numFmtId="0" fontId="34" fillId="6" borderId="0" xfId="0" applyFont="1" applyFill="1" applyAlignment="1">
      <alignment horizontal="left" vertical="center"/>
    </xf>
    <xf numFmtId="2" fontId="35" fillId="6" borderId="0" xfId="0" applyNumberFormat="1" applyFont="1" applyFill="1"/>
    <xf numFmtId="0" fontId="35" fillId="0" borderId="0" xfId="30" applyFont="1" applyAlignment="1">
      <alignment horizontal="center" vertical="center"/>
    </xf>
    <xf numFmtId="2" fontId="35" fillId="0" borderId="0" xfId="0" applyNumberFormat="1" applyFont="1" applyAlignment="1">
      <alignment horizontal="center" vertical="center"/>
    </xf>
    <xf numFmtId="1" fontId="35" fillId="6" borderId="0" xfId="0" applyNumberFormat="1" applyFont="1" applyFill="1"/>
    <xf numFmtId="44" fontId="35" fillId="6" borderId="0" xfId="0" applyNumberFormat="1" applyFont="1" applyFill="1"/>
    <xf numFmtId="1" fontId="35" fillId="6" borderId="0" xfId="0" applyNumberFormat="1" applyFont="1" applyFill="1" applyAlignment="1">
      <alignment vertical="center"/>
    </xf>
    <xf numFmtId="1" fontId="35" fillId="6" borderId="0" xfId="0" applyNumberFormat="1" applyFont="1" applyFill="1" applyAlignment="1">
      <alignment wrapText="1"/>
    </xf>
    <xf numFmtId="44" fontId="35" fillId="6" borderId="0" xfId="0" applyNumberFormat="1" applyFont="1" applyFill="1" applyAlignment="1">
      <alignment horizontal="center"/>
    </xf>
    <xf numFmtId="44" fontId="35" fillId="6" borderId="0" xfId="54" applyFont="1" applyFill="1"/>
    <xf numFmtId="169" fontId="35" fillId="6" borderId="0" xfId="0" applyNumberFormat="1" applyFont="1" applyFill="1" applyAlignment="1">
      <alignment vertical="center"/>
    </xf>
    <xf numFmtId="0" fontId="35" fillId="6" borderId="0" xfId="0" applyFont="1" applyFill="1" applyAlignment="1">
      <alignment horizontal="center" vertical="center"/>
    </xf>
    <xf numFmtId="44" fontId="35" fillId="6" borderId="0" xfId="54" applyFont="1" applyFill="1" applyAlignment="1">
      <alignment horizontal="center" vertical="center"/>
    </xf>
    <xf numFmtId="44" fontId="35" fillId="6" borderId="0" xfId="54" applyFont="1" applyFill="1" applyAlignment="1">
      <alignment vertical="center"/>
    </xf>
    <xf numFmtId="0" fontId="35" fillId="6" borderId="0" xfId="0" applyFont="1" applyFill="1" applyAlignment="1">
      <alignment wrapText="1"/>
    </xf>
    <xf numFmtId="169" fontId="35" fillId="6" borderId="0" xfId="0" applyNumberFormat="1" applyFont="1" applyFill="1" applyAlignment="1">
      <alignment wrapText="1"/>
    </xf>
    <xf numFmtId="0" fontId="35" fillId="6" borderId="0" xfId="0" applyFont="1" applyFill="1" applyAlignment="1">
      <alignment horizontal="center" wrapText="1"/>
    </xf>
    <xf numFmtId="44" fontId="35" fillId="6" borderId="0" xfId="54" applyFont="1" applyFill="1" applyAlignment="1">
      <alignment horizontal="center" wrapText="1"/>
    </xf>
    <xf numFmtId="44" fontId="35" fillId="0" borderId="0" xfId="54" applyFont="1" applyAlignment="1">
      <alignment wrapText="1"/>
    </xf>
    <xf numFmtId="0" fontId="35" fillId="0" borderId="0" xfId="0" applyFont="1" applyAlignment="1">
      <alignment wrapText="1"/>
    </xf>
    <xf numFmtId="44" fontId="35" fillId="6" borderId="0" xfId="0" applyNumberFormat="1" applyFont="1" applyFill="1" applyAlignment="1">
      <alignment wrapText="1"/>
    </xf>
    <xf numFmtId="44" fontId="35" fillId="6" borderId="0" xfId="54" applyFont="1" applyFill="1" applyAlignment="1">
      <alignment wrapText="1"/>
    </xf>
    <xf numFmtId="0" fontId="34" fillId="6" borderId="0" xfId="0" applyFont="1" applyFill="1" applyAlignment="1">
      <alignment vertical="center"/>
    </xf>
    <xf numFmtId="44" fontId="35" fillId="6" borderId="0" xfId="0" applyNumberFormat="1" applyFont="1" applyFill="1" applyAlignment="1">
      <alignment vertical="center"/>
    </xf>
    <xf numFmtId="2" fontId="35" fillId="6" borderId="0" xfId="0" applyNumberFormat="1" applyFont="1" applyFill="1" applyAlignment="1">
      <alignment vertical="center"/>
    </xf>
    <xf numFmtId="2" fontId="35" fillId="0" borderId="0" xfId="0" applyNumberFormat="1" applyFont="1" applyAlignment="1">
      <alignment horizontal="center" vertical="center" wrapText="1"/>
    </xf>
    <xf numFmtId="0" fontId="35" fillId="0" borderId="0" xfId="0" applyFont="1" applyAlignment="1">
      <alignment horizontal="center" vertical="center" wrapText="1"/>
    </xf>
    <xf numFmtId="0" fontId="43" fillId="0" borderId="0" xfId="30" applyFont="1" applyAlignment="1">
      <alignment horizontal="center" vertical="center"/>
    </xf>
    <xf numFmtId="1" fontId="35" fillId="7" borderId="0" xfId="30" applyNumberFormat="1" applyFont="1" applyFill="1" applyAlignment="1">
      <alignment horizontal="center" vertical="center"/>
    </xf>
    <xf numFmtId="0" fontId="35" fillId="7" borderId="0" xfId="30" applyFont="1" applyFill="1" applyAlignment="1">
      <alignment horizontal="left" vertical="center"/>
    </xf>
    <xf numFmtId="1" fontId="35" fillId="8" borderId="0" xfId="30" applyNumberFormat="1" applyFont="1" applyFill="1" applyAlignment="1">
      <alignment horizontal="center" vertical="center"/>
    </xf>
    <xf numFmtId="0" fontId="35" fillId="8" borderId="0" xfId="30" applyFont="1" applyFill="1" applyAlignment="1">
      <alignment horizontal="left" vertical="center"/>
    </xf>
    <xf numFmtId="17" fontId="34" fillId="6" borderId="0" xfId="0" applyNumberFormat="1" applyFont="1" applyFill="1" applyAlignment="1">
      <alignment horizontal="center"/>
    </xf>
    <xf numFmtId="0" fontId="34" fillId="6" borderId="0" xfId="0" applyFont="1" applyFill="1" applyAlignment="1">
      <alignment horizontal="center"/>
    </xf>
    <xf numFmtId="0" fontId="35" fillId="0" borderId="0" xfId="0" applyFont="1"/>
    <xf numFmtId="17" fontId="35" fillId="6" borderId="0" xfId="0" applyNumberFormat="1" applyFont="1" applyFill="1" applyAlignment="1">
      <alignment horizontal="center" vertical="center"/>
    </xf>
    <xf numFmtId="10" fontId="35" fillId="6" borderId="0" xfId="0" applyNumberFormat="1" applyFont="1" applyFill="1"/>
    <xf numFmtId="0" fontId="34" fillId="0" borderId="0" xfId="0" applyFont="1" applyAlignment="1">
      <alignment horizontal="center"/>
    </xf>
    <xf numFmtId="2" fontId="35" fillId="0" borderId="0" xfId="0" applyNumberFormat="1" applyFont="1"/>
    <xf numFmtId="169" fontId="35" fillId="0" borderId="0" xfId="0" applyNumberFormat="1" applyFont="1"/>
    <xf numFmtId="0" fontId="35" fillId="0" borderId="0" xfId="0" applyFont="1" applyAlignment="1">
      <alignment horizontal="center"/>
    </xf>
    <xf numFmtId="0" fontId="30" fillId="0" borderId="0" xfId="0" applyFont="1" applyAlignment="1">
      <alignment horizontal="center" wrapText="1"/>
    </xf>
    <xf numFmtId="0" fontId="44" fillId="6" borderId="0" xfId="0" applyFont="1" applyFill="1" applyAlignment="1">
      <alignment horizontal="center" wrapText="1"/>
    </xf>
    <xf numFmtId="0" fontId="35" fillId="6" borderId="0" xfId="0" applyFont="1" applyFill="1" applyAlignment="1">
      <alignment horizontal="left" vertical="top"/>
    </xf>
    <xf numFmtId="0" fontId="45" fillId="0" borderId="0" xfId="0" applyFont="1" applyAlignment="1">
      <alignment horizontal="left" vertical="center"/>
    </xf>
    <xf numFmtId="0" fontId="46" fillId="25" borderId="0" xfId="0" applyFont="1" applyFill="1" applyAlignment="1">
      <alignment horizontal="center" vertical="center"/>
    </xf>
    <xf numFmtId="0" fontId="46" fillId="25" borderId="0" xfId="0" applyFont="1" applyFill="1" applyAlignment="1">
      <alignment horizontal="left" vertical="center"/>
    </xf>
    <xf numFmtId="177" fontId="35" fillId="6" borderId="0" xfId="0" applyNumberFormat="1" applyFont="1" applyFill="1" applyAlignment="1">
      <alignment vertical="center"/>
    </xf>
    <xf numFmtId="177" fontId="35" fillId="6" borderId="0" xfId="0" applyNumberFormat="1" applyFont="1" applyFill="1" applyAlignment="1">
      <alignment horizontal="center" vertical="center"/>
    </xf>
    <xf numFmtId="49" fontId="35" fillId="6" borderId="0" xfId="0" applyNumberFormat="1" applyFont="1" applyFill="1" applyAlignment="1">
      <alignment horizontal="center" vertical="center"/>
    </xf>
    <xf numFmtId="0" fontId="40" fillId="0" borderId="0" xfId="0" applyFont="1" applyAlignment="1">
      <alignment vertical="center"/>
    </xf>
    <xf numFmtId="168" fontId="35" fillId="6" borderId="0" xfId="19" applyFont="1" applyFill="1" applyAlignment="1">
      <alignment vertical="center"/>
    </xf>
    <xf numFmtId="0" fontId="35" fillId="6" borderId="0" xfId="0" applyFont="1" applyFill="1" applyAlignment="1">
      <alignment horizontal="left" vertical="center"/>
    </xf>
    <xf numFmtId="0" fontId="34" fillId="11" borderId="0" xfId="0" applyFont="1" applyFill="1" applyAlignment="1">
      <alignment horizontal="center" vertical="center"/>
    </xf>
    <xf numFmtId="0" fontId="48" fillId="6" borderId="0" xfId="0" applyFont="1" applyFill="1" applyAlignment="1">
      <alignment horizontal="center" wrapText="1"/>
    </xf>
    <xf numFmtId="0" fontId="35" fillId="0" borderId="0" xfId="0" applyFont="1" applyAlignment="1">
      <alignment horizontal="left" vertical="center" wrapText="1"/>
    </xf>
    <xf numFmtId="173" fontId="35" fillId="0" borderId="0" xfId="0" applyNumberFormat="1" applyFont="1" applyAlignment="1">
      <alignment horizontal="center" vertical="center" wrapText="1"/>
    </xf>
    <xf numFmtId="0" fontId="35" fillId="6" borderId="0" xfId="0" applyFont="1" applyFill="1" applyAlignment="1">
      <alignment vertical="center" wrapText="1"/>
    </xf>
    <xf numFmtId="0" fontId="35" fillId="0" borderId="0" xfId="0" applyFont="1" applyAlignment="1">
      <alignment horizontal="left" vertical="top"/>
    </xf>
    <xf numFmtId="178" fontId="35" fillId="0" borderId="0" xfId="0" applyNumberFormat="1" applyFont="1" applyAlignment="1">
      <alignment vertical="center"/>
    </xf>
    <xf numFmtId="49" fontId="35" fillId="0" borderId="0" xfId="0" applyNumberFormat="1" applyFont="1" applyAlignment="1">
      <alignment horizontal="center" vertical="center"/>
    </xf>
    <xf numFmtId="168" fontId="35" fillId="0" borderId="0" xfId="19" applyFont="1" applyFill="1" applyAlignment="1">
      <alignment horizontal="center" vertical="center" wrapText="1"/>
    </xf>
    <xf numFmtId="44" fontId="35" fillId="0" borderId="0" xfId="54" applyFont="1" applyFill="1" applyAlignment="1">
      <alignment horizontal="center" vertical="center" wrapText="1"/>
    </xf>
    <xf numFmtId="173" fontId="35" fillId="0" borderId="19" xfId="0" applyNumberFormat="1" applyFont="1" applyBorder="1" applyAlignment="1">
      <alignment horizontal="center" vertical="center" wrapText="1"/>
    </xf>
    <xf numFmtId="173" fontId="35" fillId="0" borderId="0" xfId="0" applyNumberFormat="1" applyFont="1" applyAlignment="1">
      <alignment horizontal="center" vertical="center"/>
    </xf>
    <xf numFmtId="178" fontId="29" fillId="0" borderId="0" xfId="0" applyNumberFormat="1" applyFont="1" applyAlignment="1">
      <alignment vertical="center"/>
    </xf>
    <xf numFmtId="0" fontId="35" fillId="0" borderId="0" xfId="0" applyFont="1" applyAlignment="1">
      <alignment horizontal="left" vertical="center"/>
    </xf>
    <xf numFmtId="1" fontId="35" fillId="0" borderId="0" xfId="0" applyNumberFormat="1" applyFont="1" applyAlignment="1">
      <alignment horizontal="center" vertical="center"/>
    </xf>
    <xf numFmtId="173" fontId="35" fillId="0" borderId="9" xfId="0" applyNumberFormat="1" applyFont="1" applyBorder="1" applyAlignment="1">
      <alignment horizontal="center" vertical="center"/>
    </xf>
    <xf numFmtId="177" fontId="35" fillId="0" borderId="0" xfId="0" applyNumberFormat="1" applyFont="1" applyAlignment="1">
      <alignment vertical="center"/>
    </xf>
    <xf numFmtId="177" fontId="35" fillId="0" borderId="0" xfId="0" applyNumberFormat="1" applyFont="1" applyAlignment="1">
      <alignment horizontal="center" vertical="center"/>
    </xf>
    <xf numFmtId="169" fontId="35" fillId="0" borderId="0" xfId="0" applyNumberFormat="1" applyFont="1" applyAlignment="1" applyProtection="1">
      <alignment vertical="center"/>
      <protection hidden="1"/>
    </xf>
    <xf numFmtId="2" fontId="35" fillId="0" borderId="0" xfId="0" applyNumberFormat="1" applyFont="1" applyAlignment="1" applyProtection="1">
      <alignment vertical="center"/>
      <protection hidden="1"/>
    </xf>
    <xf numFmtId="168" fontId="35" fillId="0" borderId="0" xfId="19" applyFont="1" applyAlignment="1" applyProtection="1">
      <alignment vertical="center"/>
      <protection hidden="1"/>
    </xf>
    <xf numFmtId="44" fontId="34" fillId="0" borderId="0" xfId="54" applyFont="1" applyAlignment="1">
      <alignment horizontal="center" vertical="center"/>
    </xf>
    <xf numFmtId="0" fontId="35" fillId="0" borderId="0" xfId="0" applyFont="1" applyAlignment="1" applyProtection="1">
      <alignment vertical="center"/>
      <protection hidden="1"/>
    </xf>
    <xf numFmtId="168" fontId="35" fillId="0" borderId="0" xfId="19" applyFont="1" applyAlignment="1">
      <alignment vertical="center"/>
    </xf>
    <xf numFmtId="0" fontId="45" fillId="0" borderId="0" xfId="0" applyFont="1" applyAlignment="1">
      <alignment vertical="center"/>
    </xf>
    <xf numFmtId="0" fontId="46" fillId="0" borderId="0" xfId="0" applyFont="1" applyAlignment="1">
      <alignment vertical="center"/>
    </xf>
    <xf numFmtId="0" fontId="35" fillId="0" borderId="0" xfId="0" applyFont="1" applyAlignment="1">
      <alignment horizontal="right" vertical="center"/>
    </xf>
    <xf numFmtId="4" fontId="35" fillId="0" borderId="0" xfId="0" applyNumberFormat="1" applyFont="1" applyAlignment="1">
      <alignment horizontal="center" vertical="center"/>
    </xf>
    <xf numFmtId="164" fontId="35" fillId="0" borderId="0" xfId="8" applyFont="1" applyAlignment="1">
      <alignment horizontal="right" vertical="center"/>
    </xf>
    <xf numFmtId="164" fontId="35" fillId="0" borderId="0" xfId="8" applyFont="1" applyAlignment="1">
      <alignment vertical="center"/>
    </xf>
    <xf numFmtId="3" fontId="35" fillId="0" borderId="0" xfId="0" applyNumberFormat="1" applyFont="1" applyAlignment="1">
      <alignment horizontal="center" vertical="center"/>
    </xf>
    <xf numFmtId="2" fontId="53" fillId="0" borderId="0" xfId="0" applyNumberFormat="1" applyFont="1" applyAlignment="1">
      <alignment horizontal="left" vertical="center"/>
    </xf>
    <xf numFmtId="2" fontId="53" fillId="0" borderId="0" xfId="0" applyNumberFormat="1" applyFont="1" applyAlignment="1">
      <alignment horizontal="right" vertical="center"/>
    </xf>
    <xf numFmtId="4" fontId="35" fillId="0" borderId="0" xfId="0" applyNumberFormat="1" applyFont="1" applyAlignment="1">
      <alignment vertical="center"/>
    </xf>
    <xf numFmtId="44" fontId="35" fillId="0" borderId="0" xfId="0" applyNumberFormat="1" applyFont="1" applyAlignment="1">
      <alignment vertical="center"/>
    </xf>
    <xf numFmtId="44" fontId="35" fillId="0" borderId="0" xfId="0" applyNumberFormat="1" applyFont="1" applyAlignment="1">
      <alignment vertical="center" wrapText="1"/>
    </xf>
    <xf numFmtId="0" fontId="29" fillId="8" borderId="0" xfId="0" applyFont="1" applyFill="1" applyAlignment="1">
      <alignment horizontal="center" vertical="center"/>
    </xf>
    <xf numFmtId="0" fontId="29" fillId="8" borderId="0" xfId="0" applyFont="1" applyFill="1" applyAlignment="1">
      <alignment vertical="center"/>
    </xf>
    <xf numFmtId="44" fontId="29" fillId="0" borderId="20" xfId="54" applyFont="1" applyFill="1" applyBorder="1" applyAlignment="1">
      <alignment horizontal="left" vertical="center"/>
    </xf>
    <xf numFmtId="44" fontId="29" fillId="8" borderId="20" xfId="0" applyNumberFormat="1" applyFont="1" applyFill="1" applyBorder="1" applyAlignment="1">
      <alignment horizontal="left" vertical="center"/>
    </xf>
    <xf numFmtId="0" fontId="29" fillId="7" borderId="0" xfId="0" applyFont="1" applyFill="1" applyAlignment="1">
      <alignment horizontal="center" vertical="center"/>
    </xf>
    <xf numFmtId="0" fontId="29" fillId="7" borderId="0" xfId="0" applyFont="1" applyFill="1" applyAlignment="1">
      <alignment vertical="center"/>
    </xf>
    <xf numFmtId="0" fontId="29" fillId="7" borderId="0" xfId="0" applyFont="1" applyFill="1" applyAlignment="1">
      <alignment horizontal="left" vertical="center"/>
    </xf>
    <xf numFmtId="44" fontId="29" fillId="7" borderId="20" xfId="54" applyFont="1" applyFill="1" applyBorder="1" applyAlignment="1">
      <alignment horizontal="left" vertical="center"/>
    </xf>
    <xf numFmtId="184" fontId="35" fillId="0" borderId="0" xfId="0" applyNumberFormat="1" applyFont="1" applyAlignment="1">
      <alignment vertical="center"/>
    </xf>
    <xf numFmtId="44" fontId="29" fillId="8" borderId="20" xfId="54" applyFont="1" applyFill="1" applyBorder="1" applyAlignment="1">
      <alignment horizontal="left" vertical="center"/>
    </xf>
    <xf numFmtId="1" fontId="35" fillId="0" borderId="0" xfId="0" applyNumberFormat="1" applyFont="1" applyAlignment="1">
      <alignment vertical="center"/>
    </xf>
    <xf numFmtId="164" fontId="35" fillId="6" borderId="0" xfId="0" applyNumberFormat="1" applyFont="1" applyFill="1" applyAlignment="1">
      <alignment horizontal="center" vertical="center"/>
    </xf>
    <xf numFmtId="4" fontId="35" fillId="0" borderId="0" xfId="0" applyNumberFormat="1" applyFont="1" applyAlignment="1">
      <alignment horizontal="right" vertical="center"/>
    </xf>
    <xf numFmtId="0" fontId="29" fillId="0" borderId="0" xfId="0" applyFont="1" applyAlignment="1">
      <alignment horizontal="center" vertical="center"/>
    </xf>
    <xf numFmtId="0" fontId="29" fillId="0" borderId="0" xfId="0" applyFont="1" applyAlignment="1">
      <alignment horizontal="left" vertical="center"/>
    </xf>
    <xf numFmtId="4" fontId="29" fillId="0" borderId="0" xfId="0" applyNumberFormat="1" applyFont="1" applyAlignment="1">
      <alignment vertical="center"/>
    </xf>
    <xf numFmtId="4" fontId="29" fillId="0" borderId="0" xfId="0" applyNumberFormat="1" applyFont="1" applyAlignment="1">
      <alignment horizontal="center" vertical="center"/>
    </xf>
    <xf numFmtId="4" fontId="29" fillId="0" borderId="0" xfId="0" applyNumberFormat="1" applyFont="1" applyAlignment="1">
      <alignment horizontal="right" vertical="center"/>
    </xf>
    <xf numFmtId="173" fontId="29" fillId="0" borderId="0" xfId="0" applyNumberFormat="1" applyFont="1" applyAlignment="1">
      <alignment horizontal="center" vertical="center"/>
    </xf>
    <xf numFmtId="44" fontId="29" fillId="0" borderId="0" xfId="54" applyFont="1" applyFill="1" applyAlignment="1">
      <alignment horizontal="center" vertical="center"/>
    </xf>
    <xf numFmtId="0" fontId="29" fillId="10" borderId="0" xfId="0" applyFont="1" applyFill="1" applyAlignment="1">
      <alignment horizontal="center" vertical="center"/>
    </xf>
    <xf numFmtId="0" fontId="29" fillId="10" borderId="0" xfId="0" applyFont="1" applyFill="1" applyAlignment="1">
      <alignment horizontal="left" vertical="center"/>
    </xf>
    <xf numFmtId="0" fontId="29" fillId="10" borderId="0" xfId="0" applyFont="1" applyFill="1" applyAlignment="1">
      <alignment vertical="center"/>
    </xf>
    <xf numFmtId="0" fontId="29" fillId="10" borderId="0" xfId="0" applyFont="1" applyFill="1" applyAlignment="1">
      <alignment horizontal="right" vertical="center"/>
    </xf>
    <xf numFmtId="173" fontId="29" fillId="10" borderId="0" xfId="0" applyNumberFormat="1" applyFont="1" applyFill="1" applyAlignment="1">
      <alignment horizontal="center" vertical="center"/>
    </xf>
    <xf numFmtId="0" fontId="34" fillId="0" borderId="0" xfId="0" applyFont="1" applyAlignment="1">
      <alignment vertical="center"/>
    </xf>
    <xf numFmtId="3" fontId="35" fillId="0" borderId="0" xfId="8" applyNumberFormat="1" applyFont="1" applyAlignment="1">
      <alignment vertical="center"/>
    </xf>
    <xf numFmtId="0" fontId="29" fillId="0" borderId="0" xfId="0" applyFont="1" applyAlignment="1">
      <alignment vertical="center"/>
    </xf>
    <xf numFmtId="0" fontId="34" fillId="0" borderId="0" xfId="0" applyFont="1" applyAlignment="1">
      <alignment horizontal="center" vertical="center" wrapText="1"/>
    </xf>
    <xf numFmtId="0" fontId="29" fillId="9" borderId="0" xfId="0" applyFont="1" applyFill="1" applyAlignment="1">
      <alignment horizontal="center" vertical="center"/>
    </xf>
    <xf numFmtId="0" fontId="29" fillId="9" borderId="0" xfId="0" applyFont="1" applyFill="1" applyAlignment="1">
      <alignment horizontal="left" vertical="center"/>
    </xf>
    <xf numFmtId="0" fontId="29" fillId="9" borderId="0" xfId="0" applyFont="1" applyFill="1" applyAlignment="1">
      <alignment vertical="center"/>
    </xf>
    <xf numFmtId="173" fontId="29" fillId="9" borderId="0" xfId="0" applyNumberFormat="1" applyFont="1" applyFill="1" applyAlignment="1">
      <alignment horizontal="center" vertical="center"/>
    </xf>
    <xf numFmtId="0" fontId="35" fillId="6" borderId="0" xfId="0" applyFont="1" applyFill="1" applyAlignment="1">
      <alignment horizontal="center" vertical="center" textRotation="90"/>
    </xf>
    <xf numFmtId="0" fontId="35" fillId="0" borderId="0" xfId="0" applyFont="1" applyAlignment="1">
      <alignment horizontal="center" vertical="center" textRotation="90" wrapText="1"/>
    </xf>
    <xf numFmtId="173" fontId="35" fillId="0" borderId="19" xfId="0" applyNumberFormat="1" applyFont="1" applyBorder="1" applyAlignment="1">
      <alignment horizontal="left" vertical="center" wrapText="1"/>
    </xf>
    <xf numFmtId="0" fontId="29" fillId="0" borderId="0" xfId="0" applyFont="1" applyAlignment="1">
      <alignment horizontal="center" vertical="center" textRotation="90"/>
    </xf>
    <xf numFmtId="0" fontId="29" fillId="11" borderId="0" xfId="0" applyFont="1" applyFill="1" applyAlignment="1">
      <alignment horizontal="left" vertical="center" wrapText="1"/>
    </xf>
    <xf numFmtId="0" fontId="35" fillId="0" borderId="0" xfId="0" applyFont="1" applyAlignment="1">
      <alignment horizontal="center" vertical="center" textRotation="90"/>
    </xf>
    <xf numFmtId="0" fontId="30" fillId="0" borderId="27" xfId="0" applyFont="1" applyBorder="1" applyAlignment="1">
      <alignment horizontal="center"/>
    </xf>
    <xf numFmtId="0" fontId="37" fillId="0" borderId="2" xfId="0" applyFont="1" applyBorder="1"/>
    <xf numFmtId="0" fontId="30" fillId="0" borderId="28" xfId="0" applyFont="1" applyBorder="1"/>
    <xf numFmtId="0" fontId="30" fillId="0" borderId="24" xfId="0" applyFont="1" applyBorder="1" applyAlignment="1">
      <alignment horizontal="center"/>
    </xf>
    <xf numFmtId="0" fontId="30" fillId="0" borderId="25" xfId="0" applyFont="1" applyBorder="1"/>
    <xf numFmtId="0" fontId="55" fillId="0" borderId="0" xfId="0" applyFont="1"/>
    <xf numFmtId="0" fontId="33" fillId="0" borderId="0" xfId="0" applyFont="1"/>
    <xf numFmtId="0" fontId="30" fillId="0" borderId="24" xfId="0" applyFont="1" applyBorder="1" applyAlignment="1">
      <alignment horizontal="center" vertical="center"/>
    </xf>
    <xf numFmtId="0" fontId="30" fillId="0" borderId="0" xfId="0" applyFont="1" applyAlignment="1">
      <alignment horizontal="left" indent="1"/>
    </xf>
    <xf numFmtId="0" fontId="33" fillId="0" borderId="0" xfId="0" applyFont="1" applyAlignment="1">
      <alignment horizontal="left" indent="1"/>
    </xf>
    <xf numFmtId="0" fontId="30" fillId="0" borderId="29" xfId="0" applyFont="1" applyBorder="1" applyAlignment="1">
      <alignment horizontal="center" vertical="center"/>
    </xf>
    <xf numFmtId="9" fontId="35" fillId="0" borderId="0" xfId="38" applyFont="1" applyAlignment="1">
      <alignment vertical="center"/>
    </xf>
    <xf numFmtId="0" fontId="56" fillId="0" borderId="0" xfId="29" applyFont="1" applyAlignment="1">
      <alignment horizontal="center"/>
    </xf>
    <xf numFmtId="0" fontId="56" fillId="0" borderId="0" xfId="29" applyFont="1"/>
    <xf numFmtId="9" fontId="56" fillId="0" borderId="0" xfId="38" applyFont="1"/>
    <xf numFmtId="0" fontId="56" fillId="0" borderId="0" xfId="29" applyFont="1" applyAlignment="1">
      <alignment horizontal="center" vertical="center"/>
    </xf>
    <xf numFmtId="3" fontId="29" fillId="0" borderId="9" xfId="0" applyNumberFormat="1" applyFont="1" applyBorder="1" applyAlignment="1">
      <alignment vertical="center"/>
    </xf>
    <xf numFmtId="179" fontId="29" fillId="0" borderId="9" xfId="0" applyNumberFormat="1" applyFont="1" applyBorder="1" applyAlignment="1">
      <alignment vertical="center"/>
    </xf>
    <xf numFmtId="173" fontId="29" fillId="0" borderId="9" xfId="0" applyNumberFormat="1" applyFont="1" applyBorder="1" applyAlignment="1">
      <alignment vertical="center"/>
    </xf>
    <xf numFmtId="173" fontId="29" fillId="0" borderId="14" xfId="0" applyNumberFormat="1" applyFont="1" applyBorder="1" applyAlignment="1">
      <alignment vertical="center"/>
    </xf>
    <xf numFmtId="0" fontId="38" fillId="11" borderId="9" xfId="0" applyFont="1" applyFill="1" applyBorder="1" applyAlignment="1">
      <alignment horizontal="center" vertical="center"/>
    </xf>
    <xf numFmtId="0" fontId="38" fillId="11" borderId="9" xfId="0" applyFont="1" applyFill="1" applyBorder="1" applyAlignment="1">
      <alignment vertical="center"/>
    </xf>
    <xf numFmtId="180" fontId="38" fillId="11" borderId="9" xfId="0" applyNumberFormat="1" applyFont="1" applyFill="1" applyBorder="1" applyAlignment="1">
      <alignment vertical="center"/>
    </xf>
    <xf numFmtId="181" fontId="38" fillId="11" borderId="9" xfId="0" applyNumberFormat="1" applyFont="1" applyFill="1" applyBorder="1" applyAlignment="1">
      <alignment vertical="center"/>
    </xf>
    <xf numFmtId="173" fontId="38" fillId="11" borderId="9" xfId="0" applyNumberFormat="1" applyFont="1" applyFill="1" applyBorder="1" applyAlignment="1">
      <alignment vertical="center"/>
    </xf>
    <xf numFmtId="173" fontId="38" fillId="11" borderId="0" xfId="0" applyNumberFormat="1" applyFont="1" applyFill="1" applyAlignment="1">
      <alignment vertical="center"/>
    </xf>
    <xf numFmtId="0" fontId="57" fillId="0" borderId="0" xfId="29" applyFont="1"/>
    <xf numFmtId="173" fontId="30" fillId="0" borderId="9" xfId="0" applyNumberFormat="1" applyFont="1" applyBorder="1" applyAlignment="1">
      <alignment vertical="center"/>
    </xf>
    <xf numFmtId="184" fontId="56" fillId="0" borderId="0" xfId="29" applyNumberFormat="1" applyFont="1"/>
    <xf numFmtId="173" fontId="56" fillId="0" borderId="0" xfId="29" applyNumberFormat="1" applyFont="1"/>
    <xf numFmtId="0" fontId="29" fillId="7" borderId="9" xfId="0" applyFont="1" applyFill="1" applyBorder="1" applyAlignment="1">
      <alignment horizontal="left" vertical="center"/>
    </xf>
    <xf numFmtId="0" fontId="29" fillId="8" borderId="9" xfId="0" applyFont="1" applyFill="1" applyBorder="1" applyAlignment="1">
      <alignment horizontal="left" vertical="center"/>
    </xf>
    <xf numFmtId="0" fontId="35" fillId="7" borderId="9" xfId="0" applyFont="1" applyFill="1" applyBorder="1" applyAlignment="1">
      <alignment vertical="center"/>
    </xf>
    <xf numFmtId="182" fontId="35" fillId="7" borderId="9" xfId="0" applyNumberFormat="1" applyFont="1" applyFill="1" applyBorder="1" applyAlignment="1">
      <alignment horizontal="center" vertical="center"/>
    </xf>
    <xf numFmtId="0" fontId="35" fillId="7" borderId="7" xfId="0" applyFont="1" applyFill="1" applyBorder="1" applyAlignment="1">
      <alignment vertical="center"/>
    </xf>
    <xf numFmtId="0" fontId="35" fillId="7" borderId="4" xfId="0" applyFont="1" applyFill="1" applyBorder="1" applyAlignment="1">
      <alignment vertical="center"/>
    </xf>
    <xf numFmtId="0" fontId="35" fillId="7" borderId="14" xfId="0" applyFont="1" applyFill="1" applyBorder="1" applyAlignment="1">
      <alignment vertical="center"/>
    </xf>
    <xf numFmtId="44" fontId="56" fillId="0" borderId="0" xfId="54" applyFont="1"/>
    <xf numFmtId="10" fontId="35" fillId="0" borderId="9" xfId="0" applyNumberFormat="1" applyFont="1" applyBorder="1" applyAlignment="1">
      <alignment vertical="center"/>
    </xf>
    <xf numFmtId="10" fontId="35" fillId="0" borderId="9" xfId="44" applyNumberFormat="1" applyFont="1" applyBorder="1" applyAlignment="1">
      <alignment vertical="center"/>
    </xf>
    <xf numFmtId="0" fontId="30" fillId="0" borderId="0" xfId="30" applyFont="1" applyAlignment="1">
      <alignment vertical="center"/>
    </xf>
    <xf numFmtId="0" fontId="33" fillId="0" borderId="0" xfId="58" applyFont="1"/>
    <xf numFmtId="0" fontId="30" fillId="0" borderId="0" xfId="58" applyFont="1"/>
    <xf numFmtId="0" fontId="30" fillId="0" borderId="0" xfId="58" applyFont="1" applyAlignment="1">
      <alignment horizontal="center" vertical="center"/>
    </xf>
    <xf numFmtId="0" fontId="30" fillId="0" borderId="0" xfId="58" applyFont="1" applyAlignment="1">
      <alignment horizontal="center"/>
    </xf>
    <xf numFmtId="0" fontId="30" fillId="0" borderId="0" xfId="58" applyFont="1" applyAlignment="1">
      <alignment horizontal="left" indent="1"/>
    </xf>
    <xf numFmtId="0" fontId="33" fillId="0" borderId="0" xfId="58" applyFont="1" applyAlignment="1">
      <alignment horizontal="left" indent="1"/>
    </xf>
    <xf numFmtId="0" fontId="58" fillId="28" borderId="9" xfId="0" applyFont="1" applyFill="1" applyBorder="1" applyAlignment="1">
      <alignment horizontal="left" vertical="center" wrapText="1"/>
    </xf>
    <xf numFmtId="0" fontId="61" fillId="28" borderId="9" xfId="0" applyFont="1" applyFill="1" applyBorder="1" applyAlignment="1">
      <alignment vertical="center" wrapText="1"/>
    </xf>
    <xf numFmtId="0" fontId="61" fillId="28" borderId="9" xfId="0" applyFont="1" applyFill="1" applyBorder="1" applyAlignment="1">
      <alignment horizontal="center" vertical="center" wrapText="1"/>
    </xf>
    <xf numFmtId="0" fontId="62" fillId="28" borderId="9" xfId="0" applyFont="1" applyFill="1" applyBorder="1" applyAlignment="1">
      <alignment horizontal="center" vertical="center" wrapText="1"/>
    </xf>
    <xf numFmtId="170" fontId="61" fillId="28" borderId="9" xfId="0" applyNumberFormat="1" applyFont="1" applyFill="1" applyBorder="1" applyAlignment="1">
      <alignment horizontal="center" vertical="center" wrapText="1"/>
    </xf>
    <xf numFmtId="0" fontId="61" fillId="28" borderId="7" xfId="0" applyFont="1" applyFill="1" applyBorder="1" applyAlignment="1">
      <alignment vertical="center" wrapText="1"/>
    </xf>
    <xf numFmtId="0" fontId="61" fillId="28" borderId="4" xfId="0" applyFont="1" applyFill="1" applyBorder="1" applyAlignment="1">
      <alignment vertical="center" wrapText="1"/>
    </xf>
    <xf numFmtId="10" fontId="61" fillId="28" borderId="9" xfId="0" applyNumberFormat="1" applyFont="1" applyFill="1" applyBorder="1" applyAlignment="1">
      <alignment horizontal="center" vertical="center" wrapText="1"/>
    </xf>
    <xf numFmtId="2" fontId="61" fillId="28" borderId="15" xfId="0" applyNumberFormat="1" applyFont="1" applyFill="1" applyBorder="1" applyAlignment="1">
      <alignment vertical="center" wrapText="1"/>
    </xf>
    <xf numFmtId="2" fontId="61" fillId="28" borderId="16" xfId="0" applyNumberFormat="1" applyFont="1" applyFill="1" applyBorder="1" applyAlignment="1">
      <alignment vertical="center" wrapText="1"/>
    </xf>
    <xf numFmtId="0" fontId="61" fillId="29" borderId="17" xfId="0" applyFont="1" applyFill="1" applyBorder="1" applyAlignment="1">
      <alignment horizontal="center" vertical="center" wrapText="1"/>
    </xf>
    <xf numFmtId="0" fontId="61" fillId="28" borderId="16" xfId="0" applyFont="1" applyFill="1" applyBorder="1" applyAlignment="1">
      <alignment vertical="center" wrapText="1"/>
    </xf>
    <xf numFmtId="169" fontId="63" fillId="28" borderId="0" xfId="0" applyNumberFormat="1" applyFont="1" applyFill="1" applyAlignment="1">
      <alignment vertical="center"/>
    </xf>
    <xf numFmtId="0" fontId="63" fillId="28" borderId="0" xfId="0" applyFont="1" applyFill="1" applyAlignment="1">
      <alignment vertical="center"/>
    </xf>
    <xf numFmtId="0" fontId="63" fillId="28" borderId="0" xfId="30" applyFont="1" applyFill="1" applyAlignment="1">
      <alignment horizontal="center" vertical="center" wrapText="1"/>
    </xf>
    <xf numFmtId="0" fontId="63" fillId="28" borderId="0" xfId="30" applyFont="1" applyFill="1" applyAlignment="1">
      <alignment vertical="center" wrapText="1"/>
    </xf>
    <xf numFmtId="0" fontId="63" fillId="28" borderId="0" xfId="0" applyFont="1" applyFill="1" applyAlignment="1">
      <alignment vertical="center" wrapText="1"/>
    </xf>
    <xf numFmtId="2" fontId="63" fillId="28" borderId="0" xfId="0" applyNumberFormat="1" applyFont="1" applyFill="1" applyAlignment="1">
      <alignment vertical="center" wrapText="1"/>
    </xf>
    <xf numFmtId="2" fontId="63" fillId="28" borderId="0" xfId="0" applyNumberFormat="1" applyFont="1" applyFill="1" applyAlignment="1">
      <alignment horizontal="center" vertical="center" wrapText="1"/>
    </xf>
    <xf numFmtId="0" fontId="63" fillId="28" borderId="0" xfId="0" applyFont="1" applyFill="1" applyAlignment="1">
      <alignment horizontal="center" vertical="center" wrapText="1"/>
    </xf>
    <xf numFmtId="0" fontId="62" fillId="29" borderId="0" xfId="0" applyFont="1" applyFill="1" applyAlignment="1">
      <alignment horizontal="center" vertical="center" wrapText="1"/>
    </xf>
    <xf numFmtId="0" fontId="62" fillId="29" borderId="0" xfId="0" applyFont="1" applyFill="1" applyAlignment="1">
      <alignment vertical="center" wrapText="1"/>
    </xf>
    <xf numFmtId="164" fontId="62" fillId="29" borderId="0" xfId="0" applyNumberFormat="1" applyFont="1" applyFill="1" applyAlignment="1">
      <alignment horizontal="center" vertical="center" wrapText="1"/>
    </xf>
    <xf numFmtId="4" fontId="62" fillId="29" borderId="0" xfId="0" applyNumberFormat="1" applyFont="1" applyFill="1" applyAlignment="1">
      <alignment horizontal="center" vertical="center" wrapText="1"/>
    </xf>
    <xf numFmtId="173" fontId="62" fillId="29" borderId="0" xfId="40" applyNumberFormat="1" applyFont="1" applyFill="1" applyBorder="1" applyAlignment="1">
      <alignment horizontal="center" vertical="center" wrapText="1"/>
    </xf>
    <xf numFmtId="0" fontId="63" fillId="28" borderId="0" xfId="0" applyFont="1" applyFill="1" applyAlignment="1">
      <alignment horizontal="left" vertical="center" wrapText="1"/>
    </xf>
    <xf numFmtId="0" fontId="62" fillId="29" borderId="9" xfId="0" applyFont="1" applyFill="1" applyBorder="1" applyAlignment="1">
      <alignment horizontal="center" vertical="center" wrapText="1"/>
    </xf>
    <xf numFmtId="0" fontId="62" fillId="29" borderId="9" xfId="0" applyFont="1" applyFill="1" applyBorder="1" applyAlignment="1">
      <alignment horizontal="left" vertical="center" wrapText="1"/>
    </xf>
    <xf numFmtId="168" fontId="62" fillId="29" borderId="9" xfId="20" applyFont="1" applyFill="1" applyBorder="1" applyAlignment="1">
      <alignment horizontal="center" vertical="center" wrapText="1"/>
    </xf>
    <xf numFmtId="173" fontId="62" fillId="29" borderId="9" xfId="0" applyNumberFormat="1" applyFont="1" applyFill="1" applyBorder="1" applyAlignment="1">
      <alignment horizontal="center" vertical="center" wrapText="1"/>
    </xf>
    <xf numFmtId="173" fontId="62" fillId="29" borderId="13" xfId="0" applyNumberFormat="1" applyFont="1" applyFill="1" applyBorder="1" applyAlignment="1">
      <alignment horizontal="center" vertical="center" wrapText="1"/>
    </xf>
    <xf numFmtId="0" fontId="64" fillId="22" borderId="23" xfId="30" applyFont="1" applyFill="1" applyBorder="1"/>
    <xf numFmtId="0" fontId="53" fillId="22" borderId="10" xfId="30" applyFont="1" applyFill="1" applyBorder="1"/>
    <xf numFmtId="0" fontId="65" fillId="22" borderId="10" xfId="30" applyFont="1" applyFill="1" applyBorder="1" applyAlignment="1">
      <alignment vertical="top" wrapText="1"/>
    </xf>
    <xf numFmtId="0" fontId="35" fillId="0" borderId="5" xfId="30" applyFont="1" applyBorder="1"/>
    <xf numFmtId="0" fontId="35" fillId="0" borderId="5" xfId="30" applyFont="1" applyBorder="1" applyAlignment="1">
      <alignment vertical="top" wrapText="1"/>
    </xf>
    <xf numFmtId="0" fontId="53" fillId="22" borderId="9" xfId="30" applyFont="1" applyFill="1" applyBorder="1"/>
    <xf numFmtId="0" fontId="65" fillId="22" borderId="9" xfId="30" applyFont="1" applyFill="1" applyBorder="1" applyAlignment="1">
      <alignment vertical="top" wrapText="1"/>
    </xf>
    <xf numFmtId="0" fontId="66" fillId="22" borderId="9" xfId="30" applyFont="1" applyFill="1" applyBorder="1" applyAlignment="1">
      <alignment vertical="top" wrapText="1"/>
    </xf>
    <xf numFmtId="0" fontId="35" fillId="0" borderId="10" xfId="30" applyFont="1" applyBorder="1"/>
    <xf numFmtId="0" fontId="35" fillId="0" borderId="10" xfId="30" applyFont="1" applyBorder="1" applyAlignment="1">
      <alignment vertical="top" wrapText="1"/>
    </xf>
    <xf numFmtId="0" fontId="35" fillId="0" borderId="24" xfId="30" applyFont="1" applyBorder="1"/>
    <xf numFmtId="0" fontId="35" fillId="0" borderId="25" xfId="30" applyFont="1" applyBorder="1" applyAlignment="1">
      <alignment vertical="top" wrapText="1"/>
    </xf>
    <xf numFmtId="0" fontId="34" fillId="0" borderId="24" xfId="30" applyFont="1" applyBorder="1"/>
    <xf numFmtId="0" fontId="35" fillId="0" borderId="25" xfId="30" applyFont="1" applyBorder="1"/>
    <xf numFmtId="0" fontId="53" fillId="23" borderId="9" xfId="30" applyFont="1" applyFill="1" applyBorder="1"/>
    <xf numFmtId="0" fontId="64" fillId="23" borderId="9" xfId="30" applyFont="1" applyFill="1" applyBorder="1"/>
    <xf numFmtId="0" fontId="35" fillId="0" borderId="5" xfId="30" applyFont="1" applyBorder="1" applyAlignment="1">
      <alignment wrapText="1"/>
    </xf>
    <xf numFmtId="0" fontId="65" fillId="23" borderId="9" xfId="30" applyFont="1" applyFill="1" applyBorder="1" applyAlignment="1">
      <alignment vertical="top" wrapText="1"/>
    </xf>
    <xf numFmtId="0" fontId="66" fillId="23" borderId="9" xfId="30" applyFont="1" applyFill="1" applyBorder="1" applyAlignment="1">
      <alignment vertical="top" wrapText="1"/>
    </xf>
    <xf numFmtId="0" fontId="35" fillId="0" borderId="10" xfId="30" applyFont="1" applyBorder="1" applyAlignment="1">
      <alignment wrapText="1"/>
    </xf>
    <xf numFmtId="0" fontId="67" fillId="0" borderId="0" xfId="30" applyFont="1"/>
    <xf numFmtId="0" fontId="34" fillId="24" borderId="23" xfId="30" applyFont="1" applyFill="1" applyBorder="1"/>
    <xf numFmtId="0" fontId="64" fillId="24" borderId="23" xfId="30" applyFont="1" applyFill="1" applyBorder="1"/>
    <xf numFmtId="0" fontId="34" fillId="24" borderId="10" xfId="30" applyFont="1" applyFill="1" applyBorder="1"/>
    <xf numFmtId="0" fontId="65" fillId="24" borderId="10" xfId="30" applyFont="1" applyFill="1" applyBorder="1"/>
    <xf numFmtId="0" fontId="34" fillId="0" borderId="5" xfId="30" applyFont="1" applyBorder="1"/>
    <xf numFmtId="0" fontId="34" fillId="24" borderId="9" xfId="30" applyFont="1" applyFill="1" applyBorder="1"/>
    <xf numFmtId="0" fontId="65" fillId="24" borderId="9" xfId="30" applyFont="1" applyFill="1" applyBorder="1"/>
    <xf numFmtId="0" fontId="35" fillId="0" borderId="0" xfId="30" applyFont="1"/>
    <xf numFmtId="0" fontId="35" fillId="0" borderId="0" xfId="30" applyFont="1" applyAlignment="1">
      <alignment wrapText="1"/>
    </xf>
    <xf numFmtId="0" fontId="37" fillId="13" borderId="8" xfId="30" applyFont="1" applyFill="1" applyBorder="1"/>
    <xf numFmtId="0" fontId="37" fillId="13" borderId="22" xfId="30" applyFont="1" applyFill="1" applyBorder="1"/>
    <xf numFmtId="0" fontId="37" fillId="13" borderId="12" xfId="30" applyFont="1" applyFill="1" applyBorder="1"/>
    <xf numFmtId="0" fontId="37" fillId="13" borderId="13" xfId="30" applyFont="1" applyFill="1" applyBorder="1"/>
    <xf numFmtId="0" fontId="31" fillId="0" borderId="0" xfId="0" applyFont="1" applyAlignment="1">
      <alignment horizontal="left"/>
    </xf>
    <xf numFmtId="0" fontId="60" fillId="28" borderId="9" xfId="0" applyFont="1" applyFill="1" applyBorder="1" applyAlignment="1">
      <alignment horizontal="center" vertical="center" wrapText="1"/>
    </xf>
    <xf numFmtId="0" fontId="41" fillId="22" borderId="9" xfId="0" applyFont="1" applyFill="1" applyBorder="1" applyAlignment="1">
      <alignment horizontal="left" vertical="top" textRotation="90"/>
    </xf>
    <xf numFmtId="0" fontId="29" fillId="14" borderId="9" xfId="0" applyFont="1" applyFill="1" applyBorder="1" applyAlignment="1">
      <alignment horizontal="left" vertical="top" textRotation="90"/>
    </xf>
    <xf numFmtId="0" fontId="29" fillId="18" borderId="9" xfId="0" applyFont="1" applyFill="1" applyBorder="1" applyAlignment="1">
      <alignment horizontal="left" vertical="top" textRotation="90"/>
    </xf>
    <xf numFmtId="0" fontId="35" fillId="0" borderId="14" xfId="0" applyFont="1" applyBorder="1" applyAlignment="1">
      <alignment horizontal="center"/>
    </xf>
    <xf numFmtId="0" fontId="35" fillId="0" borderId="9" xfId="0" applyFont="1" applyBorder="1"/>
    <xf numFmtId="0" fontId="35" fillId="0" borderId="9" xfId="0" applyFont="1" applyBorder="1" applyAlignment="1">
      <alignment horizontal="center"/>
    </xf>
    <xf numFmtId="0" fontId="35" fillId="19" borderId="9" xfId="0" applyFont="1" applyFill="1" applyBorder="1" applyAlignment="1">
      <alignment horizontal="center"/>
    </xf>
    <xf numFmtId="0" fontId="35" fillId="20" borderId="9" xfId="0" applyFont="1" applyFill="1" applyBorder="1" applyAlignment="1">
      <alignment horizontal="center"/>
    </xf>
    <xf numFmtId="0" fontId="35" fillId="21" borderId="9" xfId="0" applyFont="1" applyFill="1" applyBorder="1" applyAlignment="1">
      <alignment horizontal="center"/>
    </xf>
    <xf numFmtId="0" fontId="35" fillId="21" borderId="7" xfId="0" applyFont="1" applyFill="1" applyBorder="1" applyAlignment="1">
      <alignment horizontal="center"/>
    </xf>
    <xf numFmtId="168" fontId="35" fillId="19" borderId="9" xfId="19" applyFont="1" applyFill="1" applyBorder="1" applyAlignment="1">
      <alignment horizontal="center"/>
    </xf>
    <xf numFmtId="0" fontId="35" fillId="0" borderId="22" xfId="0" applyFont="1" applyBorder="1" applyAlignment="1">
      <alignment horizontal="center"/>
    </xf>
    <xf numFmtId="0" fontId="35" fillId="19" borderId="23" xfId="0" applyFont="1" applyFill="1" applyBorder="1" applyAlignment="1">
      <alignment horizontal="center"/>
    </xf>
    <xf numFmtId="0" fontId="35" fillId="20" borderId="23" xfId="0" applyFont="1" applyFill="1" applyBorder="1" applyAlignment="1">
      <alignment horizontal="center"/>
    </xf>
    <xf numFmtId="0" fontId="35" fillId="21" borderId="23" xfId="0" applyFont="1" applyFill="1" applyBorder="1" applyAlignment="1">
      <alignment horizontal="center"/>
    </xf>
    <xf numFmtId="0" fontId="35" fillId="21" borderId="8" xfId="0" applyFont="1" applyFill="1" applyBorder="1" applyAlignment="1">
      <alignment horizontal="center"/>
    </xf>
    <xf numFmtId="0" fontId="35" fillId="0" borderId="23" xfId="0" applyFont="1" applyBorder="1" applyAlignment="1">
      <alignment horizontal="center"/>
    </xf>
    <xf numFmtId="0" fontId="44" fillId="28" borderId="9" xfId="0" applyFont="1" applyFill="1" applyBorder="1" applyAlignment="1">
      <alignment horizontal="center" vertical="center" wrapText="1"/>
    </xf>
    <xf numFmtId="0" fontId="35" fillId="0" borderId="9" xfId="30" applyFont="1" applyBorder="1" applyAlignment="1">
      <alignment vertical="center" wrapText="1"/>
    </xf>
    <xf numFmtId="168" fontId="61" fillId="29" borderId="9" xfId="20" applyFont="1" applyFill="1" applyBorder="1" applyAlignment="1">
      <alignment horizontal="center" vertical="center" wrapText="1"/>
    </xf>
    <xf numFmtId="173" fontId="38" fillId="8" borderId="9" xfId="0" applyNumberFormat="1" applyFont="1" applyFill="1" applyBorder="1" applyAlignment="1">
      <alignment vertical="center"/>
    </xf>
    <xf numFmtId="173" fontId="38" fillId="7" borderId="9" xfId="0" applyNumberFormat="1" applyFont="1" applyFill="1" applyBorder="1" applyAlignment="1">
      <alignment vertical="center"/>
    </xf>
    <xf numFmtId="2" fontId="34" fillId="6" borderId="0" xfId="0" applyNumberFormat="1" applyFont="1" applyFill="1" applyAlignment="1">
      <alignment horizontal="center" vertical="center"/>
    </xf>
    <xf numFmtId="44" fontId="29" fillId="0" borderId="33" xfId="54" applyFont="1" applyFill="1" applyBorder="1" applyAlignment="1">
      <alignment horizontal="left" vertical="center"/>
    </xf>
    <xf numFmtId="44" fontId="29" fillId="0" borderId="20" xfId="0" applyNumberFormat="1" applyFont="1" applyBorder="1" applyAlignment="1">
      <alignment horizontal="left" vertical="center"/>
    </xf>
    <xf numFmtId="44" fontId="29" fillId="0" borderId="32" xfId="54" applyFont="1" applyFill="1" applyBorder="1" applyAlignment="1">
      <alignment horizontal="left" vertical="center"/>
    </xf>
    <xf numFmtId="44" fontId="29" fillId="0" borderId="34" xfId="54" applyFont="1" applyFill="1" applyBorder="1" applyAlignment="1">
      <alignment horizontal="left" vertical="center"/>
    </xf>
    <xf numFmtId="4" fontId="29" fillId="0" borderId="0" xfId="0" applyNumberFormat="1" applyFont="1" applyAlignment="1">
      <alignment horizontal="left" vertical="center"/>
    </xf>
    <xf numFmtId="2" fontId="35" fillId="0" borderId="0" xfId="0" applyNumberFormat="1" applyFont="1" applyAlignment="1" applyProtection="1">
      <alignment horizontal="center"/>
      <protection hidden="1"/>
    </xf>
    <xf numFmtId="0" fontId="35" fillId="0" borderId="0" xfId="0" applyFont="1" applyProtection="1">
      <protection hidden="1"/>
    </xf>
    <xf numFmtId="0" fontId="35" fillId="0" borderId="0" xfId="0" quotePrefix="1" applyFont="1" applyAlignment="1">
      <alignment horizontal="center" vertical="center"/>
    </xf>
    <xf numFmtId="173" fontId="68" fillId="11" borderId="9" xfId="0" applyNumberFormat="1" applyFont="1" applyFill="1" applyBorder="1" applyAlignment="1">
      <alignment vertical="center"/>
    </xf>
    <xf numFmtId="3" fontId="29" fillId="0" borderId="0" xfId="0" applyNumberFormat="1" applyFont="1" applyAlignment="1">
      <alignment horizontal="center" vertical="center"/>
    </xf>
    <xf numFmtId="0" fontId="33" fillId="0" borderId="0" xfId="30" applyFont="1" applyAlignment="1">
      <alignment horizontal="center" vertical="center" wrapText="1"/>
    </xf>
    <xf numFmtId="0" fontId="34" fillId="0" borderId="8" xfId="0" applyFont="1" applyBorder="1" applyAlignment="1">
      <alignment horizontal="left" vertical="center" wrapText="1"/>
    </xf>
    <xf numFmtId="0" fontId="34" fillId="0" borderId="11" xfId="0" applyFont="1" applyBorder="1" applyAlignment="1">
      <alignment horizontal="left" vertical="center" wrapText="1"/>
    </xf>
    <xf numFmtId="0" fontId="34" fillId="0" borderId="12" xfId="0" applyFont="1" applyBorder="1" applyAlignment="1">
      <alignment horizontal="left" vertical="center" wrapText="1"/>
    </xf>
    <xf numFmtId="0" fontId="34" fillId="0" borderId="23" xfId="0" applyFont="1" applyBorder="1" applyAlignment="1">
      <alignment horizontal="left" vertical="center" wrapText="1"/>
    </xf>
    <xf numFmtId="0" fontId="34" fillId="0" borderId="5" xfId="0" applyFont="1" applyBorder="1" applyAlignment="1">
      <alignment horizontal="left" vertical="center" wrapText="1"/>
    </xf>
    <xf numFmtId="0" fontId="34" fillId="0" borderId="10" xfId="0" applyFont="1" applyBorder="1" applyAlignment="1">
      <alignment horizontal="left" vertical="center" wrapText="1"/>
    </xf>
    <xf numFmtId="0" fontId="30" fillId="0" borderId="0" xfId="58" applyFont="1" applyAlignment="1">
      <alignment horizontal="left" wrapText="1"/>
    </xf>
    <xf numFmtId="0" fontId="59" fillId="28" borderId="8" xfId="30" applyFont="1" applyFill="1" applyBorder="1" applyAlignment="1">
      <alignment horizontal="center" vertical="center" wrapText="1"/>
    </xf>
    <xf numFmtId="0" fontId="59" fillId="28" borderId="21" xfId="30" applyFont="1" applyFill="1" applyBorder="1" applyAlignment="1">
      <alignment horizontal="center" vertical="center" wrapText="1"/>
    </xf>
    <xf numFmtId="0" fontId="59" fillId="28" borderId="11" xfId="30" applyFont="1" applyFill="1" applyBorder="1" applyAlignment="1">
      <alignment horizontal="center" vertical="center" wrapText="1"/>
    </xf>
    <xf numFmtId="0" fontId="59" fillId="28" borderId="0" xfId="30" applyFont="1" applyFill="1" applyAlignment="1">
      <alignment horizontal="center" vertical="center" wrapText="1"/>
    </xf>
    <xf numFmtId="0" fontId="30" fillId="0" borderId="0" xfId="58" applyFont="1" applyAlignment="1">
      <alignment horizontal="left"/>
    </xf>
    <xf numFmtId="0" fontId="36" fillId="17" borderId="9" xfId="0" applyFont="1" applyFill="1" applyBorder="1" applyAlignment="1">
      <alignment horizontal="center" wrapText="1"/>
    </xf>
    <xf numFmtId="0" fontId="36" fillId="14" borderId="9" xfId="0" applyFont="1" applyFill="1" applyBorder="1" applyAlignment="1">
      <alignment horizontal="center" wrapText="1"/>
    </xf>
    <xf numFmtId="0" fontId="37" fillId="18" borderId="9" xfId="0" applyFont="1" applyFill="1" applyBorder="1" applyAlignment="1">
      <alignment horizontal="center"/>
    </xf>
    <xf numFmtId="0" fontId="39" fillId="0" borderId="0" xfId="30" applyFont="1" applyAlignment="1">
      <alignment horizontal="center" vertical="center"/>
    </xf>
    <xf numFmtId="0" fontId="41" fillId="11" borderId="9" xfId="0" applyFont="1" applyFill="1" applyBorder="1" applyAlignment="1">
      <alignment horizontal="center" vertical="center"/>
    </xf>
    <xf numFmtId="170" fontId="35" fillId="5" borderId="9" xfId="0" applyNumberFormat="1" applyFont="1" applyFill="1" applyBorder="1" applyAlignment="1">
      <alignment horizontal="center" vertical="center"/>
    </xf>
    <xf numFmtId="0" fontId="61" fillId="28" borderId="7" xfId="0" applyFont="1" applyFill="1" applyBorder="1" applyAlignment="1">
      <alignment horizontal="left" vertical="center" wrapText="1"/>
    </xf>
    <xf numFmtId="0" fontId="61" fillId="28" borderId="14" xfId="0" applyFont="1" applyFill="1" applyBorder="1" applyAlignment="1">
      <alignment horizontal="left" vertical="center" wrapText="1"/>
    </xf>
    <xf numFmtId="0" fontId="61" fillId="28" borderId="4" xfId="0" applyFont="1" applyFill="1" applyBorder="1" applyAlignment="1">
      <alignment horizontal="left" vertical="center" wrapText="1"/>
    </xf>
    <xf numFmtId="0" fontId="35" fillId="0" borderId="9" xfId="0" applyFont="1" applyBorder="1" applyAlignment="1">
      <alignment horizontal="left" vertical="center"/>
    </xf>
    <xf numFmtId="0" fontId="35" fillId="0" borderId="9" xfId="0" applyFont="1" applyBorder="1" applyAlignment="1">
      <alignment vertical="center"/>
    </xf>
    <xf numFmtId="9" fontId="35" fillId="0" borderId="7" xfId="0" applyNumberFormat="1" applyFont="1" applyBorder="1" applyAlignment="1">
      <alignment horizontal="left" vertical="center" wrapText="1"/>
    </xf>
    <xf numFmtId="9" fontId="35" fillId="0" borderId="14" xfId="0" applyNumberFormat="1" applyFont="1" applyBorder="1" applyAlignment="1">
      <alignment horizontal="left" vertical="center" wrapText="1"/>
    </xf>
    <xf numFmtId="9" fontId="35" fillId="0" borderId="7" xfId="0" applyNumberFormat="1" applyFont="1" applyBorder="1" applyAlignment="1">
      <alignment horizontal="left" vertical="center"/>
    </xf>
    <xf numFmtId="9" fontId="35" fillId="0" borderId="4" xfId="0" applyNumberFormat="1" applyFont="1" applyBorder="1" applyAlignment="1">
      <alignment horizontal="left" vertical="center"/>
    </xf>
    <xf numFmtId="9" fontId="35" fillId="0" borderId="14" xfId="0" applyNumberFormat="1" applyFont="1" applyBorder="1" applyAlignment="1">
      <alignment horizontal="left" vertical="center"/>
    </xf>
    <xf numFmtId="0" fontId="35" fillId="0" borderId="7" xfId="0" applyFont="1" applyBorder="1" applyAlignment="1">
      <alignment horizontal="left" vertical="center"/>
    </xf>
    <xf numFmtId="0" fontId="35" fillId="0" borderId="14" xfId="0" applyFont="1" applyBorder="1" applyAlignment="1">
      <alignment horizontal="left" vertical="center"/>
    </xf>
    <xf numFmtId="0" fontId="34" fillId="0" borderId="9" xfId="30" applyFont="1" applyBorder="1" applyAlignment="1">
      <alignment horizontal="center" vertical="center"/>
    </xf>
    <xf numFmtId="0" fontId="61" fillId="28" borderId="10" xfId="0" applyFont="1" applyFill="1" applyBorder="1" applyAlignment="1">
      <alignment horizontal="center" vertical="center" wrapText="1"/>
    </xf>
    <xf numFmtId="0" fontId="61" fillId="28" borderId="12" xfId="0" applyFont="1" applyFill="1" applyBorder="1" applyAlignment="1">
      <alignment horizontal="center" vertical="center" wrapText="1"/>
    </xf>
    <xf numFmtId="0" fontId="61" fillId="28" borderId="13" xfId="0" applyFont="1" applyFill="1" applyBorder="1" applyAlignment="1">
      <alignment horizontal="center" vertical="center" wrapText="1"/>
    </xf>
    <xf numFmtId="0" fontId="41" fillId="11" borderId="7" xfId="0" applyFont="1" applyFill="1" applyBorder="1" applyAlignment="1">
      <alignment horizontal="left" vertical="center"/>
    </xf>
    <xf numFmtId="0" fontId="41" fillId="11" borderId="4" xfId="0" applyFont="1" applyFill="1" applyBorder="1" applyAlignment="1">
      <alignment horizontal="left" vertical="center"/>
    </xf>
    <xf numFmtId="0" fontId="41" fillId="11" borderId="14" xfId="0" applyFont="1" applyFill="1" applyBorder="1" applyAlignment="1">
      <alignment horizontal="left" vertical="center"/>
    </xf>
    <xf numFmtId="0" fontId="35" fillId="0" borderId="4" xfId="0" applyFont="1" applyBorder="1" applyAlignment="1">
      <alignment horizontal="left" vertical="center"/>
    </xf>
    <xf numFmtId="170" fontId="34" fillId="5" borderId="7" xfId="0" applyNumberFormat="1" applyFont="1" applyFill="1" applyBorder="1" applyAlignment="1">
      <alignment horizontal="center" vertical="center"/>
    </xf>
    <xf numFmtId="170" fontId="35" fillId="5" borderId="4" xfId="0" applyNumberFormat="1" applyFont="1" applyFill="1" applyBorder="1" applyAlignment="1">
      <alignment horizontal="center" vertical="center"/>
    </xf>
    <xf numFmtId="0" fontId="39" fillId="0" borderId="6" xfId="30" applyFont="1" applyBorder="1" applyAlignment="1">
      <alignment horizontal="center" vertical="center"/>
    </xf>
    <xf numFmtId="0" fontId="39" fillId="0" borderId="0" xfId="30" applyFont="1" applyAlignment="1">
      <alignment horizontal="left" vertical="center"/>
    </xf>
    <xf numFmtId="0" fontId="34" fillId="11" borderId="7" xfId="0" applyFont="1" applyFill="1" applyBorder="1" applyAlignment="1">
      <alignment horizontal="center" vertical="center"/>
    </xf>
    <xf numFmtId="0" fontId="34" fillId="11" borderId="4" xfId="0" applyFont="1" applyFill="1" applyBorder="1" applyAlignment="1">
      <alignment horizontal="center" vertical="center"/>
    </xf>
    <xf numFmtId="0" fontId="34" fillId="11" borderId="14" xfId="0" applyFont="1" applyFill="1" applyBorder="1" applyAlignment="1">
      <alignment horizontal="center" vertical="center"/>
    </xf>
    <xf numFmtId="0" fontId="34" fillId="12" borderId="8" xfId="0" applyFont="1" applyFill="1" applyBorder="1" applyAlignment="1">
      <alignment horizontal="center" vertical="center"/>
    </xf>
    <xf numFmtId="0" fontId="34" fillId="12" borderId="21" xfId="0" applyFont="1" applyFill="1" applyBorder="1" applyAlignment="1">
      <alignment horizontal="center" vertical="center"/>
    </xf>
    <xf numFmtId="0" fontId="34" fillId="12" borderId="22" xfId="0" applyFont="1" applyFill="1" applyBorder="1" applyAlignment="1">
      <alignment horizontal="center" vertical="center"/>
    </xf>
    <xf numFmtId="0" fontId="34" fillId="11" borderId="8" xfId="0" applyFont="1" applyFill="1" applyBorder="1" applyAlignment="1">
      <alignment horizontal="center" vertical="center"/>
    </xf>
    <xf numFmtId="0" fontId="34" fillId="11" borderId="21" xfId="0" applyFont="1" applyFill="1" applyBorder="1" applyAlignment="1">
      <alignment horizontal="center" vertical="center"/>
    </xf>
    <xf numFmtId="0" fontId="34" fillId="11" borderId="22" xfId="0" applyFont="1" applyFill="1" applyBorder="1" applyAlignment="1">
      <alignment horizontal="center" vertical="center"/>
    </xf>
    <xf numFmtId="0" fontId="47" fillId="15" borderId="9" xfId="0" applyFont="1" applyFill="1" applyBorder="1" applyAlignment="1">
      <alignment horizontal="center" vertical="center" wrapText="1"/>
    </xf>
    <xf numFmtId="0" fontId="47" fillId="16" borderId="9" xfId="0" applyFont="1" applyFill="1" applyBorder="1" applyAlignment="1">
      <alignment horizontal="center" vertical="center" wrapText="1"/>
    </xf>
    <xf numFmtId="0" fontId="36" fillId="18" borderId="9" xfId="0" applyFont="1" applyFill="1" applyBorder="1" applyAlignment="1">
      <alignment horizontal="center" wrapText="1"/>
    </xf>
    <xf numFmtId="170" fontId="34" fillId="5" borderId="9" xfId="0" applyNumberFormat="1" applyFont="1" applyFill="1" applyBorder="1" applyAlignment="1">
      <alignment horizontal="center" vertical="center"/>
    </xf>
    <xf numFmtId="4" fontId="35" fillId="0" borderId="9" xfId="0" applyNumberFormat="1" applyFont="1" applyBorder="1" applyAlignment="1">
      <alignment horizontal="center" vertical="center"/>
    </xf>
    <xf numFmtId="170" fontId="34" fillId="5" borderId="4" xfId="0" applyNumberFormat="1" applyFont="1" applyFill="1" applyBorder="1" applyAlignment="1">
      <alignment horizontal="center" vertical="center"/>
    </xf>
    <xf numFmtId="170" fontId="34" fillId="5" borderId="14" xfId="0" applyNumberFormat="1" applyFont="1" applyFill="1" applyBorder="1" applyAlignment="1">
      <alignment horizontal="center" vertical="center"/>
    </xf>
    <xf numFmtId="0" fontId="35" fillId="0" borderId="8" xfId="0" applyFont="1" applyBorder="1" applyAlignment="1">
      <alignment horizontal="center" vertical="center" textRotation="90"/>
    </xf>
    <xf numFmtId="0" fontId="35" fillId="0" borderId="11" xfId="0" applyFont="1" applyBorder="1" applyAlignment="1">
      <alignment horizontal="center" vertical="center" textRotation="90"/>
    </xf>
    <xf numFmtId="0" fontId="35" fillId="0" borderId="12" xfId="0" applyFont="1" applyBorder="1" applyAlignment="1">
      <alignment horizontal="center" vertical="center" textRotation="90"/>
    </xf>
    <xf numFmtId="170" fontId="35" fillId="5" borderId="7" xfId="0" applyNumberFormat="1" applyFont="1" applyFill="1" applyBorder="1" applyAlignment="1">
      <alignment horizontal="center" vertical="center"/>
    </xf>
    <xf numFmtId="170" fontId="35" fillId="5" borderId="14" xfId="0" applyNumberFormat="1" applyFont="1" applyFill="1" applyBorder="1" applyAlignment="1">
      <alignment horizontal="center" vertical="center"/>
    </xf>
    <xf numFmtId="0" fontId="35" fillId="0" borderId="8" xfId="0" applyFont="1" applyBorder="1" applyAlignment="1">
      <alignment horizontal="center" vertical="center" textRotation="90" wrapText="1"/>
    </xf>
    <xf numFmtId="0" fontId="35" fillId="0" borderId="11" xfId="0" applyFont="1" applyBorder="1" applyAlignment="1">
      <alignment horizontal="center" vertical="center" textRotation="90" wrapText="1"/>
    </xf>
    <xf numFmtId="0" fontId="35" fillId="0" borderId="12" xfId="0" applyFont="1" applyBorder="1" applyAlignment="1">
      <alignment horizontal="center" vertical="center" textRotation="90" wrapText="1"/>
    </xf>
    <xf numFmtId="0" fontId="30" fillId="0" borderId="0" xfId="0" applyFont="1" applyAlignment="1">
      <alignment horizontal="left" wrapText="1"/>
    </xf>
    <xf numFmtId="0" fontId="30" fillId="0" borderId="25" xfId="0" applyFont="1" applyBorder="1" applyAlignment="1">
      <alignment horizontal="left" wrapText="1"/>
    </xf>
    <xf numFmtId="0" fontId="30" fillId="0" borderId="0" xfId="0" applyFont="1" applyAlignment="1">
      <alignment horizontal="left"/>
    </xf>
    <xf numFmtId="0" fontId="30" fillId="0" borderId="25" xfId="0" applyFont="1" applyBorder="1" applyAlignment="1">
      <alignment horizontal="left"/>
    </xf>
    <xf numFmtId="0" fontId="30" fillId="0" borderId="30" xfId="0" applyFont="1" applyBorder="1" applyAlignment="1">
      <alignment horizontal="left"/>
    </xf>
    <xf numFmtId="0" fontId="30" fillId="0" borderId="31" xfId="0" applyFont="1" applyBorder="1" applyAlignment="1">
      <alignment horizontal="left"/>
    </xf>
    <xf numFmtId="2" fontId="61" fillId="28" borderId="7" xfId="0" applyNumberFormat="1" applyFont="1" applyFill="1" applyBorder="1" applyAlignment="1">
      <alignment horizontal="left" vertical="center"/>
    </xf>
    <xf numFmtId="2" fontId="61" fillId="28" borderId="4" xfId="0" applyNumberFormat="1" applyFont="1" applyFill="1" applyBorder="1" applyAlignment="1">
      <alignment horizontal="left" vertical="center"/>
    </xf>
    <xf numFmtId="164" fontId="35" fillId="5" borderId="9" xfId="0" applyNumberFormat="1" applyFont="1" applyFill="1" applyBorder="1" applyAlignment="1" applyProtection="1">
      <alignment horizontal="left" vertical="center"/>
      <protection locked="0"/>
    </xf>
    <xf numFmtId="10" fontId="35" fillId="5" borderId="9" xfId="0" applyNumberFormat="1" applyFont="1" applyFill="1" applyBorder="1" applyAlignment="1" applyProtection="1">
      <alignment horizontal="center" vertical="center"/>
      <protection locked="0"/>
    </xf>
    <xf numFmtId="10" fontId="35" fillId="5" borderId="7" xfId="0" applyNumberFormat="1" applyFont="1" applyFill="1" applyBorder="1" applyAlignment="1" applyProtection="1">
      <alignment horizontal="left" vertical="center"/>
      <protection locked="0"/>
    </xf>
    <xf numFmtId="10" fontId="35" fillId="5" borderId="14" xfId="0" applyNumberFormat="1" applyFont="1" applyFill="1" applyBorder="1" applyAlignment="1" applyProtection="1">
      <alignment horizontal="left" vertical="center"/>
      <protection locked="0"/>
    </xf>
    <xf numFmtId="170" fontId="35" fillId="5" borderId="9" xfId="0" applyNumberFormat="1" applyFont="1" applyFill="1" applyBorder="1" applyAlignment="1" applyProtection="1">
      <alignment horizontal="center" vertical="center"/>
      <protection locked="0"/>
    </xf>
    <xf numFmtId="44" fontId="35" fillId="5" borderId="9" xfId="48" applyFont="1" applyFill="1" applyBorder="1" applyAlignment="1" applyProtection="1">
      <alignment horizontal="center" vertical="center"/>
      <protection locked="0"/>
    </xf>
    <xf numFmtId="10" fontId="35" fillId="5" borderId="4" xfId="0" applyNumberFormat="1" applyFont="1" applyFill="1" applyBorder="1" applyAlignment="1" applyProtection="1">
      <alignment horizontal="left" vertical="center"/>
      <protection locked="0"/>
    </xf>
    <xf numFmtId="183" fontId="34" fillId="5" borderId="20" xfId="38" applyNumberFormat="1" applyFont="1" applyFill="1" applyBorder="1" applyAlignment="1" applyProtection="1">
      <alignment horizontal="center" vertical="center"/>
      <protection locked="0"/>
    </xf>
    <xf numFmtId="1" fontId="34" fillId="5" borderId="0" xfId="0" applyNumberFormat="1" applyFont="1" applyFill="1" applyAlignment="1" applyProtection="1">
      <alignment horizontal="center" vertical="center"/>
      <protection locked="0"/>
    </xf>
    <xf numFmtId="9" fontId="34" fillId="5" borderId="0" xfId="44" applyFont="1" applyFill="1" applyAlignment="1" applyProtection="1">
      <alignment horizontal="center" vertical="center"/>
      <protection locked="0"/>
    </xf>
    <xf numFmtId="9" fontId="34" fillId="5" borderId="0" xfId="38" applyFont="1" applyFill="1" applyAlignment="1" applyProtection="1">
      <alignment horizontal="center" vertical="center"/>
      <protection locked="0"/>
    </xf>
    <xf numFmtId="164" fontId="29" fillId="5" borderId="0" xfId="0" applyNumberFormat="1" applyFont="1" applyFill="1" applyAlignment="1" applyProtection="1">
      <alignment horizontal="center" vertical="center"/>
      <protection locked="0"/>
    </xf>
    <xf numFmtId="0" fontId="29" fillId="5" borderId="0" xfId="0" applyFont="1" applyFill="1" applyAlignment="1" applyProtection="1">
      <alignment horizontal="center" vertical="center"/>
      <protection locked="0"/>
    </xf>
    <xf numFmtId="0" fontId="35" fillId="5" borderId="0" xfId="0" applyFont="1" applyFill="1" applyAlignment="1" applyProtection="1">
      <alignment horizontal="center" vertical="center"/>
      <protection locked="0"/>
    </xf>
    <xf numFmtId="173" fontId="35" fillId="5" borderId="0" xfId="0" applyNumberFormat="1" applyFont="1" applyFill="1" applyAlignment="1" applyProtection="1">
      <alignment vertical="center"/>
      <protection locked="0"/>
    </xf>
    <xf numFmtId="49" fontId="61" fillId="30" borderId="4" xfId="29" applyNumberFormat="1" applyFont="1" applyFill="1" applyBorder="1" applyAlignment="1" applyProtection="1">
      <alignment horizontal="left" vertical="center"/>
      <protection locked="0"/>
    </xf>
    <xf numFmtId="49" fontId="61" fillId="30" borderId="14" xfId="29" applyNumberFormat="1" applyFont="1" applyFill="1" applyBorder="1" applyAlignment="1" applyProtection="1">
      <alignment horizontal="left" vertical="center"/>
      <protection locked="0"/>
    </xf>
    <xf numFmtId="49" fontId="35" fillId="26" borderId="7" xfId="0" applyNumberFormat="1" applyFont="1" applyFill="1" applyBorder="1" applyAlignment="1" applyProtection="1">
      <alignment horizontal="center" vertical="center"/>
      <protection locked="0"/>
    </xf>
    <xf numFmtId="49" fontId="35" fillId="26" borderId="14" xfId="0" applyNumberFormat="1" applyFont="1" applyFill="1" applyBorder="1" applyAlignment="1" applyProtection="1">
      <alignment horizontal="center" vertical="center"/>
      <protection locked="0"/>
    </xf>
    <xf numFmtId="49" fontId="35" fillId="27" borderId="7" xfId="0" applyNumberFormat="1" applyFont="1" applyFill="1" applyBorder="1" applyAlignment="1" applyProtection="1">
      <alignment horizontal="center" vertical="center"/>
      <protection locked="0"/>
    </xf>
    <xf numFmtId="49" fontId="35" fillId="27" borderId="14" xfId="0" applyNumberFormat="1" applyFont="1" applyFill="1" applyBorder="1" applyAlignment="1" applyProtection="1">
      <alignment horizontal="center" vertical="center"/>
      <protection locked="0"/>
    </xf>
    <xf numFmtId="49" fontId="35" fillId="26" borderId="4" xfId="0" applyNumberFormat="1" applyFont="1" applyFill="1" applyBorder="1" applyAlignment="1" applyProtection="1">
      <alignment horizontal="center" vertical="center"/>
      <protection locked="0"/>
    </xf>
    <xf numFmtId="49" fontId="35" fillId="27" borderId="4" xfId="0" applyNumberFormat="1" applyFont="1" applyFill="1" applyBorder="1" applyAlignment="1" applyProtection="1">
      <alignment horizontal="center" vertical="center"/>
      <protection locked="0"/>
    </xf>
    <xf numFmtId="0" fontId="35" fillId="27" borderId="7" xfId="0" applyFont="1" applyFill="1" applyBorder="1" applyAlignment="1" applyProtection="1">
      <alignment horizontal="center" vertical="center"/>
      <protection locked="0"/>
    </xf>
    <xf numFmtId="0" fontId="35" fillId="27" borderId="4" xfId="0" applyFont="1" applyFill="1" applyBorder="1" applyAlignment="1" applyProtection="1">
      <alignment horizontal="center" vertical="center"/>
      <protection locked="0"/>
    </xf>
    <xf numFmtId="0" fontId="35" fillId="27" borderId="14" xfId="0" applyFont="1" applyFill="1" applyBorder="1" applyAlignment="1" applyProtection="1">
      <alignment horizontal="center" vertical="center"/>
      <protection locked="0"/>
    </xf>
  </cellXfs>
  <cellStyles count="77">
    <cellStyle name="%" xfId="1" xr:uid="{00000000-0005-0000-0000-000000000000}"/>
    <cellStyle name="% 2" xfId="39" xr:uid="{00000000-0005-0000-0000-000001000000}"/>
    <cellStyle name="Euro" xfId="2" xr:uid="{00000000-0005-0000-0000-000002000000}"/>
    <cellStyle name="Euro 10" xfId="3" xr:uid="{00000000-0005-0000-0000-000003000000}"/>
    <cellStyle name="Euro 11" xfId="4" xr:uid="{00000000-0005-0000-0000-000004000000}"/>
    <cellStyle name="Euro 12" xfId="5" xr:uid="{00000000-0005-0000-0000-000005000000}"/>
    <cellStyle name="Euro 13" xfId="6" xr:uid="{00000000-0005-0000-0000-000006000000}"/>
    <cellStyle name="Euro 14" xfId="7" xr:uid="{00000000-0005-0000-0000-000007000000}"/>
    <cellStyle name="Euro 15" xfId="8" xr:uid="{00000000-0005-0000-0000-000008000000}"/>
    <cellStyle name="Euro 15 2" xfId="40" xr:uid="{00000000-0005-0000-0000-000009000000}"/>
    <cellStyle name="Euro 2" xfId="9" xr:uid="{00000000-0005-0000-0000-00000A000000}"/>
    <cellStyle name="Euro 3" xfId="10" xr:uid="{00000000-0005-0000-0000-00000B000000}"/>
    <cellStyle name="Euro 4" xfId="11" xr:uid="{00000000-0005-0000-0000-00000C000000}"/>
    <cellStyle name="Euro 5" xfId="12" xr:uid="{00000000-0005-0000-0000-00000D000000}"/>
    <cellStyle name="Euro 6" xfId="13" xr:uid="{00000000-0005-0000-0000-00000E000000}"/>
    <cellStyle name="Euro 7" xfId="14" xr:uid="{00000000-0005-0000-0000-00000F000000}"/>
    <cellStyle name="Euro 8" xfId="15" xr:uid="{00000000-0005-0000-0000-000010000000}"/>
    <cellStyle name="Euro 9" xfId="16" xr:uid="{00000000-0005-0000-0000-000011000000}"/>
    <cellStyle name="Euro_1.5 Ruimtestaten SRO N2" xfId="17" xr:uid="{00000000-0005-0000-0000-000012000000}"/>
    <cellStyle name="Followed Hyperlink_Adres-Gymzalen.xls" xfId="18" xr:uid="{00000000-0005-0000-0000-000013000000}"/>
    <cellStyle name="Komma" xfId="19" builtinId="3"/>
    <cellStyle name="Komma 2" xfId="20" xr:uid="{00000000-0005-0000-0000-000015000000}"/>
    <cellStyle name="Komma 2 2" xfId="59" xr:uid="{2A492E22-8071-495F-B395-533F59284596}"/>
    <cellStyle name="Komma 3" xfId="37" xr:uid="{00000000-0005-0000-0000-000016000000}"/>
    <cellStyle name="Komma 3 2" xfId="62" xr:uid="{6186048D-7B8C-4745-99A0-D638432F2B56}"/>
    <cellStyle name="Komma 4" xfId="56" xr:uid="{919DEB51-BFC8-47F3-8C42-1E0AE3D3F518}"/>
    <cellStyle name="Komma 4 2" xfId="74" xr:uid="{51C89407-043E-4BC6-98A8-049224F0D4C8}"/>
    <cellStyle name="Koppen_rekenblad" xfId="21" xr:uid="{00000000-0005-0000-0000-000017000000}"/>
    <cellStyle name="koppenrekenblad2" xfId="22" xr:uid="{00000000-0005-0000-0000-000018000000}"/>
    <cellStyle name="koppenrekenblad2 2" xfId="41" xr:uid="{00000000-0005-0000-0000-000019000000}"/>
    <cellStyle name="m2" xfId="23" xr:uid="{00000000-0005-0000-0000-00001A000000}"/>
    <cellStyle name="NIBa standaard" xfId="24" xr:uid="{00000000-0005-0000-0000-00001B000000}"/>
    <cellStyle name="Ongedefinieerd" xfId="25" xr:uid="{00000000-0005-0000-0000-00001C000000}"/>
    <cellStyle name="prijslijst" xfId="26" xr:uid="{00000000-0005-0000-0000-00001D000000}"/>
    <cellStyle name="Procent" xfId="38" builtinId="5"/>
    <cellStyle name="Procent 2" xfId="35" xr:uid="{00000000-0005-0000-0000-00001F000000}"/>
    <cellStyle name="Procent 3" xfId="44" xr:uid="{00000000-0005-0000-0000-000020000000}"/>
    <cellStyle name="Ruimtestaat_Koppen" xfId="27" xr:uid="{00000000-0005-0000-0000-000021000000}"/>
    <cellStyle name="Standaard" xfId="0" builtinId="0"/>
    <cellStyle name="Standaard 10 2" xfId="58" xr:uid="{C61B1C61-3F3F-4272-B325-767678D74ECF}"/>
    <cellStyle name="Standaard 2" xfId="28" xr:uid="{00000000-0005-0000-0000-000023000000}"/>
    <cellStyle name="Standaard 2 2" xfId="42" xr:uid="{00000000-0005-0000-0000-000024000000}"/>
    <cellStyle name="Standaard 3" xfId="29" xr:uid="{00000000-0005-0000-0000-000025000000}"/>
    <cellStyle name="Standaard 3 2" xfId="43" xr:uid="{00000000-0005-0000-0000-000026000000}"/>
    <cellStyle name="Standaard 3 2 2" xfId="51" xr:uid="{00000000-0005-0000-0000-000027000000}"/>
    <cellStyle name="Standaard 3 2 2 2" xfId="70" xr:uid="{DAEC5A13-F869-40DC-B6E1-FAB72A17125F}"/>
    <cellStyle name="Standaard 3 2 3" xfId="47" xr:uid="{00000000-0005-0000-0000-000028000000}"/>
    <cellStyle name="Standaard 3 2 3 2" xfId="66" xr:uid="{EBF4262D-2F5C-46E3-BCA0-ED97D4279F9E}"/>
    <cellStyle name="Standaard 3 2 4" xfId="63" xr:uid="{EBD8D7AB-0B76-4121-B932-1425AC32EE1E}"/>
    <cellStyle name="Standaard 3 3" xfId="49" xr:uid="{00000000-0005-0000-0000-000029000000}"/>
    <cellStyle name="Standaard 3 3 2" xfId="52" xr:uid="{00000000-0005-0000-0000-00002A000000}"/>
    <cellStyle name="Standaard 3 3 2 2" xfId="71" xr:uid="{DAFF012D-75FE-4D49-BF40-9130E5535FC2}"/>
    <cellStyle name="Standaard 3 3 3" xfId="68" xr:uid="{36341F05-AA12-40AB-A236-CFA73F1D3A81}"/>
    <cellStyle name="Standaard 3 4" xfId="50" xr:uid="{00000000-0005-0000-0000-00002B000000}"/>
    <cellStyle name="Standaard 3 4 2" xfId="69" xr:uid="{E244E67B-732F-46AB-A864-45354C95C755}"/>
    <cellStyle name="Standaard 3 5" xfId="45" xr:uid="{00000000-0005-0000-0000-00002C000000}"/>
    <cellStyle name="Standaard 3 5 2" xfId="64" xr:uid="{0BD0EC5F-FFA4-4B91-A810-A2B9111254A6}"/>
    <cellStyle name="Standaard 3 6" xfId="53" xr:uid="{00000000-0005-0000-0000-00002D000000}"/>
    <cellStyle name="Standaard 3 6 2" xfId="72" xr:uid="{2DB36948-0132-48B5-AFB3-362E777C809A}"/>
    <cellStyle name="Standaard 3 7" xfId="60" xr:uid="{BBB55D53-91A6-4BEB-B165-115B801D778F}"/>
    <cellStyle name="Standaard 4" xfId="30" xr:uid="{00000000-0005-0000-0000-00002E000000}"/>
    <cellStyle name="Standaard 5" xfId="34" xr:uid="{00000000-0005-0000-0000-00002F000000}"/>
    <cellStyle name="Standaard 6" xfId="55" xr:uid="{E455430A-9DF4-46E1-A18E-520926441726}"/>
    <cellStyle name="Standaard 7" xfId="76" xr:uid="{95832036-9989-4404-93AA-9F417CCA343C}"/>
    <cellStyle name="Valuta" xfId="54" builtinId="4"/>
    <cellStyle name="Valuta 2" xfId="31" xr:uid="{00000000-0005-0000-0000-000031000000}"/>
    <cellStyle name="Valuta 3" xfId="36" xr:uid="{00000000-0005-0000-0000-000032000000}"/>
    <cellStyle name="Valuta 3 2" xfId="61" xr:uid="{942E41F7-F4A6-42CE-B1C1-B8BBB35F9936}"/>
    <cellStyle name="Valuta 4" xfId="48" xr:uid="{00000000-0005-0000-0000-000033000000}"/>
    <cellStyle name="Valuta 4 2" xfId="67" xr:uid="{5EB5C5AA-7C57-4218-8E63-056C1A13E0E4}"/>
    <cellStyle name="Valuta 5" xfId="46" xr:uid="{00000000-0005-0000-0000-000034000000}"/>
    <cellStyle name="Valuta 5 2" xfId="65" xr:uid="{BC1E8891-794D-45E4-A37D-E3DE3AC06586}"/>
    <cellStyle name="Valuta 6" xfId="57" xr:uid="{2F6036FC-E1D4-4DD3-A240-4ECECFEECB7D}"/>
    <cellStyle name="Valuta 6 2" xfId="75" xr:uid="{E3A8307F-1F63-4DEC-BC68-95A22994F8A7}"/>
    <cellStyle name="Valuta 7" xfId="73" xr:uid="{8FEF3307-EEDB-4E6D-B28C-182D190EE40B}"/>
    <cellStyle name="Währung [0]_Aufmaß" xfId="32" xr:uid="{00000000-0005-0000-0000-000035000000}"/>
    <cellStyle name="Währung_Aufmaß" xfId="33" xr:uid="{00000000-0005-0000-0000-000036000000}"/>
  </cellStyles>
  <dxfs count="306">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solid">
          <fgColor indexed="64"/>
          <bgColor indexed="11"/>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9"/>
        <color theme="1"/>
        <name val="Aptos"/>
        <family val="2"/>
        <scheme val="none"/>
      </font>
      <numFmt numFmtId="164" formatCode="_-&quot;€&quot;\ * #,##0.00_-;_-&quot;€&quot;\ * #,##0.00\-;_-&quot;€&quot;\ * &quot;-&quot;??_-;_-@_-"/>
      <fill>
        <patternFill patternType="solid">
          <fgColor indexed="64"/>
          <bgColor indexed="1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9"/>
        <color theme="1"/>
        <name val="Aptos"/>
        <family val="2"/>
        <scheme val="none"/>
      </font>
      <numFmt numFmtId="164" formatCode="_-&quot;€&quot;\ * #,##0.00_-;_-&quot;€&quot;\ * #,##0.00\-;_-&quot;€&quot;\ * &quot;-&quot;??_-;_-@_-"/>
      <fill>
        <patternFill patternType="solid">
          <fgColor indexed="64"/>
          <bgColor indexed="1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9"/>
        <color theme="1"/>
        <name val="Aptos"/>
        <family val="2"/>
        <scheme val="none"/>
      </font>
      <numFmt numFmtId="164" formatCode="_-&quot;€&quot;\ * #,##0.00_-;_-&quot;€&quot;\ * #,##0.00\-;_-&quot;€&quot;\ * &quot;-&quot;??_-;_-@_-"/>
      <fill>
        <patternFill patternType="solid">
          <fgColor indexed="64"/>
          <bgColor indexed="11"/>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9"/>
        <color auto="1"/>
        <name val="Aptos"/>
        <family val="2"/>
        <scheme val="none"/>
      </font>
      <numFmt numFmtId="183" formatCode="0.0%"/>
      <fill>
        <patternFill patternType="solid">
          <fgColor indexed="64"/>
          <bgColor indexed="11"/>
        </patternFill>
      </fill>
      <alignment horizontal="center" vertical="center" textRotation="0" wrapText="0" indent="0" justifyLastLine="0" shrinkToFit="0" readingOrder="0"/>
      <border diagonalUp="0" diagonalDown="0">
        <left style="thin">
          <color theme="0"/>
        </left>
        <right/>
        <top style="thin">
          <color theme="0"/>
        </top>
        <bottom style="thin">
          <color theme="0"/>
        </bottom>
      </border>
      <protection locked="0" hidden="0"/>
    </dxf>
    <dxf>
      <font>
        <b/>
        <i val="0"/>
        <strike val="0"/>
        <condense val="0"/>
        <extend val="0"/>
        <outline val="0"/>
        <shadow val="0"/>
        <u val="none"/>
        <vertAlign val="baseline"/>
        <sz val="9"/>
        <color auto="1"/>
        <name val="Aptos"/>
        <family val="2"/>
        <scheme val="none"/>
      </font>
      <fill>
        <patternFill patternType="solid">
          <fgColor indexed="64"/>
          <bgColor indexed="11"/>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9"/>
        <color auto="1"/>
        <name val="Aptos"/>
        <family val="2"/>
        <scheme val="none"/>
      </font>
      <fill>
        <patternFill patternType="solid">
          <fgColor indexed="64"/>
          <bgColor indexed="11"/>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9"/>
        <color auto="1"/>
        <name val="Aptos"/>
        <family val="2"/>
        <scheme val="none"/>
      </font>
      <numFmt numFmtId="2" formatCode="0.00"/>
      <fill>
        <patternFill patternType="solid">
          <fgColor indexed="64"/>
          <bgColor indexed="11"/>
        </patternFill>
      </fill>
      <alignment horizontal="center" vertical="center" textRotation="0" wrapText="0" indent="0" justifyLastLine="0" shrinkToFit="0" readingOrder="0"/>
      <protection locked="0" hidden="0"/>
    </dxf>
    <dxf>
      <font>
        <color rgb="FF9C0006"/>
      </font>
      <fill>
        <patternFill>
          <bgColor rgb="FFFFC7CE"/>
        </patternFill>
      </fill>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family val="2"/>
        <scheme val="none"/>
      </font>
      <numFmt numFmtId="173" formatCode="_ [$€-413]\ * #,##0.00_ ;_ [$€-413]\ * \-#,##0.00_ ;_ [$€-413]\ * &quot;-&quot;??_ ;_ @_ "/>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ptos"/>
        <family val="2"/>
        <scheme val="none"/>
      </font>
      <numFmt numFmtId="173" formatCode="_ [$€-413]\ * #,##0.00_ ;_ [$€-413]\ * \-#,##0.00_ ;_ [$€-413]\ * &quot;-&quot;??_ ;_ @_ "/>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9"/>
        <color theme="1"/>
        <name val="Aptos"/>
        <family val="2"/>
        <scheme val="none"/>
      </font>
      <numFmt numFmtId="0" formatCode="General"/>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Aptos"/>
        <family val="2"/>
        <scheme val="none"/>
      </font>
      <fill>
        <patternFill patternType="solid">
          <fgColor indexed="64"/>
          <bgColor theme="0" tint="-0.249977111117893"/>
        </patternFill>
      </fill>
      <alignment vertical="center" textRotation="0" wrapText="0" indent="0" justifyLastLine="0" shrinkToFit="0" readingOrder="0"/>
    </dxf>
    <dxf>
      <border outline="0">
        <top style="thin">
          <color indexed="64"/>
        </top>
        <bottom style="thin">
          <color indexed="64"/>
        </bottom>
      </border>
    </dxf>
    <dxf>
      <font>
        <strike val="0"/>
        <outline val="0"/>
        <shadow val="0"/>
        <vertAlign val="baseline"/>
        <name val="Aptos"/>
        <family val="2"/>
        <scheme val="none"/>
      </font>
    </dxf>
    <dxf>
      <border outline="0">
        <bottom style="thin">
          <color indexed="64"/>
        </bottom>
      </border>
    </dxf>
    <dxf>
      <font>
        <b val="0"/>
        <i val="0"/>
        <strike val="0"/>
        <condense val="0"/>
        <extend val="0"/>
        <outline val="0"/>
        <shadow val="0"/>
        <u val="none"/>
        <vertAlign val="baseline"/>
        <sz val="9"/>
        <color theme="0"/>
        <name val="Verdana"/>
        <family val="2"/>
        <scheme val="none"/>
      </font>
      <fill>
        <patternFill patternType="solid">
          <fgColor theme="4"/>
          <bgColor rgb="FF2B415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81" formatCode="#,##0.0_ ;\-#,##0.0\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9" formatCode="#,##0.0"/>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80" formatCode="#,##0_ ;\-#,##0\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3" formatCode="#,##0"/>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ptos"/>
        <family val="2"/>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fill>
        <patternFill patternType="solid">
          <fgColor theme="4" tint="0.59999389629810485"/>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Aptos"/>
        <family val="2"/>
        <scheme val="none"/>
      </font>
      <fill>
        <patternFill patternType="solid">
          <fgColor indexed="64"/>
          <bgColor theme="0" tint="-0.249977111117893"/>
        </patternFill>
      </fill>
      <alignment vertical="center" textRotation="0" wrapText="0" indent="0" justifyLastLine="0" shrinkToFit="0" readingOrder="0"/>
    </dxf>
    <dxf>
      <border outline="0">
        <top style="thin">
          <color indexed="64"/>
        </top>
        <bottom style="thin">
          <color indexed="64"/>
        </bottom>
      </border>
    </dxf>
    <dxf>
      <font>
        <strike val="0"/>
        <outline val="0"/>
        <shadow val="0"/>
        <vertAlign val="baseline"/>
        <name val="Aptos"/>
        <family val="2"/>
        <scheme val="none"/>
      </font>
    </dxf>
    <dxf>
      <border outline="0">
        <bottom style="thin">
          <color indexed="64"/>
        </bottom>
      </border>
    </dxf>
    <dxf>
      <font>
        <b val="0"/>
        <i val="0"/>
        <strike val="0"/>
        <condense val="0"/>
        <extend val="0"/>
        <outline val="0"/>
        <shadow val="0"/>
        <u val="none"/>
        <vertAlign val="baseline"/>
        <sz val="9"/>
        <color theme="0"/>
        <name val="Verdana"/>
        <family val="2"/>
        <scheme val="none"/>
      </font>
      <fill>
        <patternFill patternType="solid">
          <fgColor theme="4"/>
          <bgColor rgb="FF2B415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strike val="0"/>
        <outline val="0"/>
        <shadow val="0"/>
        <name val="Aptos"/>
        <family val="2"/>
        <scheme val="none"/>
      </font>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strike val="0"/>
        <outline val="0"/>
        <shadow val="0"/>
        <name val="Aptos"/>
        <family val="2"/>
        <scheme val="none"/>
      </font>
    </dxf>
    <dxf>
      <font>
        <strike val="0"/>
        <outline val="0"/>
        <shadow val="0"/>
        <u val="none"/>
        <vertAlign val="baseline"/>
        <sz val="9"/>
        <color theme="1"/>
        <name val="Aptos"/>
        <family val="2"/>
        <scheme val="none"/>
      </font>
      <fill>
        <patternFill patternType="solid">
          <fgColor indexed="64"/>
          <bgColor theme="0" tint="-0.249977111117893"/>
        </patternFill>
      </fill>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0"/>
        <name val="Verdana"/>
        <family val="2"/>
        <scheme val="none"/>
      </font>
      <fill>
        <patternFill patternType="solid">
          <fgColor theme="4"/>
          <bgColor rgb="FF2B4155"/>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3"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3"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strike val="0"/>
        <outline val="0"/>
        <shadow val="0"/>
        <vertAlign val="baseline"/>
        <name val="Aptos"/>
        <family val="2"/>
        <scheme val="none"/>
      </font>
      <numFmt numFmtId="186" formatCode="#.##000"/>
      <fill>
        <patternFill patternType="solid">
          <fgColor rgb="FFB8CCE4"/>
          <bgColor rgb="FFBFBFBF"/>
        </patternFill>
      </fill>
    </dxf>
    <dxf>
      <font>
        <b val="0"/>
        <i val="0"/>
        <strike val="0"/>
        <condense val="0"/>
        <extend val="0"/>
        <outline val="0"/>
        <shadow val="0"/>
        <u val="none"/>
        <vertAlign val="baseline"/>
        <sz val="9"/>
        <color rgb="FF000000"/>
        <name val="Aptos"/>
        <family val="2"/>
        <scheme val="none"/>
      </font>
      <numFmt numFmtId="186"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Verdana"/>
        <family val="2"/>
        <scheme val="none"/>
      </font>
      <numFmt numFmtId="4" formatCode="#,##0.00"/>
      <fill>
        <patternFill patternType="solid">
          <fgColor theme="4"/>
          <bgColor rgb="FF2B4155"/>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fill>
        <patternFill patternType="solid">
          <fgColor theme="4" tint="0.79998168889431442"/>
          <bgColor theme="4" tint="0.79998168889431442"/>
        </patternFill>
      </fill>
      <alignment horizontal="left" vertical="center" textRotation="0" wrapText="0" indent="0" justifyLastLine="0" shrinkToFit="0" readingOrder="0"/>
      <border outline="0">
        <right style="thin">
          <color theme="0"/>
        </right>
      </border>
    </dxf>
    <dxf>
      <font>
        <strike val="0"/>
        <outline val="0"/>
        <shadow val="0"/>
        <vertAlign val="baseline"/>
        <name val="Aptos"/>
        <family val="2"/>
        <scheme val="none"/>
      </font>
    </dxf>
    <dxf>
      <font>
        <b val="0"/>
        <i val="0"/>
        <strike val="0"/>
        <condense val="0"/>
        <extend val="0"/>
        <outline val="0"/>
        <shadow val="0"/>
        <u val="none"/>
        <vertAlign val="baseline"/>
        <sz val="9"/>
        <color theme="1"/>
        <name val="Aptos"/>
        <family val="2"/>
        <scheme val="none"/>
      </font>
      <numFmt numFmtId="0" formatCode="General"/>
      <fill>
        <patternFill patternType="solid">
          <fgColor theme="4" tint="0.79998168889431442"/>
          <bgColor theme="4" tint="0.79998168889431442"/>
        </patternFill>
      </fill>
      <alignment horizontal="center" vertical="center" textRotation="0" wrapText="0" indent="0" justifyLastLine="0" shrinkToFit="0" readingOrder="0"/>
    </dxf>
    <dxf>
      <font>
        <strike val="0"/>
        <outline val="0"/>
        <shadow val="0"/>
        <vertAlign val="baseline"/>
        <name val="Aptos"/>
        <family val="2"/>
        <scheme val="none"/>
      </font>
    </dxf>
    <dxf>
      <font>
        <b val="0"/>
        <i val="0"/>
        <strike val="0"/>
        <condense val="0"/>
        <extend val="0"/>
        <outline val="0"/>
        <shadow val="0"/>
        <u val="none"/>
        <vertAlign val="baseline"/>
        <sz val="9"/>
        <color theme="0"/>
        <name val="Verdana"/>
        <family val="2"/>
        <scheme val="none"/>
      </font>
      <numFmt numFmtId="4" formatCode="#,##0.00"/>
      <fill>
        <patternFill patternType="solid">
          <fgColor theme="4"/>
          <bgColor rgb="FF2B4155"/>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general" vertical="center" textRotation="0" wrapText="0" indent="0" justifyLastLine="0" shrinkToFit="0" readingOrder="0"/>
    </dxf>
    <dxf>
      <font>
        <strike val="0"/>
        <outline val="0"/>
        <shadow val="0"/>
        <u val="none"/>
        <vertAlign val="baseline"/>
        <sz val="9"/>
        <color theme="1"/>
        <name val="Aptos"/>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Aptos"/>
        <family val="2"/>
        <scheme val="none"/>
      </font>
      <numFmt numFmtId="186" formatCode="#.##000"/>
      <fill>
        <patternFill patternType="solid">
          <fgColor theme="4" tint="0.79998168889431442"/>
          <bgColor theme="0" tint="-0.249977111117893"/>
        </patternFill>
      </fill>
    </dxf>
    <dxf>
      <font>
        <b val="0"/>
        <i val="0"/>
        <strike val="0"/>
        <condense val="0"/>
        <extend val="0"/>
        <outline val="0"/>
        <shadow val="0"/>
        <u val="none"/>
        <vertAlign val="baseline"/>
        <sz val="9"/>
        <color theme="1"/>
        <name val="Aptos"/>
        <family val="2"/>
        <scheme val="none"/>
      </font>
      <numFmt numFmtId="186"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Verdana"/>
        <family val="2"/>
        <scheme val="none"/>
      </font>
      <fill>
        <patternFill patternType="solid">
          <fgColor theme="4"/>
          <bgColor rgb="FF2B4155"/>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border outline="0">
        <right style="thin">
          <color theme="0"/>
        </right>
      </border>
    </dxf>
    <dxf>
      <font>
        <strike val="0"/>
        <outline val="0"/>
        <shadow val="0"/>
        <vertAlign val="baseline"/>
        <name val="Aptos"/>
        <family val="2"/>
        <scheme val="none"/>
      </font>
      <fill>
        <patternFill patternType="none">
          <fgColor indexed="64"/>
          <bgColor auto="1"/>
        </patternFill>
      </fill>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strike val="0"/>
        <outline val="0"/>
        <shadow val="0"/>
        <vertAlign val="baseline"/>
        <name val="Aptos"/>
        <family val="2"/>
        <scheme val="none"/>
      </font>
    </dxf>
    <dxf>
      <font>
        <b val="0"/>
        <i val="0"/>
        <strike val="0"/>
        <condense val="0"/>
        <extend val="0"/>
        <outline val="0"/>
        <shadow val="0"/>
        <u val="none"/>
        <vertAlign val="baseline"/>
        <sz val="9"/>
        <color theme="0"/>
        <name val="Verdana"/>
        <family val="2"/>
        <scheme val="none"/>
      </font>
      <fill>
        <patternFill patternType="solid">
          <fgColor theme="4"/>
          <bgColor rgb="FF2B4155"/>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79" formatCode="#,##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strike val="0"/>
        <outline val="0"/>
        <shadow val="0"/>
        <vertAlign val="baseline"/>
        <name val="Aptos"/>
        <family val="2"/>
        <scheme val="none"/>
      </font>
      <numFmt numFmtId="186" formatCode="#.##000"/>
      <fill>
        <patternFill patternType="solid">
          <fgColor rgb="FFB8CCE4"/>
          <bgColor rgb="FFBFBFBF"/>
        </patternFill>
      </fill>
    </dxf>
    <dxf>
      <font>
        <b val="0"/>
        <i val="0"/>
        <strike val="0"/>
        <condense val="0"/>
        <extend val="0"/>
        <outline val="0"/>
        <shadow val="0"/>
        <u val="none"/>
        <vertAlign val="baseline"/>
        <sz val="9"/>
        <color rgb="FF000000"/>
        <name val="Aptos"/>
        <family val="2"/>
        <scheme val="none"/>
      </font>
      <numFmt numFmtId="186"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Verdana"/>
        <family val="2"/>
        <scheme val="none"/>
      </font>
      <fill>
        <patternFill patternType="solid">
          <fgColor theme="4"/>
          <bgColor rgb="FF2B4155"/>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border outline="0">
        <right style="thin">
          <color theme="0"/>
        </right>
      </border>
    </dxf>
    <dxf>
      <font>
        <strike val="0"/>
        <outline val="0"/>
        <shadow val="0"/>
        <vertAlign val="baseline"/>
        <name val="Aptos"/>
        <family val="2"/>
        <scheme val="none"/>
      </font>
      <fill>
        <patternFill patternType="none">
          <fgColor indexed="64"/>
          <bgColor auto="1"/>
        </patternFill>
      </fill>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strike val="0"/>
        <outline val="0"/>
        <shadow val="0"/>
        <vertAlign val="baseline"/>
        <name val="Aptos"/>
        <family val="2"/>
        <scheme val="none"/>
      </font>
    </dxf>
    <dxf>
      <font>
        <b val="0"/>
        <i val="0"/>
        <strike val="0"/>
        <condense val="0"/>
        <extend val="0"/>
        <outline val="0"/>
        <shadow val="0"/>
        <u val="none"/>
        <vertAlign val="baseline"/>
        <sz val="9"/>
        <color theme="0"/>
        <name val="Verdana"/>
        <family val="2"/>
        <scheme val="none"/>
      </font>
      <fill>
        <patternFill patternType="solid">
          <fgColor theme="4"/>
          <bgColor rgb="FF2B415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73" formatCode="_ [$€-413]\ * #,##0.00_ ;_ [$€-413]\ * \-#,##0.00_ ;_ [$€-413]\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34" formatCode="_ &quot;€&quot;\ * #,##0.00_ ;_ &quot;€&quot;\ * \-#,##0.00_ ;_ &quot;€&quot;\ * &quot;-&quot;??_ ;_ @_ "/>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169" formatCode="0.000"/>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169" formatCode="0.000"/>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34" formatCode="_ &quot;€&quot;\ * #,##0.00_ ;_ &quot;€&quot;\ * \-#,##0.00_ ;_ &quot;€&quot;\ * &quot;-&quot;??_ ;_ @_ "/>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34" formatCode="_ &quot;€&quot;\ * #,##0.00_ ;_ &quot;€&quot;\ * \-#,##0.00_ ;_ &quot;€&quot;\ * &quot;-&quot;??_ ;_ @_ "/>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169" formatCode="0.000"/>
      <fill>
        <patternFill patternType="none">
          <fgColor indexed="64"/>
          <bgColor auto="1"/>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Verdana"/>
        <family val="2"/>
        <scheme val="none"/>
      </font>
      <numFmt numFmtId="1" formatCode="0"/>
      <fill>
        <patternFill patternType="none">
          <fgColor indexed="64"/>
          <bgColor indexed="65"/>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Aptos"/>
        <family val="2"/>
        <scheme val="none"/>
      </font>
      <numFmt numFmtId="1" formatCode="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 formatCode="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1" formatCode="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30" formatCode="@"/>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30" formatCode="@"/>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8" formatCode="0.00\ &quot;m²&quo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numFmt numFmtId="178" formatCode="0.00\ &quot;m²&quo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78" formatCode="0.00\ &quot;m²&quo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177" formatCode="General\ &quot;m²&quo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general" vertical="center" textRotation="0" wrapText="0" indent="0" justifyLastLine="0" shrinkToFit="0" readingOrder="0"/>
      <border outline="0">
        <left style="thin">
          <color theme="0"/>
        </left>
        <right style="thin">
          <color theme="0"/>
        </right>
      </border>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general" vertical="center" textRotation="0" wrapText="0" indent="0" justifyLastLine="0" shrinkToFit="0" readingOrder="0"/>
      <border outline="0">
        <left style="thin">
          <color theme="0"/>
        </left>
      </border>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solid">
          <fgColor indexed="64"/>
          <bgColor theme="0"/>
        </patternFill>
      </fill>
      <alignment horizontal="general" vertical="center" textRotation="0" wrapText="0" indent="0" justifyLastLine="0" shrinkToFit="0" readingOrder="0"/>
    </dxf>
    <dxf>
      <font>
        <strike val="0"/>
        <outline val="0"/>
        <shadow val="0"/>
        <vertAlign val="baseline"/>
        <color auto="1"/>
        <name val="Aptos"/>
        <family val="2"/>
        <scheme val="none"/>
      </font>
      <alignmen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solid">
          <fgColor theme="4" tint="0.79998168889431442"/>
          <bgColor theme="4" tint="0.79998168889431442"/>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 formatCode="0"/>
      <fill>
        <patternFill patternType="solid">
          <fgColor theme="4" tint="0.79998168889431442"/>
          <bgColor theme="4" tint="0.79998168889431442"/>
        </patternFill>
      </fill>
      <alignment horizontal="center" vertical="center" textRotation="0" wrapText="0" indent="0" justifyLastLine="0" shrinkToFit="0" readingOrder="0"/>
    </dxf>
    <dxf>
      <font>
        <strike val="0"/>
        <outline val="0"/>
        <shadow val="0"/>
        <vertAlign val="baseline"/>
        <color auto="1"/>
        <name val="Aptos"/>
        <family val="2"/>
        <scheme val="none"/>
      </font>
      <alignment vertical="center" textRotation="0" wrapText="0" indent="0" justifyLastLine="0" shrinkToFit="0" readingOrder="0"/>
    </dxf>
    <dxf>
      <font>
        <strike val="0"/>
        <outline val="0"/>
        <shadow val="0"/>
        <vertAlign val="baseline"/>
        <color auto="1"/>
        <name val="Aptos"/>
        <family val="2"/>
        <scheme val="none"/>
      </font>
      <alignment vertical="bottom" textRotation="0" wrapText="1" justifyLastLine="0" shrinkToFit="0" readingOrder="0"/>
    </dxf>
    <dxf>
      <font>
        <b val="0"/>
        <i val="0"/>
        <strike val="0"/>
        <condense val="0"/>
        <extend val="0"/>
        <outline val="0"/>
        <shadow val="0"/>
        <u val="none"/>
        <vertAlign val="baseline"/>
        <sz val="9"/>
        <color auto="1"/>
        <name val="Aptos"/>
        <family val="2"/>
        <scheme val="none"/>
      </font>
      <alignment horizontal="general" vertical="center" textRotation="0" wrapText="0" indent="0" justifyLastLine="0" shrinkToFit="0" readingOrder="0"/>
    </dxf>
    <dxf>
      <font>
        <b val="0"/>
        <strike val="0"/>
        <outline val="0"/>
        <shadow val="0"/>
        <u val="none"/>
        <vertAlign val="baseline"/>
        <sz val="9"/>
        <color auto="1"/>
        <name val="Aptos"/>
        <family val="2"/>
        <scheme val="none"/>
      </font>
      <alignment horizontal="center" vertical="center" textRotation="0" wrapText="0" indent="0" justifyLastLine="0" shrinkToFit="0" readingOrder="0"/>
    </dxf>
    <dxf>
      <font>
        <strike val="0"/>
        <outline val="0"/>
        <shadow val="0"/>
        <vertAlign val="baseline"/>
        <color auto="1"/>
        <name val="Aptos"/>
        <family val="2"/>
        <scheme val="none"/>
      </font>
      <alignment horizontal="center" vertical="center" textRotation="0" wrapText="0" indent="0" justifyLastLine="0" shrinkToFit="0" readingOrder="0"/>
    </dxf>
    <dxf>
      <font>
        <strike val="0"/>
        <outline val="0"/>
        <shadow val="0"/>
        <vertAlign val="baseline"/>
        <color auto="1"/>
        <name val="Aptos"/>
        <family val="2"/>
        <scheme val="none"/>
      </font>
      <alignment vertical="center" textRotation="0" wrapText="0" indent="0" justifyLastLine="0" shrinkToFit="0" readingOrder="0"/>
    </dxf>
    <dxf>
      <font>
        <b/>
        <i val="0"/>
        <strike val="0"/>
        <condense val="0"/>
        <extend val="0"/>
        <outline val="0"/>
        <shadow val="0"/>
        <u val="none"/>
        <vertAlign val="baseline"/>
        <sz val="9"/>
        <color auto="1"/>
        <name val="Aptos"/>
        <family val="2"/>
        <scheme val="none"/>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horizontal="center" vertical="center" textRotation="0" wrapText="0" indent="0" justifyLastLine="0" shrinkToFit="0" readingOrder="0"/>
    </dxf>
    <dxf>
      <font>
        <strike val="0"/>
        <outline val="0"/>
        <shadow val="0"/>
        <vertAlign val="baseline"/>
        <color auto="1"/>
        <name val="Aptos"/>
        <family val="2"/>
        <scheme val="none"/>
      </font>
      <alignment vertical="center" textRotation="0" wrapText="0" indent="0" justifyLastLine="0" shrinkToFit="0" readingOrder="0"/>
    </dxf>
    <dxf>
      <font>
        <strike val="0"/>
        <outline val="0"/>
        <shadow val="0"/>
        <u val="none"/>
        <vertAlign val="baseline"/>
        <sz val="9"/>
        <name val="Aptos"/>
        <family val="2"/>
        <scheme val="none"/>
      </font>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dxf>
    <dxf>
      <border>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00FF00"/>
      <color rgb="FF0E096B"/>
      <color rgb="FF346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Gegevens\Excel\Calc\AZR\AZR%20psychiatri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Voor..van\meten%20glas\meten%20glas\meten%20glas\meten%20glas\meten%20glas\meten%20glas\meten%20glas\meten%20glas\ati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3 (3)"/>
      <sheetName val="Blad3 (2)"/>
      <sheetName val="Blad1"/>
      <sheetName val="Blad2"/>
      <sheetName val="Blad3"/>
      <sheetName val="Blad4"/>
      <sheetName val="Psychiatrie"/>
      <sheetName val="Nummers"/>
      <sheetName val="Menu"/>
      <sheetName val="Tijdnormen"/>
      <sheetName val="Frekwenties"/>
      <sheetName val="Vloeren"/>
      <sheetName val="Uitgangspunten"/>
      <sheetName val="hiddenSheet"/>
      <sheetName val="Blad3_(3)"/>
      <sheetName val="Blad3_(2)"/>
      <sheetName val="dv_info"/>
      <sheetName val="Kalender"/>
      <sheetName val="EtagesLijst"/>
      <sheetName val="Werkprogrammas"/>
      <sheetName val="_BuildingSectionListExport"/>
      <sheetName val="_DepartmentListExport"/>
      <sheetName val="_BuildingListExport"/>
      <sheetName val="_LocationListExport"/>
      <sheetName val="_ProgramListExport"/>
      <sheetName val="_SpaceTypeListExport"/>
      <sheetName val="_FloorTypeListExport"/>
      <sheetName val="Voorblad"/>
      <sheetName val="1.0a-Contractblad Prodruimten"/>
      <sheetName val="1.0d-Contractblad Algemeen"/>
      <sheetName val="1.1-Jaarprijzen"/>
      <sheetName val="1.5 Opbouw uurtarieven"/>
      <sheetName val="1.1a-Inzet uren per lijn"/>
      <sheetName val="1.1a-Overzicht uren-prijzen"/>
      <sheetName val="1.2-Tijdseenheid Productie"/>
      <sheetName val="MAXIMO VERSU CONTRACT"/>
      <sheetName val="1.3a-Low Care"/>
      <sheetName val="1.3f-Mutaties"/>
      <sheetName val="13g-Mutaties oud"/>
      <sheetName val="1.3c-Plafond en wanden"/>
      <sheetName val="1.3d Vloeronderhoud door ED"/>
      <sheetName val="1.6-Machine-investeringskosten"/>
      <sheetName val="Normen"/>
      <sheetName val="Kalender (2)"/>
      <sheetName val="Opzoeklijst"/>
      <sheetName val="01.255"/>
      <sheetName val="02.255"/>
      <sheetName val="04.255"/>
      <sheetName val="AZR psychiatrie"/>
      <sheetName val="Blad3_(3)1"/>
      <sheetName val="Blad3_(2)1"/>
      <sheetName val="Kalender_(2)"/>
      <sheetName val="01_255"/>
      <sheetName val="02_255"/>
      <sheetName val="04_255"/>
      <sheetName val=""/>
      <sheetName val="Blad3_(3)2"/>
      <sheetName val="Blad3_(2)2"/>
      <sheetName val="Kalender_(2)1"/>
      <sheetName val="01_2551"/>
      <sheetName val="02_2551"/>
      <sheetName val="04_2551"/>
      <sheetName val="1_0a-Contractblad_Prodruimten"/>
      <sheetName val="1_0d-Contractblad_Algemeen"/>
      <sheetName val="1_1-Jaarprijzen"/>
      <sheetName val="1_5_Opbouw_uurtarieven"/>
      <sheetName val="1_1a-Inzet_uren_per_lijn"/>
      <sheetName val="1_1a-Overzicht_uren-prijzen"/>
      <sheetName val="1_2-Tijdseenheid_Productie"/>
      <sheetName val="MAXIMO_VERSU_CONTRACT"/>
      <sheetName val="1_3a-Low_Care"/>
      <sheetName val="1_3f-Mutaties"/>
      <sheetName val="13g-Mutaties_oud"/>
      <sheetName val="1_3c-Plafond_en_wanden"/>
      <sheetName val="1_3d_Vloeronderhoud_door_ED"/>
      <sheetName val="1_6-Machine-investeringskosten"/>
      <sheetName val="AZR_psychiatrie"/>
      <sheetName val="Blad3_(3)3"/>
      <sheetName val="Blad3_(2)3"/>
      <sheetName val="Kalender_(2)2"/>
      <sheetName val="01_2552"/>
      <sheetName val="02_2552"/>
      <sheetName val="04_2552"/>
      <sheetName val="1_0a-Contractblad_Prodruimten1"/>
      <sheetName val="1_0d-Contractblad_Algemeen1"/>
      <sheetName val="1_1-Jaarprijzen1"/>
      <sheetName val="1_5_Opbouw_uurtarieven1"/>
      <sheetName val="1_1a-Inzet_uren_per_lijn1"/>
      <sheetName val="1_1a-Overzicht_uren-prijzen1"/>
      <sheetName val="1_2-Tijdseenheid_Productie1"/>
      <sheetName val="MAXIMO_VERSU_CONTRACT1"/>
      <sheetName val="1_3a-Low_Care1"/>
      <sheetName val="1_3f-Mutaties1"/>
      <sheetName val="13g-Mutaties_oud1"/>
      <sheetName val="1_3c-Plafond_en_wanden1"/>
      <sheetName val="1_3d_Vloeronderhoud_door_ED1"/>
      <sheetName val="1_6-Machine-investeringskosten1"/>
      <sheetName val="AZR_psychiatrie1"/>
      <sheetName val="Stamtabell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refreshError="1"/>
      <sheetData sheetId="49"/>
      <sheetData sheetId="50"/>
      <sheetData sheetId="51"/>
      <sheetData sheetId="52"/>
      <sheetData sheetId="53"/>
      <sheetData sheetId="54"/>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ir.xls"/>
      <sheetName val="#REF"/>
      <sheetName val="atir_xls"/>
      <sheetName val="3-Basis_ruimtestaat"/>
      <sheetName val="Omreken"/>
      <sheetName val="atir_xls1"/>
      <sheetName val="atir_xls2"/>
    </sheetNames>
    <sheetDataSet>
      <sheetData sheetId="0" refreshError="1"/>
      <sheetData sheetId="1" refreshError="1"/>
      <sheetData sheetId="2" refreshError="1"/>
      <sheetData sheetId="3" refreshError="1"/>
      <sheetData sheetId="4" refreshError="1"/>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A13895-E364-4C8A-AA8D-12C726A7AC31}" name="Tabel10" displayName="Tabel10" ref="A3:Y1101" totalsRowShown="0" headerRowDxfId="305" dataDxfId="303" headerRowBorderDxfId="304" tableBorderDxfId="302" totalsRowBorderDxfId="301">
  <autoFilter ref="A3:Y1101" xr:uid="{EFA13895-E364-4C8A-AA8D-12C726A7AC31}"/>
  <tableColumns count="25">
    <tableColumn id="1" xr3:uid="{6B145318-7F04-4B27-80E3-EDDB80D8AA5F}" name="Code" dataDxfId="300"/>
    <tableColumn id="2" xr3:uid="{A3A88513-89B7-4FB7-9DB5-CF77936D6328}" name="Locatie" dataDxfId="299"/>
    <tableColumn id="3" xr3:uid="{962D7CAE-D138-4226-9114-7A665E66FE09}" name="Frequentie" dataDxfId="298"/>
    <tableColumn id="4" xr3:uid="{02A05A85-F557-4E8F-81CA-782514C3EB0B}" name="Frequentieomschrijving" dataDxfId="297"/>
    <tableColumn id="5" xr3:uid="{3D41A4F3-0BA0-4F3A-8059-E98FA4296AD9}" name="Vloercode" dataDxfId="296"/>
    <tableColumn id="6" xr3:uid="{9F60BC29-F803-467C-9E8A-B9FD3FAED5FC}" name="Code2" dataDxfId="295"/>
    <tableColumn id="7" xr3:uid="{624EFF30-884A-4A63-9192-06AA3C4453EA}" name="vl1" dataDxfId="294"/>
    <tableColumn id="8" xr3:uid="{C944B72C-E6D7-4E79-85F6-914704F2E65C}" name="vl2" dataDxfId="293"/>
    <tableColumn id="9" xr3:uid="{D65DE689-F9B8-430B-B34E-7DF95793D674}" name="vl3" dataDxfId="292"/>
    <tableColumn id="10" xr3:uid="{43A4B773-0F96-4280-9C3F-EAF80A14A709}" name="vl4" dataDxfId="291"/>
    <tableColumn id="11" xr3:uid="{380012B2-3312-431D-8946-41856C56FB2C}" name="vl5" dataDxfId="290"/>
    <tableColumn id="12" xr3:uid="{2B1C9BF4-8C96-4C73-984A-DE131A286832}" name="vl6" dataDxfId="289"/>
    <tableColumn id="13" xr3:uid="{B5514BB9-74E0-4ABE-9E20-CCE23D228131}" name="vl7" dataDxfId="288"/>
    <tableColumn id="14" xr3:uid="{F791ACCD-A47B-41ED-BECD-6641D8F9B18D}" name="vnl" dataDxfId="287"/>
    <tableColumn id="15" xr3:uid="{20BAF86F-0248-4538-95CC-65053CB39BEF}" name="i8" dataDxfId="286"/>
    <tableColumn id="16" xr3:uid="{678C2240-F553-40F8-8F75-1C080929C9FC}" name="i9" dataDxfId="285"/>
    <tableColumn id="17" xr3:uid="{C2F746AF-E6E8-4646-8431-CFDAE0006C0B}" name="i10" dataDxfId="284"/>
    <tableColumn id="18" xr3:uid="{87F5E1E5-AB4E-4E20-BA95-D8FB4BB75EC7}" name="i11" dataDxfId="283"/>
    <tableColumn id="19" xr3:uid="{9C49B827-4B78-47E3-AF74-E39A99170859}" name="i12" dataDxfId="282"/>
    <tableColumn id="20" xr3:uid="{52B1AE75-DD29-4ADA-956E-361F983699DB}" name="i13" dataDxfId="281"/>
    <tableColumn id="21" xr3:uid="{9EF47AA6-0AC0-40A4-BB2C-B58ABE40EEF2}" name="i14" dataDxfId="280"/>
    <tableColumn id="22" xr3:uid="{5E7A7D3D-FCD2-4FB4-BE26-536C0F75A359}" name="inl" dataDxfId="279"/>
    <tableColumn id="23" xr3:uid="{4FDE95B9-743A-4E1C-BBAB-5F5DE7DAE90F}" name="s15" dataDxfId="278"/>
    <tableColumn id="24" xr3:uid="{F08AC32D-BF76-4C5E-A2C7-ABF0B3ADEC32}" name="s16" dataDxfId="277"/>
    <tableColumn id="25" xr3:uid="{F5AC86BA-6517-4B7E-AA9D-85C454384A01}" name="snl" dataDxfId="276"/>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6000000}" name="OverzichtGlas" displayName="OverzichtGlas" ref="A21:I34" totalsRowCount="1" headerRowDxfId="108" dataDxfId="107" totalsRowDxfId="106">
  <autoFilter ref="A21:I33" xr:uid="{00000000-0009-0000-0100-000004000000}"/>
  <sortState xmlns:xlrd2="http://schemas.microsoft.com/office/spreadsheetml/2017/richdata2" ref="A22:G28">
    <sortCondition ref="A22:A28"/>
  </sortState>
  <tableColumns count="9">
    <tableColumn id="1" xr3:uid="{00000000-0010-0000-0600-000001000000}" name="Code Locatie" totalsRowLabel="Totaal" dataDxfId="105" totalsRowDxfId="104"/>
    <tableColumn id="2" xr3:uid="{00000000-0010-0000-0600-000002000000}" name="Locatie" dataDxfId="103" totalsRowDxfId="102">
      <calculatedColumnFormula>VLOOKUP(OverzichtGlas[[#This Row],[Code Locatie]],Totalisatie!$A$7:$B$8,2,FALSE)</calculatedColumnFormula>
    </tableColumn>
    <tableColumn id="3" xr3:uid="{00000000-0010-0000-0600-000003000000}" name="Code taak" dataDxfId="101" totalsRowDxfId="100"/>
    <tableColumn id="4" xr3:uid="{00000000-0010-0000-0600-000004000000}" name="Glassoort/voorziening" dataDxfId="99" totalsRowDxfId="98">
      <calculatedColumnFormula>IF(Glasbewassing!$C22&gt;0,VLOOKUP(Glasbewassing!$C22,$A$8:$B$19,2,FALSE),"Hier vult u de inzet van eventuele hoogwerkers in")</calculatedColumnFormula>
    </tableColumn>
    <tableColumn id="5" xr3:uid="{00000000-0010-0000-0600-000005000000}" name="Oppervlakte of dagen" dataDxfId="97" totalsRowDxfId="96"/>
    <tableColumn id="7" xr3:uid="{00000000-0010-0000-0600-000007000000}" name="Frequentie" dataDxfId="95" totalsRowDxfId="94"/>
    <tableColumn id="8" xr3:uid="{00000000-0010-0000-0600-000008000000}" name="Kosten/jaar excl. BTW" totalsRowFunction="sum" dataDxfId="93" totalsRowDxfId="92">
      <calculatedColumnFormula>IF(C22&gt;0,VLOOKUP(OverzichtGlas[[#This Row],[Code taak]],InvulGlas[],3,0)*E22*F22,0)</calculatedColumnFormula>
    </tableColumn>
    <tableColumn id="9" xr3:uid="{C6828B68-C5ED-4DD8-81B9-05DF00D6C1BD}" name="Kosten/jaar incl. BTW" totalsRowFunction="sum" dataDxfId="91" totalsRowDxfId="90">
      <calculatedColumnFormula>OverzichtGlas[[#This Row],[Kosten/jaar excl. BTW]]*1.21</calculatedColumnFormula>
    </tableColumn>
    <tableColumn id="10" xr3:uid="{281CE6AA-F18D-4D78-892B-498ACB4CB3F2}" name="Opmerkingen" dataDxfId="89" totalsRowDxfId="88"/>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D3A8218-B2C3-4E82-8BC6-78E348E5EF0A}" name="Sanitair" displayName="Sanitair" ref="A8:I11" totalsRowShown="0" headerRowDxfId="87" dataDxfId="86">
  <autoFilter ref="A8:I11" xr:uid="{1D3A8218-B2C3-4E82-8BC6-78E348E5EF0A}"/>
  <tableColumns count="9">
    <tableColumn id="1" xr3:uid="{604D3272-0601-4CA8-B1A7-688615684E80}" name="Code Taak" dataDxfId="85"/>
    <tableColumn id="2" xr3:uid="{3736B8E7-4A65-4B09-9E0B-218DA8DA9F4A}" name="Werkzaamheden" dataDxfId="84"/>
    <tableColumn id="3" xr3:uid="{AAEE7484-F97C-49EF-80BC-5AAD5FA96FE6}" name="Prijs" dataDxfId="1"/>
    <tableColumn id="4" xr3:uid="{97D6280B-8659-4E8D-8799-6370DD16C96B}" name="Omschrijving verpakking" dataDxfId="83"/>
    <tableColumn id="5" xr3:uid="{5172FC6C-C769-45AD-80D0-F0EDFC9757C6}" name="2027" dataDxfId="82" dataCellStyle="Valuta">
      <calculatedColumnFormula>Sanitair[[#This Row],[Prijs]]*Tariefsopbouw!$I$37+Sanitair[[#This Row],[Prijs]]</calculatedColumnFormula>
    </tableColumn>
    <tableColumn id="6" xr3:uid="{14721B89-74D6-4BE9-9A79-053F5C5C05F7}" name="2028" dataDxfId="81" dataCellStyle="Valuta">
      <calculatedColumnFormula>Sanitair[[#This Row],[2027]]*Tariefsopbouw!$K$37+Sanitair[[#This Row],[2027]]</calculatedColumnFormula>
    </tableColumn>
    <tableColumn id="7" xr3:uid="{56E28DE0-763B-475C-90D3-FD2C34D8C6DB}" name="2029" dataDxfId="80" dataCellStyle="Valuta">
      <calculatedColumnFormula>Sanitair[[#This Row],[2028]]*Tariefsopbouw!$M$37+Sanitair[[#This Row],[2028]]</calculatedColumnFormula>
    </tableColumn>
    <tableColumn id="8" xr3:uid="{271DE52E-7044-4669-A3ED-F95B2808691B}" name="2030" dataDxfId="79" dataCellStyle="Valuta">
      <calculatedColumnFormula>Sanitair[[#This Row],[2029]]*Tariefsopbouw!$O$37+Sanitair[[#This Row],[2029]]</calculatedColumnFormula>
    </tableColumn>
    <tableColumn id="9" xr3:uid="{3529DF24-6972-4D26-99C0-7194E3070003}" name="2031" dataDxfId="78" dataCellStyle="Valuta">
      <calculatedColumnFormula>Sanitair[[#This Row],[2030]]*Tariefsopbouw!$Q$37+Sanitair[[#This Row],[2030]]</calculatedColumnFormula>
    </tableColumn>
  </tableColumns>
  <tableStyleInfo name="TableStyleMedium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AAE5E7C-6DFF-4DCD-9376-69453FFCA827}" name="Sanitair2" displayName="Sanitair2" ref="A13:H20" totalsRowCount="1" headerRowDxfId="77" dataDxfId="76" totalsRowDxfId="75">
  <autoFilter ref="A13:H19" xr:uid="{DAAE5E7C-6DFF-4DCD-9376-69453FFCA827}"/>
  <tableColumns count="8">
    <tableColumn id="11" xr3:uid="{C238B9F8-B412-4EA8-A243-B6BD49C916C9}" name="Code Locatie" dataDxfId="74" totalsRowDxfId="73"/>
    <tableColumn id="1" xr3:uid="{45436CD2-9A11-4C44-8D9D-3B0F60011488}" name="Locatie" totalsRowLabel="Totaal" dataDxfId="72" totalsRowDxfId="71">
      <calculatedColumnFormula>VLOOKUP(Sanitair2[[#This Row],[Code Locatie]],Locaties[],2,0)</calculatedColumnFormula>
    </tableColumn>
    <tableColumn id="3" xr3:uid="{7EA7BECA-332C-4074-A3CB-FDA19931B563}" name="Code Taak" dataDxfId="70" totalsRowDxfId="69"/>
    <tableColumn id="4" xr3:uid="{B7BF0A63-7883-4245-83DA-89EE56180092}" name="Werkzaamheden/Producten" dataDxfId="68" totalsRowDxfId="67">
      <calculatedColumnFormula>IF($C14&gt;0,VLOOKUP($C14,$A$8:$B$11,2,FALSE),"")</calculatedColumnFormula>
    </tableColumn>
    <tableColumn id="6" xr3:uid="{BD15E4E2-A733-42C3-9A22-1816807C47CE}" name="Aantallen verpakking" dataDxfId="66">
      <calculatedColumnFormula>SUMIFS('Ruimtestaat'!$N:$N,'Ruimtestaat'!L:L,Vloeronderhoud!E21,'Ruimtestaat'!A:A,Vloeronderhoud!A21)</calculatedColumnFormula>
    </tableColumn>
    <tableColumn id="8" xr3:uid="{7F5ECEDA-9AD7-4B3F-B00F-6AE08DA835C5}" name="Frequentie (uitv./jaar)" dataDxfId="65"/>
    <tableColumn id="9" xr3:uid="{0C836F5C-E488-4835-A53A-268B9853849B}" name="Kosten/jaar excl. BTW" totalsRowFunction="sum" dataDxfId="64" totalsRowDxfId="63">
      <calculatedColumnFormula>VLOOKUP(Sanitair2[[#This Row],[Code Taak]],Sanitair[],3,3)*E14*F14</calculatedColumnFormula>
    </tableColumn>
    <tableColumn id="2" xr3:uid="{154A2B0B-11B2-4FA5-A344-5DA121F7D4F3}" name="Kosten/jaar incl BTW" totalsRowFunction="sum" dataDxfId="62" totalsRowDxfId="61" dataCellStyle="Valuta">
      <calculatedColumnFormula>Sanitair2[[#This Row],[Kosten/jaar excl. BTW]]*1.21</calculatedColumnFormula>
    </tableColumn>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B000000}" name="InvulRegie" displayName="InvulRegie" ref="B8:I37" totalsRowCount="1" headerRowDxfId="60" dataDxfId="59" totalsRowDxfId="58">
  <autoFilter ref="B8:I36" xr:uid="{00000000-0009-0000-0100-00000B000000}"/>
  <tableColumns count="8">
    <tableColumn id="1" xr3:uid="{00000000-0010-0000-0B00-000001000000}" name="Werkzaamheid" totalsRowLabel="Totaal" dataDxfId="57" totalsRowDxfId="56"/>
    <tableColumn id="2" xr3:uid="{00000000-0010-0000-0B00-000002000000}" name="Eenheid" dataDxfId="55" totalsRowDxfId="54"/>
    <tableColumn id="3" xr3:uid="{00000000-0010-0000-0B00-000003000000}" name="Prijs excl. BTW" dataDxfId="0" totalsRowDxfId="53"/>
    <tableColumn id="4" xr3:uid="{B5F01DB2-4194-4E64-82A1-AEC4321C7779}" name="2027" dataDxfId="52" totalsRowDxfId="51">
      <calculatedColumnFormula>InvulRegie[[#This Row],[Prijs excl. BTW]]*Tariefsopbouw!$I$37+InvulRegie[[#This Row],[Prijs excl. BTW]]</calculatedColumnFormula>
    </tableColumn>
    <tableColumn id="5" xr3:uid="{3CA4A34B-020A-4D0B-A261-3474E51BA7E6}" name="2028" dataDxfId="50" totalsRowDxfId="49">
      <calculatedColumnFormula>E9*Tariefsopbouw!$K$37+'Regie en afroep'!E9</calculatedColumnFormula>
    </tableColumn>
    <tableColumn id="6" xr3:uid="{6CBE86F5-5170-4A40-B371-21417313A914}" name="2029" dataDxfId="48" totalsRowDxfId="47">
      <calculatedColumnFormula>F9*Tariefsopbouw!$M$37+'Regie en afroep'!F9</calculatedColumnFormula>
    </tableColumn>
    <tableColumn id="7" xr3:uid="{68D3EF76-13B7-42F1-8D3C-5A86952C9A96}" name="2030" dataDxfId="46" totalsRowDxfId="45">
      <calculatedColumnFormula>G9*Tariefsopbouw!$O$37+'Regie en afroep'!G9</calculatedColumnFormula>
    </tableColumn>
    <tableColumn id="8" xr3:uid="{7810C1CA-1317-4B8A-BD57-8667183C1ECD}" name="2031" dataDxfId="44" totalsRowDxfId="43">
      <calculatedColumnFormula>H9*Tariefsopbouw!$Q$37+H9</calculatedColumnFormula>
    </tableColumn>
  </tableColumns>
  <tableStyleInfo name="TableStyleMedium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Samenvattingschoonmaak" displayName="Samenvattingschoonmaak" ref="A6:F9" totalsRowCount="1" headerRowDxfId="42" dataDxfId="40" totalsRowDxfId="38" headerRowBorderDxfId="41" tableBorderDxfId="39" headerRowCellStyle="Komma 2">
  <autoFilter ref="A6:F8" xr:uid="{00000000-0009-0000-0100-00000E000000}"/>
  <tableColumns count="6">
    <tableColumn id="8" xr3:uid="{00000000-0010-0000-0C00-000008000000}" name="Code Locatie" dataDxfId="37" totalsRowDxfId="36"/>
    <tableColumn id="1" xr3:uid="{00000000-0010-0000-0C00-000001000000}" name="Locatie" totalsRowLabel="Totaal" dataDxfId="35" totalsRowDxfId="34"/>
    <tableColumn id="2" xr3:uid="{00000000-0010-0000-0C00-000002000000}" name="Oppervlakte i/o" totalsRowFunction="sum" dataDxfId="33" totalsRowDxfId="32"/>
    <tableColumn id="4" xr3:uid="{00000000-0010-0000-0C00-000004000000}" name="Uren / jaar" totalsRowFunction="sum" dataDxfId="31" totalsRowDxfId="30"/>
    <tableColumn id="6" xr3:uid="{00000000-0010-0000-0C00-000006000000}" name="Kosten / jaar excl btw" totalsRowFunction="sum" dataDxfId="29" totalsRowDxfId="28"/>
    <tableColumn id="7" xr3:uid="{00000000-0010-0000-0C00-000007000000}" name="Kosten / m2" totalsRowFunction="custom" dataDxfId="27" totalsRowDxfId="26">
      <calculatedColumnFormula>IF(C7=0,0,E7/C7)</calculatedColumnFormula>
      <totalsRowFormula>Samenvattingschoonmaak[[#Totals],[Kosten / jaar excl btw]]/Samenvattingschoonmaak[[#Totals],[Oppervlakte i/o]]</totalsRowFormula>
    </tableColumn>
  </tableColumns>
  <tableStyleInfo name="TableStyleMedium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otalisatie" displayName="Totalisatie" ref="A12:F15" totalsRowCount="1" headerRowDxfId="25" dataDxfId="23" totalsRowDxfId="21" headerRowBorderDxfId="24" tableBorderDxfId="22">
  <autoFilter ref="A12:F14" xr:uid="{00000000-0009-0000-0100-00000F000000}"/>
  <sortState xmlns:xlrd2="http://schemas.microsoft.com/office/spreadsheetml/2017/richdata2" ref="A13:F13">
    <sortCondition ref="C12:C13"/>
  </sortState>
  <tableColumns count="6">
    <tableColumn id="8" xr3:uid="{00000000-0010-0000-0D00-000008000000}" name="Code Locatie" dataDxfId="20" totalsRowDxfId="19"/>
    <tableColumn id="1" xr3:uid="{00000000-0010-0000-0D00-000001000000}" name="Locaties" totalsRowLabel="Totaal" dataDxfId="18" totalsRowDxfId="17">
      <calculatedColumnFormula>VLOOKUP(Totalisatie[[#This Row],[Code Locatie]],Locaties[],2,0)</calculatedColumnFormula>
    </tableColumn>
    <tableColumn id="4" xr3:uid="{00000000-0010-0000-0D00-000004000000}" name="Schoonmaakonderhoud_x000a_Kosten / jaar excl btw" totalsRowFunction="sum" dataDxfId="16" totalsRowDxfId="15">
      <calculatedColumnFormula>SUMIF(Ruimtestaat[#All],Totalisatie[[#This Row],[Code Locatie]],Ruimtestaat[[#All],[kosten / jaar excl btw]])</calculatedColumnFormula>
    </tableColumn>
    <tableColumn id="7" xr3:uid="{C88582D1-75BF-412D-8869-B84AE072738B}" name="Glasbewassing kosten/ jaar excl. Btw" totalsRowFunction="sum" dataDxfId="14" totalsRowDxfId="13">
      <calculatedColumnFormula>SUMIF(OverzichtGlas[[Code Locatie]:[Kosten/jaar excl. BTW]],Totalisatie[[#This Row],[Code Locatie]],OverzichtGlas[Kosten/jaar excl. BTW])</calculatedColumnFormula>
    </tableColumn>
    <tableColumn id="6" xr3:uid="{3A26B1B1-0A23-4EC3-945E-74F3498B3BF0}" name="Sanitaire voorzieningen kosten/ jaar excl. Btw2" totalsRowFunction="sum" dataDxfId="12" totalsRowDxfId="11">
      <calculatedColumnFormula>SUMIF(Sanitair2[[#All],[Code Locatie]:[Kosten/jaar excl. BTW]],Totalisatie[[#This Row],[Code Locatie]],Sanitair2[[#All],[Kosten/jaar excl. BTW]])</calculatedColumnFormula>
    </tableColumn>
    <tableColumn id="5" xr3:uid="{2A8C3CF1-513F-4CAD-A439-3F5FCA3E0363}" name="Totaalprijs_x000a_Kosten / jaar excl. btw" totalsRowFunction="sum" dataDxfId="10" totalsRowDxfId="9">
      <calculatedColumnFormula>SUM(Totalisatie[[#This Row],[Schoonmaakonderhoud
Kosten / jaar excl btw]:[Sanitaire voorzieningen kosten/ jaar excl. Btw2]])</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Ruimtegroepen" displayName="Ruimtegroepen" ref="A9:D29" totalsRowShown="0" dataDxfId="275">
  <autoFilter ref="A9:D29" xr:uid="{00000000-0009-0000-0100-000006000000}"/>
  <tableColumns count="4">
    <tableColumn id="1" xr3:uid="{00000000-0010-0000-0000-000001000000}" name="Code" dataDxfId="274" dataCellStyle="Standaard 4"/>
    <tableColumn id="2" xr3:uid="{00000000-0010-0000-0000-000002000000}" name="Ruimte omschrijving" dataDxfId="273" dataCellStyle="Standaard 4"/>
    <tableColumn id="3" xr3:uid="{00000000-0010-0000-0000-000003000000}" name="Norm (5w)" dataDxfId="7"/>
    <tableColumn id="4" xr3:uid="{00000000-0010-0000-0000-000004000000}" name="Inspectiecategorie" dataDxfId="272"/>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Vloersoorten" displayName="Vloersoorten" ref="A32:D37" totalsRowShown="0" dataDxfId="271">
  <autoFilter ref="A32:D37" xr:uid="{00000000-0009-0000-0100-000007000000}"/>
  <tableColumns count="4">
    <tableColumn id="1" xr3:uid="{00000000-0010-0000-0100-000001000000}" name="Code" dataDxfId="270"/>
    <tableColumn id="4" xr3:uid="{00000000-0010-0000-0100-000004000000}" name="Naam" dataDxfId="269"/>
    <tableColumn id="5" xr3:uid="{00000000-0010-0000-0100-000005000000}" name="Aanpassing norm" dataDxfId="6" dataCellStyle="Procent 3"/>
    <tableColumn id="2" xr3:uid="{00000000-0010-0000-0100-000002000000}" name="Vloersoort omschrijving" dataDxfId="268" dataCellStyle="Standaard 4"/>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2000000}" name="Frequenties" displayName="Frequenties" ref="A40:D52" totalsRowShown="0" headerRowDxfId="267" dataDxfId="266">
  <autoFilter ref="A40:D52" xr:uid="{00000000-0009-0000-0100-000008000000}"/>
  <tableColumns count="4">
    <tableColumn id="1" xr3:uid="{00000000-0010-0000-0200-000001000000}" name="Code" dataDxfId="265" dataCellStyle="Standaard 4"/>
    <tableColumn id="2" xr3:uid="{00000000-0010-0000-0200-000002000000}" name="Frequentie omschrijving" dataDxfId="264" dataCellStyle="Standaard 4"/>
    <tableColumn id="3" xr3:uid="{00000000-0010-0000-0200-000003000000}" name="Aanpassing norm" dataDxfId="5" dataCellStyle="Procent"/>
    <tableColumn id="4" xr3:uid="{62B36348-2266-47E8-AF7C-A5085F351579}" name="Kolom1" dataDxfId="263"/>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3000000}" name="Locaties" displayName="Locaties" ref="A4:F6" totalsRowShown="0" dataDxfId="262">
  <autoFilter ref="A4:F6" xr:uid="{00000000-0009-0000-0100-00000D000000}"/>
  <tableColumns count="6">
    <tableColumn id="1" xr3:uid="{00000000-0010-0000-0300-000001000000}" name="Code" dataDxfId="261"/>
    <tableColumn id="2" xr3:uid="{00000000-0010-0000-0300-000002000000}" name="Locatie" dataDxfId="260"/>
    <tableColumn id="7" xr3:uid="{00000000-0010-0000-0300-000007000000}" name="Aanpassing norm" dataDxfId="4" dataCellStyle="Procent"/>
    <tableColumn id="3" xr3:uid="{00000000-0010-0000-0300-000003000000}" name="Adres" dataDxfId="259" dataCellStyle="Standaard 4"/>
    <tableColumn id="5" xr3:uid="{DA45991E-5E38-40DC-A1BE-D3770F949A13}" name="Postcode" dataDxfId="258" dataCellStyle="Standaard 4"/>
    <tableColumn id="4" xr3:uid="{00000000-0010-0000-0300-000004000000}" name="Plaats" dataDxfId="257"/>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Ruimtestaat" displayName="Ruimtestaat" ref="A4:BV244" totalsRowShown="0" headerRowDxfId="256" dataDxfId="255">
  <autoFilter ref="A4:BV244" xr:uid="{396E59E9-BF0A-4D12-8DDE-B051B0F3D5F7}"/>
  <tableColumns count="74">
    <tableColumn id="32" xr3:uid="{00000000-0010-0000-0400-000020000000}" name="Code" dataDxfId="254" totalsRowDxfId="253"/>
    <tableColumn id="3" xr3:uid="{00000000-0010-0000-0400-000003000000}" name="Naam" dataDxfId="252" totalsRowDxfId="251"/>
    <tableColumn id="4" xr3:uid="{70782354-32A9-4BC9-88AC-C4AB6869B8E9}" name="Adres" dataDxfId="250" totalsRowDxfId="249">
      <calculatedColumnFormula>VLOOKUP(Ruimtestaat[[#This Row],[Code]],Locaties[[#All],[Code]:[Adres]],4,FALSE)</calculatedColumnFormula>
    </tableColumn>
    <tableColumn id="79" xr3:uid="{E7B33814-4928-4AE9-A368-AE6E30B7DBF6}" name="Postcode" dataDxfId="248" totalsRowDxfId="247">
      <calculatedColumnFormula>VLOOKUP(Ruimtestaat[[#This Row],[Code]],Locaties[[#All],[Code]:[Postcode]],5,FALSE)</calculatedColumnFormula>
    </tableColumn>
    <tableColumn id="80" xr3:uid="{476650B5-E93B-45F9-BED3-2256EBFA7240}" name="Plaatsnaam" dataDxfId="246" totalsRowDxfId="245">
      <calculatedColumnFormula>VLOOKUP(Ruimtestaat[[#This Row],[Code]],Locaties[#All],6,FALSE)</calculatedColumnFormula>
    </tableColumn>
    <tableColumn id="2" xr3:uid="{00000000-0010-0000-0400-000002000000}" name="Gebouw gedeelte" dataDxfId="244" totalsRowDxfId="243"/>
    <tableColumn id="6" xr3:uid="{00000000-0010-0000-0400-000006000000}" name="Etage" dataDxfId="242" totalsRowDxfId="241"/>
    <tableColumn id="7" xr3:uid="{00000000-0010-0000-0400-000007000000}" name="Ruimte- _x000a_nummer" dataDxfId="240" totalsRowDxfId="239"/>
    <tableColumn id="8" xr3:uid="{00000000-0010-0000-0400-000008000000}" name="Ruimte omschrijving" dataDxfId="238" totalsRowDxfId="237"/>
    <tableColumn id="9" xr3:uid="{00000000-0010-0000-0400-000009000000}" name="Ruimte code" dataDxfId="236" totalsRowDxfId="235"/>
    <tableColumn id="10" xr3:uid="{00000000-0010-0000-0400-00000A000000}" name="Ruimtesoort" dataDxfId="234" totalsRowDxfId="233">
      <calculatedColumnFormula>VLOOKUP(Ruimtestaat[[#This Row],[Ruimte code]],Ruimtegroepen[[#All],[Code]:[Ruimte omschrijving]],2,FALSE)</calculatedColumnFormula>
    </tableColumn>
    <tableColumn id="11" xr3:uid="{00000000-0010-0000-0400-00000B000000}" name="Vloer code" dataDxfId="232" totalsRowDxfId="231"/>
    <tableColumn id="12" xr3:uid="{00000000-0010-0000-0400-00000C000000}" name="Vloer afwerking" dataDxfId="230" totalsRowDxfId="229"/>
    <tableColumn id="13" xr3:uid="{00000000-0010-0000-0400-00000D000000}" name="Oppervlak (netto)" dataDxfId="228" totalsRowDxfId="227"/>
    <tableColumn id="14" xr3:uid="{00000000-0010-0000-0400-00000E000000}" name="Oppervlakte n.i.o." dataDxfId="226"/>
    <tableColumn id="15" xr3:uid="{00000000-0010-0000-0400-00000F000000}" name="Inspectie categorie" dataDxfId="225" totalsRowDxfId="224">
      <calculatedColumnFormula>VLOOKUP(Ruimtestaat[[#This Row],[Ruimte code]],Ruimtegroepen[],4,FALSE)</calculatedColumnFormula>
    </tableColumn>
    <tableColumn id="17" xr3:uid="{00000000-0010-0000-0400-000011000000}" name="Aantal weken/jr" dataDxfId="223" totalsRowDxfId="222"/>
    <tableColumn id="18" xr3:uid="{00000000-0010-0000-0400-000012000000}" name="Frequentie werkdagen" dataDxfId="221" totalsRowDxfId="220"/>
    <tableColumn id="19" xr3:uid="{00000000-0010-0000-0400-000013000000}" name="Uitvoeringen werkdagen" dataDxfId="219" totalsRowDxfId="218">
      <calculatedColumnFormula>IF(Q5&gt;0,IF(RIGHT(Ruimtestaat[[#This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calculatedColumnFormula>
    </tableColumn>
    <tableColumn id="20" xr3:uid="{00000000-0010-0000-0400-000014000000}" name="Norm (m2/uur) werkdagen" dataDxfId="217" totalsRowDxfId="216">
      <calculatedColumnFormula>IF(S5&gt;0,VLOOKUP($J5,Ruimtegroepen[],3,FALSE)*VLOOKUP($L5,Vloersoorten[],3,FALSE)*VLOOKUP($R5,Frequenties[],3,FALSE)*VLOOKUP($A5,Locaties[],3,FALSE),0)</calculatedColumnFormula>
    </tableColumn>
    <tableColumn id="21" xr3:uid="{00000000-0010-0000-0400-000015000000}" name="Prest. (m2 /jaar) werkdagen" dataDxfId="215" totalsRowDxfId="214">
      <calculatedColumnFormula>Ruimtestaat[[#This Row],[Uitvoeringen werkdagen]]*Ruimtestaat[[#This Row],[Oppervlak (netto)]]</calculatedColumnFormula>
    </tableColumn>
    <tableColumn id="22" xr3:uid="{00000000-0010-0000-0400-000016000000}" name="uren / jaar werkdagen" dataDxfId="213" totalsRowDxfId="212" dataCellStyle="Komma">
      <calculatedColumnFormula>IF(T5&gt;0,Ruimtestaat[[#This Row],[Prest. (m2 /jaar) werkdagen]]/Ruimtestaat[[#This Row],[Norm (m2/uur) werkdagen]],0)</calculatedColumnFormula>
    </tableColumn>
    <tableColumn id="23" xr3:uid="{00000000-0010-0000-0400-000017000000}" name="kosten / jaar werkdagen" dataDxfId="211" totalsRowDxfId="210" dataCellStyle="Valuta">
      <calculatedColumnFormula>Ruimtestaat[[#This Row],[uren / jaar werkdagen]]*Tariefsopbouw!$E$35</calculatedColumnFormula>
    </tableColumn>
    <tableColumn id="24" xr3:uid="{00000000-0010-0000-0400-000018000000}" name="Frequentie weekend" dataDxfId="209" totalsRowDxfId="208"/>
    <tableColumn id="38" xr3:uid="{00000000-0010-0000-0400-000026000000}" name="Uitvoeringen weekend" dataDxfId="207" totalsRowDxfId="206">
      <calculatedColumnFormula>IF(Ruimtestaat[[#This Row],[Frequentie weekend]]&gt;0,VALUE(LEFT(X5,1))*Q5,0)</calculatedColumnFormula>
    </tableColumn>
    <tableColumn id="25" xr3:uid="{00000000-0010-0000-0400-000019000000}" name="Norm (m2/uur) weekend" dataDxfId="205" totalsRowDxfId="204">
      <calculatedColumnFormula>IF($Y5&gt;0,VLOOKUP($J5,Ruimtegroepen[],3,FALSE)*VLOOKUP($L5,Vloersoorten[],3,FALSE)*VLOOKUP($X5,Frequenties[],3,FALSE)*VLOOKUP(Ruimtestaat[[#This Row],[Code]],Locaties[],3,FALSE),0)</calculatedColumnFormula>
    </tableColumn>
    <tableColumn id="26" xr3:uid="{00000000-0010-0000-0400-00001A000000}" name="Prest. (m2 /jaar) weekend" dataDxfId="203" totalsRowDxfId="202">
      <calculatedColumnFormula>Ruimtestaat[[#This Row],[Uitvoeringen weekend]]*Ruimtestaat[[#This Row],[Oppervlak (netto)]]</calculatedColumnFormula>
    </tableColumn>
    <tableColumn id="27" xr3:uid="{00000000-0010-0000-0400-00001B000000}" name="uren / jaar weekend" dataDxfId="201" totalsRowDxfId="200">
      <calculatedColumnFormula>IF(Z5&gt;0,Ruimtestaat[[#This Row],[Prest. (m2 /jaar) weekend]]/Ruimtestaat[[#This Row],[Norm (m2/uur) weekend]],0)</calculatedColumnFormula>
    </tableColumn>
    <tableColumn id="28" xr3:uid="{00000000-0010-0000-0400-00001C000000}" name="kosten / jaar weekend" dataDxfId="199" totalsRowDxfId="198">
      <calculatedColumnFormula>Ruimtestaat[[#This Row],[uren / jaar weekend]]*Tariefsopbouw!$D$40</calculatedColumnFormula>
    </tableColumn>
    <tableColumn id="29" xr3:uid="{00000000-0010-0000-0400-00001D000000}" name="Prest. (m2 /jaar)" dataDxfId="197" totalsRowDxfId="196" dataCellStyle="Komma">
      <calculatedColumnFormula>Ruimtestaat[[#This Row],[Prest. (m2 /jaar) weekend]]+Ruimtestaat[[#This Row],[Prest. (m2 /jaar) werkdagen]]</calculatedColumnFormula>
    </tableColumn>
    <tableColumn id="30" xr3:uid="{00000000-0010-0000-0400-00001E000000}" name="uren / jaar" dataDxfId="195" totalsRowDxfId="194" dataCellStyle="Komma">
      <calculatedColumnFormula>Ruimtestaat[[#This Row],[uren / jaar weekend]]+Ruimtestaat[[#This Row],[uren / jaar werkdagen]]</calculatedColumnFormula>
    </tableColumn>
    <tableColumn id="31" xr3:uid="{00000000-0010-0000-0400-00001F000000}" name="kosten / jaar excl btw" dataDxfId="193" totalsRowDxfId="192">
      <calculatedColumnFormula>Ruimtestaat[[#This Row],[kosten / jaar weekend]]+Ruimtestaat[[#This Row],[kosten / jaar werkdagen]]</calculatedColumnFormula>
    </tableColumn>
    <tableColumn id="78" xr3:uid="{C7E09CEC-45CA-4861-813D-3146CE52089E}" name="Kolom2" dataDxfId="191"/>
    <tableColumn id="36" xr3:uid="{644223A4-3B0B-40ED-9CC2-5E87CCEF757C}" name="Programmacode_x000a_Regulier" dataDxfId="190">
      <calculatedColumnFormula>IF(Ruimtestaat[[#This Row],[Frequentie werkdagen]]="","",_xlfn.CONCAT(Ruimtestaat[[#This Row],[Ruimte code]],"-",Ruimtestaat[[#This Row],[Frequentie werkdagen]]," ",Ruimtestaat[[#This Row],[Vloer code]]))</calculatedColumnFormula>
    </tableColumn>
    <tableColumn id="37" xr3:uid="{EA29FCB2-C303-42D5-8C90-8C4753EE92AC}" name="vl1" dataDxfId="189">
      <calculatedColumnFormula>_xlfn.IFNA(VLOOKUP($AH5,Programma!$F$3:$G$1101,2,0),"")</calculatedColumnFormula>
    </tableColumn>
    <tableColumn id="39" xr3:uid="{2E53B719-2751-4AFA-8ABF-26530B7DD3C0}" name="vl2" dataDxfId="188">
      <calculatedColumnFormula>_xlfn.IFNA(VLOOKUP($AH5,Programma!$F$3:$H$1101,3,0),"")</calculatedColumnFormula>
    </tableColumn>
    <tableColumn id="40" xr3:uid="{306853D9-AD5A-48B5-B1FA-D17329457C4F}" name="vl3" dataDxfId="187">
      <calculatedColumnFormula>_xlfn.IFNA(VLOOKUP($AH5,Programma!$F$3:$I$1101,4,0),"")</calculatedColumnFormula>
    </tableColumn>
    <tableColumn id="41" xr3:uid="{1C4AA553-8156-4DB3-BDBC-D8EC1536D309}" name="vl4" dataDxfId="186">
      <calculatedColumnFormula>_xlfn.IFNA(VLOOKUP($AH5,Programma!$F$3:$J$1101,5,0),"")</calculatedColumnFormula>
    </tableColumn>
    <tableColumn id="42" xr3:uid="{A56B8907-DE9F-4701-8C5E-C547567EA280}" name="vl5" dataDxfId="185">
      <calculatedColumnFormula>_xlfn.IFNA(VLOOKUP($AH5,Programma!$F$3:$K$1101,6,0),"")</calculatedColumnFormula>
    </tableColumn>
    <tableColumn id="43" xr3:uid="{6B17D7A2-AE8D-440F-A4FD-2BE2B7B88A60}" name="vl6" dataDxfId="184">
      <calculatedColumnFormula>_xlfn.IFNA(VLOOKUP($AH5,Programma!$F$3:$L$1101,7,0),"")</calculatedColumnFormula>
    </tableColumn>
    <tableColumn id="44" xr3:uid="{A071B3DB-7D24-4A25-BD62-7D2ABDA8EADC}" name="vl7" dataDxfId="183">
      <calculatedColumnFormula>_xlfn.IFNA(VLOOKUP($AH5,Programma!$F$3:$M$1101,8,0),"")</calculatedColumnFormula>
    </tableColumn>
    <tableColumn id="45" xr3:uid="{30501DAE-368A-4139-B486-528B170E6783}" name="vnl" dataDxfId="182">
      <calculatedColumnFormula>_xlfn.IFNA(VLOOKUP($AH5,Programma!$F$3:$N$1101,9,0),"")</calculatedColumnFormula>
    </tableColumn>
    <tableColumn id="46" xr3:uid="{868425D4-EECE-431D-9D6F-487DB854241D}" name="i8" dataDxfId="181">
      <calculatedColumnFormula>_xlfn.IFNA(VLOOKUP($AH5,Programma!$F$3:$O$1101,10,0),"")</calculatedColumnFormula>
    </tableColumn>
    <tableColumn id="47" xr3:uid="{EA20F07B-5CD7-426B-BA6F-183E04D325BB}" name="i9" dataDxfId="180">
      <calculatedColumnFormula>_xlfn.IFNA(VLOOKUP($AH5,Programma!$F$3:$P$1101,11,0),"")</calculatedColumnFormula>
    </tableColumn>
    <tableColumn id="48" xr3:uid="{28D20BBF-F87A-4F80-A59D-F67559BB9D34}" name="i10" dataDxfId="179">
      <calculatedColumnFormula>_xlfn.IFNA(VLOOKUP($AH5,Programma!$F$3:$Q$1101,12,0),"")</calculatedColumnFormula>
    </tableColumn>
    <tableColumn id="49" xr3:uid="{0CB7B7F7-D003-43D2-9F6C-0F0170BB89E1}" name="i11" dataDxfId="178">
      <calculatedColumnFormula>_xlfn.IFNA(VLOOKUP($AH5,Programma!$F$3:$R$1101,13,0),"")</calculatedColumnFormula>
    </tableColumn>
    <tableColumn id="50" xr3:uid="{AD88DBA6-2501-4ADB-97BD-2EEAE5CA5FB9}" name="i12" dataDxfId="177">
      <calculatedColumnFormula>_xlfn.IFNA(VLOOKUP($AH5,Programma!$F$3:$S$1101,14,0),"")</calculatedColumnFormula>
    </tableColumn>
    <tableColumn id="51" xr3:uid="{0B24F272-5C0F-49A2-9E82-3DEBB7333DE2}" name="i13" dataDxfId="176">
      <calculatedColumnFormula>_xlfn.IFNA(VLOOKUP($AH5,Programma!$F$3:$T$1101,15,0),"")</calculatedColumnFormula>
    </tableColumn>
    <tableColumn id="52" xr3:uid="{60DD2901-FFF4-4159-9DB3-58E5D77411C3}" name="i14" dataDxfId="175">
      <calculatedColumnFormula>_xlfn.IFNA(VLOOKUP($AH5,Programma!$F$3:$U$1101,16,0),"")</calculatedColumnFormula>
    </tableColumn>
    <tableColumn id="53" xr3:uid="{87559DB0-F928-4A01-8FAF-36E422BF0893}" name="inl" dataDxfId="174">
      <calculatedColumnFormula>_xlfn.IFNA(VLOOKUP($AH5,Programma!$F$3:$V$1101,17,0),"")</calculatedColumnFormula>
    </tableColumn>
    <tableColumn id="54" xr3:uid="{1C929E3E-45B3-4A1C-A3C5-D8B1EDE1891E}" name="s15" dataDxfId="173">
      <calculatedColumnFormula>_xlfn.IFNA(VLOOKUP($AH5,Programma!$F$3:$W$1101,18,0),"")</calculatedColumnFormula>
    </tableColumn>
    <tableColumn id="55" xr3:uid="{68B49970-C415-4EEF-857B-52BA16B5258D}" name="s16" dataDxfId="172">
      <calculatedColumnFormula>_xlfn.IFNA(VLOOKUP($AH5,Programma!$F$3:$X$1101,19,0),"")</calculatedColumnFormula>
    </tableColumn>
    <tableColumn id="56" xr3:uid="{A0705AE3-CACF-4E1C-9227-68669BFDB0C6}" name="snl" dataDxfId="171">
      <calculatedColumnFormula>_xlfn.IFNA(VLOOKUP($AH5,Programma!$F$3:$Y$1101,20,0),"")</calculatedColumnFormula>
    </tableColumn>
    <tableColumn id="57" xr3:uid="{11D7C8EF-B5C8-42BF-8A18-9A836402F196}" name="Kolom1" dataDxfId="170"/>
    <tableColumn id="58" xr3:uid="{B2B8DFA8-D835-49F0-A51B-ED223C73D142}" name="Code Weekend" dataDxfId="169">
      <calculatedColumnFormula>IF(Ruimtestaat[[#This Row],[Frequentie weekend]]="","",_xlfn.CONCAT(Ruimtestaat[[#This Row],[Ruimte code]],"-",Ruimtestaat[[#This Row],[Frequentie weekend]]," ",Ruimtestaat[[#This Row],[Vloer code]]))</calculatedColumnFormula>
    </tableColumn>
    <tableColumn id="59" xr3:uid="{2DF8EC10-EA04-428D-AE71-17CFFE366D54}" name="vl12" dataDxfId="168">
      <calculatedColumnFormula>_xlfn.IFNA(VLOOKUP($BC5,Programma!$F$3:$G$1101,2,0),"")</calculatedColumnFormula>
    </tableColumn>
    <tableColumn id="60" xr3:uid="{27AAF80B-FAE7-4A55-B080-A97D81F19498}" name="vl23" dataDxfId="167">
      <calculatedColumnFormula>_xlfn.IFNA(VLOOKUP($BC5,Programma!$F$3:$H$1101,3,0),"")</calculatedColumnFormula>
    </tableColumn>
    <tableColumn id="61" xr3:uid="{A8E673C6-B5F4-4D95-85CD-FB4271CFAA79}" name="vl34" dataDxfId="166">
      <calculatedColumnFormula>_xlfn.IFNA(VLOOKUP($BC5,Programma!$F$3:$I$1101,4,0),"")</calculatedColumnFormula>
    </tableColumn>
    <tableColumn id="62" xr3:uid="{8F1B78A5-14D6-4E3A-8B4A-DFAEDDAB9211}" name="vl45" dataDxfId="165">
      <calculatedColumnFormula>_xlfn.IFNA(VLOOKUP($BC5,Programma!$F$3:$J$1101,5,0),"")</calculatedColumnFormula>
    </tableColumn>
    <tableColumn id="63" xr3:uid="{87048FA4-EE9C-46AE-B51B-6CBA81BE8308}" name="vl56" dataDxfId="164">
      <calculatedColumnFormula>_xlfn.IFNA(VLOOKUP($BC5,Programma!$F$3:$K$1101,6,0),"")</calculatedColumnFormula>
    </tableColumn>
    <tableColumn id="64" xr3:uid="{DA05AE85-CE88-407D-9245-D0C804841261}" name="vl67" dataDxfId="163">
      <calculatedColumnFormula>_xlfn.IFNA(VLOOKUP($BC5,Programma!$F$3:$L$1101,7,0),"")</calculatedColumnFormula>
    </tableColumn>
    <tableColumn id="65" xr3:uid="{78BAE9E2-79F8-42F8-A636-69ECC21638B3}" name="vl78" dataDxfId="162">
      <calculatedColumnFormula>_xlfn.IFNA(VLOOKUP($BC5,Programma!$F$3:$M$1101,8,0),"")</calculatedColumnFormula>
    </tableColumn>
    <tableColumn id="66" xr3:uid="{E7E7A23D-5570-4D4F-A0C4-4BEBD25C2D08}" name="vnl9" dataDxfId="161">
      <calculatedColumnFormula>_xlfn.IFNA(VLOOKUP($BC5,Programma!$F$3:$N$1101,9,0),"")</calculatedColumnFormula>
    </tableColumn>
    <tableColumn id="67" xr3:uid="{069678F9-CB78-4810-881E-5A1AE2EC2E64}" name="i810" dataDxfId="160">
      <calculatedColumnFormula>_xlfn.IFNA(VLOOKUP($BC5,Programma!$F$3:$O$1101,10,0),"")</calculatedColumnFormula>
    </tableColumn>
    <tableColumn id="68" xr3:uid="{D4FF459B-C19D-4ED7-9F3B-7801E97C6C63}" name="i911" dataDxfId="159">
      <calculatedColumnFormula>_xlfn.IFNA(VLOOKUP($BC5,Programma!$F$3:$P$1101,11,0),"")</calculatedColumnFormula>
    </tableColumn>
    <tableColumn id="69" xr3:uid="{059C7A6A-75FC-4AAF-9824-5E2D2E379CD4}" name="i102" dataDxfId="158">
      <calculatedColumnFormula>_xlfn.IFNA(VLOOKUP($BC5,Programma!$F$3:$Q$1101,12,0),"")</calculatedColumnFormula>
    </tableColumn>
    <tableColumn id="70" xr3:uid="{F02F1F0A-14E6-44C4-A18E-15D8545C3F7C}" name="i112" dataDxfId="157">
      <calculatedColumnFormula>_xlfn.IFNA(VLOOKUP($BC5,Programma!$F$3:$R$1101,13,0),"")</calculatedColumnFormula>
    </tableColumn>
    <tableColumn id="71" xr3:uid="{64F8BC77-D92C-4AFB-A8AA-C6E3DB4AF028}" name="i122" dataDxfId="156">
      <calculatedColumnFormula>_xlfn.IFNA(VLOOKUP($BC5,Programma!$F$3:$S$1101,14,0),"")</calculatedColumnFormula>
    </tableColumn>
    <tableColumn id="72" xr3:uid="{D10D9617-4D40-479A-8098-9C3D52AED20C}" name="i132" dataDxfId="155">
      <calculatedColumnFormula>_xlfn.IFNA(VLOOKUP($BC5,Programma!$F$3:$T$1101,15,0),"")</calculatedColumnFormula>
    </tableColumn>
    <tableColumn id="73" xr3:uid="{AFAFBD6D-E9F3-4AD5-B1BA-C259BBD1CC21}" name="i142" dataDxfId="154">
      <calculatedColumnFormula>_xlfn.IFNA(VLOOKUP($BC5,Programma!$F$3:$U$1101,16,0),"")</calculatedColumnFormula>
    </tableColumn>
    <tableColumn id="74" xr3:uid="{13917009-2884-4D8A-8C68-14907776CAFD}" name="inl2" dataDxfId="153">
      <calculatedColumnFormula>_xlfn.IFNA(VLOOKUP($BC5,Programma!$F$3:$V$1101,17,0),"")</calculatedColumnFormula>
    </tableColumn>
    <tableColumn id="75" xr3:uid="{6E9DF77C-B052-4A52-B6CF-00BB698E51C6}" name="s152" dataDxfId="152">
      <calculatedColumnFormula>_xlfn.IFNA(VLOOKUP($BC5,Programma!$F$3:$W$1101,18,0),"")</calculatedColumnFormula>
    </tableColumn>
    <tableColumn id="76" xr3:uid="{11F41571-107E-423E-B237-84692FBBC6D7}" name="s162" dataDxfId="151">
      <calculatedColumnFormula>_xlfn.IFNA(VLOOKUP($BC5,Programma!$F$3:$X$1101,19,0),"")</calculatedColumnFormula>
    </tableColumn>
    <tableColumn id="77" xr3:uid="{3DEE5E13-D5E7-474C-89D8-AF6FC5695F2C}" name="snl2" dataDxfId="150">
      <calculatedColumnFormula>_xlfn.IFNA(VLOOKUP($BC5,Programma!$F$3:$Y$1101,20,0),"")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7314165-68FD-4D3E-B0D9-9038EBEAD743}" name="InvulVloer19" displayName="InvulVloer19" ref="A8:I18" totalsRowShown="0" headerRowDxfId="149" dataDxfId="148">
  <autoFilter ref="A8:I18" xr:uid="{00000000-0009-0000-0100-000001000000}"/>
  <tableColumns count="9">
    <tableColumn id="1" xr3:uid="{634B9515-CED4-4B9C-AC41-91D68E2A6390}" name="Code Taak" dataDxfId="147"/>
    <tableColumn id="2" xr3:uid="{B45DE533-5F07-4399-BBF5-C49AD01DD88F}" name="Werkzaamheden" dataDxfId="146"/>
    <tableColumn id="3" xr3:uid="{569B4254-85AB-4A9D-9738-20A72FAFD71D}" name="Prijs" dataDxfId="3"/>
    <tableColumn id="4" xr3:uid="{3FCFDB06-433D-4D90-AC83-D401C0BB9D5F}" name="Omschrijving" dataDxfId="145"/>
    <tableColumn id="5" xr3:uid="{A2C235A7-50B4-45CF-B035-6B2B17679F97}" name="2027" dataDxfId="144" dataCellStyle="Valuta">
      <calculatedColumnFormula>InvulVloer19[[#This Row],[Prijs]]*Tariefsopbouw!$I$37+InvulVloer19[[#This Row],[Prijs]]</calculatedColumnFormula>
    </tableColumn>
    <tableColumn id="6" xr3:uid="{32314B1F-C549-43D0-A68A-E1D872932DA7}" name="2028" dataDxfId="143" dataCellStyle="Valuta">
      <calculatedColumnFormula>InvulVloer19[[#This Row],[2027]]*Tariefsopbouw!$K$37+InvulVloer19[[#This Row],[2027]]</calculatedColumnFormula>
    </tableColumn>
    <tableColumn id="7" xr3:uid="{5A4E277A-177C-4476-A9A5-6B25E0351BAB}" name="2029" dataDxfId="142" dataCellStyle="Valuta">
      <calculatedColumnFormula>InvulVloer19[[#This Row],[2028]]*Tariefsopbouw!$M$37+InvulVloer19[[#This Row],[2028]]</calculatedColumnFormula>
    </tableColumn>
    <tableColumn id="8" xr3:uid="{6A8CB127-9578-4A7F-8F5E-DABA3EAD7E06}" name="2030" dataDxfId="141" dataCellStyle="Valuta">
      <calculatedColumnFormula>InvulVloer19[[#This Row],[2029]]*Tariefsopbouw!$O$37+InvulVloer19[[#This Row],[2029]]</calculatedColumnFormula>
    </tableColumn>
    <tableColumn id="9" xr3:uid="{F268163B-6C49-46F0-9F2A-A503A98B29BC}" name="2031" dataDxfId="140" dataCellStyle="Valuta">
      <calculatedColumnFormula>InvulVloer19[[#This Row],[2030]]*Tariefsopbouw!$Q$37+InvulVloer19[[#This Row],[2030]]</calculatedColumnFormula>
    </tableColumn>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8E5AD75-4207-402C-A20C-56042472E510}" name="OverzichtVloer20" displayName="OverzichtVloer20" ref="A20:I30" totalsRowCount="1" headerRowDxfId="139" dataDxfId="138" totalsRowDxfId="137">
  <autoFilter ref="A20:I29" xr:uid="{00000000-0009-0000-0100-000002000000}"/>
  <tableColumns count="9">
    <tableColumn id="11" xr3:uid="{9970215E-3F06-4AEF-A1F5-0009C03D624E}" name="Code Locatie" dataDxfId="136" totalsRowDxfId="135"/>
    <tableColumn id="1" xr3:uid="{113C96F6-1924-406B-B23A-994513941647}" name="Locatie" totalsRowLabel="Totaal" dataDxfId="134" totalsRowDxfId="133">
      <calculatedColumnFormula>VLOOKUP(OverzichtVloer20[[#This Row],[Code Locatie]],Locaties[],2,0)</calculatedColumnFormula>
    </tableColumn>
    <tableColumn id="3" xr3:uid="{B3D3B5E7-D3C4-461C-9CA1-DBFD10306269}" name="Code Taak" dataDxfId="132" totalsRowDxfId="131"/>
    <tableColumn id="4" xr3:uid="{EBF3EF80-AF01-4C87-A6CF-BF63D79AF323}" name="Vloersoort / toelichting" dataDxfId="130" totalsRowDxfId="129">
      <calculatedColumnFormula>IF(Vloeronderhoud!$C21&gt;0,VLOOKUP(Vloeronderhoud!$C21,$A$8:$B$18,2,FALSE),"")</calculatedColumnFormula>
    </tableColumn>
    <tableColumn id="5" xr3:uid="{309F41B6-3D0E-446B-8EDD-5EB98BD855C7}" name="Vloersoort" dataDxfId="128" totalsRowDxfId="127"/>
    <tableColumn id="6" xr3:uid="{B97F1EF9-BC44-4F7E-8997-83E439999C81}" name="Oppervlakte" dataDxfId="126" totalsRowDxfId="125">
      <calculatedColumnFormula>SUMIFS('Ruimtestaat'!$N:$N,'Ruimtestaat'!L:L,Vloeronderhoud!E21,'Ruimtestaat'!A:A,Vloeronderhoud!A21)</calculatedColumnFormula>
    </tableColumn>
    <tableColumn id="8" xr3:uid="{A5FF7A00-BD80-4497-8A9A-905C07BFA557}" name="Frequentie (uitv./jaar)" dataDxfId="124" totalsRowDxfId="123"/>
    <tableColumn id="9" xr3:uid="{13C992BE-16CA-4305-AC75-C46233681A13}" name="Kosten/jaar excl. BTW" totalsRowFunction="sum" dataDxfId="122" totalsRowDxfId="121">
      <calculatedColumnFormula>VLOOKUP(OverzichtVloer20[[#This Row],[Code Taak]],InvulVloer19[],3,3)*F21*G21</calculatedColumnFormula>
    </tableColumn>
    <tableColumn id="2" xr3:uid="{BBD43C19-81F6-4223-A10B-97F2D79A548F}" name="Kosten/jaar incl BTW" totalsRowFunction="sum" dataDxfId="120" totalsRowDxfId="119" dataCellStyle="Valuta">
      <calculatedColumnFormula>OverzichtVloer20[[#This Row],[Kosten/jaar excl. BTW]]*1.21</calculatedColumnFormula>
    </tableColumn>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InvulGlas" displayName="InvulGlas" ref="A8:I19" totalsRowShown="0" headerRowDxfId="118" dataDxfId="117">
  <autoFilter ref="A8:I19" xr:uid="{00000000-0009-0000-0100-000003000000}"/>
  <tableColumns count="9">
    <tableColumn id="1" xr3:uid="{00000000-0010-0000-0500-000001000000}" name="Code taak" dataDxfId="116"/>
    <tableColumn id="2" xr3:uid="{00000000-0010-0000-0500-000002000000}" name="Glassoort/voorziening" dataDxfId="115"/>
    <tableColumn id="3" xr3:uid="{00000000-0010-0000-0500-000003000000}" name="Prijs excl. BTW" dataDxfId="2"/>
    <tableColumn id="4" xr3:uid="{00000000-0010-0000-0500-000004000000}" name="Eenheid" dataDxfId="114"/>
    <tableColumn id="5" xr3:uid="{CC43D47B-51D1-48C7-9FBE-6228B4D72C08}" name="2027" dataDxfId="113" dataCellStyle="Valuta">
      <calculatedColumnFormula>(InvulGlas[[#This Row],[Prijs excl. BTW]]*Tariefsopbouw!$H$35)+InvulGlas[[#This Row],[Prijs excl. BTW]]</calculatedColumnFormula>
    </tableColumn>
    <tableColumn id="6" xr3:uid="{14AF2224-D978-4323-B50E-296D91A6AA97}" name="2028" dataDxfId="112" dataCellStyle="Valuta">
      <calculatedColumnFormula>E9*Tariefsopbouw!$J$35+Glasbewassing!E9</calculatedColumnFormula>
    </tableColumn>
    <tableColumn id="7" xr3:uid="{C18EB174-680A-4DCC-A57F-327D4F1C3675}" name="2029" dataDxfId="111" dataCellStyle="Valuta">
      <calculatedColumnFormula>F9*Tariefsopbouw!$L$35+Glasbewassing!F9</calculatedColumnFormula>
    </tableColumn>
    <tableColumn id="8" xr3:uid="{2002E41E-1578-4095-8CE5-943025AA110B}" name="2030" dataDxfId="110" dataCellStyle="Valuta">
      <calculatedColumnFormula>G10*Tariefsopbouw!$N$35+Glasbewassing!G10</calculatedColumnFormula>
    </tableColumn>
    <tableColumn id="9" xr3:uid="{95B9447D-2760-430F-8929-530FC65F506E}" name="2031" dataDxfId="109" dataCellStyle="Valuta">
      <calculatedColumnFormula>H9*Tariefsopbouw!$P$35+Glasbewassing!H9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5.bin"/><Relationship Id="rId5" Type="http://schemas.openxmlformats.org/officeDocument/2006/relationships/table" Target="../tables/table5.xml"/><Relationship Id="rId4" Type="http://schemas.openxmlformats.org/officeDocument/2006/relationships/table" Target="../tables/table4.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customProperty" Target="../customProperty1.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5">
    <tabColor theme="0" tint="-0.14999847407452621"/>
    <pageSetUpPr fitToPage="1"/>
  </sheetPr>
  <dimension ref="A1:R3"/>
  <sheetViews>
    <sheetView view="pageBreakPreview" zoomScaleNormal="100" zoomScaleSheetLayoutView="100" workbookViewId="0">
      <selection activeCell="G3" sqref="G3"/>
    </sheetView>
  </sheetViews>
  <sheetFormatPr defaultColWidth="9.140625" defaultRowHeight="13.5"/>
  <cols>
    <col min="1" max="1" width="6" style="9" customWidth="1"/>
    <col min="2" max="2" width="11.5703125" style="9" customWidth="1"/>
    <col min="3" max="3" width="13.85546875" style="9" customWidth="1"/>
    <col min="4" max="4" width="14.7109375" style="9" bestFit="1" customWidth="1"/>
    <col min="5" max="5" width="15.42578125" style="9" bestFit="1" customWidth="1"/>
    <col min="6" max="6" width="14" style="9" bestFit="1" customWidth="1"/>
    <col min="7" max="7" width="10.42578125" style="10" bestFit="1" customWidth="1"/>
    <col min="8" max="8" width="26" style="9" bestFit="1" customWidth="1"/>
    <col min="9" max="9" width="13" style="10" customWidth="1"/>
    <col min="10" max="10" width="13.7109375" style="10" customWidth="1"/>
    <col min="11" max="11" width="9" style="9" bestFit="1" customWidth="1"/>
    <col min="12" max="12" width="12.28515625" style="9" bestFit="1" customWidth="1"/>
    <col min="13" max="13" width="10.7109375" style="9" customWidth="1"/>
    <col min="14" max="14" width="11.7109375" style="9" customWidth="1"/>
    <col min="15" max="15" width="14.140625" style="9" bestFit="1" customWidth="1"/>
    <col min="16" max="16" width="17.7109375" style="9" customWidth="1"/>
    <col min="17" max="17" width="15.85546875" style="10" bestFit="1" customWidth="1"/>
    <col min="18" max="18" width="22.28515625" style="9" bestFit="1" customWidth="1"/>
    <col min="19" max="16384" width="9.140625" style="8"/>
  </cols>
  <sheetData>
    <row r="1" spans="1:18" ht="45" customHeight="1">
      <c r="A1" s="249"/>
      <c r="B1" s="249" t="s">
        <v>229</v>
      </c>
      <c r="C1" s="249" t="s">
        <v>1292</v>
      </c>
      <c r="D1" s="249" t="s">
        <v>230</v>
      </c>
      <c r="E1" s="249" t="s">
        <v>231</v>
      </c>
      <c r="F1" s="249" t="s">
        <v>1293</v>
      </c>
      <c r="G1" s="249" t="s">
        <v>232</v>
      </c>
      <c r="H1" s="249" t="s">
        <v>203</v>
      </c>
      <c r="I1" s="249" t="s">
        <v>233</v>
      </c>
      <c r="J1" s="249" t="s">
        <v>234</v>
      </c>
      <c r="K1" s="249" t="s">
        <v>235</v>
      </c>
      <c r="L1" s="249" t="s">
        <v>236</v>
      </c>
      <c r="M1" s="249" t="s">
        <v>237</v>
      </c>
      <c r="N1" s="249" t="s">
        <v>238</v>
      </c>
      <c r="O1" s="249" t="s">
        <v>1294</v>
      </c>
      <c r="P1" s="249" t="s">
        <v>239</v>
      </c>
      <c r="Q1" s="249" t="s">
        <v>240</v>
      </c>
      <c r="R1" s="249" t="s">
        <v>135</v>
      </c>
    </row>
    <row r="2" spans="1:18">
      <c r="A2" s="1">
        <v>1</v>
      </c>
      <c r="B2" s="2">
        <v>33103</v>
      </c>
      <c r="C2" s="2">
        <v>45028</v>
      </c>
      <c r="D2" s="2">
        <v>45028</v>
      </c>
      <c r="E2" s="3" t="s">
        <v>1614</v>
      </c>
      <c r="F2" s="4">
        <v>18.5</v>
      </c>
      <c r="G2" s="5" t="s">
        <v>1615</v>
      </c>
      <c r="H2" s="3" t="s">
        <v>64</v>
      </c>
      <c r="I2" s="5"/>
      <c r="J2" s="5">
        <v>1</v>
      </c>
      <c r="K2" s="6">
        <v>15.37</v>
      </c>
      <c r="L2" s="7" t="s">
        <v>1540</v>
      </c>
      <c r="M2" s="3" t="s">
        <v>1540</v>
      </c>
      <c r="N2" s="3" t="s">
        <v>1540</v>
      </c>
      <c r="O2" s="5" t="s">
        <v>1540</v>
      </c>
      <c r="P2" s="5" t="s">
        <v>1540</v>
      </c>
      <c r="Q2" s="5" t="s">
        <v>1616</v>
      </c>
      <c r="R2" s="3" t="s">
        <v>1617</v>
      </c>
    </row>
    <row r="3" spans="1:18">
      <c r="A3" s="1">
        <v>2</v>
      </c>
      <c r="B3" s="2">
        <v>26938</v>
      </c>
      <c r="C3" s="2" t="s">
        <v>1618</v>
      </c>
      <c r="D3" s="2">
        <v>45848</v>
      </c>
      <c r="E3" s="3" t="s">
        <v>1619</v>
      </c>
      <c r="F3" s="4">
        <v>8.75</v>
      </c>
      <c r="G3" s="5" t="s">
        <v>1620</v>
      </c>
      <c r="H3" s="3" t="s">
        <v>64</v>
      </c>
      <c r="I3" s="5"/>
      <c r="J3" s="5">
        <v>1</v>
      </c>
      <c r="K3" s="6">
        <v>14.83</v>
      </c>
      <c r="L3" s="7" t="s">
        <v>1540</v>
      </c>
      <c r="M3" s="3" t="s">
        <v>1540</v>
      </c>
      <c r="N3" s="3" t="s">
        <v>1540</v>
      </c>
      <c r="O3" s="5" t="s">
        <v>1540</v>
      </c>
      <c r="P3" s="5" t="s">
        <v>1540</v>
      </c>
      <c r="Q3" s="5" t="s">
        <v>1616</v>
      </c>
      <c r="R3" s="3" t="s">
        <v>1621</v>
      </c>
    </row>
  </sheetData>
  <sheetProtection algorithmName="SHA-512" hashValue="G8DFEtOtZ2LLfTmfR8TFP6KKRc9LOEC8uquuX3DcWCguBL7H0P+UwYialqK9EhUfZ9bA2F5BPO05PpsMOKN0Lw==" saltValue="xljjAqLMJ/zVSD7wCaAANg==" spinCount="100000" sheet="1" objects="1" scenarios="1"/>
  <pageMargins left="0.7" right="0.7" top="0.75" bottom="0.75" header="0.3" footer="0.3"/>
  <pageSetup paperSize="9" scale="5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148B2-9B65-43B6-ADF0-493404763506}">
  <sheetPr>
    <tabColor theme="0" tint="-0.14999847407452621"/>
  </sheetPr>
  <dimension ref="A1:M49"/>
  <sheetViews>
    <sheetView view="pageBreakPreview" zoomScaleNormal="100" zoomScaleSheetLayoutView="100" workbookViewId="0">
      <selection activeCell="C9" sqref="C9:C11"/>
    </sheetView>
  </sheetViews>
  <sheetFormatPr defaultColWidth="9.140625" defaultRowHeight="12"/>
  <cols>
    <col min="1" max="1" width="9.7109375" style="28" customWidth="1"/>
    <col min="2" max="2" width="27" style="28" bestFit="1" customWidth="1"/>
    <col min="3" max="3" width="14.85546875" style="49" customWidth="1"/>
    <col min="4" max="4" width="40.42578125" style="28" bestFit="1" customWidth="1"/>
    <col min="5" max="5" width="17.7109375" style="28" bestFit="1" customWidth="1"/>
    <col min="6" max="6" width="17.7109375" style="153" bestFit="1" customWidth="1"/>
    <col min="7" max="7" width="17.7109375" style="28" bestFit="1" customWidth="1"/>
    <col min="8" max="8" width="18" style="28" bestFit="1" customWidth="1"/>
    <col min="9" max="9" width="19" style="28" customWidth="1"/>
    <col min="10" max="10" width="19.28515625" style="28" bestFit="1" customWidth="1"/>
    <col min="11" max="11" width="9.140625" style="28"/>
    <col min="12" max="12" width="35.7109375" style="28" customWidth="1"/>
    <col min="13" max="13" width="15.85546875" style="28" customWidth="1"/>
    <col min="14" max="16384" width="9.140625" style="28"/>
  </cols>
  <sheetData>
    <row r="1" spans="1:13" s="25" customFormat="1" ht="26.25" customHeight="1">
      <c r="A1" s="390" t="s">
        <v>1296</v>
      </c>
      <c r="B1" s="390"/>
      <c r="C1" s="390"/>
      <c r="D1" s="390"/>
      <c r="E1" s="390"/>
      <c r="F1" s="390"/>
      <c r="G1" s="390"/>
      <c r="H1" s="390"/>
      <c r="I1" s="390"/>
    </row>
    <row r="2" spans="1:13" s="25" customFormat="1" ht="15" customHeight="1">
      <c r="A2" s="388" t="s">
        <v>1602</v>
      </c>
      <c r="B2" s="406"/>
      <c r="C2" s="406"/>
      <c r="D2" s="406"/>
      <c r="E2" s="406"/>
      <c r="F2" s="406"/>
      <c r="G2" s="406"/>
      <c r="H2" s="406"/>
      <c r="I2" s="407"/>
    </row>
    <row r="3" spans="1:13" ht="15" customHeight="1">
      <c r="B3" s="49"/>
      <c r="C3" s="28"/>
      <c r="D3" s="151"/>
      <c r="E3" s="152"/>
    </row>
    <row r="4" spans="1:13" ht="15" customHeight="1">
      <c r="A4" s="28" t="s">
        <v>167</v>
      </c>
      <c r="B4" s="154"/>
      <c r="C4" s="154"/>
      <c r="D4" s="154"/>
      <c r="E4" s="154"/>
      <c r="F4" s="155"/>
      <c r="G4" s="156"/>
    </row>
    <row r="5" spans="1:13" ht="15" customHeight="1">
      <c r="A5" s="28" t="s">
        <v>221</v>
      </c>
      <c r="B5" s="154"/>
      <c r="C5" s="154"/>
      <c r="D5" s="154"/>
      <c r="E5" s="154"/>
      <c r="F5" s="155"/>
      <c r="G5" s="156"/>
    </row>
    <row r="6" spans="1:13" ht="15" customHeight="1">
      <c r="A6" s="28" t="s">
        <v>214</v>
      </c>
      <c r="B6" s="157"/>
      <c r="C6" s="158"/>
      <c r="D6" s="158"/>
      <c r="E6" s="158"/>
      <c r="F6" s="159"/>
    </row>
    <row r="7" spans="1:13" ht="15" customHeight="1">
      <c r="B7" s="157"/>
      <c r="C7" s="157"/>
      <c r="D7" s="160"/>
      <c r="E7" s="405" t="s">
        <v>243</v>
      </c>
      <c r="F7" s="405"/>
      <c r="G7" s="405"/>
      <c r="H7" s="405"/>
      <c r="I7" s="405"/>
      <c r="M7" s="161"/>
    </row>
    <row r="8" spans="1:13" s="29" customFormat="1" ht="26.25" customHeight="1">
      <c r="A8" s="269" t="s">
        <v>197</v>
      </c>
      <c r="B8" s="269" t="s">
        <v>150</v>
      </c>
      <c r="C8" s="269" t="s">
        <v>142</v>
      </c>
      <c r="D8" s="272" t="s">
        <v>1773</v>
      </c>
      <c r="E8" s="269" t="s">
        <v>1244</v>
      </c>
      <c r="F8" s="269" t="s">
        <v>1298</v>
      </c>
      <c r="G8" s="269" t="s">
        <v>1575</v>
      </c>
      <c r="H8" s="269" t="s">
        <v>1608</v>
      </c>
      <c r="I8" s="269" t="s">
        <v>1607</v>
      </c>
      <c r="M8" s="162"/>
    </row>
    <row r="9" spans="1:13" ht="15" customHeight="1">
      <c r="A9" s="163">
        <v>1</v>
      </c>
      <c r="B9" s="164" t="s">
        <v>1768</v>
      </c>
      <c r="C9" s="435"/>
      <c r="D9" s="177" t="s">
        <v>1769</v>
      </c>
      <c r="E9" s="165" t="e">
        <f>Sanitair[[#This Row],[Prijs]]*Tariefsopbouw!$I$37+Sanitair[[#This Row],[Prijs]]</f>
        <v>#DIV/0!</v>
      </c>
      <c r="F9" s="166" t="e">
        <f>Sanitair[[#This Row],[2027]]*Tariefsopbouw!$K$37+Sanitair[[#This Row],[2027]]</f>
        <v>#DIV/0!</v>
      </c>
      <c r="G9" s="166" t="e">
        <f>Sanitair[[#This Row],[2028]]*Tariefsopbouw!$M$37+Sanitair[[#This Row],[2028]]</f>
        <v>#DIV/0!</v>
      </c>
      <c r="H9" s="166" t="e">
        <f>Sanitair[[#This Row],[2029]]*Tariefsopbouw!$O$37+Sanitair[[#This Row],[2029]]</f>
        <v>#DIV/0!</v>
      </c>
      <c r="I9" s="166" t="e">
        <f>Sanitair[[#This Row],[2030]]*Tariefsopbouw!$Q$37+Sanitair[[#This Row],[2030]]</f>
        <v>#DIV/0!</v>
      </c>
      <c r="M9" s="161"/>
    </row>
    <row r="10" spans="1:13" ht="15" customHeight="1">
      <c r="A10" s="167">
        <v>2</v>
      </c>
      <c r="B10" s="168" t="s">
        <v>1770</v>
      </c>
      <c r="C10" s="435"/>
      <c r="D10" s="169" t="s">
        <v>1771</v>
      </c>
      <c r="E10" s="165" t="e">
        <f>Sanitair[[#This Row],[Prijs]]*Tariefsopbouw!$I$37+Sanitair[[#This Row],[Prijs]]</f>
        <v>#DIV/0!</v>
      </c>
      <c r="F10" s="170" t="e">
        <f>Sanitair[[#This Row],[2027]]*Tariefsopbouw!$K$37+Sanitair[[#This Row],[2027]]</f>
        <v>#DIV/0!</v>
      </c>
      <c r="G10" s="170" t="e">
        <f>Sanitair[[#This Row],[2028]]*Tariefsopbouw!$M$37+Sanitair[[#This Row],[2028]]</f>
        <v>#DIV/0!</v>
      </c>
      <c r="H10" s="170" t="e">
        <f>Sanitair[[#This Row],[2029]]*Tariefsopbouw!$O$37+Sanitair[[#This Row],[2029]]</f>
        <v>#DIV/0!</v>
      </c>
      <c r="I10" s="170" t="e">
        <f>Sanitair[[#This Row],[2030]]*Tariefsopbouw!$Q$37+Sanitair[[#This Row],[2030]]</f>
        <v>#DIV/0!</v>
      </c>
      <c r="M10" s="171"/>
    </row>
    <row r="11" spans="1:13" ht="15" customHeight="1">
      <c r="A11" s="163">
        <v>3</v>
      </c>
      <c r="B11" s="164" t="s">
        <v>1772</v>
      </c>
      <c r="C11" s="435"/>
      <c r="D11" s="164" t="s">
        <v>1774</v>
      </c>
      <c r="E11" s="165" t="e">
        <f>Sanitair[[#This Row],[Prijs]]*Tariefsopbouw!$I$37+Sanitair[[#This Row],[Prijs]]</f>
        <v>#DIV/0!</v>
      </c>
      <c r="F11" s="172" t="e">
        <f>Sanitair[[#This Row],[2027]]*Tariefsopbouw!$K$37+Sanitair[[#This Row],[2027]]</f>
        <v>#DIV/0!</v>
      </c>
      <c r="G11" s="172" t="e">
        <f>Sanitair[[#This Row],[2028]]*Tariefsopbouw!$M$37+Sanitair[[#This Row],[2028]]</f>
        <v>#DIV/0!</v>
      </c>
      <c r="H11" s="172" t="e">
        <f>Sanitair[[#This Row],[2029]]*Tariefsopbouw!$O$37+Sanitair[[#This Row],[2029]]</f>
        <v>#DIV/0!</v>
      </c>
      <c r="I11" s="172" t="e">
        <f>Sanitair[[#This Row],[2030]]*Tariefsopbouw!$Q$37+Sanitair[[#This Row],[2030]]</f>
        <v>#DIV/0!</v>
      </c>
      <c r="M11" s="173"/>
    </row>
    <row r="12" spans="1:13" ht="15" customHeight="1">
      <c r="B12" s="49"/>
      <c r="E12" s="174"/>
      <c r="F12" s="175"/>
      <c r="G12" s="174"/>
      <c r="H12" s="174"/>
    </row>
    <row r="13" spans="1:13" s="100" customFormat="1" ht="26.25" customHeight="1">
      <c r="A13" s="269" t="s">
        <v>196</v>
      </c>
      <c r="B13" s="269" t="s">
        <v>135</v>
      </c>
      <c r="C13" s="269" t="s">
        <v>197</v>
      </c>
      <c r="D13" s="272" t="s">
        <v>1491</v>
      </c>
      <c r="E13" s="272" t="s">
        <v>1775</v>
      </c>
      <c r="F13" s="272" t="s">
        <v>158</v>
      </c>
      <c r="G13" s="272" t="s">
        <v>137</v>
      </c>
      <c r="H13" s="273" t="s">
        <v>1262</v>
      </c>
    </row>
    <row r="14" spans="1:13" ht="15" customHeight="1">
      <c r="A14" s="176">
        <v>1</v>
      </c>
      <c r="B14" s="177" t="str">
        <f>VLOOKUP(Sanitair2[[#This Row],[Code Locatie]],Locaties[],2,0)</f>
        <v>Mirtehuis</v>
      </c>
      <c r="C14" s="176">
        <v>1</v>
      </c>
      <c r="D14" s="178" t="str">
        <f t="shared" ref="D14:D19" si="0">IF($C14&gt;0,VLOOKUP($C14,$A$8:$B$11,2,FALSE),"")</f>
        <v xml:space="preserve">Handdoekpapier </v>
      </c>
      <c r="E14" s="348">
        <v>10</v>
      </c>
      <c r="F14" s="157">
        <v>5</v>
      </c>
      <c r="G14" s="181">
        <f>VLOOKUP(Sanitair2[[#This Row],[Code Taak]],Sanitair[],3,3)*E14*F14</f>
        <v>0</v>
      </c>
      <c r="H14" s="182">
        <f>Sanitair2[[#This Row],[Kosten/jaar excl. BTW]]*1.21</f>
        <v>0</v>
      </c>
      <c r="L14" s="161"/>
    </row>
    <row r="15" spans="1:13" ht="15" customHeight="1">
      <c r="A15" s="176">
        <v>1</v>
      </c>
      <c r="B15" s="177" t="str">
        <f>VLOOKUP(Sanitair2[[#This Row],[Code Locatie]],Locaties[],2,0)</f>
        <v>Mirtehuis</v>
      </c>
      <c r="C15" s="176">
        <v>2</v>
      </c>
      <c r="D15" s="178" t="str">
        <f t="shared" si="0"/>
        <v>Toiletpapier</v>
      </c>
      <c r="E15" s="348">
        <v>8</v>
      </c>
      <c r="F15" s="157">
        <v>5</v>
      </c>
      <c r="G15" s="181">
        <f>VLOOKUP(Sanitair2[[#This Row],[Code Taak]],Sanitair[],3,3)*E15*F15</f>
        <v>0</v>
      </c>
      <c r="H15" s="182">
        <f>Sanitair2[[#This Row],[Kosten/jaar excl. BTW]]*1.21</f>
        <v>0</v>
      </c>
      <c r="L15" s="161"/>
    </row>
    <row r="16" spans="1:13" ht="15" customHeight="1">
      <c r="A16" s="176">
        <v>1</v>
      </c>
      <c r="B16" s="177" t="str">
        <f>VLOOKUP(Sanitair2[[#This Row],[Code Locatie]],Locaties[],2,0)</f>
        <v>Mirtehuis</v>
      </c>
      <c r="C16" s="176">
        <v>3</v>
      </c>
      <c r="D16" s="178" t="str">
        <f t="shared" si="0"/>
        <v>Zeep</v>
      </c>
      <c r="E16" s="176">
        <v>20</v>
      </c>
      <c r="F16" s="176">
        <v>5</v>
      </c>
      <c r="G16" s="181">
        <f>VLOOKUP(Sanitair2[[#This Row],[Code Taak]],Sanitair[],3,3)*E16*F16</f>
        <v>0</v>
      </c>
      <c r="H16" s="182">
        <f>Sanitair2[[#This Row],[Kosten/jaar excl. BTW]]*1.21</f>
        <v>0</v>
      </c>
      <c r="L16" s="161"/>
    </row>
    <row r="17" spans="1:12" ht="14.25" customHeight="1">
      <c r="A17" s="176">
        <v>2</v>
      </c>
      <c r="B17" s="177" t="str">
        <f>VLOOKUP(Sanitair2[[#This Row],[Code Locatie]],Locaties[],2,0)</f>
        <v>Pauluskerk</v>
      </c>
      <c r="C17" s="176">
        <v>1</v>
      </c>
      <c r="D17" s="178" t="str">
        <f t="shared" si="0"/>
        <v xml:space="preserve">Handdoekpapier </v>
      </c>
      <c r="E17" s="348">
        <v>5</v>
      </c>
      <c r="F17" s="157">
        <v>5</v>
      </c>
      <c r="G17" s="181">
        <f>VLOOKUP(Sanitair2[[#This Row],[Code Taak]],Sanitair[],3,3)*E17*F17</f>
        <v>0</v>
      </c>
      <c r="H17" s="182">
        <f>Sanitair2[[#This Row],[Kosten/jaar excl. BTW]]*1.21</f>
        <v>0</v>
      </c>
      <c r="L17" s="161"/>
    </row>
    <row r="18" spans="1:12" ht="14.25" customHeight="1">
      <c r="A18" s="176">
        <v>2</v>
      </c>
      <c r="B18" s="177" t="str">
        <f>VLOOKUP(Sanitair2[[#This Row],[Code Locatie]],Locaties[],2,0)</f>
        <v>Pauluskerk</v>
      </c>
      <c r="C18" s="176">
        <v>2</v>
      </c>
      <c r="D18" s="178" t="str">
        <f t="shared" si="0"/>
        <v>Toiletpapier</v>
      </c>
      <c r="E18" s="348">
        <v>4</v>
      </c>
      <c r="F18" s="157">
        <v>5</v>
      </c>
      <c r="G18" s="181">
        <f>VLOOKUP(Sanitair2[[#This Row],[Code Taak]],Sanitair[],3,3)*E18*F18</f>
        <v>0</v>
      </c>
      <c r="H18" s="182">
        <f>Sanitair2[[#This Row],[Kosten/jaar excl. BTW]]*1.21</f>
        <v>0</v>
      </c>
      <c r="L18" s="161"/>
    </row>
    <row r="19" spans="1:12" ht="14.25" customHeight="1">
      <c r="A19" s="176">
        <v>2</v>
      </c>
      <c r="B19" s="177" t="str">
        <f>VLOOKUP(Sanitair2[[#This Row],[Code Locatie]],Locaties[],2,0)</f>
        <v>Pauluskerk</v>
      </c>
      <c r="C19" s="176">
        <v>3</v>
      </c>
      <c r="D19" s="178" t="str">
        <f t="shared" si="0"/>
        <v>Zeep</v>
      </c>
      <c r="E19" s="176">
        <v>6</v>
      </c>
      <c r="F19" s="157">
        <v>5</v>
      </c>
      <c r="G19" s="181">
        <f>VLOOKUP(Sanitair2[[#This Row],[Code Taak]],Sanitair[],3,3)*E19*F19</f>
        <v>0</v>
      </c>
      <c r="H19" s="182">
        <f>Sanitair2[[#This Row],[Kosten/jaar excl. BTW]]*1.21</f>
        <v>0</v>
      </c>
      <c r="L19" s="161"/>
    </row>
    <row r="20" spans="1:12" ht="15" customHeight="1">
      <c r="A20" s="183"/>
      <c r="B20" s="184" t="s">
        <v>32</v>
      </c>
      <c r="C20" s="183"/>
      <c r="D20" s="185"/>
      <c r="E20" s="186"/>
      <c r="F20" s="183"/>
      <c r="G20" s="187">
        <f>SUBTOTAL(109,Sanitair2[Kosten/jaar excl. BTW])</f>
        <v>0</v>
      </c>
      <c r="H20" s="187">
        <f>SUBTOTAL(109,Sanitair2[Kosten/jaar incl BTW])</f>
        <v>0</v>
      </c>
    </row>
    <row r="21" spans="1:12" ht="15" customHeight="1">
      <c r="A21" s="188"/>
      <c r="C21" s="154"/>
      <c r="D21" s="154"/>
      <c r="E21" s="154"/>
      <c r="F21" s="175"/>
      <c r="G21" s="189"/>
      <c r="H21" s="156"/>
    </row>
    <row r="22" spans="1:12" ht="15" customHeight="1"/>
    <row r="23" spans="1:12" ht="15" customHeight="1"/>
    <row r="24" spans="1:12" ht="15" customHeight="1"/>
    <row r="25" spans="1:12" ht="15" customHeight="1"/>
    <row r="26" spans="1:12" ht="15" customHeight="1"/>
    <row r="27" spans="1:12" ht="15" customHeight="1"/>
    <row r="28" spans="1:12" ht="15" customHeight="1"/>
    <row r="29" spans="1:12" ht="15" customHeight="1"/>
    <row r="30" spans="1:12" ht="15" customHeight="1"/>
    <row r="31" spans="1:12" ht="15" customHeight="1"/>
    <row r="32" spans="1:1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sheetData>
  <sheetProtection algorithmName="SHA-512" hashValue="bQIuAalyGbGVNVZ46oQfNaQBcvUA/O35vCtkfHYJF6dC5TZT366Eii3EBkCW6qQ52CfkhlJ+BH28RQMkYgJiSA==" saltValue="vYTKDHPFRZUOziZDPZUK7g==" spinCount="100000" sheet="1" objects="1" scenarios="1"/>
  <mergeCells count="3">
    <mergeCell ref="E7:I7"/>
    <mergeCell ref="A2:I2"/>
    <mergeCell ref="A1:I1"/>
  </mergeCells>
  <pageMargins left="0.7" right="0.7" top="0.75" bottom="0.75" header="0.3" footer="0.3"/>
  <pageSetup paperSize="9" scale="52" orientation="portrait" r:id="rId1"/>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6">
    <tabColor theme="0" tint="-0.14999847407452621"/>
    <pageSetUpPr fitToPage="1"/>
  </sheetPr>
  <dimension ref="A1:I79"/>
  <sheetViews>
    <sheetView view="pageBreakPreview" zoomScaleNormal="100" zoomScaleSheetLayoutView="100" workbookViewId="0">
      <selection activeCell="A2" sqref="A2:I2"/>
    </sheetView>
  </sheetViews>
  <sheetFormatPr defaultColWidth="9.140625" defaultRowHeight="18.75" customHeight="1"/>
  <cols>
    <col min="1" max="1" width="9.140625" style="201"/>
    <col min="2" max="2" width="66.42578125" style="108" customWidth="1"/>
    <col min="3" max="3" width="23.42578125" style="108" customWidth="1"/>
    <col min="4" max="4" width="15.140625" style="108" customWidth="1"/>
    <col min="5" max="9" width="17.7109375" style="108" bestFit="1" customWidth="1"/>
    <col min="10" max="16384" width="9.140625" style="108"/>
  </cols>
  <sheetData>
    <row r="1" spans="1:9" s="25" customFormat="1" ht="26.25" customHeight="1">
      <c r="A1" s="390" t="s">
        <v>168</v>
      </c>
      <c r="B1" s="390"/>
      <c r="C1" s="390"/>
      <c r="D1" s="390"/>
      <c r="E1" s="390"/>
      <c r="F1" s="390"/>
      <c r="G1" s="390"/>
      <c r="H1" s="390"/>
      <c r="I1" s="390"/>
    </row>
    <row r="2" spans="1:9" s="25" customFormat="1" ht="18.75" customHeight="1">
      <c r="A2" s="411" t="s">
        <v>199</v>
      </c>
      <c r="B2" s="389"/>
      <c r="C2" s="389"/>
      <c r="D2" s="389"/>
      <c r="E2" s="389"/>
      <c r="F2" s="389"/>
      <c r="G2" s="389"/>
      <c r="H2" s="389"/>
      <c r="I2" s="412"/>
    </row>
    <row r="3" spans="1:9" s="63" customFormat="1" ht="18.75" customHeight="1">
      <c r="A3" s="196"/>
    </row>
    <row r="4" spans="1:9" s="63" customFormat="1" ht="18.75" customHeight="1">
      <c r="A4" s="63" t="s">
        <v>167</v>
      </c>
    </row>
    <row r="5" spans="1:9" s="63" customFormat="1" ht="18.75" customHeight="1">
      <c r="A5" s="63" t="s">
        <v>169</v>
      </c>
    </row>
    <row r="6" spans="1:9" s="63" customFormat="1" ht="18.75" customHeight="1">
      <c r="A6" s="63" t="s">
        <v>210</v>
      </c>
    </row>
    <row r="7" spans="1:9" s="63" customFormat="1" ht="18.75" customHeight="1">
      <c r="A7" s="196"/>
      <c r="E7" s="405" t="s">
        <v>243</v>
      </c>
      <c r="F7" s="405"/>
      <c r="G7" s="405"/>
      <c r="H7" s="405"/>
      <c r="I7" s="405"/>
    </row>
    <row r="8" spans="1:9" s="93" customFormat="1" ht="26.25" customHeight="1">
      <c r="A8" s="197"/>
      <c r="B8" s="274" t="s">
        <v>170</v>
      </c>
      <c r="C8" s="274" t="s">
        <v>141</v>
      </c>
      <c r="D8" s="268" t="s">
        <v>166</v>
      </c>
      <c r="E8" s="269" t="s">
        <v>1244</v>
      </c>
      <c r="F8" s="269" t="s">
        <v>1298</v>
      </c>
      <c r="G8" s="269" t="s">
        <v>1575</v>
      </c>
      <c r="H8" s="269" t="s">
        <v>1608</v>
      </c>
      <c r="I8" s="269" t="s">
        <v>1607</v>
      </c>
    </row>
    <row r="9" spans="1:9" ht="18.75" customHeight="1">
      <c r="A9" s="408" t="s">
        <v>183</v>
      </c>
      <c r="B9" s="129" t="s">
        <v>172</v>
      </c>
      <c r="C9" s="129" t="s">
        <v>171</v>
      </c>
      <c r="D9" s="438">
        <v>0</v>
      </c>
      <c r="E9" s="198" t="e">
        <f>InvulRegie[[#This Row],[Prijs excl. BTW]]*Tariefsopbouw!$I$37+InvulRegie[[#This Row],[Prijs excl. BTW]]</f>
        <v>#DIV/0!</v>
      </c>
      <c r="F9" s="198" t="e">
        <f>E9*Tariefsopbouw!$K$37+'Regie en afroep'!E9</f>
        <v>#DIV/0!</v>
      </c>
      <c r="G9" s="198" t="e">
        <f>F9*Tariefsopbouw!$M$37+'Regie en afroep'!F9</f>
        <v>#DIV/0!</v>
      </c>
      <c r="H9" s="198" t="e">
        <f>G9*Tariefsopbouw!$O$37+'Regie en afroep'!G9</f>
        <v>#DIV/0!</v>
      </c>
      <c r="I9" s="198" t="e">
        <f>H9*Tariefsopbouw!$Q$37+H9</f>
        <v>#DIV/0!</v>
      </c>
    </row>
    <row r="10" spans="1:9" ht="18.75" customHeight="1">
      <c r="A10" s="409"/>
      <c r="B10" s="129" t="s">
        <v>173</v>
      </c>
      <c r="C10" s="129" t="s">
        <v>171</v>
      </c>
      <c r="D10" s="438">
        <v>0</v>
      </c>
      <c r="E10" s="198" t="e">
        <f>InvulRegie[[#This Row],[Prijs excl. BTW]]*Tariefsopbouw!$I$37+InvulRegie[[#This Row],[Prijs excl. BTW]]</f>
        <v>#DIV/0!</v>
      </c>
      <c r="F10" s="198" t="e">
        <f>E10*Tariefsopbouw!$K$37+'Regie en afroep'!E10</f>
        <v>#DIV/0!</v>
      </c>
      <c r="G10" s="198" t="e">
        <f>F10*Tariefsopbouw!$M$37+'Regie en afroep'!F10</f>
        <v>#DIV/0!</v>
      </c>
      <c r="H10" s="198" t="e">
        <f>G10*Tariefsopbouw!$O$37+'Regie en afroep'!G10</f>
        <v>#DIV/0!</v>
      </c>
      <c r="I10" s="198" t="e">
        <f>H10*Tariefsopbouw!$Q$37+H10</f>
        <v>#DIV/0!</v>
      </c>
    </row>
    <row r="11" spans="1:9" ht="18.75" customHeight="1">
      <c r="A11" s="409"/>
      <c r="B11" s="140" t="s">
        <v>174</v>
      </c>
      <c r="C11" s="129" t="s">
        <v>171</v>
      </c>
      <c r="D11" s="438">
        <v>0</v>
      </c>
      <c r="E11" s="198" t="e">
        <f>InvulRegie[[#This Row],[Prijs excl. BTW]]*Tariefsopbouw!$I$37+InvulRegie[[#This Row],[Prijs excl. BTW]]</f>
        <v>#DIV/0!</v>
      </c>
      <c r="F11" s="198" t="e">
        <f>E11*Tariefsopbouw!$K$37+'Regie en afroep'!E11</f>
        <v>#DIV/0!</v>
      </c>
      <c r="G11" s="198" t="e">
        <f>F11*Tariefsopbouw!$M$37+'Regie en afroep'!F11</f>
        <v>#DIV/0!</v>
      </c>
      <c r="H11" s="198" t="e">
        <f>G11*Tariefsopbouw!$O$37+'Regie en afroep'!G11</f>
        <v>#DIV/0!</v>
      </c>
      <c r="I11" s="198" t="e">
        <f>H11*Tariefsopbouw!$Q$37+H11</f>
        <v>#DIV/0!</v>
      </c>
    </row>
    <row r="12" spans="1:9" ht="18.75" customHeight="1">
      <c r="A12" s="409"/>
      <c r="B12" s="140" t="s">
        <v>190</v>
      </c>
      <c r="C12" s="129" t="s">
        <v>171</v>
      </c>
      <c r="D12" s="438">
        <v>0</v>
      </c>
      <c r="E12" s="198" t="e">
        <f>InvulRegie[[#This Row],[Prijs excl. BTW]]*Tariefsopbouw!$I$37+InvulRegie[[#This Row],[Prijs excl. BTW]]</f>
        <v>#DIV/0!</v>
      </c>
      <c r="F12" s="198" t="e">
        <f>E12*Tariefsopbouw!$K$37+'Regie en afroep'!E12</f>
        <v>#DIV/0!</v>
      </c>
      <c r="G12" s="198" t="e">
        <f>F12*Tariefsopbouw!$M$37+'Regie en afroep'!F12</f>
        <v>#DIV/0!</v>
      </c>
      <c r="H12" s="198" t="e">
        <f>G12*Tariefsopbouw!$O$37+'Regie en afroep'!G12</f>
        <v>#DIV/0!</v>
      </c>
      <c r="I12" s="198" t="e">
        <f>H12*Tariefsopbouw!$Q$37+H12</f>
        <v>#DIV/0!</v>
      </c>
    </row>
    <row r="13" spans="1:9" ht="18.75" customHeight="1">
      <c r="A13" s="410"/>
      <c r="B13" s="129" t="s">
        <v>180</v>
      </c>
      <c r="C13" s="129" t="s">
        <v>171</v>
      </c>
      <c r="D13" s="438">
        <v>0</v>
      </c>
      <c r="E13" s="198" t="e">
        <f>InvulRegie[[#This Row],[Prijs excl. BTW]]*Tariefsopbouw!$I$37+InvulRegie[[#This Row],[Prijs excl. BTW]]</f>
        <v>#DIV/0!</v>
      </c>
      <c r="F13" s="198" t="e">
        <f>E13*Tariefsopbouw!$K$37+'Regie en afroep'!E13</f>
        <v>#DIV/0!</v>
      </c>
      <c r="G13" s="198" t="e">
        <f>F13*Tariefsopbouw!$M$37+'Regie en afroep'!F13</f>
        <v>#DIV/0!</v>
      </c>
      <c r="H13" s="198" t="e">
        <f>G13*Tariefsopbouw!$O$37+'Regie en afroep'!G13</f>
        <v>#DIV/0!</v>
      </c>
      <c r="I13" s="198" t="e">
        <f>H13*Tariefsopbouw!$Q$37+H13</f>
        <v>#DIV/0!</v>
      </c>
    </row>
    <row r="14" spans="1:9" ht="18.75" customHeight="1">
      <c r="A14" s="408" t="s">
        <v>121</v>
      </c>
      <c r="B14" s="129" t="s">
        <v>40</v>
      </c>
      <c r="C14" s="129" t="s">
        <v>41</v>
      </c>
      <c r="D14" s="438">
        <v>0</v>
      </c>
      <c r="E14" s="198" t="e">
        <f>InvulRegie[[#This Row],[Prijs excl. BTW]]*Tariefsopbouw!$I$37+InvulRegie[[#This Row],[Prijs excl. BTW]]</f>
        <v>#DIV/0!</v>
      </c>
      <c r="F14" s="198" t="e">
        <f>E14*Tariefsopbouw!$K$37+'Regie en afroep'!E14</f>
        <v>#DIV/0!</v>
      </c>
      <c r="G14" s="198" t="e">
        <f>F14*Tariefsopbouw!$M$37+'Regie en afroep'!F14</f>
        <v>#DIV/0!</v>
      </c>
      <c r="H14" s="198" t="e">
        <f>G14*Tariefsopbouw!$O$37+'Regie en afroep'!G14</f>
        <v>#DIV/0!</v>
      </c>
      <c r="I14" s="198" t="e">
        <f>H14*Tariefsopbouw!$Q$37+H14</f>
        <v>#DIV/0!</v>
      </c>
    </row>
    <row r="15" spans="1:9" ht="18.75" customHeight="1">
      <c r="A15" s="409"/>
      <c r="B15" s="129" t="s">
        <v>42</v>
      </c>
      <c r="C15" s="129" t="s">
        <v>175</v>
      </c>
      <c r="D15" s="438">
        <v>0</v>
      </c>
      <c r="E15" s="198" t="e">
        <f>InvulRegie[[#This Row],[Prijs excl. BTW]]*Tariefsopbouw!$I$37+InvulRegie[[#This Row],[Prijs excl. BTW]]</f>
        <v>#DIV/0!</v>
      </c>
      <c r="F15" s="198" t="e">
        <f>E15*Tariefsopbouw!$K$37+'Regie en afroep'!E15</f>
        <v>#DIV/0!</v>
      </c>
      <c r="G15" s="198" t="e">
        <f>F15*Tariefsopbouw!$M$37+'Regie en afroep'!F15</f>
        <v>#DIV/0!</v>
      </c>
      <c r="H15" s="198" t="e">
        <f>G15*Tariefsopbouw!$O$37+'Regie en afroep'!G15</f>
        <v>#DIV/0!</v>
      </c>
      <c r="I15" s="198" t="e">
        <f>H15*Tariefsopbouw!$Q$37+H15</f>
        <v>#DIV/0!</v>
      </c>
    </row>
    <row r="16" spans="1:9" ht="18.75" customHeight="1">
      <c r="A16" s="409"/>
      <c r="B16" s="129" t="s">
        <v>176</v>
      </c>
      <c r="C16" s="129" t="s">
        <v>175</v>
      </c>
      <c r="D16" s="438">
        <v>0</v>
      </c>
      <c r="E16" s="198" t="e">
        <f>InvulRegie[[#This Row],[Prijs excl. BTW]]*Tariefsopbouw!$I$37+InvulRegie[[#This Row],[Prijs excl. BTW]]</f>
        <v>#DIV/0!</v>
      </c>
      <c r="F16" s="198" t="e">
        <f>E16*Tariefsopbouw!$K$37+'Regie en afroep'!E16</f>
        <v>#DIV/0!</v>
      </c>
      <c r="G16" s="198" t="e">
        <f>F16*Tariefsopbouw!$M$37+'Regie en afroep'!F16</f>
        <v>#DIV/0!</v>
      </c>
      <c r="H16" s="198" t="e">
        <f>G16*Tariefsopbouw!$O$37+'Regie en afroep'!G16</f>
        <v>#DIV/0!</v>
      </c>
      <c r="I16" s="198" t="e">
        <f>H16*Tariefsopbouw!$Q$37+H16</f>
        <v>#DIV/0!</v>
      </c>
    </row>
    <row r="17" spans="1:9" ht="18.75" customHeight="1">
      <c r="A17" s="409"/>
      <c r="B17" s="129" t="s">
        <v>177</v>
      </c>
      <c r="C17" s="129" t="s">
        <v>43</v>
      </c>
      <c r="D17" s="438">
        <v>0</v>
      </c>
      <c r="E17" s="198" t="e">
        <f>InvulRegie[[#This Row],[Prijs excl. BTW]]*Tariefsopbouw!$I$37+InvulRegie[[#This Row],[Prijs excl. BTW]]</f>
        <v>#DIV/0!</v>
      </c>
      <c r="F17" s="198" t="e">
        <f>E17*Tariefsopbouw!$K$37+'Regie en afroep'!E17</f>
        <v>#DIV/0!</v>
      </c>
      <c r="G17" s="198" t="e">
        <f>F17*Tariefsopbouw!$M$37+'Regie en afroep'!F17</f>
        <v>#DIV/0!</v>
      </c>
      <c r="H17" s="198" t="e">
        <f>G17*Tariefsopbouw!$O$37+'Regie en afroep'!G17</f>
        <v>#DIV/0!</v>
      </c>
      <c r="I17" s="198" t="e">
        <f>H17*Tariefsopbouw!$Q$37+H17</f>
        <v>#DIV/0!</v>
      </c>
    </row>
    <row r="18" spans="1:9" ht="18.75" customHeight="1">
      <c r="A18" s="409"/>
      <c r="B18" s="129" t="s">
        <v>225</v>
      </c>
      <c r="C18" s="129" t="s">
        <v>43</v>
      </c>
      <c r="D18" s="438">
        <v>0</v>
      </c>
      <c r="E18" s="198" t="e">
        <f>InvulRegie[[#This Row],[Prijs excl. BTW]]*Tariefsopbouw!$I$37+InvulRegie[[#This Row],[Prijs excl. BTW]]</f>
        <v>#DIV/0!</v>
      </c>
      <c r="F18" s="198" t="e">
        <f>E18*Tariefsopbouw!$K$37+'Regie en afroep'!E18</f>
        <v>#DIV/0!</v>
      </c>
      <c r="G18" s="198" t="e">
        <f>F18*Tariefsopbouw!$M$37+'Regie en afroep'!F18</f>
        <v>#DIV/0!</v>
      </c>
      <c r="H18" s="198" t="e">
        <f>G18*Tariefsopbouw!$O$37+'Regie en afroep'!G18</f>
        <v>#DIV/0!</v>
      </c>
      <c r="I18" s="198" t="e">
        <f>H18*Tariefsopbouw!$Q$37+H18</f>
        <v>#DIV/0!</v>
      </c>
    </row>
    <row r="19" spans="1:9" ht="18.75" customHeight="1">
      <c r="A19" s="409"/>
      <c r="B19" s="129" t="s">
        <v>178</v>
      </c>
      <c r="C19" s="129" t="s">
        <v>43</v>
      </c>
      <c r="D19" s="438">
        <v>0</v>
      </c>
      <c r="E19" s="198" t="e">
        <f>InvulRegie[[#This Row],[Prijs excl. BTW]]*Tariefsopbouw!$I$37+InvulRegie[[#This Row],[Prijs excl. BTW]]</f>
        <v>#DIV/0!</v>
      </c>
      <c r="F19" s="198" t="e">
        <f>E19*Tariefsopbouw!$K$37+'Regie en afroep'!E19</f>
        <v>#DIV/0!</v>
      </c>
      <c r="G19" s="198" t="e">
        <f>F19*Tariefsopbouw!$M$37+'Regie en afroep'!F19</f>
        <v>#DIV/0!</v>
      </c>
      <c r="H19" s="198" t="e">
        <f>G19*Tariefsopbouw!$O$37+'Regie en afroep'!G19</f>
        <v>#DIV/0!</v>
      </c>
      <c r="I19" s="198" t="e">
        <f>H19*Tariefsopbouw!$Q$37+H19</f>
        <v>#DIV/0!</v>
      </c>
    </row>
    <row r="20" spans="1:9" ht="18.75" customHeight="1">
      <c r="A20" s="410"/>
      <c r="B20" s="129" t="s">
        <v>179</v>
      </c>
      <c r="C20" s="129" t="s">
        <v>43</v>
      </c>
      <c r="D20" s="438">
        <v>0</v>
      </c>
      <c r="E20" s="198" t="e">
        <f>InvulRegie[[#This Row],[Prijs excl. BTW]]*Tariefsopbouw!$I$37+InvulRegie[[#This Row],[Prijs excl. BTW]]</f>
        <v>#DIV/0!</v>
      </c>
      <c r="F20" s="198" t="e">
        <f>E20*Tariefsopbouw!$K$37+'Regie en afroep'!E20</f>
        <v>#DIV/0!</v>
      </c>
      <c r="G20" s="198" t="e">
        <f>F20*Tariefsopbouw!$M$37+'Regie en afroep'!F20</f>
        <v>#DIV/0!</v>
      </c>
      <c r="H20" s="198" t="e">
        <f>G20*Tariefsopbouw!$O$37+'Regie en afroep'!G20</f>
        <v>#DIV/0!</v>
      </c>
      <c r="I20" s="198" t="e">
        <f>H20*Tariefsopbouw!$Q$37+H20</f>
        <v>#DIV/0!</v>
      </c>
    </row>
    <row r="21" spans="1:9" ht="18.75" customHeight="1">
      <c r="A21" s="408" t="s">
        <v>181</v>
      </c>
      <c r="B21" s="129" t="s">
        <v>56</v>
      </c>
      <c r="C21" s="129" t="s">
        <v>48</v>
      </c>
      <c r="D21" s="438">
        <v>0</v>
      </c>
      <c r="E21" s="198" t="e">
        <f>InvulRegie[[#This Row],[Prijs excl. BTW]]*Tariefsopbouw!$I$37+InvulRegie[[#This Row],[Prijs excl. BTW]]</f>
        <v>#DIV/0!</v>
      </c>
      <c r="F21" s="198" t="e">
        <f>E21*Tariefsopbouw!$K$37+'Regie en afroep'!E21</f>
        <v>#DIV/0!</v>
      </c>
      <c r="G21" s="198" t="e">
        <f>F21*Tariefsopbouw!$M$37+'Regie en afroep'!F21</f>
        <v>#DIV/0!</v>
      </c>
      <c r="H21" s="198" t="e">
        <f>G21*Tariefsopbouw!$O$37+'Regie en afroep'!G21</f>
        <v>#DIV/0!</v>
      </c>
      <c r="I21" s="198" t="e">
        <f>H21*Tariefsopbouw!$Q$37+H21</f>
        <v>#DIV/0!</v>
      </c>
    </row>
    <row r="22" spans="1:9" ht="18.75" customHeight="1">
      <c r="A22" s="410"/>
      <c r="B22" s="129" t="s">
        <v>44</v>
      </c>
      <c r="C22" s="129" t="s">
        <v>1603</v>
      </c>
      <c r="D22" s="438">
        <v>0</v>
      </c>
      <c r="E22" s="198" t="e">
        <f>InvulRegie[[#This Row],[Prijs excl. BTW]]*Tariefsopbouw!$I$37+InvulRegie[[#This Row],[Prijs excl. BTW]]</f>
        <v>#DIV/0!</v>
      </c>
      <c r="F22" s="198" t="e">
        <f>E22*Tariefsopbouw!$K$37+'Regie en afroep'!E22</f>
        <v>#DIV/0!</v>
      </c>
      <c r="G22" s="198" t="e">
        <f>F22*Tariefsopbouw!$M$37+'Regie en afroep'!F22</f>
        <v>#DIV/0!</v>
      </c>
      <c r="H22" s="198" t="e">
        <f>G22*Tariefsopbouw!$O$37+'Regie en afroep'!G22</f>
        <v>#DIV/0!</v>
      </c>
      <c r="I22" s="198" t="e">
        <f>H22*Tariefsopbouw!$Q$37+H22</f>
        <v>#DIV/0!</v>
      </c>
    </row>
    <row r="23" spans="1:9" ht="18.75" customHeight="1">
      <c r="A23" s="408" t="s">
        <v>191</v>
      </c>
      <c r="B23" s="129" t="s">
        <v>182</v>
      </c>
      <c r="C23" s="129" t="s">
        <v>1604</v>
      </c>
      <c r="D23" s="438">
        <v>0</v>
      </c>
      <c r="E23" s="198" t="e">
        <f>InvulRegie[[#This Row],[Prijs excl. BTW]]*Tariefsopbouw!$I$37+InvulRegie[[#This Row],[Prijs excl. BTW]]</f>
        <v>#DIV/0!</v>
      </c>
      <c r="F23" s="198" t="e">
        <f>E23*Tariefsopbouw!$K$37+'Regie en afroep'!E23</f>
        <v>#DIV/0!</v>
      </c>
      <c r="G23" s="198" t="e">
        <f>F23*Tariefsopbouw!$M$37+'Regie en afroep'!F23</f>
        <v>#DIV/0!</v>
      </c>
      <c r="H23" s="198" t="e">
        <f>G23*Tariefsopbouw!$O$37+'Regie en afroep'!G23</f>
        <v>#DIV/0!</v>
      </c>
      <c r="I23" s="198" t="e">
        <f>H23*Tariefsopbouw!$Q$37+H23</f>
        <v>#DIV/0!</v>
      </c>
    </row>
    <row r="24" spans="1:9" ht="18.75" customHeight="1">
      <c r="A24" s="409"/>
      <c r="B24" s="129" t="s">
        <v>218</v>
      </c>
      <c r="C24" s="129" t="s">
        <v>1604</v>
      </c>
      <c r="D24" s="438">
        <v>0</v>
      </c>
      <c r="E24" s="198" t="e">
        <f>InvulRegie[[#This Row],[Prijs excl. BTW]]*Tariefsopbouw!$I$37+InvulRegie[[#This Row],[Prijs excl. BTW]]</f>
        <v>#DIV/0!</v>
      </c>
      <c r="F24" s="198" t="e">
        <f>E24*Tariefsopbouw!$K$37+'Regie en afroep'!E24</f>
        <v>#DIV/0!</v>
      </c>
      <c r="G24" s="198" t="e">
        <f>F24*Tariefsopbouw!$M$37+'Regie en afroep'!F24</f>
        <v>#DIV/0!</v>
      </c>
      <c r="H24" s="198" t="e">
        <f>G24*Tariefsopbouw!$O$37+'Regie en afroep'!G24</f>
        <v>#DIV/0!</v>
      </c>
      <c r="I24" s="198" t="e">
        <f>H24*Tariefsopbouw!$Q$37+H24</f>
        <v>#DIV/0!</v>
      </c>
    </row>
    <row r="25" spans="1:9" ht="18.75" customHeight="1">
      <c r="A25" s="409"/>
      <c r="B25" s="129" t="s">
        <v>220</v>
      </c>
      <c r="C25" s="129" t="s">
        <v>1604</v>
      </c>
      <c r="D25" s="438">
        <v>0</v>
      </c>
      <c r="E25" s="198" t="e">
        <f>InvulRegie[[#This Row],[Prijs excl. BTW]]*Tariefsopbouw!$I$37+InvulRegie[[#This Row],[Prijs excl. BTW]]</f>
        <v>#DIV/0!</v>
      </c>
      <c r="F25" s="198" t="e">
        <f>E25*Tariefsopbouw!$K$37+'Regie en afroep'!E25</f>
        <v>#DIV/0!</v>
      </c>
      <c r="G25" s="198" t="e">
        <f>F25*Tariefsopbouw!$M$37+'Regie en afroep'!F25</f>
        <v>#DIV/0!</v>
      </c>
      <c r="H25" s="198" t="e">
        <f>G25*Tariefsopbouw!$O$37+'Regie en afroep'!G25</f>
        <v>#DIV/0!</v>
      </c>
      <c r="I25" s="198" t="e">
        <f>H25*Tariefsopbouw!$Q$37+H25</f>
        <v>#DIV/0!</v>
      </c>
    </row>
    <row r="26" spans="1:9" ht="18.75" customHeight="1">
      <c r="A26" s="409"/>
      <c r="B26" s="129" t="s">
        <v>219</v>
      </c>
      <c r="C26" s="129" t="s">
        <v>1604</v>
      </c>
      <c r="D26" s="438">
        <v>0</v>
      </c>
      <c r="E26" s="198" t="e">
        <f>InvulRegie[[#This Row],[Prijs excl. BTW]]*Tariefsopbouw!$I$37+InvulRegie[[#This Row],[Prijs excl. BTW]]</f>
        <v>#DIV/0!</v>
      </c>
      <c r="F26" s="198" t="e">
        <f>E26*Tariefsopbouw!$K$37+'Regie en afroep'!E26</f>
        <v>#DIV/0!</v>
      </c>
      <c r="G26" s="198" t="e">
        <f>F26*Tariefsopbouw!$M$37+'Regie en afroep'!F26</f>
        <v>#DIV/0!</v>
      </c>
      <c r="H26" s="198" t="e">
        <f>G26*Tariefsopbouw!$O$37+'Regie en afroep'!G26</f>
        <v>#DIV/0!</v>
      </c>
      <c r="I26" s="198" t="e">
        <f>H26*Tariefsopbouw!$Q$37+H26</f>
        <v>#DIV/0!</v>
      </c>
    </row>
    <row r="27" spans="1:9" ht="18.75" customHeight="1">
      <c r="A27" s="410"/>
      <c r="B27" s="129" t="s">
        <v>47</v>
      </c>
      <c r="C27" s="129" t="s">
        <v>1604</v>
      </c>
      <c r="D27" s="438">
        <v>0</v>
      </c>
      <c r="E27" s="198" t="e">
        <f>InvulRegie[[#This Row],[Prijs excl. BTW]]*Tariefsopbouw!$I$37+InvulRegie[[#This Row],[Prijs excl. BTW]]</f>
        <v>#DIV/0!</v>
      </c>
      <c r="F27" s="198" t="e">
        <f>E27*Tariefsopbouw!$K$37+'Regie en afroep'!E27</f>
        <v>#DIV/0!</v>
      </c>
      <c r="G27" s="198" t="e">
        <f>F27*Tariefsopbouw!$M$37+'Regie en afroep'!F27</f>
        <v>#DIV/0!</v>
      </c>
      <c r="H27" s="198" t="e">
        <f>G27*Tariefsopbouw!$O$37+'Regie en afroep'!G27</f>
        <v>#DIV/0!</v>
      </c>
      <c r="I27" s="198" t="e">
        <f>H27*Tariefsopbouw!$Q$37+H27</f>
        <v>#DIV/0!</v>
      </c>
    </row>
    <row r="28" spans="1:9" ht="18.75" customHeight="1">
      <c r="A28" s="408" t="s">
        <v>186</v>
      </c>
      <c r="B28" s="129" t="s">
        <v>49</v>
      </c>
      <c r="C28" s="129" t="s">
        <v>48</v>
      </c>
      <c r="D28" s="438">
        <v>0</v>
      </c>
      <c r="E28" s="198" t="e">
        <f>InvulRegie[[#This Row],[Prijs excl. BTW]]*Tariefsopbouw!$I$37+InvulRegie[[#This Row],[Prijs excl. BTW]]</f>
        <v>#DIV/0!</v>
      </c>
      <c r="F28" s="198" t="e">
        <f>E28*Tariefsopbouw!$K$37+'Regie en afroep'!E28</f>
        <v>#DIV/0!</v>
      </c>
      <c r="G28" s="198" t="e">
        <f>F28*Tariefsopbouw!$M$37+'Regie en afroep'!F28</f>
        <v>#DIV/0!</v>
      </c>
      <c r="H28" s="198" t="e">
        <f>G28*Tariefsopbouw!$O$37+'Regie en afroep'!G28</f>
        <v>#DIV/0!</v>
      </c>
      <c r="I28" s="198" t="e">
        <f>H28*Tariefsopbouw!$Q$37+H28</f>
        <v>#DIV/0!</v>
      </c>
    </row>
    <row r="29" spans="1:9" ht="18.75" customHeight="1">
      <c r="A29" s="409"/>
      <c r="B29" s="129" t="s">
        <v>50</v>
      </c>
      <c r="C29" s="129" t="s">
        <v>48</v>
      </c>
      <c r="D29" s="438">
        <v>0</v>
      </c>
      <c r="E29" s="198" t="e">
        <f>InvulRegie[[#This Row],[Prijs excl. BTW]]*Tariefsopbouw!$I$37+InvulRegie[[#This Row],[Prijs excl. BTW]]</f>
        <v>#DIV/0!</v>
      </c>
      <c r="F29" s="198" t="e">
        <f>E29*Tariefsopbouw!$K$37+'Regie en afroep'!E29</f>
        <v>#DIV/0!</v>
      </c>
      <c r="G29" s="198" t="e">
        <f>F29*Tariefsopbouw!$M$37+'Regie en afroep'!F29</f>
        <v>#DIV/0!</v>
      </c>
      <c r="H29" s="198" t="e">
        <f>G29*Tariefsopbouw!$O$37+'Regie en afroep'!G29</f>
        <v>#DIV/0!</v>
      </c>
      <c r="I29" s="198" t="e">
        <f>H29*Tariefsopbouw!$Q$37+H29</f>
        <v>#DIV/0!</v>
      </c>
    </row>
    <row r="30" spans="1:9" ht="18.75" customHeight="1">
      <c r="A30" s="409"/>
      <c r="B30" s="129" t="s">
        <v>51</v>
      </c>
      <c r="C30" s="129" t="s">
        <v>48</v>
      </c>
      <c r="D30" s="438">
        <v>0</v>
      </c>
      <c r="E30" s="198" t="e">
        <f>InvulRegie[[#This Row],[Prijs excl. BTW]]*Tariefsopbouw!$I$37+InvulRegie[[#This Row],[Prijs excl. BTW]]</f>
        <v>#DIV/0!</v>
      </c>
      <c r="F30" s="198" t="e">
        <f>E30*Tariefsopbouw!$K$37+'Regie en afroep'!E30</f>
        <v>#DIV/0!</v>
      </c>
      <c r="G30" s="198" t="e">
        <f>F30*Tariefsopbouw!$M$37+'Regie en afroep'!F30</f>
        <v>#DIV/0!</v>
      </c>
      <c r="H30" s="198" t="e">
        <f>G30*Tariefsopbouw!$O$37+'Regie en afroep'!G30</f>
        <v>#DIV/0!</v>
      </c>
      <c r="I30" s="198" t="e">
        <f>H30*Tariefsopbouw!$Q$37+H30</f>
        <v>#DIV/0!</v>
      </c>
    </row>
    <row r="31" spans="1:9" ht="18.75" customHeight="1">
      <c r="A31" s="409"/>
      <c r="B31" s="129" t="s">
        <v>52</v>
      </c>
      <c r="C31" s="129" t="s">
        <v>48</v>
      </c>
      <c r="D31" s="438">
        <v>0</v>
      </c>
      <c r="E31" s="198" t="e">
        <f>InvulRegie[[#This Row],[Prijs excl. BTW]]*Tariefsopbouw!$I$37+InvulRegie[[#This Row],[Prijs excl. BTW]]</f>
        <v>#DIV/0!</v>
      </c>
      <c r="F31" s="198" t="e">
        <f>E31*Tariefsopbouw!$K$37+'Regie en afroep'!E31</f>
        <v>#DIV/0!</v>
      </c>
      <c r="G31" s="198" t="e">
        <f>F31*Tariefsopbouw!$M$37+'Regie en afroep'!F31</f>
        <v>#DIV/0!</v>
      </c>
      <c r="H31" s="198" t="e">
        <f>G31*Tariefsopbouw!$O$37+'Regie en afroep'!G31</f>
        <v>#DIV/0!</v>
      </c>
      <c r="I31" s="198" t="e">
        <f>H31*Tariefsopbouw!$Q$37+H31</f>
        <v>#DIV/0!</v>
      </c>
    </row>
    <row r="32" spans="1:9" ht="18.75" customHeight="1">
      <c r="A32" s="410"/>
      <c r="B32" s="129" t="s">
        <v>45</v>
      </c>
      <c r="C32" s="129" t="s">
        <v>46</v>
      </c>
      <c r="D32" s="438">
        <v>0</v>
      </c>
      <c r="E32" s="198" t="e">
        <f>InvulRegie[[#This Row],[Prijs excl. BTW]]*Tariefsopbouw!$I$37+InvulRegie[[#This Row],[Prijs excl. BTW]]</f>
        <v>#DIV/0!</v>
      </c>
      <c r="F32" s="198" t="e">
        <f>E32*Tariefsopbouw!$K$37+'Regie en afroep'!E32</f>
        <v>#DIV/0!</v>
      </c>
      <c r="G32" s="198" t="e">
        <f>F32*Tariefsopbouw!$M$37+'Regie en afroep'!F32</f>
        <v>#DIV/0!</v>
      </c>
      <c r="H32" s="198" t="e">
        <f>G32*Tariefsopbouw!$O$37+'Regie en afroep'!G32</f>
        <v>#DIV/0!</v>
      </c>
      <c r="I32" s="198" t="e">
        <f>H32*Tariefsopbouw!$Q$37+H32</f>
        <v>#DIV/0!</v>
      </c>
    </row>
    <row r="33" spans="1:9" ht="18.75" customHeight="1">
      <c r="A33" s="413" t="s">
        <v>187</v>
      </c>
      <c r="B33" s="129" t="s">
        <v>53</v>
      </c>
      <c r="C33" s="129" t="s">
        <v>209</v>
      </c>
      <c r="D33" s="438">
        <v>0</v>
      </c>
      <c r="E33" s="198" t="e">
        <f>InvulRegie[[#This Row],[Prijs excl. BTW]]*Tariefsopbouw!$I$37+InvulRegie[[#This Row],[Prijs excl. BTW]]</f>
        <v>#DIV/0!</v>
      </c>
      <c r="F33" s="198" t="e">
        <f>E33*Tariefsopbouw!$K$37+'Regie en afroep'!E33</f>
        <v>#DIV/0!</v>
      </c>
      <c r="G33" s="198" t="e">
        <f>F33*Tariefsopbouw!$M$37+'Regie en afroep'!F33</f>
        <v>#DIV/0!</v>
      </c>
      <c r="H33" s="198" t="e">
        <f>G33*Tariefsopbouw!$O$37+'Regie en afroep'!G33</f>
        <v>#DIV/0!</v>
      </c>
      <c r="I33" s="198" t="e">
        <f>H33*Tariefsopbouw!$Q$37+H33</f>
        <v>#DIV/0!</v>
      </c>
    </row>
    <row r="34" spans="1:9" ht="18.75" customHeight="1">
      <c r="A34" s="414"/>
      <c r="B34" s="129" t="s">
        <v>54</v>
      </c>
      <c r="C34" s="129" t="s">
        <v>55</v>
      </c>
      <c r="D34" s="438">
        <v>0</v>
      </c>
      <c r="E34" s="198" t="e">
        <f>InvulRegie[[#This Row],[Prijs excl. BTW]]*Tariefsopbouw!$I$37+InvulRegie[[#This Row],[Prijs excl. BTW]]</f>
        <v>#DIV/0!</v>
      </c>
      <c r="F34" s="198" t="e">
        <f>E34*Tariefsopbouw!$K$37+'Regie en afroep'!E34</f>
        <v>#DIV/0!</v>
      </c>
      <c r="G34" s="198" t="e">
        <f>F34*Tariefsopbouw!$M$37+'Regie en afroep'!F34</f>
        <v>#DIV/0!</v>
      </c>
      <c r="H34" s="198" t="e">
        <f>G34*Tariefsopbouw!$O$37+'Regie en afroep'!G34</f>
        <v>#DIV/0!</v>
      </c>
      <c r="I34" s="198" t="e">
        <f>H34*Tariefsopbouw!$Q$37+H34</f>
        <v>#DIV/0!</v>
      </c>
    </row>
    <row r="35" spans="1:9" ht="18.75" customHeight="1">
      <c r="A35" s="414"/>
      <c r="B35" s="129" t="s">
        <v>188</v>
      </c>
      <c r="C35" s="129" t="s">
        <v>55</v>
      </c>
      <c r="D35" s="438">
        <v>0</v>
      </c>
      <c r="E35" s="198" t="e">
        <f>InvulRegie[[#This Row],[Prijs excl. BTW]]*Tariefsopbouw!$I$37+InvulRegie[[#This Row],[Prijs excl. BTW]]</f>
        <v>#DIV/0!</v>
      </c>
      <c r="F35" s="198" t="e">
        <f>E35*Tariefsopbouw!$K$37+'Regie en afroep'!E35</f>
        <v>#DIV/0!</v>
      </c>
      <c r="G35" s="198" t="e">
        <f>F35*Tariefsopbouw!$M$37+'Regie en afroep'!F35</f>
        <v>#DIV/0!</v>
      </c>
      <c r="H35" s="198" t="e">
        <f>G35*Tariefsopbouw!$O$37+'Regie en afroep'!G35</f>
        <v>#DIV/0!</v>
      </c>
      <c r="I35" s="198" t="e">
        <f>H35*Tariefsopbouw!$Q$37+H35</f>
        <v>#DIV/0!</v>
      </c>
    </row>
    <row r="36" spans="1:9" ht="18.75" customHeight="1">
      <c r="A36" s="415"/>
      <c r="B36" s="129" t="s">
        <v>189</v>
      </c>
      <c r="C36" s="129" t="s">
        <v>55</v>
      </c>
      <c r="D36" s="438">
        <v>0</v>
      </c>
      <c r="E36" s="198" t="e">
        <f>InvulRegie[[#This Row],[Prijs excl. BTW]]*Tariefsopbouw!$I$37+InvulRegie[[#This Row],[Prijs excl. BTW]]</f>
        <v>#DIV/0!</v>
      </c>
      <c r="F36" s="198" t="e">
        <f>E36*Tariefsopbouw!$K$37+'Regie en afroep'!E36</f>
        <v>#DIV/0!</v>
      </c>
      <c r="G36" s="198" t="e">
        <f>F36*Tariefsopbouw!$M$37+'Regie en afroep'!F36</f>
        <v>#DIV/0!</v>
      </c>
      <c r="H36" s="198" t="e">
        <f>G36*Tariefsopbouw!$O$37+'Regie en afroep'!G36</f>
        <v>#DIV/0!</v>
      </c>
      <c r="I36" s="198" t="e">
        <f>H36*Tariefsopbouw!$Q$37+H36</f>
        <v>#DIV/0!</v>
      </c>
    </row>
    <row r="37" spans="1:9" s="9" customFormat="1" ht="26.25" customHeight="1">
      <c r="A37" s="199"/>
      <c r="B37" s="200" t="s">
        <v>32</v>
      </c>
      <c r="C37" s="200"/>
      <c r="D37" s="200"/>
      <c r="E37" s="200"/>
      <c r="F37" s="200"/>
      <c r="G37" s="200"/>
      <c r="H37" s="200"/>
      <c r="I37" s="200"/>
    </row>
    <row r="39" spans="1:9" ht="18.75" customHeight="1" thickBot="1"/>
    <row r="40" spans="1:9" ht="15.75">
      <c r="A40" s="202"/>
      <c r="B40" s="203" t="s">
        <v>1570</v>
      </c>
      <c r="C40" s="203"/>
      <c r="D40" s="204"/>
    </row>
    <row r="41" spans="1:9" ht="13.5">
      <c r="A41" s="205"/>
      <c r="B41" s="8"/>
      <c r="C41" s="8"/>
      <c r="D41" s="206"/>
    </row>
    <row r="42" spans="1:9" ht="13.5">
      <c r="A42" s="205"/>
      <c r="B42" s="207" t="s">
        <v>1605</v>
      </c>
      <c r="C42" s="8"/>
      <c r="D42" s="206"/>
    </row>
    <row r="43" spans="1:9" ht="13.5">
      <c r="A43" s="205"/>
      <c r="B43" s="8"/>
      <c r="C43" s="8"/>
      <c r="D43" s="206"/>
    </row>
    <row r="44" spans="1:9" ht="13.5">
      <c r="A44" s="205"/>
      <c r="B44" s="208" t="s">
        <v>1539</v>
      </c>
      <c r="C44" s="8"/>
      <c r="D44" s="206"/>
    </row>
    <row r="45" spans="1:9" ht="13.5">
      <c r="A45" s="205"/>
      <c r="B45" s="8"/>
      <c r="C45" s="8"/>
      <c r="D45" s="206"/>
    </row>
    <row r="46" spans="1:9" ht="13.5">
      <c r="A46" s="209" t="s">
        <v>1540</v>
      </c>
      <c r="B46" s="416" t="s">
        <v>1541</v>
      </c>
      <c r="C46" s="416"/>
      <c r="D46" s="417"/>
    </row>
    <row r="47" spans="1:9" ht="13.5">
      <c r="A47" s="209" t="s">
        <v>1540</v>
      </c>
      <c r="B47" s="416" t="s">
        <v>1542</v>
      </c>
      <c r="C47" s="416" t="s">
        <v>1542</v>
      </c>
      <c r="D47" s="417" t="s">
        <v>1542</v>
      </c>
    </row>
    <row r="48" spans="1:9" ht="13.5">
      <c r="A48" s="209" t="s">
        <v>1540</v>
      </c>
      <c r="B48" s="416" t="s">
        <v>1543</v>
      </c>
      <c r="C48" s="416" t="s">
        <v>1543</v>
      </c>
      <c r="D48" s="417" t="s">
        <v>1543</v>
      </c>
    </row>
    <row r="49" spans="1:4" ht="13.5">
      <c r="A49" s="209" t="s">
        <v>1540</v>
      </c>
      <c r="B49" s="416" t="s">
        <v>1544</v>
      </c>
      <c r="C49" s="416" t="s">
        <v>1544</v>
      </c>
      <c r="D49" s="417" t="s">
        <v>1544</v>
      </c>
    </row>
    <row r="50" spans="1:4" ht="13.5">
      <c r="A50" s="209" t="s">
        <v>1540</v>
      </c>
      <c r="B50" s="416" t="s">
        <v>1545</v>
      </c>
      <c r="C50" s="416" t="s">
        <v>1545</v>
      </c>
      <c r="D50" s="417" t="s">
        <v>1545</v>
      </c>
    </row>
    <row r="51" spans="1:4" ht="13.5">
      <c r="A51" s="209" t="s">
        <v>1540</v>
      </c>
      <c r="B51" s="416" t="s">
        <v>1546</v>
      </c>
      <c r="C51" s="416" t="s">
        <v>1546</v>
      </c>
      <c r="D51" s="417" t="s">
        <v>1546</v>
      </c>
    </row>
    <row r="52" spans="1:4" ht="13.5">
      <c r="A52" s="209" t="s">
        <v>1540</v>
      </c>
      <c r="B52" s="416" t="s">
        <v>1547</v>
      </c>
      <c r="C52" s="416" t="s">
        <v>1547</v>
      </c>
      <c r="D52" s="417" t="s">
        <v>1547</v>
      </c>
    </row>
    <row r="53" spans="1:4" ht="13.5">
      <c r="A53" s="209" t="s">
        <v>1540</v>
      </c>
      <c r="B53" s="416" t="s">
        <v>1548</v>
      </c>
      <c r="C53" s="416" t="s">
        <v>1548</v>
      </c>
      <c r="D53" s="417" t="s">
        <v>1548</v>
      </c>
    </row>
    <row r="54" spans="1:4" ht="13.5">
      <c r="A54" s="209" t="s">
        <v>1540</v>
      </c>
      <c r="B54" s="416" t="s">
        <v>1549</v>
      </c>
      <c r="C54" s="416" t="s">
        <v>1549</v>
      </c>
      <c r="D54" s="417" t="s">
        <v>1549</v>
      </c>
    </row>
    <row r="55" spans="1:4" ht="13.5">
      <c r="A55" s="209" t="s">
        <v>1540</v>
      </c>
      <c r="B55" s="416" t="s">
        <v>1550</v>
      </c>
      <c r="C55" s="416" t="s">
        <v>1550</v>
      </c>
      <c r="D55" s="417" t="s">
        <v>1550</v>
      </c>
    </row>
    <row r="56" spans="1:4" ht="13.5">
      <c r="A56" s="209" t="s">
        <v>1540</v>
      </c>
      <c r="B56" s="416" t="s">
        <v>1551</v>
      </c>
      <c r="C56" s="416" t="s">
        <v>1551</v>
      </c>
      <c r="D56" s="417" t="s">
        <v>1551</v>
      </c>
    </row>
    <row r="57" spans="1:4" ht="13.5">
      <c r="A57" s="209" t="s">
        <v>1540</v>
      </c>
      <c r="B57" s="416" t="s">
        <v>1552</v>
      </c>
      <c r="C57" s="416" t="s">
        <v>1552</v>
      </c>
      <c r="D57" s="417" t="s">
        <v>1552</v>
      </c>
    </row>
    <row r="58" spans="1:4" ht="13.5">
      <c r="A58" s="205"/>
      <c r="B58" s="210"/>
      <c r="C58" s="8"/>
      <c r="D58" s="206"/>
    </row>
    <row r="59" spans="1:4" ht="13.5">
      <c r="A59" s="205"/>
      <c r="B59" s="211" t="s">
        <v>1553</v>
      </c>
      <c r="C59" s="8"/>
      <c r="D59" s="206"/>
    </row>
    <row r="60" spans="1:4" ht="13.5">
      <c r="A60" s="205"/>
      <c r="B60" s="210"/>
      <c r="C60" s="8"/>
      <c r="D60" s="206"/>
    </row>
    <row r="61" spans="1:4" ht="24" customHeight="1">
      <c r="A61" s="209" t="s">
        <v>1540</v>
      </c>
      <c r="B61" s="416" t="s">
        <v>1554</v>
      </c>
      <c r="C61" s="416" t="s">
        <v>1554</v>
      </c>
      <c r="D61" s="417" t="s">
        <v>1554</v>
      </c>
    </row>
    <row r="62" spans="1:4" ht="13.5">
      <c r="A62" s="209" t="s">
        <v>1540</v>
      </c>
      <c r="B62" s="416" t="s">
        <v>1555</v>
      </c>
      <c r="C62" s="416" t="s">
        <v>1555</v>
      </c>
      <c r="D62" s="417" t="s">
        <v>1555</v>
      </c>
    </row>
    <row r="63" spans="1:4" ht="13.5">
      <c r="A63" s="209" t="s">
        <v>1540</v>
      </c>
      <c r="B63" s="416" t="s">
        <v>1556</v>
      </c>
      <c r="C63" s="416" t="s">
        <v>1556</v>
      </c>
      <c r="D63" s="417" t="s">
        <v>1556</v>
      </c>
    </row>
    <row r="64" spans="1:4" ht="13.5">
      <c r="A64" s="209" t="s">
        <v>1540</v>
      </c>
      <c r="B64" s="416" t="s">
        <v>1550</v>
      </c>
      <c r="C64" s="416" t="s">
        <v>1550</v>
      </c>
      <c r="D64" s="417" t="s">
        <v>1550</v>
      </c>
    </row>
    <row r="65" spans="1:4" ht="13.5">
      <c r="A65" s="209" t="s">
        <v>1540</v>
      </c>
      <c r="B65" s="416" t="s">
        <v>1557</v>
      </c>
      <c r="C65" s="416" t="s">
        <v>1557</v>
      </c>
      <c r="D65" s="417" t="s">
        <v>1557</v>
      </c>
    </row>
    <row r="66" spans="1:4" ht="13.5">
      <c r="A66" s="209" t="s">
        <v>1540</v>
      </c>
      <c r="B66" s="416" t="s">
        <v>1558</v>
      </c>
      <c r="C66" s="416" t="s">
        <v>1558</v>
      </c>
      <c r="D66" s="417" t="s">
        <v>1558</v>
      </c>
    </row>
    <row r="67" spans="1:4" ht="13.5">
      <c r="A67" s="209" t="s">
        <v>1540</v>
      </c>
      <c r="B67" s="416" t="s">
        <v>1559</v>
      </c>
      <c r="C67" s="416" t="s">
        <v>1559</v>
      </c>
      <c r="D67" s="417" t="s">
        <v>1559</v>
      </c>
    </row>
    <row r="68" spans="1:4" ht="13.5">
      <c r="A68" s="209" t="s">
        <v>1540</v>
      </c>
      <c r="B68" s="416" t="s">
        <v>1560</v>
      </c>
      <c r="C68" s="416" t="s">
        <v>1560</v>
      </c>
      <c r="D68" s="417" t="s">
        <v>1560</v>
      </c>
    </row>
    <row r="69" spans="1:4" ht="13.5">
      <c r="A69" s="209" t="s">
        <v>1540</v>
      </c>
      <c r="B69" s="416" t="s">
        <v>1561</v>
      </c>
      <c r="C69" s="416" t="s">
        <v>1561</v>
      </c>
      <c r="D69" s="417" t="s">
        <v>1561</v>
      </c>
    </row>
    <row r="70" spans="1:4" ht="13.5">
      <c r="A70" s="205"/>
      <c r="B70" s="8"/>
      <c r="C70" s="8"/>
      <c r="D70" s="206"/>
    </row>
    <row r="71" spans="1:4" ht="13.5">
      <c r="A71" s="205"/>
      <c r="B71" s="211" t="s">
        <v>1562</v>
      </c>
      <c r="C71" s="8"/>
      <c r="D71" s="206"/>
    </row>
    <row r="72" spans="1:4" ht="13.5">
      <c r="A72" s="205"/>
      <c r="B72" s="210"/>
      <c r="C72" s="8"/>
      <c r="D72" s="206"/>
    </row>
    <row r="73" spans="1:4" ht="13.5">
      <c r="A73" s="209" t="s">
        <v>1540</v>
      </c>
      <c r="B73" s="418" t="s">
        <v>1563</v>
      </c>
      <c r="C73" s="418" t="s">
        <v>1563</v>
      </c>
      <c r="D73" s="419" t="s">
        <v>1563</v>
      </c>
    </row>
    <row r="74" spans="1:4" ht="13.5">
      <c r="A74" s="209" t="s">
        <v>1540</v>
      </c>
      <c r="B74" s="418" t="s">
        <v>1564</v>
      </c>
      <c r="C74" s="418" t="s">
        <v>1564</v>
      </c>
      <c r="D74" s="419" t="s">
        <v>1564</v>
      </c>
    </row>
    <row r="75" spans="1:4" ht="13.5">
      <c r="A75" s="209" t="s">
        <v>1540</v>
      </c>
      <c r="B75" s="418" t="s">
        <v>1565</v>
      </c>
      <c r="C75" s="418" t="s">
        <v>1565</v>
      </c>
      <c r="D75" s="419" t="s">
        <v>1565</v>
      </c>
    </row>
    <row r="76" spans="1:4" ht="13.5">
      <c r="A76" s="209" t="s">
        <v>1540</v>
      </c>
      <c r="B76" s="418" t="s">
        <v>1566</v>
      </c>
      <c r="C76" s="418" t="s">
        <v>1566</v>
      </c>
      <c r="D76" s="419" t="s">
        <v>1566</v>
      </c>
    </row>
    <row r="77" spans="1:4" ht="13.5">
      <c r="A77" s="209" t="s">
        <v>1540</v>
      </c>
      <c r="B77" s="418" t="s">
        <v>1567</v>
      </c>
      <c r="C77" s="418" t="s">
        <v>1567</v>
      </c>
      <c r="D77" s="419" t="s">
        <v>1567</v>
      </c>
    </row>
    <row r="78" spans="1:4" ht="13.5">
      <c r="A78" s="209" t="s">
        <v>1540</v>
      </c>
      <c r="B78" s="418" t="s">
        <v>1568</v>
      </c>
      <c r="C78" s="418" t="s">
        <v>1568</v>
      </c>
      <c r="D78" s="419" t="s">
        <v>1568</v>
      </c>
    </row>
    <row r="79" spans="1:4" ht="14.25" thickBot="1">
      <c r="A79" s="212" t="s">
        <v>1540</v>
      </c>
      <c r="B79" s="420" t="s">
        <v>1569</v>
      </c>
      <c r="C79" s="420" t="s">
        <v>1569</v>
      </c>
      <c r="D79" s="421" t="s">
        <v>1569</v>
      </c>
    </row>
  </sheetData>
  <sheetProtection algorithmName="SHA-512" hashValue="DbjyT5wMRyseVfxwjghNPQUbSO3JJTR0BrwJWfANPJJDjY/Ldx4lBWKSwbogHTk7IqOIBvCPGHzaRoZFyzqY4A==" saltValue="dklHZdb7VJMVqTGOI/nS/Q==" spinCount="100000" sheet="1" objects="1" scenarios="1"/>
  <mergeCells count="37">
    <mergeCell ref="B77:D77"/>
    <mergeCell ref="B78:D78"/>
    <mergeCell ref="B79:D79"/>
    <mergeCell ref="B69:D69"/>
    <mergeCell ref="B73:D73"/>
    <mergeCell ref="B74:D74"/>
    <mergeCell ref="B75:D75"/>
    <mergeCell ref="B76:D76"/>
    <mergeCell ref="B64:D64"/>
    <mergeCell ref="B65:D65"/>
    <mergeCell ref="B66:D66"/>
    <mergeCell ref="B67:D67"/>
    <mergeCell ref="B68:D68"/>
    <mergeCell ref="B56:D56"/>
    <mergeCell ref="B57:D57"/>
    <mergeCell ref="B61:D61"/>
    <mergeCell ref="B62:D62"/>
    <mergeCell ref="B63:D63"/>
    <mergeCell ref="B51:D51"/>
    <mergeCell ref="B52:D52"/>
    <mergeCell ref="B53:D53"/>
    <mergeCell ref="B54:D54"/>
    <mergeCell ref="B55:D55"/>
    <mergeCell ref="B46:D46"/>
    <mergeCell ref="B47:D47"/>
    <mergeCell ref="B48:D48"/>
    <mergeCell ref="B49:D49"/>
    <mergeCell ref="B50:D50"/>
    <mergeCell ref="A28:A32"/>
    <mergeCell ref="A2:I2"/>
    <mergeCell ref="A1:I1"/>
    <mergeCell ref="A33:A36"/>
    <mergeCell ref="A23:A27"/>
    <mergeCell ref="A14:A20"/>
    <mergeCell ref="A21:A22"/>
    <mergeCell ref="E7:I7"/>
    <mergeCell ref="A9:A13"/>
  </mergeCells>
  <phoneticPr fontId="22" type="noConversion"/>
  <pageMargins left="0.70866141732283472" right="0.70866141732283472" top="0.74803149606299213" bottom="0.74803149606299213" header="0.31496062992125984" footer="0.31496062992125984"/>
  <pageSetup paperSize="9" scale="65" fitToHeight="0" orientation="landscape" r:id="rId1"/>
  <headerFooter alignWithMargins="0">
    <oddFooter>&amp;L&amp;F&amp;C&amp;D&amp;R&amp;A</oddFooter>
  </headerFooter>
  <rowBreaks count="2" manualBreakCount="2">
    <brk id="39" max="8" man="1"/>
    <brk id="79" max="16383" man="1"/>
  </rowBreaks>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61">
    <tabColor theme="0" tint="-0.14999847407452621"/>
  </sheetPr>
  <dimension ref="A1:H28"/>
  <sheetViews>
    <sheetView showGridLines="0" tabSelected="1" view="pageBreakPreview" zoomScaleNormal="100" zoomScaleSheetLayoutView="100" workbookViewId="0">
      <selection activeCell="E20" activeCellId="2" sqref="C19:G19 B20:C23 E20:G23"/>
    </sheetView>
  </sheetViews>
  <sheetFormatPr defaultColWidth="9.140625" defaultRowHeight="18.75" customHeight="1"/>
  <cols>
    <col min="1" max="1" width="13.7109375" style="215" customWidth="1"/>
    <col min="2" max="2" width="31.5703125" style="214" customWidth="1"/>
    <col min="3" max="5" width="23.28515625" style="215" customWidth="1"/>
    <col min="6" max="6" width="23.5703125" style="215" customWidth="1"/>
    <col min="7" max="7" width="23.28515625" style="215" customWidth="1"/>
    <col min="8" max="8" width="22.7109375" style="216" customWidth="1"/>
    <col min="9" max="9" width="20.5703125" style="215" customWidth="1"/>
    <col min="10" max="10" width="15.85546875" style="215" customWidth="1"/>
    <col min="11" max="16384" width="9.140625" style="215"/>
  </cols>
  <sheetData>
    <row r="1" spans="1:8" s="25" customFormat="1" ht="17.25" customHeight="1">
      <c r="A1" s="365" t="s">
        <v>200</v>
      </c>
      <c r="B1" s="365"/>
      <c r="C1" s="365"/>
      <c r="D1" s="365"/>
      <c r="E1" s="365"/>
      <c r="F1" s="365"/>
      <c r="G1" s="365"/>
      <c r="H1" s="213"/>
    </row>
    <row r="2" spans="1:8" s="25" customFormat="1" ht="15" customHeight="1">
      <c r="A2" s="404"/>
      <c r="B2" s="367"/>
      <c r="C2" s="367"/>
      <c r="D2" s="367"/>
      <c r="E2" s="367"/>
      <c r="F2" s="367"/>
      <c r="G2" s="367"/>
      <c r="H2" s="213"/>
    </row>
    <row r="3" spans="1:8" s="28" customFormat="1" ht="12">
      <c r="B3" s="49"/>
      <c r="H3" s="213"/>
    </row>
    <row r="4" spans="1:8" ht="12">
      <c r="A4" s="214"/>
      <c r="B4" s="215"/>
    </row>
    <row r="5" spans="1:8" ht="12">
      <c r="A5" s="62" t="s">
        <v>208</v>
      </c>
      <c r="B5" s="215"/>
    </row>
    <row r="6" spans="1:8" s="217" customFormat="1" ht="25.5" customHeight="1">
      <c r="A6" s="275" t="s">
        <v>196</v>
      </c>
      <c r="B6" s="276" t="s">
        <v>135</v>
      </c>
      <c r="C6" s="275" t="s">
        <v>161</v>
      </c>
      <c r="D6" s="277" t="s">
        <v>162</v>
      </c>
      <c r="E6" s="277" t="s">
        <v>1261</v>
      </c>
      <c r="F6" s="275" t="s">
        <v>163</v>
      </c>
    </row>
    <row r="7" spans="1:8" s="217" customFormat="1" ht="18.75" customHeight="1">
      <c r="A7" s="5">
        <v>1</v>
      </c>
      <c r="B7" s="3" t="str">
        <f>VLOOKUP(Samenvattingschoonmaak[[#This Row],[Code Locatie]],Locaties[],2,0)</f>
        <v>Mirtehuis</v>
      </c>
      <c r="C7" s="218">
        <f>SUMIF('Ruimtestaat'!$A:$A,Totalisatie!$A7,'Ruimtestaat'!$N:$N)</f>
        <v>654.22399999999993</v>
      </c>
      <c r="D7" s="219">
        <f>SUMIF('Ruimtestaat'!$A:$A,Totalisatie!$A7,'Ruimtestaat'!$AE:$AE)</f>
        <v>0</v>
      </c>
      <c r="E7" s="220">
        <f>SUMIF('Ruimtestaat'!$A:$A,Totalisatie!$A7,'Ruimtestaat'!$AF:$AF)</f>
        <v>0</v>
      </c>
      <c r="F7" s="221">
        <f t="shared" ref="F7:F8" si="0">IF(C7=0,0,E7/C7)</f>
        <v>0</v>
      </c>
    </row>
    <row r="8" spans="1:8" s="217" customFormat="1" ht="18.75" customHeight="1">
      <c r="A8" s="5">
        <v>2</v>
      </c>
      <c r="B8" s="3" t="str">
        <f>VLOOKUP(Samenvattingschoonmaak[[#This Row],[Code Locatie]],Locaties[],2,0)</f>
        <v>Pauluskerk</v>
      </c>
      <c r="C8" s="218">
        <f>SUMIF('Ruimtestaat'!$A:$A,Totalisatie!$A8,'Ruimtestaat'!$N:$N)</f>
        <v>208.38000000000005</v>
      </c>
      <c r="D8" s="219">
        <f>SUMIF('Ruimtestaat'!$A:$A,Totalisatie!$A8,'Ruimtestaat'!$AE:$AE)</f>
        <v>0</v>
      </c>
      <c r="E8" s="220">
        <f>SUMIF('Ruimtestaat'!$A:$A,Totalisatie!$A8,'Ruimtestaat'!$AF:$AF)</f>
        <v>0</v>
      </c>
      <c r="F8" s="221">
        <f t="shared" si="0"/>
        <v>0</v>
      </c>
    </row>
    <row r="9" spans="1:8" s="217" customFormat="1" ht="18.75" customHeight="1">
      <c r="A9" s="222"/>
      <c r="B9" s="223" t="s">
        <v>32</v>
      </c>
      <c r="C9" s="224">
        <f>SUBTOTAL(109,Samenvattingschoonmaak[Oppervlakte i/o])</f>
        <v>862.60400000000004</v>
      </c>
      <c r="D9" s="225">
        <f>SUBTOTAL(109,Samenvattingschoonmaak[Uren / jaar])</f>
        <v>0</v>
      </c>
      <c r="E9" s="226">
        <f>SUBTOTAL(109,Samenvattingschoonmaak[Kosten / jaar excl btw])</f>
        <v>0</v>
      </c>
      <c r="F9" s="227">
        <f>Samenvattingschoonmaak[[#Totals],[Kosten / jaar excl btw]]/Samenvattingschoonmaak[[#Totals],[Oppervlakte i/o]]</f>
        <v>0</v>
      </c>
    </row>
    <row r="10" spans="1:8" ht="18.75" customHeight="1">
      <c r="A10" s="214"/>
      <c r="B10" s="215"/>
    </row>
    <row r="11" spans="1:8" ht="18.75" customHeight="1">
      <c r="A11" s="62" t="s">
        <v>164</v>
      </c>
      <c r="B11" s="228"/>
      <c r="C11" s="228"/>
      <c r="D11" s="228"/>
      <c r="E11" s="228"/>
      <c r="F11" s="228"/>
      <c r="H11" s="338" t="s">
        <v>1623</v>
      </c>
    </row>
    <row r="12" spans="1:8" ht="36.75" customHeight="1">
      <c r="A12" s="275" t="s">
        <v>196</v>
      </c>
      <c r="B12" s="276" t="s">
        <v>201</v>
      </c>
      <c r="C12" s="275" t="s">
        <v>1283</v>
      </c>
      <c r="D12" s="275" t="s">
        <v>1572</v>
      </c>
      <c r="E12" s="278" t="s">
        <v>1571</v>
      </c>
      <c r="F12" s="279" t="s">
        <v>1285</v>
      </c>
      <c r="H12" s="335" t="s">
        <v>1284</v>
      </c>
    </row>
    <row r="13" spans="1:8" ht="18.75" customHeight="1">
      <c r="A13" s="5">
        <v>1</v>
      </c>
      <c r="B13" s="3" t="str">
        <f>VLOOKUP(Totalisatie[[#This Row],[Code Locatie]],Locaties[],2,0)</f>
        <v>Mirtehuis</v>
      </c>
      <c r="C13" s="220">
        <f ca="1">SUMIF(Ruimtestaat[#All],Totalisatie[[#This Row],[Code Locatie]],Ruimtestaat[[#All],[kosten / jaar excl btw]])</f>
        <v>0</v>
      </c>
      <c r="D13" s="229">
        <f ca="1">SUMIF(OverzichtGlas[[Code Locatie]:[Kosten/jaar excl. BTW]],Totalisatie[[#This Row],[Code Locatie]],OverzichtGlas[Kosten/jaar excl. BTW])</f>
        <v>0</v>
      </c>
      <c r="E13" s="229">
        <f ca="1">SUMIF(Sanitair2[[#All],[Code Locatie]:[Kosten/jaar excl. BTW]],Totalisatie[[#This Row],[Code Locatie]],Sanitair2[[#All],[Kosten/jaar excl. BTW]])</f>
        <v>0</v>
      </c>
      <c r="F13" s="220">
        <f ca="1">SUM(Totalisatie[[#This Row],[Schoonmaakonderhoud
Kosten / jaar excl btw]:[Sanitaire voorzieningen kosten/ jaar excl. Btw2]])</f>
        <v>0</v>
      </c>
      <c r="H13" s="336">
        <f ca="1">SUMIF(OverzichtVloer20[[#All],[Code Locatie]:[Kosten/jaar excl. BTW]],Totalisatie[[#This Row],[Code Locatie]],OverzichtVloer20[[#Headers],[#Data],[Kosten/jaar excl. BTW]])</f>
        <v>0</v>
      </c>
    </row>
    <row r="14" spans="1:8" ht="18.75" customHeight="1">
      <c r="A14" s="5">
        <v>2</v>
      </c>
      <c r="B14" s="3" t="str">
        <f>VLOOKUP(Totalisatie[[#This Row],[Code Locatie]],Locaties[],2,0)</f>
        <v>Pauluskerk</v>
      </c>
      <c r="C14" s="220">
        <f ca="1">SUMIF(Ruimtestaat[#All],Totalisatie[[#This Row],[Code Locatie]],Ruimtestaat[[#All],[kosten / jaar excl btw]])</f>
        <v>0</v>
      </c>
      <c r="D14" s="229">
        <f ca="1">SUMIF(OverzichtGlas[[Code Locatie]:[Kosten/jaar excl. BTW]],Totalisatie[[#This Row],[Code Locatie]],OverzichtGlas[Kosten/jaar excl. BTW])</f>
        <v>0</v>
      </c>
      <c r="E14" s="229">
        <f ca="1">SUMIF(Sanitair2[[#All],[Code Locatie]:[Kosten/jaar excl. BTW]],Totalisatie[[#This Row],[Code Locatie]],Sanitair2[[#All],[Kosten/jaar excl. BTW]])</f>
        <v>0</v>
      </c>
      <c r="F14" s="220">
        <f ca="1">SUM(Totalisatie[[#This Row],[Schoonmaakonderhoud
Kosten / jaar excl btw]:[Sanitaire voorzieningen kosten/ jaar excl. Btw2]])</f>
        <v>0</v>
      </c>
      <c r="H14" s="337">
        <f ca="1">SUMIF(OverzichtVloer20[[#All],[Code Locatie]:[Kosten/jaar excl. BTW]],Totalisatie[[#This Row],[Code Locatie]],OverzichtVloer20[[#Headers],[#Data],[Kosten/jaar excl. BTW]])</f>
        <v>0</v>
      </c>
    </row>
    <row r="15" spans="1:8" ht="18.75" customHeight="1">
      <c r="A15" s="222"/>
      <c r="B15" s="223" t="s">
        <v>32</v>
      </c>
      <c r="C15" s="226">
        <f ca="1">SUBTOTAL(109,Totalisatie[Schoonmaakonderhoud
Kosten / jaar excl btw])</f>
        <v>0</v>
      </c>
      <c r="D15" s="226">
        <f ca="1">SUBTOTAL(109,Totalisatie[Glasbewassing kosten/ jaar excl. Btw])</f>
        <v>0</v>
      </c>
      <c r="E15" s="226">
        <f ca="1">SUBTOTAL(109,Totalisatie[Sanitaire voorzieningen kosten/ jaar excl. Btw2])</f>
        <v>0</v>
      </c>
      <c r="F15" s="226">
        <f ca="1">SUBTOTAL(109,Totalisatie[Totaalprijs
Kosten / jaar excl. btw])</f>
        <v>0</v>
      </c>
      <c r="H15" s="347">
        <f ca="1">SUM(H13:H14)</f>
        <v>0</v>
      </c>
    </row>
    <row r="16" spans="1:8" ht="18.75" customHeight="1">
      <c r="A16" s="214"/>
      <c r="B16" s="215"/>
      <c r="C16" s="230"/>
      <c r="D16" s="231"/>
      <c r="E16" s="231"/>
      <c r="F16" s="231"/>
      <c r="G16" s="231"/>
    </row>
    <row r="17" spans="1:7" ht="18.75" customHeight="1">
      <c r="A17" s="214"/>
      <c r="B17" s="215"/>
    </row>
    <row r="18" spans="1:7" ht="12">
      <c r="A18" s="62" t="s">
        <v>202</v>
      </c>
      <c r="B18" s="215"/>
    </row>
    <row r="19" spans="1:7" ht="18.75" customHeight="1">
      <c r="A19" s="422" t="s">
        <v>206</v>
      </c>
      <c r="B19" s="423"/>
      <c r="C19" s="439"/>
      <c r="D19" s="439"/>
      <c r="E19" s="439"/>
      <c r="F19" s="439"/>
      <c r="G19" s="440"/>
    </row>
    <row r="20" spans="1:7" ht="18.75" customHeight="1">
      <c r="A20" s="232" t="s">
        <v>122</v>
      </c>
      <c r="B20" s="441" t="s">
        <v>211</v>
      </c>
      <c r="C20" s="442"/>
      <c r="D20" s="232" t="s">
        <v>122</v>
      </c>
      <c r="E20" s="441" t="s">
        <v>211</v>
      </c>
      <c r="F20" s="445"/>
      <c r="G20" s="442"/>
    </row>
    <row r="21" spans="1:7" ht="18.75" customHeight="1">
      <c r="A21" s="233" t="s">
        <v>203</v>
      </c>
      <c r="B21" s="443" t="s">
        <v>211</v>
      </c>
      <c r="C21" s="444"/>
      <c r="D21" s="233" t="s">
        <v>203</v>
      </c>
      <c r="E21" s="443" t="s">
        <v>211</v>
      </c>
      <c r="F21" s="446"/>
      <c r="G21" s="444"/>
    </row>
    <row r="22" spans="1:7" ht="18.75" customHeight="1">
      <c r="A22" s="232" t="s">
        <v>204</v>
      </c>
      <c r="B22" s="441" t="s">
        <v>211</v>
      </c>
      <c r="C22" s="442"/>
      <c r="D22" s="232" t="s">
        <v>204</v>
      </c>
      <c r="E22" s="441" t="s">
        <v>211</v>
      </c>
      <c r="F22" s="445"/>
      <c r="G22" s="442"/>
    </row>
    <row r="23" spans="1:7" ht="37.5" customHeight="1">
      <c r="A23" s="233" t="s">
        <v>205</v>
      </c>
      <c r="B23" s="443" t="s">
        <v>211</v>
      </c>
      <c r="C23" s="444"/>
      <c r="D23" s="233" t="s">
        <v>205</v>
      </c>
      <c r="E23" s="447" t="s">
        <v>211</v>
      </c>
      <c r="F23" s="448"/>
      <c r="G23" s="449"/>
    </row>
    <row r="24" spans="1:7" ht="18.75" customHeight="1">
      <c r="A24" s="232" t="s">
        <v>1606</v>
      </c>
      <c r="B24" s="234"/>
      <c r="C24" s="235"/>
      <c r="D24" s="236"/>
      <c r="E24" s="237"/>
      <c r="F24" s="237"/>
      <c r="G24" s="238"/>
    </row>
    <row r="27" spans="1:7" ht="18.75" customHeight="1">
      <c r="E27" s="239"/>
    </row>
    <row r="28" spans="1:7" ht="18.75" customHeight="1">
      <c r="E28" s="231"/>
    </row>
  </sheetData>
  <sheetProtection algorithmName="SHA-512" hashValue="enWX/SfADslXgZRZZUbawv9eN0gEadp0QbW7r0BSCPvHfOae0UaFZPwEl+rS8iyMvhBD3F9Q4Nl2Vro9lm8lfg==" saltValue="NWfix8qR7iTXJkmdlu9UGg==" spinCount="100000" sheet="1" objects="1" scenarios="1"/>
  <mergeCells count="12">
    <mergeCell ref="A1:G1"/>
    <mergeCell ref="A2:G2"/>
    <mergeCell ref="E23:G23"/>
    <mergeCell ref="A19:B19"/>
    <mergeCell ref="C19:G19"/>
    <mergeCell ref="B20:C20"/>
    <mergeCell ref="B21:C21"/>
    <mergeCell ref="B22:C22"/>
    <mergeCell ref="B23:C23"/>
    <mergeCell ref="E20:G20"/>
    <mergeCell ref="E21:G21"/>
    <mergeCell ref="E22:G22"/>
  </mergeCells>
  <phoneticPr fontId="13" type="noConversion"/>
  <pageMargins left="0.70866141732283472" right="0.70866141732283472" top="0.74803149606299213" bottom="0.74803149606299213" header="0.31496062992125984" footer="0.31496062992125984"/>
  <pageSetup paperSize="9" scale="38" orientation="portrait" r:id="rId1"/>
  <headerFooter>
    <oddFooter>&amp;L&amp;F&amp;C&amp;D&amp;R&amp;A</oddFooter>
  </headerFooter>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EE8A5-78E4-4C57-8430-12CDE2A20B61}">
  <sheetPr codeName="Blad7">
    <tabColor theme="0" tint="-0.14999847407452621"/>
    <pageSetUpPr fitToPage="1"/>
  </sheetPr>
  <dimension ref="A1:B136"/>
  <sheetViews>
    <sheetView view="pageBreakPreview" zoomScaleNormal="100" zoomScaleSheetLayoutView="100" workbookViewId="0">
      <selection activeCell="B20" sqref="B20"/>
    </sheetView>
  </sheetViews>
  <sheetFormatPr defaultColWidth="9" defaultRowHeight="13.5"/>
  <cols>
    <col min="1" max="1" width="19.42578125" style="25" customWidth="1"/>
    <col min="2" max="2" width="103.7109375" style="25" bestFit="1" customWidth="1"/>
    <col min="3" max="16384" width="9" style="12"/>
  </cols>
  <sheetData>
    <row r="1" spans="1:2" ht="26.25">
      <c r="A1" s="300" t="s">
        <v>1245</v>
      </c>
      <c r="B1" s="11"/>
    </row>
    <row r="2" spans="1:2">
      <c r="A2" s="11"/>
      <c r="B2" s="13"/>
    </row>
    <row r="3" spans="1:2">
      <c r="A3" s="280" t="s">
        <v>1246</v>
      </c>
      <c r="B3" s="280" t="s">
        <v>1202</v>
      </c>
    </row>
    <row r="4" spans="1:2">
      <c r="A4" s="281" t="s">
        <v>258</v>
      </c>
      <c r="B4" s="282"/>
    </row>
    <row r="5" spans="1:2">
      <c r="A5" s="283"/>
      <c r="B5" s="284" t="s">
        <v>1299</v>
      </c>
    </row>
    <row r="6" spans="1:2">
      <c r="A6" s="283"/>
      <c r="B6" s="284" t="s">
        <v>1203</v>
      </c>
    </row>
    <row r="7" spans="1:2">
      <c r="A7" s="283"/>
      <c r="B7" s="284" t="s">
        <v>1300</v>
      </c>
    </row>
    <row r="8" spans="1:2">
      <c r="A8" s="283"/>
      <c r="B8" s="284" t="s">
        <v>1301</v>
      </c>
    </row>
    <row r="9" spans="1:2">
      <c r="A9" s="285" t="s">
        <v>259</v>
      </c>
      <c r="B9" s="286"/>
    </row>
    <row r="10" spans="1:2">
      <c r="A10" s="283"/>
      <c r="B10" s="284" t="s">
        <v>1492</v>
      </c>
    </row>
    <row r="11" spans="1:2">
      <c r="A11" s="283"/>
      <c r="B11" s="284" t="s">
        <v>1302</v>
      </c>
    </row>
    <row r="12" spans="1:2">
      <c r="A12" s="285" t="s">
        <v>260</v>
      </c>
      <c r="B12" s="286"/>
    </row>
    <row r="13" spans="1:2">
      <c r="A13" s="283"/>
      <c r="B13" s="284" t="s">
        <v>1303</v>
      </c>
    </row>
    <row r="14" spans="1:2">
      <c r="A14" s="283"/>
      <c r="B14" s="284" t="s">
        <v>1304</v>
      </c>
    </row>
    <row r="15" spans="1:2">
      <c r="A15" s="285" t="s">
        <v>261</v>
      </c>
      <c r="B15" s="286"/>
    </row>
    <row r="16" spans="1:2">
      <c r="A16" s="283"/>
      <c r="B16" s="284" t="s">
        <v>1305</v>
      </c>
    </row>
    <row r="17" spans="1:2">
      <c r="A17" s="283"/>
      <c r="B17" s="284" t="s">
        <v>1304</v>
      </c>
    </row>
    <row r="18" spans="1:2">
      <c r="A18" s="285" t="s">
        <v>262</v>
      </c>
      <c r="B18" s="286"/>
    </row>
    <row r="19" spans="1:2">
      <c r="A19" s="283"/>
      <c r="B19" s="284" t="s">
        <v>1493</v>
      </c>
    </row>
    <row r="20" spans="1:2">
      <c r="A20" s="285" t="s">
        <v>263</v>
      </c>
      <c r="B20" s="287" t="s">
        <v>1258</v>
      </c>
    </row>
    <row r="21" spans="1:2">
      <c r="A21" s="283"/>
      <c r="B21" s="284" t="s">
        <v>1494</v>
      </c>
    </row>
    <row r="22" spans="1:2">
      <c r="A22" s="283"/>
      <c r="B22" s="284" t="s">
        <v>1495</v>
      </c>
    </row>
    <row r="23" spans="1:2">
      <c r="A23" s="283"/>
      <c r="B23" s="284" t="s">
        <v>1496</v>
      </c>
    </row>
    <row r="24" spans="1:2">
      <c r="A24" s="285" t="s">
        <v>264</v>
      </c>
      <c r="B24" s="286" t="s">
        <v>1258</v>
      </c>
    </row>
    <row r="25" spans="1:2">
      <c r="A25" s="283"/>
      <c r="B25" s="283" t="s">
        <v>1497</v>
      </c>
    </row>
    <row r="26" spans="1:2">
      <c r="A26" s="283"/>
      <c r="B26" s="283" t="s">
        <v>1498</v>
      </c>
    </row>
    <row r="27" spans="1:2">
      <c r="A27" s="283"/>
      <c r="B27" s="283"/>
    </row>
    <row r="28" spans="1:2">
      <c r="A28" s="283"/>
      <c r="B28" s="283" t="s">
        <v>1204</v>
      </c>
    </row>
    <row r="29" spans="1:2">
      <c r="A29" s="283"/>
      <c r="B29" s="283" t="s">
        <v>1247</v>
      </c>
    </row>
    <row r="30" spans="1:2">
      <c r="A30" s="285" t="s">
        <v>265</v>
      </c>
      <c r="B30" s="287" t="s">
        <v>1205</v>
      </c>
    </row>
    <row r="31" spans="1:2">
      <c r="A31" s="288"/>
      <c r="B31" s="289" t="s">
        <v>1248</v>
      </c>
    </row>
    <row r="32" spans="1:2">
      <c r="A32" s="290"/>
      <c r="B32" s="291"/>
    </row>
    <row r="33" spans="1:2">
      <c r="A33" s="292" t="s">
        <v>1206</v>
      </c>
      <c r="B33" s="293"/>
    </row>
    <row r="34" spans="1:2">
      <c r="A34" s="294" t="s">
        <v>266</v>
      </c>
      <c r="B34" s="295"/>
    </row>
    <row r="35" spans="1:2">
      <c r="A35" s="283"/>
      <c r="B35" s="296" t="s">
        <v>1250</v>
      </c>
    </row>
    <row r="36" spans="1:2">
      <c r="A36" s="283" t="s">
        <v>1251</v>
      </c>
      <c r="B36" s="296"/>
    </row>
    <row r="37" spans="1:2">
      <c r="A37" s="283"/>
      <c r="B37" s="284" t="s">
        <v>1499</v>
      </c>
    </row>
    <row r="38" spans="1:2">
      <c r="A38" s="283"/>
      <c r="B38" s="284" t="s">
        <v>1500</v>
      </c>
    </row>
    <row r="39" spans="1:2">
      <c r="A39" s="283"/>
      <c r="B39" s="284" t="s">
        <v>1613</v>
      </c>
    </row>
    <row r="40" spans="1:2">
      <c r="A40" s="283"/>
      <c r="B40" s="284" t="s">
        <v>1501</v>
      </c>
    </row>
    <row r="41" spans="1:2">
      <c r="A41" s="283"/>
      <c r="B41" s="284" t="s">
        <v>1502</v>
      </c>
    </row>
    <row r="42" spans="1:2">
      <c r="A42" s="283"/>
      <c r="B42" s="284" t="s">
        <v>1503</v>
      </c>
    </row>
    <row r="43" spans="1:2">
      <c r="A43" s="283"/>
      <c r="B43" s="284" t="s">
        <v>1504</v>
      </c>
    </row>
    <row r="44" spans="1:2">
      <c r="A44" s="283"/>
      <c r="B44" s="284" t="s">
        <v>1505</v>
      </c>
    </row>
    <row r="45" spans="1:2">
      <c r="A45" s="283"/>
      <c r="B45" s="284" t="s">
        <v>1506</v>
      </c>
    </row>
    <row r="46" spans="1:2">
      <c r="A46" s="283"/>
      <c r="B46" s="283" t="s">
        <v>1507</v>
      </c>
    </row>
    <row r="47" spans="1:2">
      <c r="A47" s="283"/>
      <c r="B47" s="284" t="s">
        <v>1508</v>
      </c>
    </row>
    <row r="48" spans="1:2">
      <c r="A48" s="283"/>
      <c r="B48" s="284" t="s">
        <v>1509</v>
      </c>
    </row>
    <row r="49" spans="1:2">
      <c r="A49" s="294" t="s">
        <v>267</v>
      </c>
      <c r="B49" s="297"/>
    </row>
    <row r="50" spans="1:2">
      <c r="A50" s="283" t="s">
        <v>1252</v>
      </c>
      <c r="B50" s="284" t="s">
        <v>1510</v>
      </c>
    </row>
    <row r="51" spans="1:2">
      <c r="A51" s="283"/>
      <c r="B51" s="284" t="s">
        <v>1207</v>
      </c>
    </row>
    <row r="52" spans="1:2">
      <c r="A52" s="294" t="s">
        <v>268</v>
      </c>
      <c r="B52" s="297"/>
    </row>
    <row r="53" spans="1:2">
      <c r="A53" s="283"/>
      <c r="B53" s="283" t="s">
        <v>1511</v>
      </c>
    </row>
    <row r="54" spans="1:2" ht="24.75">
      <c r="A54" s="283"/>
      <c r="B54" s="296" t="s">
        <v>1512</v>
      </c>
    </row>
    <row r="55" spans="1:2">
      <c r="A55" s="283"/>
      <c r="B55" s="296" t="s">
        <v>1513</v>
      </c>
    </row>
    <row r="56" spans="1:2">
      <c r="A56" s="283"/>
      <c r="B56" s="283" t="s">
        <v>1514</v>
      </c>
    </row>
    <row r="57" spans="1:2">
      <c r="A57" s="294" t="s">
        <v>269</v>
      </c>
      <c r="B57" s="297"/>
    </row>
    <row r="58" spans="1:2">
      <c r="A58" s="283"/>
      <c r="B58" s="283" t="s">
        <v>1208</v>
      </c>
    </row>
    <row r="59" spans="1:2">
      <c r="A59" s="283"/>
      <c r="B59" s="283" t="s">
        <v>1209</v>
      </c>
    </row>
    <row r="60" spans="1:2" ht="24.75">
      <c r="A60" s="283"/>
      <c r="B60" s="296" t="s">
        <v>1210</v>
      </c>
    </row>
    <row r="61" spans="1:2">
      <c r="A61" s="294" t="s">
        <v>270</v>
      </c>
      <c r="B61" s="297"/>
    </row>
    <row r="62" spans="1:2">
      <c r="A62" s="283"/>
      <c r="B62" s="296" t="s">
        <v>1515</v>
      </c>
    </row>
    <row r="63" spans="1:2">
      <c r="A63" s="283"/>
      <c r="B63" s="296" t="s">
        <v>1516</v>
      </c>
    </row>
    <row r="64" spans="1:2">
      <c r="A64" s="283"/>
      <c r="B64" s="284" t="s">
        <v>1517</v>
      </c>
    </row>
    <row r="65" spans="1:2">
      <c r="A65" s="294" t="s">
        <v>271</v>
      </c>
      <c r="B65" s="297"/>
    </row>
    <row r="66" spans="1:2">
      <c r="A66" s="283"/>
      <c r="B66" s="283" t="s">
        <v>1518</v>
      </c>
    </row>
    <row r="67" spans="1:2">
      <c r="A67" s="283"/>
      <c r="B67" s="296" t="s">
        <v>1519</v>
      </c>
    </row>
    <row r="68" spans="1:2">
      <c r="A68" s="294" t="s">
        <v>272</v>
      </c>
      <c r="B68" s="297"/>
    </row>
    <row r="69" spans="1:2">
      <c r="A69" s="283"/>
      <c r="B69" s="296" t="s">
        <v>1520</v>
      </c>
    </row>
    <row r="70" spans="1:2">
      <c r="A70" s="283"/>
      <c r="B70" s="296" t="s">
        <v>1521</v>
      </c>
    </row>
    <row r="71" spans="1:2">
      <c r="A71" s="294" t="s">
        <v>273</v>
      </c>
      <c r="B71" s="298" t="s">
        <v>1211</v>
      </c>
    </row>
    <row r="72" spans="1:2">
      <c r="A72" s="288"/>
      <c r="B72" s="299" t="s">
        <v>1522</v>
      </c>
    </row>
    <row r="73" spans="1:2">
      <c r="A73" s="290"/>
      <c r="B73" s="291"/>
    </row>
    <row r="74" spans="1:2">
      <c r="A74" s="290"/>
      <c r="B74" s="291"/>
    </row>
    <row r="75" spans="1:2">
      <c r="A75" s="292" t="s">
        <v>1253</v>
      </c>
      <c r="B75" s="291"/>
    </row>
    <row r="76" spans="1:2">
      <c r="A76" s="301" t="s">
        <v>1249</v>
      </c>
      <c r="B76" s="302"/>
    </row>
    <row r="77" spans="1:2">
      <c r="A77" s="303" t="s">
        <v>274</v>
      </c>
      <c r="B77" s="304"/>
    </row>
    <row r="78" spans="1:2">
      <c r="A78" s="305"/>
      <c r="B78" s="296" t="s">
        <v>1212</v>
      </c>
    </row>
    <row r="79" spans="1:2">
      <c r="A79" s="305"/>
      <c r="B79" s="283" t="s">
        <v>1523</v>
      </c>
    </row>
    <row r="80" spans="1:2">
      <c r="A80" s="305"/>
      <c r="B80" s="283" t="s">
        <v>1524</v>
      </c>
    </row>
    <row r="81" spans="1:2">
      <c r="A81" s="305"/>
      <c r="B81" s="283" t="s">
        <v>1213</v>
      </c>
    </row>
    <row r="82" spans="1:2">
      <c r="A82" s="305"/>
      <c r="B82" s="296" t="s">
        <v>1525</v>
      </c>
    </row>
    <row r="83" spans="1:2">
      <c r="A83" s="305"/>
      <c r="B83" s="296" t="s">
        <v>1526</v>
      </c>
    </row>
    <row r="84" spans="1:2">
      <c r="A84" s="306" t="s">
        <v>275</v>
      </c>
      <c r="B84" s="307"/>
    </row>
    <row r="85" spans="1:2">
      <c r="A85" s="305"/>
      <c r="B85" s="283" t="s">
        <v>1215</v>
      </c>
    </row>
    <row r="86" spans="1:2">
      <c r="A86" s="305"/>
      <c r="B86" s="296" t="s">
        <v>1527</v>
      </c>
    </row>
    <row r="87" spans="1:2">
      <c r="A87" s="306" t="s">
        <v>276</v>
      </c>
      <c r="B87" s="306" t="s">
        <v>1528</v>
      </c>
    </row>
    <row r="88" spans="1:2">
      <c r="A88" s="283"/>
      <c r="B88" s="283" t="s">
        <v>1216</v>
      </c>
    </row>
    <row r="89" spans="1:2">
      <c r="A89" s="283"/>
      <c r="B89" s="296" t="s">
        <v>1212</v>
      </c>
    </row>
    <row r="90" spans="1:2">
      <c r="A90" s="283"/>
      <c r="B90" s="283" t="s">
        <v>1213</v>
      </c>
    </row>
    <row r="91" spans="1:2">
      <c r="A91" s="283"/>
      <c r="B91" s="296" t="s">
        <v>1214</v>
      </c>
    </row>
    <row r="92" spans="1:2">
      <c r="A92" s="288"/>
      <c r="B92" s="299"/>
    </row>
    <row r="93" spans="1:2">
      <c r="A93" s="308"/>
      <c r="B93" s="309"/>
    </row>
    <row r="94" spans="1:2" ht="15.75">
      <c r="A94" s="310" t="s">
        <v>1230</v>
      </c>
      <c r="B94" s="311"/>
    </row>
    <row r="95" spans="1:2" ht="15.75">
      <c r="A95" s="312" t="s">
        <v>1254</v>
      </c>
      <c r="B95" s="313"/>
    </row>
    <row r="96" spans="1:2">
      <c r="A96" s="349"/>
      <c r="B96" s="349"/>
    </row>
    <row r="97" spans="1:2" ht="24">
      <c r="A97" s="14" t="s">
        <v>1255</v>
      </c>
      <c r="B97" s="15" t="s">
        <v>1217</v>
      </c>
    </row>
    <row r="98" spans="1:2">
      <c r="A98" s="16"/>
      <c r="B98" s="293"/>
    </row>
    <row r="99" spans="1:2" ht="24">
      <c r="A99" s="14" t="s">
        <v>1231</v>
      </c>
      <c r="B99" s="15" t="s">
        <v>1218</v>
      </c>
    </row>
    <row r="100" spans="1:2">
      <c r="A100" s="16"/>
      <c r="B100" s="17"/>
    </row>
    <row r="101" spans="1:2" ht="51.75" customHeight="1">
      <c r="A101" s="350" t="s">
        <v>1529</v>
      </c>
      <c r="B101" s="18" t="s">
        <v>1530</v>
      </c>
    </row>
    <row r="102" spans="1:2" ht="36">
      <c r="A102" s="351"/>
      <c r="B102" s="19" t="s">
        <v>1219</v>
      </c>
    </row>
    <row r="103" spans="1:2" ht="36">
      <c r="A103" s="352"/>
      <c r="B103" s="20" t="s">
        <v>1531</v>
      </c>
    </row>
    <row r="104" spans="1:2">
      <c r="A104" s="16"/>
      <c r="B104" s="17"/>
    </row>
    <row r="105" spans="1:2">
      <c r="A105" s="21" t="s">
        <v>1232</v>
      </c>
      <c r="B105" s="15" t="s">
        <v>1295</v>
      </c>
    </row>
    <row r="106" spans="1:2">
      <c r="A106" s="16"/>
      <c r="B106" s="17"/>
    </row>
    <row r="107" spans="1:2" ht="48">
      <c r="A107" s="21" t="s">
        <v>1233</v>
      </c>
      <c r="B107" s="15" t="s">
        <v>1532</v>
      </c>
    </row>
    <row r="108" spans="1:2">
      <c r="A108" s="16"/>
      <c r="B108" s="17"/>
    </row>
    <row r="109" spans="1:2" ht="24">
      <c r="A109" s="22" t="s">
        <v>1234</v>
      </c>
      <c r="B109" s="23" t="s">
        <v>1220</v>
      </c>
    </row>
    <row r="110" spans="1:2">
      <c r="A110" s="16"/>
      <c r="B110" s="17"/>
    </row>
    <row r="111" spans="1:2">
      <c r="A111" s="21" t="s">
        <v>213</v>
      </c>
      <c r="B111" s="15" t="s">
        <v>1221</v>
      </c>
    </row>
    <row r="112" spans="1:2">
      <c r="A112" s="16"/>
      <c r="B112" s="17"/>
    </row>
    <row r="113" spans="1:2" ht="24">
      <c r="A113" s="21" t="s">
        <v>1235</v>
      </c>
      <c r="B113" s="15" t="s">
        <v>1533</v>
      </c>
    </row>
    <row r="114" spans="1:2">
      <c r="A114" s="16"/>
      <c r="B114" s="17"/>
    </row>
    <row r="115" spans="1:2" ht="36">
      <c r="A115" s="21" t="s">
        <v>1236</v>
      </c>
      <c r="B115" s="15" t="s">
        <v>1534</v>
      </c>
    </row>
    <row r="116" spans="1:2">
      <c r="A116" s="16"/>
      <c r="B116" s="17"/>
    </row>
    <row r="117" spans="1:2" ht="24">
      <c r="A117" s="21" t="s">
        <v>1237</v>
      </c>
      <c r="B117" s="15" t="s">
        <v>1222</v>
      </c>
    </row>
    <row r="118" spans="1:2">
      <c r="A118" s="16"/>
      <c r="B118" s="17"/>
    </row>
    <row r="119" spans="1:2">
      <c r="A119" s="21" t="s">
        <v>1238</v>
      </c>
      <c r="B119" s="15" t="s">
        <v>1223</v>
      </c>
    </row>
    <row r="120" spans="1:2">
      <c r="A120" s="16"/>
      <c r="B120" s="17"/>
    </row>
    <row r="121" spans="1:2">
      <c r="A121" s="21" t="s">
        <v>1239</v>
      </c>
      <c r="B121" s="15" t="s">
        <v>1224</v>
      </c>
    </row>
    <row r="122" spans="1:2">
      <c r="A122" s="16"/>
      <c r="B122" s="17"/>
    </row>
    <row r="123" spans="1:2">
      <c r="A123" s="353" t="s">
        <v>1240</v>
      </c>
      <c r="B123" s="24" t="s">
        <v>1225</v>
      </c>
    </row>
    <row r="124" spans="1:2">
      <c r="A124" s="354"/>
      <c r="B124" s="19" t="s">
        <v>1226</v>
      </c>
    </row>
    <row r="125" spans="1:2">
      <c r="A125" s="354"/>
      <c r="B125" s="19" t="s">
        <v>1227</v>
      </c>
    </row>
    <row r="126" spans="1:2">
      <c r="A126" s="355"/>
      <c r="B126" s="20" t="s">
        <v>1535</v>
      </c>
    </row>
    <row r="127" spans="1:2">
      <c r="A127" s="16"/>
      <c r="B127" s="17"/>
    </row>
    <row r="128" spans="1:2" ht="24">
      <c r="A128" s="21" t="s">
        <v>36</v>
      </c>
      <c r="B128" s="15" t="s">
        <v>1536</v>
      </c>
    </row>
    <row r="129" spans="1:2">
      <c r="A129" s="16"/>
      <c r="B129" s="17"/>
    </row>
    <row r="130" spans="1:2">
      <c r="A130" s="21" t="s">
        <v>1241</v>
      </c>
      <c r="B130" s="15" t="s">
        <v>1228</v>
      </c>
    </row>
    <row r="131" spans="1:2">
      <c r="A131" s="16"/>
      <c r="B131" s="17"/>
    </row>
    <row r="132" spans="1:2" ht="36">
      <c r="A132" s="21" t="s">
        <v>1242</v>
      </c>
      <c r="B132" s="15" t="s">
        <v>1229</v>
      </c>
    </row>
    <row r="133" spans="1:2">
      <c r="A133" s="16"/>
      <c r="B133" s="17"/>
    </row>
    <row r="134" spans="1:2" ht="36">
      <c r="A134" s="21" t="s">
        <v>1537</v>
      </c>
      <c r="B134" s="15" t="s">
        <v>1538</v>
      </c>
    </row>
    <row r="136" spans="1:2" ht="24">
      <c r="A136" s="21" t="s">
        <v>1611</v>
      </c>
      <c r="B136" s="334" t="s">
        <v>1612</v>
      </c>
    </row>
  </sheetData>
  <sheetProtection algorithmName="SHA-512" hashValue="CCq9e3pAlu9zSFBCbJ8MJBhYOrB1oGMGfofrajYG/dZiJ4QAZHednEKTue0dupipwiDKriyn23WBxoyKS5RmuA==" saltValue="1sTpHu3E1WXd9+kyi+u0tw==" spinCount="100000" sheet="1" objects="1" scenarios="1"/>
  <mergeCells count="3">
    <mergeCell ref="A96:B96"/>
    <mergeCell ref="A101:A103"/>
    <mergeCell ref="A123:A126"/>
  </mergeCells>
  <pageMargins left="0.7" right="0.7" top="0.75" bottom="0.75" header="0.3" footer="0.3"/>
  <pageSetup paperSize="9" scale="72" fitToHeight="0" orientation="portrait" r:id="rId1"/>
  <rowBreaks count="1" manualBreakCount="1">
    <brk id="7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B5ACE-B15E-4799-BFF2-7CD585D93A29}">
  <sheetPr>
    <tabColor theme="0" tint="-0.14999847407452621"/>
  </sheetPr>
  <dimension ref="A1:D34"/>
  <sheetViews>
    <sheetView showGridLines="0" view="pageBreakPreview" zoomScaleNormal="100" zoomScaleSheetLayoutView="100" workbookViewId="0">
      <selection sqref="A1:B2"/>
    </sheetView>
  </sheetViews>
  <sheetFormatPr defaultColWidth="9.140625" defaultRowHeight="15" customHeight="1"/>
  <cols>
    <col min="1" max="1" width="4.5703125" style="242" customWidth="1"/>
    <col min="2" max="2" width="148.140625" style="242" customWidth="1"/>
    <col min="3" max="3" width="125.42578125" style="242" customWidth="1"/>
    <col min="4" max="4" width="7.5703125" style="242" customWidth="1"/>
    <col min="5" max="5" width="29" style="242" bestFit="1" customWidth="1"/>
    <col min="6" max="6" width="5.7109375" style="242" customWidth="1"/>
    <col min="7" max="7" width="9.140625" style="242"/>
    <col min="8" max="8" width="17.85546875" style="242" bestFit="1" customWidth="1"/>
    <col min="9" max="11" width="9.140625" style="242"/>
    <col min="12" max="12" width="19.7109375" style="242" customWidth="1"/>
    <col min="13" max="16384" width="9.140625" style="242"/>
  </cols>
  <sheetData>
    <row r="1" spans="1:4" ht="15" customHeight="1">
      <c r="A1" s="357" t="s">
        <v>1610</v>
      </c>
      <c r="B1" s="358"/>
    </row>
    <row r="2" spans="1:4" ht="15" customHeight="1">
      <c r="A2" s="359"/>
      <c r="B2" s="360"/>
    </row>
    <row r="3" spans="1:4" ht="15" customHeight="1">
      <c r="B3" s="243" t="s">
        <v>1539</v>
      </c>
      <c r="C3" s="244"/>
      <c r="D3" s="244"/>
    </row>
    <row r="4" spans="1:4" ht="15" customHeight="1">
      <c r="A4" s="245" t="s">
        <v>1540</v>
      </c>
      <c r="B4" s="356" t="s">
        <v>1541</v>
      </c>
      <c r="C4" s="356"/>
      <c r="D4" s="356"/>
    </row>
    <row r="5" spans="1:4" ht="15" customHeight="1">
      <c r="A5" s="245" t="s">
        <v>1540</v>
      </c>
      <c r="B5" s="356" t="s">
        <v>1542</v>
      </c>
      <c r="C5" s="356" t="s">
        <v>1542</v>
      </c>
      <c r="D5" s="356" t="s">
        <v>1542</v>
      </c>
    </row>
    <row r="6" spans="1:4" ht="15" customHeight="1">
      <c r="A6" s="245" t="s">
        <v>1540</v>
      </c>
      <c r="B6" s="356" t="s">
        <v>1543</v>
      </c>
      <c r="C6" s="356" t="s">
        <v>1543</v>
      </c>
      <c r="D6" s="356" t="s">
        <v>1543</v>
      </c>
    </row>
    <row r="7" spans="1:4" ht="15" customHeight="1">
      <c r="A7" s="245" t="s">
        <v>1540</v>
      </c>
      <c r="B7" s="356" t="s">
        <v>1544</v>
      </c>
      <c r="C7" s="356" t="s">
        <v>1544</v>
      </c>
      <c r="D7" s="356" t="s">
        <v>1544</v>
      </c>
    </row>
    <row r="8" spans="1:4" ht="15" customHeight="1">
      <c r="A8" s="245" t="s">
        <v>1540</v>
      </c>
      <c r="B8" s="356" t="s">
        <v>1545</v>
      </c>
      <c r="C8" s="356" t="s">
        <v>1545</v>
      </c>
      <c r="D8" s="356" t="s">
        <v>1545</v>
      </c>
    </row>
    <row r="9" spans="1:4" ht="15" customHeight="1">
      <c r="A9" s="245" t="s">
        <v>1540</v>
      </c>
      <c r="B9" s="356" t="s">
        <v>1546</v>
      </c>
      <c r="C9" s="356" t="s">
        <v>1546</v>
      </c>
      <c r="D9" s="356" t="s">
        <v>1546</v>
      </c>
    </row>
    <row r="10" spans="1:4" ht="15" customHeight="1">
      <c r="A10" s="245" t="s">
        <v>1540</v>
      </c>
      <c r="B10" s="356" t="s">
        <v>1547</v>
      </c>
      <c r="C10" s="356" t="s">
        <v>1547</v>
      </c>
      <c r="D10" s="356" t="s">
        <v>1547</v>
      </c>
    </row>
    <row r="11" spans="1:4" ht="15" customHeight="1">
      <c r="A11" s="245" t="s">
        <v>1540</v>
      </c>
      <c r="B11" s="356" t="s">
        <v>1548</v>
      </c>
      <c r="C11" s="356" t="s">
        <v>1548</v>
      </c>
      <c r="D11" s="356" t="s">
        <v>1548</v>
      </c>
    </row>
    <row r="12" spans="1:4" ht="15" customHeight="1">
      <c r="A12" s="245" t="s">
        <v>1540</v>
      </c>
      <c r="B12" s="356" t="s">
        <v>1549</v>
      </c>
      <c r="C12" s="356" t="s">
        <v>1549</v>
      </c>
      <c r="D12" s="356" t="s">
        <v>1549</v>
      </c>
    </row>
    <row r="13" spans="1:4" ht="15" customHeight="1">
      <c r="A13" s="245" t="s">
        <v>1540</v>
      </c>
      <c r="B13" s="356" t="s">
        <v>1550</v>
      </c>
      <c r="C13" s="356" t="s">
        <v>1550</v>
      </c>
      <c r="D13" s="356" t="s">
        <v>1550</v>
      </c>
    </row>
    <row r="14" spans="1:4" ht="15" customHeight="1">
      <c r="A14" s="245" t="s">
        <v>1540</v>
      </c>
      <c r="B14" s="356" t="s">
        <v>1551</v>
      </c>
      <c r="C14" s="356" t="s">
        <v>1551</v>
      </c>
      <c r="D14" s="356" t="s">
        <v>1551</v>
      </c>
    </row>
    <row r="15" spans="1:4" ht="15" customHeight="1">
      <c r="A15" s="246"/>
      <c r="B15" s="247"/>
      <c r="C15" s="244"/>
      <c r="D15" s="244"/>
    </row>
    <row r="16" spans="1:4" ht="15" customHeight="1">
      <c r="A16" s="246"/>
      <c r="B16" s="248" t="s">
        <v>1553</v>
      </c>
      <c r="C16" s="244"/>
      <c r="D16" s="244"/>
    </row>
    <row r="17" spans="1:4" ht="15" customHeight="1">
      <c r="A17" s="245" t="s">
        <v>1540</v>
      </c>
      <c r="B17" s="356" t="s">
        <v>1554</v>
      </c>
      <c r="C17" s="356" t="s">
        <v>1554</v>
      </c>
      <c r="D17" s="356" t="s">
        <v>1554</v>
      </c>
    </row>
    <row r="18" spans="1:4" ht="15" customHeight="1">
      <c r="A18" s="245" t="s">
        <v>1540</v>
      </c>
      <c r="B18" s="356" t="s">
        <v>1555</v>
      </c>
      <c r="C18" s="356" t="s">
        <v>1555</v>
      </c>
      <c r="D18" s="356" t="s">
        <v>1555</v>
      </c>
    </row>
    <row r="19" spans="1:4" ht="15" customHeight="1">
      <c r="A19" s="245" t="s">
        <v>1540</v>
      </c>
      <c r="B19" s="356" t="s">
        <v>1556</v>
      </c>
      <c r="C19" s="356" t="s">
        <v>1556</v>
      </c>
      <c r="D19" s="356" t="s">
        <v>1556</v>
      </c>
    </row>
    <row r="20" spans="1:4" ht="15" customHeight="1">
      <c r="A20" s="245" t="s">
        <v>1540</v>
      </c>
      <c r="B20" s="356" t="s">
        <v>1550</v>
      </c>
      <c r="C20" s="356" t="s">
        <v>1550</v>
      </c>
      <c r="D20" s="356" t="s">
        <v>1550</v>
      </c>
    </row>
    <row r="21" spans="1:4" ht="15" customHeight="1">
      <c r="A21" s="245" t="s">
        <v>1540</v>
      </c>
      <c r="B21" s="356" t="s">
        <v>1557</v>
      </c>
      <c r="C21" s="356" t="s">
        <v>1557</v>
      </c>
      <c r="D21" s="356" t="s">
        <v>1557</v>
      </c>
    </row>
    <row r="22" spans="1:4" ht="15" customHeight="1">
      <c r="A22" s="245" t="s">
        <v>1540</v>
      </c>
      <c r="B22" s="356" t="s">
        <v>1558</v>
      </c>
      <c r="C22" s="356" t="s">
        <v>1558</v>
      </c>
      <c r="D22" s="356" t="s">
        <v>1558</v>
      </c>
    </row>
    <row r="23" spans="1:4" ht="15" customHeight="1">
      <c r="A23" s="245" t="s">
        <v>1540</v>
      </c>
      <c r="B23" s="356" t="s">
        <v>1559</v>
      </c>
      <c r="C23" s="356" t="s">
        <v>1559</v>
      </c>
      <c r="D23" s="356" t="s">
        <v>1559</v>
      </c>
    </row>
    <row r="24" spans="1:4" ht="15" customHeight="1">
      <c r="A24" s="246"/>
      <c r="B24" s="244"/>
      <c r="C24" s="244"/>
      <c r="D24" s="244"/>
    </row>
    <row r="25" spans="1:4" ht="15" customHeight="1">
      <c r="A25" s="246"/>
      <c r="B25" s="248" t="s">
        <v>1562</v>
      </c>
      <c r="C25" s="244"/>
      <c r="D25" s="244"/>
    </row>
    <row r="26" spans="1:4" ht="15" customHeight="1">
      <c r="A26" s="245" t="s">
        <v>1540</v>
      </c>
      <c r="B26" s="361" t="s">
        <v>1563</v>
      </c>
      <c r="C26" s="361" t="s">
        <v>1563</v>
      </c>
      <c r="D26" s="361" t="s">
        <v>1563</v>
      </c>
    </row>
    <row r="27" spans="1:4" ht="15" customHeight="1">
      <c r="A27" s="245" t="s">
        <v>1540</v>
      </c>
      <c r="B27" s="361" t="s">
        <v>1564</v>
      </c>
      <c r="C27" s="361" t="s">
        <v>1564</v>
      </c>
      <c r="D27" s="361" t="s">
        <v>1564</v>
      </c>
    </row>
    <row r="28" spans="1:4" ht="15" customHeight="1">
      <c r="A28" s="245" t="s">
        <v>1540</v>
      </c>
      <c r="B28" s="361" t="s">
        <v>1565</v>
      </c>
      <c r="C28" s="361" t="s">
        <v>1565</v>
      </c>
      <c r="D28" s="361" t="s">
        <v>1565</v>
      </c>
    </row>
    <row r="29" spans="1:4" ht="15" customHeight="1">
      <c r="A29" s="245" t="s">
        <v>1540</v>
      </c>
      <c r="B29" s="361" t="s">
        <v>1566</v>
      </c>
      <c r="C29" s="361" t="s">
        <v>1566</v>
      </c>
      <c r="D29" s="361" t="s">
        <v>1566</v>
      </c>
    </row>
    <row r="30" spans="1:4" ht="15" customHeight="1">
      <c r="A30" s="245" t="s">
        <v>1540</v>
      </c>
      <c r="B30" s="361" t="s">
        <v>1567</v>
      </c>
      <c r="C30" s="361" t="s">
        <v>1567</v>
      </c>
      <c r="D30" s="361" t="s">
        <v>1567</v>
      </c>
    </row>
    <row r="32" spans="1:4" ht="15" customHeight="1">
      <c r="A32" s="246"/>
      <c r="B32" s="248" t="s">
        <v>1609</v>
      </c>
      <c r="C32" s="244"/>
      <c r="D32" s="244"/>
    </row>
    <row r="33" spans="1:4" ht="15" customHeight="1">
      <c r="A33" s="245" t="s">
        <v>1540</v>
      </c>
      <c r="B33" s="356" t="s">
        <v>192</v>
      </c>
      <c r="C33" s="356" t="s">
        <v>1552</v>
      </c>
      <c r="D33" s="356" t="s">
        <v>1552</v>
      </c>
    </row>
    <row r="34" spans="1:4" ht="15" customHeight="1">
      <c r="A34" s="245" t="s">
        <v>1540</v>
      </c>
      <c r="B34" s="242" t="s">
        <v>1256</v>
      </c>
    </row>
  </sheetData>
  <sheetProtection algorithmName="SHA-512" hashValue="KDQIyEO8SmDNCRRjsHBMeo7pHSa7pxPL+k85LVu8J+S+5j/mzJ9uhs465fEakONvnK6kwR8kZwtspPOHTK/ZlQ==" saltValue="MKRWjv5GrCywCP4ClNtsOw==" spinCount="100000" sheet="1" sort="0" autoFilter="0"/>
  <dataConsolidate link="1"/>
  <mergeCells count="25">
    <mergeCell ref="B33:D33"/>
    <mergeCell ref="B23:D23"/>
    <mergeCell ref="B26:D26"/>
    <mergeCell ref="B27:D27"/>
    <mergeCell ref="B28:D28"/>
    <mergeCell ref="B29:D29"/>
    <mergeCell ref="B30:D30"/>
    <mergeCell ref="B22:D22"/>
    <mergeCell ref="B9:D9"/>
    <mergeCell ref="B10:D10"/>
    <mergeCell ref="B11:D11"/>
    <mergeCell ref="B12:D12"/>
    <mergeCell ref="B13:D13"/>
    <mergeCell ref="B14:D14"/>
    <mergeCell ref="B17:D17"/>
    <mergeCell ref="B18:D18"/>
    <mergeCell ref="B19:D19"/>
    <mergeCell ref="B20:D20"/>
    <mergeCell ref="B21:D21"/>
    <mergeCell ref="B8:D8"/>
    <mergeCell ref="A1:B2"/>
    <mergeCell ref="B4:D4"/>
    <mergeCell ref="B5:D5"/>
    <mergeCell ref="B6:D6"/>
    <mergeCell ref="B7:D7"/>
  </mergeCells>
  <pageMargins left="0.2" right="0.21" top="0.57999999999999996" bottom="0.59" header="0.5" footer="0.5"/>
  <pageSetup paperSize="9" scale="7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DF057-3E13-4F56-AB90-E7C39DCB52ED}">
  <sheetPr>
    <tabColor theme="0" tint="-0.14999847407452621"/>
  </sheetPr>
  <dimension ref="A1:Y1101"/>
  <sheetViews>
    <sheetView workbookViewId="0">
      <pane ySplit="3" topLeftCell="A4" activePane="bottomLeft" state="frozen"/>
      <selection pane="bottomLeft" activeCell="D5" sqref="D5"/>
    </sheetView>
  </sheetViews>
  <sheetFormatPr defaultColWidth="9.140625" defaultRowHeight="13.5"/>
  <cols>
    <col min="1" max="1" width="14.42578125" style="26" customWidth="1"/>
    <col min="2" max="2" width="26" style="8" bestFit="1" customWidth="1"/>
    <col min="3" max="3" width="16.140625" style="26" customWidth="1"/>
    <col min="4" max="4" width="25.85546875" style="8" bestFit="1" customWidth="1"/>
    <col min="5" max="5" width="14.85546875" style="26" bestFit="1" customWidth="1"/>
    <col min="6" max="6" width="16.42578125" style="26" customWidth="1"/>
    <col min="7" max="25" width="5.5703125" style="26" bestFit="1" customWidth="1"/>
    <col min="26" max="16384" width="9.140625" style="8"/>
  </cols>
  <sheetData>
    <row r="1" spans="1:25" ht="28.5">
      <c r="A1" s="314" t="s">
        <v>1257</v>
      </c>
    </row>
    <row r="2" spans="1:25" ht="15.75">
      <c r="G2" s="362" t="s">
        <v>255</v>
      </c>
      <c r="H2" s="362"/>
      <c r="I2" s="362"/>
      <c r="J2" s="362"/>
      <c r="K2" s="362"/>
      <c r="L2" s="362"/>
      <c r="M2" s="362"/>
      <c r="N2" s="362"/>
      <c r="O2" s="363" t="s">
        <v>256</v>
      </c>
      <c r="P2" s="363"/>
      <c r="Q2" s="363"/>
      <c r="R2" s="363"/>
      <c r="S2" s="363"/>
      <c r="T2" s="363"/>
      <c r="U2" s="363"/>
      <c r="V2" s="363"/>
      <c r="W2" s="364" t="s">
        <v>257</v>
      </c>
      <c r="X2" s="364"/>
      <c r="Y2" s="364"/>
    </row>
    <row r="3" spans="1:25" ht="30" customHeight="1">
      <c r="A3" s="315" t="s">
        <v>33</v>
      </c>
      <c r="B3" s="333" t="s">
        <v>135</v>
      </c>
      <c r="C3" s="315" t="s">
        <v>117</v>
      </c>
      <c r="D3" s="315" t="s">
        <v>278</v>
      </c>
      <c r="E3" s="315" t="s">
        <v>279</v>
      </c>
      <c r="F3" s="315" t="s">
        <v>1574</v>
      </c>
      <c r="G3" s="316" t="s">
        <v>258</v>
      </c>
      <c r="H3" s="316" t="s">
        <v>259</v>
      </c>
      <c r="I3" s="316" t="s">
        <v>260</v>
      </c>
      <c r="J3" s="316" t="s">
        <v>261</v>
      </c>
      <c r="K3" s="316" t="s">
        <v>262</v>
      </c>
      <c r="L3" s="316" t="s">
        <v>263</v>
      </c>
      <c r="M3" s="316" t="s">
        <v>264</v>
      </c>
      <c r="N3" s="316" t="s">
        <v>265</v>
      </c>
      <c r="O3" s="317" t="s">
        <v>266</v>
      </c>
      <c r="P3" s="317" t="s">
        <v>267</v>
      </c>
      <c r="Q3" s="317" t="s">
        <v>268</v>
      </c>
      <c r="R3" s="317" t="s">
        <v>269</v>
      </c>
      <c r="S3" s="317" t="s">
        <v>270</v>
      </c>
      <c r="T3" s="317" t="s">
        <v>271</v>
      </c>
      <c r="U3" s="317" t="s">
        <v>272</v>
      </c>
      <c r="V3" s="317" t="s">
        <v>273</v>
      </c>
      <c r="W3" s="318" t="s">
        <v>274</v>
      </c>
      <c r="X3" s="318" t="s">
        <v>275</v>
      </c>
      <c r="Y3" s="318" t="s">
        <v>276</v>
      </c>
    </row>
    <row r="4" spans="1:25">
      <c r="A4" s="319">
        <v>1</v>
      </c>
      <c r="B4" s="320" t="str">
        <f>VLOOKUP(Tabel10[[#This Row],[Code]],Ruimtegroepen[[Code]:[Ruimte omschrijving]],2,FALSE)</f>
        <v>Magazijnen/bergingen</v>
      </c>
      <c r="C4" s="321" t="s">
        <v>280</v>
      </c>
      <c r="D4" s="320" t="s">
        <v>29</v>
      </c>
      <c r="E4" s="321" t="s">
        <v>100</v>
      </c>
      <c r="F4" s="321" t="s">
        <v>281</v>
      </c>
      <c r="G4" s="322" t="s">
        <v>282</v>
      </c>
      <c r="H4" s="322" t="s">
        <v>282</v>
      </c>
      <c r="I4" s="322" t="s">
        <v>20</v>
      </c>
      <c r="J4" s="322" t="s">
        <v>15</v>
      </c>
      <c r="K4" s="322" t="s">
        <v>282</v>
      </c>
      <c r="L4" s="322" t="s">
        <v>282</v>
      </c>
      <c r="M4" s="322" t="s">
        <v>282</v>
      </c>
      <c r="N4" s="322" t="s">
        <v>2</v>
      </c>
      <c r="O4" s="323" t="s">
        <v>282</v>
      </c>
      <c r="P4" s="323" t="s">
        <v>282</v>
      </c>
      <c r="Q4" s="323" t="s">
        <v>282</v>
      </c>
      <c r="R4" s="323" t="s">
        <v>282</v>
      </c>
      <c r="S4" s="323" t="s">
        <v>2</v>
      </c>
      <c r="T4" s="323" t="s">
        <v>283</v>
      </c>
      <c r="U4" s="323" t="s">
        <v>283</v>
      </c>
      <c r="V4" s="323" t="s">
        <v>2</v>
      </c>
      <c r="W4" s="324" t="s">
        <v>282</v>
      </c>
      <c r="X4" s="324" t="s">
        <v>282</v>
      </c>
      <c r="Y4" s="325" t="s">
        <v>282</v>
      </c>
    </row>
    <row r="5" spans="1:25">
      <c r="A5" s="319">
        <v>1</v>
      </c>
      <c r="B5" s="320" t="str">
        <f>VLOOKUP(Tabel10[[#This Row],[Code]],Ruimtegroepen[[Code]:[Ruimte omschrijving]],2,FALSE)</f>
        <v>Magazijnen/bergingen</v>
      </c>
      <c r="C5" s="321" t="s">
        <v>280</v>
      </c>
      <c r="D5" s="320" t="s">
        <v>29</v>
      </c>
      <c r="E5" s="321" t="s">
        <v>99</v>
      </c>
      <c r="F5" s="321" t="s">
        <v>284</v>
      </c>
      <c r="G5" s="322" t="s">
        <v>20</v>
      </c>
      <c r="H5" s="322" t="s">
        <v>15</v>
      </c>
      <c r="I5" s="322" t="s">
        <v>282</v>
      </c>
      <c r="J5" s="322" t="s">
        <v>282</v>
      </c>
      <c r="K5" s="322" t="s">
        <v>282</v>
      </c>
      <c r="L5" s="322" t="s">
        <v>282</v>
      </c>
      <c r="M5" s="322" t="s">
        <v>282</v>
      </c>
      <c r="N5" s="322" t="s">
        <v>2</v>
      </c>
      <c r="O5" s="323" t="s">
        <v>282</v>
      </c>
      <c r="P5" s="323" t="s">
        <v>282</v>
      </c>
      <c r="Q5" s="323" t="s">
        <v>282</v>
      </c>
      <c r="R5" s="323" t="s">
        <v>282</v>
      </c>
      <c r="S5" s="323" t="s">
        <v>2</v>
      </c>
      <c r="T5" s="323" t="s">
        <v>283</v>
      </c>
      <c r="U5" s="323" t="s">
        <v>283</v>
      </c>
      <c r="V5" s="323" t="s">
        <v>2</v>
      </c>
      <c r="W5" s="324" t="s">
        <v>282</v>
      </c>
      <c r="X5" s="324" t="s">
        <v>282</v>
      </c>
      <c r="Y5" s="325" t="s">
        <v>282</v>
      </c>
    </row>
    <row r="6" spans="1:25">
      <c r="A6" s="319">
        <v>1</v>
      </c>
      <c r="B6" s="320" t="str">
        <f>VLOOKUP(Tabel10[[#This Row],[Code]],Ruimtegroepen[[Code]:[Ruimte omschrijving]],2,FALSE)</f>
        <v>Magazijnen/bergingen</v>
      </c>
      <c r="C6" s="321" t="s">
        <v>280</v>
      </c>
      <c r="D6" s="320" t="s">
        <v>29</v>
      </c>
      <c r="E6" s="321" t="s">
        <v>101</v>
      </c>
      <c r="F6" s="321" t="s">
        <v>285</v>
      </c>
      <c r="G6" s="326" t="s">
        <v>282</v>
      </c>
      <c r="H6" s="322" t="s">
        <v>282</v>
      </c>
      <c r="I6" s="322" t="s">
        <v>20</v>
      </c>
      <c r="J6" s="322" t="s">
        <v>15</v>
      </c>
      <c r="K6" s="322" t="s">
        <v>249</v>
      </c>
      <c r="L6" s="322" t="s">
        <v>282</v>
      </c>
      <c r="M6" s="322" t="s">
        <v>282</v>
      </c>
      <c r="N6" s="322" t="s">
        <v>2</v>
      </c>
      <c r="O6" s="323" t="s">
        <v>282</v>
      </c>
      <c r="P6" s="323" t="s">
        <v>282</v>
      </c>
      <c r="Q6" s="323" t="s">
        <v>282</v>
      </c>
      <c r="R6" s="323" t="s">
        <v>282</v>
      </c>
      <c r="S6" s="323" t="s">
        <v>2</v>
      </c>
      <c r="T6" s="323" t="s">
        <v>283</v>
      </c>
      <c r="U6" s="323" t="s">
        <v>283</v>
      </c>
      <c r="V6" s="323" t="s">
        <v>2</v>
      </c>
      <c r="W6" s="324" t="s">
        <v>282</v>
      </c>
      <c r="X6" s="324" t="s">
        <v>282</v>
      </c>
      <c r="Y6" s="325" t="s">
        <v>282</v>
      </c>
    </row>
    <row r="7" spans="1:25">
      <c r="A7" s="319">
        <v>1</v>
      </c>
      <c r="B7" s="320" t="str">
        <f>VLOOKUP(Tabel10[[#This Row],[Code]],Ruimtegroepen[[Code]:[Ruimte omschrijving]],2,FALSE)</f>
        <v>Magazijnen/bergingen</v>
      </c>
      <c r="C7" s="321" t="s">
        <v>280</v>
      </c>
      <c r="D7" s="320" t="s">
        <v>29</v>
      </c>
      <c r="E7" s="321" t="s">
        <v>102</v>
      </c>
      <c r="F7" s="321" t="s">
        <v>286</v>
      </c>
      <c r="G7" s="326" t="s">
        <v>282</v>
      </c>
      <c r="H7" s="322" t="s">
        <v>282</v>
      </c>
      <c r="I7" s="322" t="s">
        <v>20</v>
      </c>
      <c r="J7" s="322" t="s">
        <v>15</v>
      </c>
      <c r="K7" s="322" t="s">
        <v>249</v>
      </c>
      <c r="L7" s="322" t="s">
        <v>282</v>
      </c>
      <c r="M7" s="322" t="s">
        <v>282</v>
      </c>
      <c r="N7" s="322" t="s">
        <v>2</v>
      </c>
      <c r="O7" s="323" t="s">
        <v>282</v>
      </c>
      <c r="P7" s="323" t="s">
        <v>282</v>
      </c>
      <c r="Q7" s="323" t="s">
        <v>282</v>
      </c>
      <c r="R7" s="323" t="s">
        <v>282</v>
      </c>
      <c r="S7" s="323" t="s">
        <v>2</v>
      </c>
      <c r="T7" s="323" t="s">
        <v>283</v>
      </c>
      <c r="U7" s="323" t="s">
        <v>283</v>
      </c>
      <c r="V7" s="323" t="s">
        <v>2</v>
      </c>
      <c r="W7" s="324" t="s">
        <v>282</v>
      </c>
      <c r="X7" s="324" t="s">
        <v>282</v>
      </c>
      <c r="Y7" s="325" t="s">
        <v>282</v>
      </c>
    </row>
    <row r="8" spans="1:25">
      <c r="A8" s="327">
        <v>1</v>
      </c>
      <c r="B8" s="320" t="str">
        <f>VLOOKUP(Tabel10[[#This Row],[Code]],Ruimtegroepen[[Code]:[Ruimte omschrijving]],2,FALSE)</f>
        <v>Magazijnen/bergingen</v>
      </c>
      <c r="C8" s="321" t="s">
        <v>280</v>
      </c>
      <c r="D8" s="320" t="s">
        <v>29</v>
      </c>
      <c r="E8" s="321" t="s">
        <v>99</v>
      </c>
      <c r="F8" s="321" t="s">
        <v>284</v>
      </c>
      <c r="G8" s="328" t="s">
        <v>20</v>
      </c>
      <c r="H8" s="328" t="s">
        <v>15</v>
      </c>
      <c r="I8" s="322" t="s">
        <v>282</v>
      </c>
      <c r="J8" s="322" t="s">
        <v>282</v>
      </c>
      <c r="K8" s="322" t="s">
        <v>282</v>
      </c>
      <c r="L8" s="322" t="s">
        <v>282</v>
      </c>
      <c r="M8" s="322" t="s">
        <v>282</v>
      </c>
      <c r="N8" s="328" t="s">
        <v>2</v>
      </c>
      <c r="O8" s="329" t="s">
        <v>282</v>
      </c>
      <c r="P8" s="329" t="s">
        <v>282</v>
      </c>
      <c r="Q8" s="329" t="s">
        <v>282</v>
      </c>
      <c r="R8" s="329" t="s">
        <v>282</v>
      </c>
      <c r="S8" s="329" t="s">
        <v>2</v>
      </c>
      <c r="T8" s="329" t="s">
        <v>283</v>
      </c>
      <c r="U8" s="329" t="s">
        <v>283</v>
      </c>
      <c r="V8" s="329" t="s">
        <v>2</v>
      </c>
      <c r="W8" s="330" t="s">
        <v>282</v>
      </c>
      <c r="X8" s="330" t="s">
        <v>282</v>
      </c>
      <c r="Y8" s="331" t="s">
        <v>282</v>
      </c>
    </row>
    <row r="9" spans="1:25">
      <c r="A9" s="319">
        <v>1</v>
      </c>
      <c r="B9" s="320" t="str">
        <f>VLOOKUP(Tabel10[[#This Row],[Code]],Ruimtegroepen[[Code]:[Ruimte omschrijving]],2,FALSE)</f>
        <v>Magazijnen/bergingen</v>
      </c>
      <c r="C9" s="321" t="s">
        <v>280</v>
      </c>
      <c r="D9" s="320" t="s">
        <v>29</v>
      </c>
      <c r="E9" s="321" t="s">
        <v>1306</v>
      </c>
      <c r="F9" s="321" t="s">
        <v>1307</v>
      </c>
      <c r="G9" s="322" t="s">
        <v>282</v>
      </c>
      <c r="H9" s="322" t="s">
        <v>282</v>
      </c>
      <c r="I9" s="322" t="s">
        <v>20</v>
      </c>
      <c r="J9" s="322" t="s">
        <v>15</v>
      </c>
      <c r="K9" s="322" t="s">
        <v>249</v>
      </c>
      <c r="L9" s="322" t="s">
        <v>282</v>
      </c>
      <c r="M9" s="322" t="s">
        <v>282</v>
      </c>
      <c r="N9" s="322" t="s">
        <v>2</v>
      </c>
      <c r="O9" s="329" t="s">
        <v>282</v>
      </c>
      <c r="P9" s="329" t="s">
        <v>282</v>
      </c>
      <c r="Q9" s="329" t="s">
        <v>282</v>
      </c>
      <c r="R9" s="329" t="s">
        <v>282</v>
      </c>
      <c r="S9" s="329" t="s">
        <v>2</v>
      </c>
      <c r="T9" s="329" t="s">
        <v>283</v>
      </c>
      <c r="U9" s="329" t="s">
        <v>283</v>
      </c>
      <c r="V9" s="329" t="s">
        <v>2</v>
      </c>
      <c r="W9" s="330" t="s">
        <v>282</v>
      </c>
      <c r="X9" s="330" t="s">
        <v>282</v>
      </c>
      <c r="Y9" s="330" t="s">
        <v>282</v>
      </c>
    </row>
    <row r="10" spans="1:25">
      <c r="A10" s="319">
        <v>1</v>
      </c>
      <c r="B10" s="320" t="str">
        <f>VLOOKUP(Tabel10[[#This Row],[Code]],Ruimtegroepen[[Code]:[Ruimte omschrijving]],2,FALSE)</f>
        <v>Magazijnen/bergingen</v>
      </c>
      <c r="C10" s="321" t="s">
        <v>287</v>
      </c>
      <c r="D10" s="320" t="s">
        <v>1</v>
      </c>
      <c r="E10" s="321" t="s">
        <v>100</v>
      </c>
      <c r="F10" s="321" t="s">
        <v>288</v>
      </c>
      <c r="G10" s="326" t="s">
        <v>282</v>
      </c>
      <c r="H10" s="322" t="s">
        <v>282</v>
      </c>
      <c r="I10" s="322" t="s">
        <v>20</v>
      </c>
      <c r="J10" s="322" t="s">
        <v>15</v>
      </c>
      <c r="K10" s="322" t="s">
        <v>282</v>
      </c>
      <c r="L10" s="322" t="s">
        <v>282</v>
      </c>
      <c r="M10" s="322" t="s">
        <v>282</v>
      </c>
      <c r="N10" s="322" t="s">
        <v>282</v>
      </c>
      <c r="O10" s="323" t="s">
        <v>282</v>
      </c>
      <c r="P10" s="323" t="s">
        <v>282</v>
      </c>
      <c r="Q10" s="323" t="s">
        <v>282</v>
      </c>
      <c r="R10" s="323" t="s">
        <v>282</v>
      </c>
      <c r="S10" s="323" t="s">
        <v>2</v>
      </c>
      <c r="T10" s="323" t="s">
        <v>283</v>
      </c>
      <c r="U10" s="323" t="s">
        <v>283</v>
      </c>
      <c r="V10" s="323" t="s">
        <v>282</v>
      </c>
      <c r="W10" s="324" t="s">
        <v>282</v>
      </c>
      <c r="X10" s="324" t="s">
        <v>282</v>
      </c>
      <c r="Y10" s="325" t="s">
        <v>282</v>
      </c>
    </row>
    <row r="11" spans="1:25">
      <c r="A11" s="319">
        <v>1</v>
      </c>
      <c r="B11" s="320" t="str">
        <f>VLOOKUP(Tabel10[[#This Row],[Code]],Ruimtegroepen[[Code]:[Ruimte omschrijving]],2,FALSE)</f>
        <v>Magazijnen/bergingen</v>
      </c>
      <c r="C11" s="321" t="s">
        <v>287</v>
      </c>
      <c r="D11" s="320" t="s">
        <v>1</v>
      </c>
      <c r="E11" s="321" t="s">
        <v>99</v>
      </c>
      <c r="F11" s="321" t="s">
        <v>289</v>
      </c>
      <c r="G11" s="322" t="s">
        <v>20</v>
      </c>
      <c r="H11" s="322" t="s">
        <v>15</v>
      </c>
      <c r="I11" s="322" t="s">
        <v>282</v>
      </c>
      <c r="J11" s="322" t="s">
        <v>282</v>
      </c>
      <c r="K11" s="322" t="s">
        <v>282</v>
      </c>
      <c r="L11" s="322" t="s">
        <v>282</v>
      </c>
      <c r="M11" s="322" t="s">
        <v>282</v>
      </c>
      <c r="N11" s="322" t="s">
        <v>282</v>
      </c>
      <c r="O11" s="323" t="s">
        <v>282</v>
      </c>
      <c r="P11" s="323" t="s">
        <v>282</v>
      </c>
      <c r="Q11" s="323" t="s">
        <v>282</v>
      </c>
      <c r="R11" s="323" t="s">
        <v>282</v>
      </c>
      <c r="S11" s="323" t="s">
        <v>2</v>
      </c>
      <c r="T11" s="323" t="s">
        <v>283</v>
      </c>
      <c r="U11" s="323" t="s">
        <v>283</v>
      </c>
      <c r="V11" s="323" t="s">
        <v>282</v>
      </c>
      <c r="W11" s="324" t="s">
        <v>282</v>
      </c>
      <c r="X11" s="324" t="s">
        <v>282</v>
      </c>
      <c r="Y11" s="325" t="s">
        <v>282</v>
      </c>
    </row>
    <row r="12" spans="1:25">
      <c r="A12" s="319">
        <v>1</v>
      </c>
      <c r="B12" s="320" t="str">
        <f>VLOOKUP(Tabel10[[#This Row],[Code]],Ruimtegroepen[[Code]:[Ruimte omschrijving]],2,FALSE)</f>
        <v>Magazijnen/bergingen</v>
      </c>
      <c r="C12" s="321" t="s">
        <v>287</v>
      </c>
      <c r="D12" s="320" t="s">
        <v>1</v>
      </c>
      <c r="E12" s="321" t="s">
        <v>101</v>
      </c>
      <c r="F12" s="321" t="s">
        <v>290</v>
      </c>
      <c r="G12" s="326" t="s">
        <v>282</v>
      </c>
      <c r="H12" s="322" t="s">
        <v>282</v>
      </c>
      <c r="I12" s="322" t="s">
        <v>20</v>
      </c>
      <c r="J12" s="322" t="s">
        <v>15</v>
      </c>
      <c r="K12" s="322" t="s">
        <v>249</v>
      </c>
      <c r="L12" s="322" t="s">
        <v>282</v>
      </c>
      <c r="M12" s="322" t="s">
        <v>282</v>
      </c>
      <c r="N12" s="322" t="s">
        <v>282</v>
      </c>
      <c r="O12" s="323" t="s">
        <v>282</v>
      </c>
      <c r="P12" s="323" t="s">
        <v>282</v>
      </c>
      <c r="Q12" s="323" t="s">
        <v>282</v>
      </c>
      <c r="R12" s="323" t="s">
        <v>282</v>
      </c>
      <c r="S12" s="323" t="s">
        <v>2</v>
      </c>
      <c r="T12" s="323" t="s">
        <v>283</v>
      </c>
      <c r="U12" s="323" t="s">
        <v>283</v>
      </c>
      <c r="V12" s="323" t="s">
        <v>282</v>
      </c>
      <c r="W12" s="324" t="s">
        <v>282</v>
      </c>
      <c r="X12" s="324" t="s">
        <v>282</v>
      </c>
      <c r="Y12" s="325" t="s">
        <v>282</v>
      </c>
    </row>
    <row r="13" spans="1:25">
      <c r="A13" s="319">
        <v>1</v>
      </c>
      <c r="B13" s="320" t="str">
        <f>VLOOKUP(Tabel10[[#This Row],[Code]],Ruimtegroepen[[Code]:[Ruimte omschrijving]],2,FALSE)</f>
        <v>Magazijnen/bergingen</v>
      </c>
      <c r="C13" s="321" t="s">
        <v>287</v>
      </c>
      <c r="D13" s="320" t="s">
        <v>1</v>
      </c>
      <c r="E13" s="321" t="s">
        <v>102</v>
      </c>
      <c r="F13" s="321" t="s">
        <v>291</v>
      </c>
      <c r="G13" s="326" t="s">
        <v>282</v>
      </c>
      <c r="H13" s="322" t="s">
        <v>282</v>
      </c>
      <c r="I13" s="322" t="s">
        <v>20</v>
      </c>
      <c r="J13" s="322" t="s">
        <v>15</v>
      </c>
      <c r="K13" s="322" t="s">
        <v>249</v>
      </c>
      <c r="L13" s="322" t="s">
        <v>282</v>
      </c>
      <c r="M13" s="322" t="s">
        <v>282</v>
      </c>
      <c r="N13" s="322" t="s">
        <v>282</v>
      </c>
      <c r="O13" s="323" t="s">
        <v>282</v>
      </c>
      <c r="P13" s="323" t="s">
        <v>282</v>
      </c>
      <c r="Q13" s="323" t="s">
        <v>282</v>
      </c>
      <c r="R13" s="323" t="s">
        <v>282</v>
      </c>
      <c r="S13" s="323" t="s">
        <v>2</v>
      </c>
      <c r="T13" s="323" t="s">
        <v>283</v>
      </c>
      <c r="U13" s="323" t="s">
        <v>283</v>
      </c>
      <c r="V13" s="323" t="s">
        <v>282</v>
      </c>
      <c r="W13" s="324" t="s">
        <v>282</v>
      </c>
      <c r="X13" s="324" t="s">
        <v>282</v>
      </c>
      <c r="Y13" s="325" t="s">
        <v>282</v>
      </c>
    </row>
    <row r="14" spans="1:25">
      <c r="A14" s="319">
        <v>1</v>
      </c>
      <c r="B14" s="320" t="str">
        <f>VLOOKUP(Tabel10[[#This Row],[Code]],Ruimtegroepen[[Code]:[Ruimte omschrijving]],2,FALSE)</f>
        <v>Magazijnen/bergingen</v>
      </c>
      <c r="C14" s="321" t="s">
        <v>287</v>
      </c>
      <c r="D14" s="320" t="s">
        <v>1</v>
      </c>
      <c r="E14" s="321" t="s">
        <v>99</v>
      </c>
      <c r="F14" s="321" t="s">
        <v>289</v>
      </c>
      <c r="G14" s="322" t="s">
        <v>20</v>
      </c>
      <c r="H14" s="322" t="s">
        <v>15</v>
      </c>
      <c r="I14" s="322" t="s">
        <v>282</v>
      </c>
      <c r="J14" s="322" t="s">
        <v>282</v>
      </c>
      <c r="K14" s="322" t="s">
        <v>282</v>
      </c>
      <c r="L14" s="322" t="s">
        <v>282</v>
      </c>
      <c r="M14" s="322" t="s">
        <v>282</v>
      </c>
      <c r="N14" s="322" t="s">
        <v>282</v>
      </c>
      <c r="O14" s="323" t="s">
        <v>282</v>
      </c>
      <c r="P14" s="323" t="s">
        <v>282</v>
      </c>
      <c r="Q14" s="323" t="s">
        <v>282</v>
      </c>
      <c r="R14" s="323" t="s">
        <v>282</v>
      </c>
      <c r="S14" s="323" t="s">
        <v>2</v>
      </c>
      <c r="T14" s="323" t="s">
        <v>283</v>
      </c>
      <c r="U14" s="323" t="s">
        <v>283</v>
      </c>
      <c r="V14" s="323" t="s">
        <v>282</v>
      </c>
      <c r="W14" s="324" t="s">
        <v>282</v>
      </c>
      <c r="X14" s="324" t="s">
        <v>282</v>
      </c>
      <c r="Y14" s="325" t="s">
        <v>282</v>
      </c>
    </row>
    <row r="15" spans="1:25">
      <c r="A15" s="319">
        <v>1</v>
      </c>
      <c r="B15" s="320" t="str">
        <f>VLOOKUP(Tabel10[[#This Row],[Code]],Ruimtegroepen[[Code]:[Ruimte omschrijving]],2,FALSE)</f>
        <v>Magazijnen/bergingen</v>
      </c>
      <c r="C15" s="321" t="s">
        <v>287</v>
      </c>
      <c r="D15" s="320" t="s">
        <v>1</v>
      </c>
      <c r="E15" s="321" t="s">
        <v>1306</v>
      </c>
      <c r="F15" s="321" t="s">
        <v>1308</v>
      </c>
      <c r="G15" s="326" t="s">
        <v>282</v>
      </c>
      <c r="H15" s="322" t="s">
        <v>282</v>
      </c>
      <c r="I15" s="322" t="s">
        <v>20</v>
      </c>
      <c r="J15" s="322" t="s">
        <v>15</v>
      </c>
      <c r="K15" s="322" t="s">
        <v>249</v>
      </c>
      <c r="L15" s="322" t="s">
        <v>282</v>
      </c>
      <c r="M15" s="322" t="s">
        <v>282</v>
      </c>
      <c r="N15" s="322" t="s">
        <v>282</v>
      </c>
      <c r="O15" s="323" t="s">
        <v>282</v>
      </c>
      <c r="P15" s="323" t="s">
        <v>282</v>
      </c>
      <c r="Q15" s="323" t="s">
        <v>282</v>
      </c>
      <c r="R15" s="323" t="s">
        <v>282</v>
      </c>
      <c r="S15" s="323" t="s">
        <v>2</v>
      </c>
      <c r="T15" s="323" t="s">
        <v>283</v>
      </c>
      <c r="U15" s="323" t="s">
        <v>283</v>
      </c>
      <c r="V15" s="323" t="s">
        <v>282</v>
      </c>
      <c r="W15" s="324" t="s">
        <v>282</v>
      </c>
      <c r="X15" s="324" t="s">
        <v>282</v>
      </c>
      <c r="Y15" s="325" t="s">
        <v>282</v>
      </c>
    </row>
    <row r="16" spans="1:25">
      <c r="A16" s="319">
        <v>1</v>
      </c>
      <c r="B16" s="320" t="str">
        <f>VLOOKUP(Tabel10[[#This Row],[Code]],Ruimtegroepen[[Code]:[Ruimte omschrijving]],2,FALSE)</f>
        <v>Magazijnen/bergingen</v>
      </c>
      <c r="C16" s="321" t="s">
        <v>292</v>
      </c>
      <c r="D16" s="320" t="s">
        <v>21</v>
      </c>
      <c r="E16" s="321" t="s">
        <v>100</v>
      </c>
      <c r="F16" s="321" t="s">
        <v>293</v>
      </c>
      <c r="G16" s="326" t="s">
        <v>282</v>
      </c>
      <c r="H16" s="322" t="s">
        <v>282</v>
      </c>
      <c r="I16" s="322" t="s">
        <v>18</v>
      </c>
      <c r="J16" s="322" t="s">
        <v>15</v>
      </c>
      <c r="K16" s="322" t="s">
        <v>282</v>
      </c>
      <c r="L16" s="322" t="s">
        <v>282</v>
      </c>
      <c r="M16" s="322" t="s">
        <v>282</v>
      </c>
      <c r="N16" s="322" t="s">
        <v>282</v>
      </c>
      <c r="O16" s="323" t="s">
        <v>282</v>
      </c>
      <c r="P16" s="323" t="s">
        <v>282</v>
      </c>
      <c r="Q16" s="323" t="s">
        <v>282</v>
      </c>
      <c r="R16" s="323" t="s">
        <v>282</v>
      </c>
      <c r="S16" s="323" t="s">
        <v>20</v>
      </c>
      <c r="T16" s="323" t="s">
        <v>283</v>
      </c>
      <c r="U16" s="323" t="s">
        <v>283</v>
      </c>
      <c r="V16" s="323" t="s">
        <v>282</v>
      </c>
      <c r="W16" s="324" t="s">
        <v>282</v>
      </c>
      <c r="X16" s="324" t="s">
        <v>282</v>
      </c>
      <c r="Y16" s="325" t="s">
        <v>282</v>
      </c>
    </row>
    <row r="17" spans="1:25">
      <c r="A17" s="319">
        <v>1</v>
      </c>
      <c r="B17" s="320" t="str">
        <f>VLOOKUP(Tabel10[[#This Row],[Code]],Ruimtegroepen[[Code]:[Ruimte omschrijving]],2,FALSE)</f>
        <v>Magazijnen/bergingen</v>
      </c>
      <c r="C17" s="321" t="s">
        <v>292</v>
      </c>
      <c r="D17" s="320" t="s">
        <v>21</v>
      </c>
      <c r="E17" s="321" t="s">
        <v>99</v>
      </c>
      <c r="F17" s="321" t="s">
        <v>294</v>
      </c>
      <c r="G17" s="322" t="s">
        <v>18</v>
      </c>
      <c r="H17" s="322" t="s">
        <v>15</v>
      </c>
      <c r="I17" s="322" t="s">
        <v>282</v>
      </c>
      <c r="J17" s="322" t="s">
        <v>282</v>
      </c>
      <c r="K17" s="322" t="s">
        <v>282</v>
      </c>
      <c r="L17" s="322" t="s">
        <v>282</v>
      </c>
      <c r="M17" s="322" t="s">
        <v>282</v>
      </c>
      <c r="N17" s="322" t="s">
        <v>282</v>
      </c>
      <c r="O17" s="323" t="s">
        <v>282</v>
      </c>
      <c r="P17" s="323" t="s">
        <v>282</v>
      </c>
      <c r="Q17" s="323" t="s">
        <v>282</v>
      </c>
      <c r="R17" s="323" t="s">
        <v>282</v>
      </c>
      <c r="S17" s="323" t="s">
        <v>20</v>
      </c>
      <c r="T17" s="323" t="s">
        <v>283</v>
      </c>
      <c r="U17" s="323" t="s">
        <v>283</v>
      </c>
      <c r="V17" s="323" t="s">
        <v>282</v>
      </c>
      <c r="W17" s="324" t="s">
        <v>282</v>
      </c>
      <c r="X17" s="324" t="s">
        <v>282</v>
      </c>
      <c r="Y17" s="325" t="s">
        <v>282</v>
      </c>
    </row>
    <row r="18" spans="1:25">
      <c r="A18" s="319">
        <v>1</v>
      </c>
      <c r="B18" s="320" t="str">
        <f>VLOOKUP(Tabel10[[#This Row],[Code]],Ruimtegroepen[[Code]:[Ruimte omschrijving]],2,FALSE)</f>
        <v>Magazijnen/bergingen</v>
      </c>
      <c r="C18" s="321" t="s">
        <v>292</v>
      </c>
      <c r="D18" s="320" t="s">
        <v>21</v>
      </c>
      <c r="E18" s="321" t="s">
        <v>101</v>
      </c>
      <c r="F18" s="321" t="s">
        <v>295</v>
      </c>
      <c r="G18" s="326" t="s">
        <v>282</v>
      </c>
      <c r="H18" s="322" t="s">
        <v>282</v>
      </c>
      <c r="I18" s="322" t="s">
        <v>18</v>
      </c>
      <c r="J18" s="322" t="s">
        <v>15</v>
      </c>
      <c r="K18" s="322" t="s">
        <v>249</v>
      </c>
      <c r="L18" s="322" t="s">
        <v>282</v>
      </c>
      <c r="M18" s="322" t="s">
        <v>282</v>
      </c>
      <c r="N18" s="322" t="s">
        <v>282</v>
      </c>
      <c r="O18" s="323" t="s">
        <v>282</v>
      </c>
      <c r="P18" s="323" t="s">
        <v>282</v>
      </c>
      <c r="Q18" s="323" t="s">
        <v>282</v>
      </c>
      <c r="R18" s="323" t="s">
        <v>282</v>
      </c>
      <c r="S18" s="323" t="s">
        <v>20</v>
      </c>
      <c r="T18" s="323" t="s">
        <v>283</v>
      </c>
      <c r="U18" s="323" t="s">
        <v>283</v>
      </c>
      <c r="V18" s="323" t="s">
        <v>282</v>
      </c>
      <c r="W18" s="324" t="s">
        <v>282</v>
      </c>
      <c r="X18" s="324" t="s">
        <v>282</v>
      </c>
      <c r="Y18" s="325" t="s">
        <v>282</v>
      </c>
    </row>
    <row r="19" spans="1:25">
      <c r="A19" s="319">
        <v>1</v>
      </c>
      <c r="B19" s="320" t="str">
        <f>VLOOKUP(Tabel10[[#This Row],[Code]],Ruimtegroepen[[Code]:[Ruimte omschrijving]],2,FALSE)</f>
        <v>Magazijnen/bergingen</v>
      </c>
      <c r="C19" s="321" t="s">
        <v>292</v>
      </c>
      <c r="D19" s="320" t="s">
        <v>21</v>
      </c>
      <c r="E19" s="321" t="s">
        <v>102</v>
      </c>
      <c r="F19" s="321" t="s">
        <v>296</v>
      </c>
      <c r="G19" s="326" t="s">
        <v>282</v>
      </c>
      <c r="H19" s="322" t="s">
        <v>282</v>
      </c>
      <c r="I19" s="322" t="s">
        <v>18</v>
      </c>
      <c r="J19" s="322" t="s">
        <v>15</v>
      </c>
      <c r="K19" s="322" t="s">
        <v>249</v>
      </c>
      <c r="L19" s="322" t="s">
        <v>282</v>
      </c>
      <c r="M19" s="322" t="s">
        <v>282</v>
      </c>
      <c r="N19" s="322" t="s">
        <v>282</v>
      </c>
      <c r="O19" s="323" t="s">
        <v>282</v>
      </c>
      <c r="P19" s="323" t="s">
        <v>282</v>
      </c>
      <c r="Q19" s="323" t="s">
        <v>282</v>
      </c>
      <c r="R19" s="323" t="s">
        <v>282</v>
      </c>
      <c r="S19" s="323" t="s">
        <v>20</v>
      </c>
      <c r="T19" s="323" t="s">
        <v>283</v>
      </c>
      <c r="U19" s="323" t="s">
        <v>283</v>
      </c>
      <c r="V19" s="323" t="s">
        <v>282</v>
      </c>
      <c r="W19" s="324" t="s">
        <v>282</v>
      </c>
      <c r="X19" s="324" t="s">
        <v>282</v>
      </c>
      <c r="Y19" s="325" t="s">
        <v>282</v>
      </c>
    </row>
    <row r="20" spans="1:25">
      <c r="A20" s="319">
        <v>1</v>
      </c>
      <c r="B20" s="320" t="str">
        <f>VLOOKUP(Tabel10[[#This Row],[Code]],Ruimtegroepen[[Code]:[Ruimte omschrijving]],2,FALSE)</f>
        <v>Magazijnen/bergingen</v>
      </c>
      <c r="C20" s="321" t="s">
        <v>292</v>
      </c>
      <c r="D20" s="320" t="s">
        <v>21</v>
      </c>
      <c r="E20" s="321" t="s">
        <v>99</v>
      </c>
      <c r="F20" s="321" t="s">
        <v>294</v>
      </c>
      <c r="G20" s="322" t="s">
        <v>18</v>
      </c>
      <c r="H20" s="322" t="s">
        <v>15</v>
      </c>
      <c r="I20" s="322" t="s">
        <v>282</v>
      </c>
      <c r="J20" s="322" t="s">
        <v>282</v>
      </c>
      <c r="K20" s="322" t="s">
        <v>282</v>
      </c>
      <c r="L20" s="322" t="s">
        <v>282</v>
      </c>
      <c r="M20" s="322" t="s">
        <v>282</v>
      </c>
      <c r="N20" s="322" t="s">
        <v>282</v>
      </c>
      <c r="O20" s="323" t="s">
        <v>282</v>
      </c>
      <c r="P20" s="323" t="s">
        <v>282</v>
      </c>
      <c r="Q20" s="323" t="s">
        <v>282</v>
      </c>
      <c r="R20" s="323" t="s">
        <v>282</v>
      </c>
      <c r="S20" s="323" t="s">
        <v>20</v>
      </c>
      <c r="T20" s="323" t="s">
        <v>283</v>
      </c>
      <c r="U20" s="323" t="s">
        <v>283</v>
      </c>
      <c r="V20" s="323" t="s">
        <v>282</v>
      </c>
      <c r="W20" s="324" t="s">
        <v>282</v>
      </c>
      <c r="X20" s="324" t="s">
        <v>282</v>
      </c>
      <c r="Y20" s="325" t="s">
        <v>282</v>
      </c>
    </row>
    <row r="21" spans="1:25">
      <c r="A21" s="319">
        <v>1</v>
      </c>
      <c r="B21" s="320" t="str">
        <f>VLOOKUP(Tabel10[[#This Row],[Code]],Ruimtegroepen[[Code]:[Ruimte omschrijving]],2,FALSE)</f>
        <v>Magazijnen/bergingen</v>
      </c>
      <c r="C21" s="321" t="s">
        <v>292</v>
      </c>
      <c r="D21" s="320" t="s">
        <v>21</v>
      </c>
      <c r="E21" s="321" t="s">
        <v>1306</v>
      </c>
      <c r="F21" s="321" t="s">
        <v>1309</v>
      </c>
      <c r="G21" s="326" t="s">
        <v>282</v>
      </c>
      <c r="H21" s="322" t="s">
        <v>282</v>
      </c>
      <c r="I21" s="322" t="s">
        <v>18</v>
      </c>
      <c r="J21" s="322" t="s">
        <v>15</v>
      </c>
      <c r="K21" s="322" t="s">
        <v>249</v>
      </c>
      <c r="L21" s="322" t="s">
        <v>282</v>
      </c>
      <c r="M21" s="322" t="s">
        <v>282</v>
      </c>
      <c r="N21" s="322" t="s">
        <v>282</v>
      </c>
      <c r="O21" s="323" t="s">
        <v>282</v>
      </c>
      <c r="P21" s="323" t="s">
        <v>282</v>
      </c>
      <c r="Q21" s="323" t="s">
        <v>282</v>
      </c>
      <c r="R21" s="323" t="s">
        <v>282</v>
      </c>
      <c r="S21" s="323" t="s">
        <v>20</v>
      </c>
      <c r="T21" s="323" t="s">
        <v>283</v>
      </c>
      <c r="U21" s="323" t="s">
        <v>283</v>
      </c>
      <c r="V21" s="323" t="s">
        <v>282</v>
      </c>
      <c r="W21" s="324" t="s">
        <v>282</v>
      </c>
      <c r="X21" s="324" t="s">
        <v>282</v>
      </c>
      <c r="Y21" s="325" t="s">
        <v>282</v>
      </c>
    </row>
    <row r="22" spans="1:25">
      <c r="A22" s="319">
        <v>1</v>
      </c>
      <c r="B22" s="320" t="str">
        <f>VLOOKUP(Tabel10[[#This Row],[Code]],Ruimtegroepen[[Code]:[Ruimte omschrijving]],2,FALSE)</f>
        <v>Magazijnen/bergingen</v>
      </c>
      <c r="C22" s="321" t="s">
        <v>297</v>
      </c>
      <c r="D22" s="320" t="s">
        <v>12</v>
      </c>
      <c r="E22" s="321" t="s">
        <v>100</v>
      </c>
      <c r="F22" s="321" t="s">
        <v>298</v>
      </c>
      <c r="G22" s="326" t="s">
        <v>282</v>
      </c>
      <c r="H22" s="322" t="s">
        <v>282</v>
      </c>
      <c r="I22" s="322" t="s">
        <v>17</v>
      </c>
      <c r="J22" s="322" t="s">
        <v>15</v>
      </c>
      <c r="K22" s="322" t="s">
        <v>282</v>
      </c>
      <c r="L22" s="322" t="s">
        <v>282</v>
      </c>
      <c r="M22" s="322" t="s">
        <v>282</v>
      </c>
      <c r="N22" s="322" t="s">
        <v>282</v>
      </c>
      <c r="O22" s="323" t="s">
        <v>282</v>
      </c>
      <c r="P22" s="323" t="s">
        <v>282</v>
      </c>
      <c r="Q22" s="323" t="s">
        <v>282</v>
      </c>
      <c r="R22" s="323" t="s">
        <v>282</v>
      </c>
      <c r="S22" s="323" t="s">
        <v>18</v>
      </c>
      <c r="T22" s="323" t="s">
        <v>283</v>
      </c>
      <c r="U22" s="323" t="s">
        <v>283</v>
      </c>
      <c r="V22" s="323"/>
      <c r="W22" s="324" t="s">
        <v>282</v>
      </c>
      <c r="X22" s="324" t="s">
        <v>282</v>
      </c>
      <c r="Y22" s="325" t="s">
        <v>282</v>
      </c>
    </row>
    <row r="23" spans="1:25">
      <c r="A23" s="319">
        <v>1</v>
      </c>
      <c r="B23" s="320" t="str">
        <f>VLOOKUP(Tabel10[[#This Row],[Code]],Ruimtegroepen[[Code]:[Ruimte omschrijving]],2,FALSE)</f>
        <v>Magazijnen/bergingen</v>
      </c>
      <c r="C23" s="321" t="s">
        <v>297</v>
      </c>
      <c r="D23" s="320" t="s">
        <v>12</v>
      </c>
      <c r="E23" s="321" t="s">
        <v>99</v>
      </c>
      <c r="F23" s="321" t="s">
        <v>299</v>
      </c>
      <c r="G23" s="322" t="s">
        <v>17</v>
      </c>
      <c r="H23" s="322" t="s">
        <v>15</v>
      </c>
      <c r="I23" s="322" t="s">
        <v>282</v>
      </c>
      <c r="J23" s="322" t="s">
        <v>282</v>
      </c>
      <c r="K23" s="322" t="s">
        <v>282</v>
      </c>
      <c r="L23" s="322" t="s">
        <v>282</v>
      </c>
      <c r="M23" s="322" t="s">
        <v>282</v>
      </c>
      <c r="N23" s="322" t="s">
        <v>282</v>
      </c>
      <c r="O23" s="323" t="s">
        <v>282</v>
      </c>
      <c r="P23" s="323" t="s">
        <v>282</v>
      </c>
      <c r="Q23" s="323" t="s">
        <v>282</v>
      </c>
      <c r="R23" s="323" t="s">
        <v>282</v>
      </c>
      <c r="S23" s="323" t="s">
        <v>18</v>
      </c>
      <c r="T23" s="323" t="s">
        <v>283</v>
      </c>
      <c r="U23" s="323" t="s">
        <v>283</v>
      </c>
      <c r="V23" s="323" t="s">
        <v>282</v>
      </c>
      <c r="W23" s="324" t="s">
        <v>282</v>
      </c>
      <c r="X23" s="324" t="s">
        <v>282</v>
      </c>
      <c r="Y23" s="325" t="s">
        <v>282</v>
      </c>
    </row>
    <row r="24" spans="1:25">
      <c r="A24" s="319">
        <v>1</v>
      </c>
      <c r="B24" s="320" t="str">
        <f>VLOOKUP(Tabel10[[#This Row],[Code]],Ruimtegroepen[[Code]:[Ruimte omschrijving]],2,FALSE)</f>
        <v>Magazijnen/bergingen</v>
      </c>
      <c r="C24" s="321" t="s">
        <v>297</v>
      </c>
      <c r="D24" s="320" t="s">
        <v>12</v>
      </c>
      <c r="E24" s="321" t="s">
        <v>101</v>
      </c>
      <c r="F24" s="321" t="s">
        <v>300</v>
      </c>
      <c r="G24" s="326" t="s">
        <v>282</v>
      </c>
      <c r="H24" s="322" t="s">
        <v>282</v>
      </c>
      <c r="I24" s="322" t="s">
        <v>17</v>
      </c>
      <c r="J24" s="322" t="s">
        <v>15</v>
      </c>
      <c r="K24" s="322" t="s">
        <v>249</v>
      </c>
      <c r="L24" s="322" t="s">
        <v>282</v>
      </c>
      <c r="M24" s="322" t="s">
        <v>282</v>
      </c>
      <c r="N24" s="322" t="s">
        <v>282</v>
      </c>
      <c r="O24" s="323" t="s">
        <v>282</v>
      </c>
      <c r="P24" s="323" t="s">
        <v>282</v>
      </c>
      <c r="Q24" s="323" t="s">
        <v>282</v>
      </c>
      <c r="R24" s="323" t="s">
        <v>282</v>
      </c>
      <c r="S24" s="323" t="s">
        <v>18</v>
      </c>
      <c r="T24" s="323" t="s">
        <v>283</v>
      </c>
      <c r="U24" s="323" t="s">
        <v>283</v>
      </c>
      <c r="V24" s="323" t="s">
        <v>282</v>
      </c>
      <c r="W24" s="324" t="s">
        <v>282</v>
      </c>
      <c r="X24" s="324" t="s">
        <v>282</v>
      </c>
      <c r="Y24" s="325" t="s">
        <v>282</v>
      </c>
    </row>
    <row r="25" spans="1:25">
      <c r="A25" s="319">
        <v>1</v>
      </c>
      <c r="B25" s="320" t="str">
        <f>VLOOKUP(Tabel10[[#This Row],[Code]],Ruimtegroepen[[Code]:[Ruimte omschrijving]],2,FALSE)</f>
        <v>Magazijnen/bergingen</v>
      </c>
      <c r="C25" s="321" t="s">
        <v>297</v>
      </c>
      <c r="D25" s="320" t="s">
        <v>12</v>
      </c>
      <c r="E25" s="321" t="s">
        <v>102</v>
      </c>
      <c r="F25" s="321" t="s">
        <v>301</v>
      </c>
      <c r="G25" s="326" t="s">
        <v>282</v>
      </c>
      <c r="H25" s="322" t="s">
        <v>282</v>
      </c>
      <c r="I25" s="322" t="s">
        <v>17</v>
      </c>
      <c r="J25" s="322" t="s">
        <v>15</v>
      </c>
      <c r="K25" s="322" t="s">
        <v>249</v>
      </c>
      <c r="L25" s="322" t="s">
        <v>282</v>
      </c>
      <c r="M25" s="322" t="s">
        <v>282</v>
      </c>
      <c r="N25" s="322" t="s">
        <v>282</v>
      </c>
      <c r="O25" s="323" t="s">
        <v>282</v>
      </c>
      <c r="P25" s="323" t="s">
        <v>282</v>
      </c>
      <c r="Q25" s="323" t="s">
        <v>282</v>
      </c>
      <c r="R25" s="323" t="s">
        <v>282</v>
      </c>
      <c r="S25" s="323" t="s">
        <v>18</v>
      </c>
      <c r="T25" s="323" t="s">
        <v>283</v>
      </c>
      <c r="U25" s="323" t="s">
        <v>283</v>
      </c>
      <c r="V25" s="323" t="s">
        <v>282</v>
      </c>
      <c r="W25" s="324" t="s">
        <v>282</v>
      </c>
      <c r="X25" s="324" t="s">
        <v>282</v>
      </c>
      <c r="Y25" s="325" t="s">
        <v>282</v>
      </c>
    </row>
    <row r="26" spans="1:25">
      <c r="A26" s="319">
        <v>1</v>
      </c>
      <c r="B26" s="320" t="str">
        <f>VLOOKUP(Tabel10[[#This Row],[Code]],Ruimtegroepen[[Code]:[Ruimte omschrijving]],2,FALSE)</f>
        <v>Magazijnen/bergingen</v>
      </c>
      <c r="C26" s="321" t="s">
        <v>297</v>
      </c>
      <c r="D26" s="320" t="s">
        <v>12</v>
      </c>
      <c r="E26" s="321" t="s">
        <v>99</v>
      </c>
      <c r="F26" s="321" t="s">
        <v>299</v>
      </c>
      <c r="G26" s="322" t="s">
        <v>17</v>
      </c>
      <c r="H26" s="322" t="s">
        <v>15</v>
      </c>
      <c r="I26" s="322" t="s">
        <v>282</v>
      </c>
      <c r="J26" s="322" t="s">
        <v>282</v>
      </c>
      <c r="K26" s="322" t="s">
        <v>282</v>
      </c>
      <c r="L26" s="322" t="s">
        <v>282</v>
      </c>
      <c r="M26" s="322" t="s">
        <v>282</v>
      </c>
      <c r="N26" s="322" t="s">
        <v>282</v>
      </c>
      <c r="O26" s="323" t="s">
        <v>282</v>
      </c>
      <c r="P26" s="323" t="s">
        <v>282</v>
      </c>
      <c r="Q26" s="323" t="s">
        <v>282</v>
      </c>
      <c r="R26" s="323" t="s">
        <v>282</v>
      </c>
      <c r="S26" s="323" t="s">
        <v>18</v>
      </c>
      <c r="T26" s="323" t="s">
        <v>283</v>
      </c>
      <c r="U26" s="323" t="s">
        <v>283</v>
      </c>
      <c r="V26" s="323" t="s">
        <v>282</v>
      </c>
      <c r="W26" s="324" t="s">
        <v>282</v>
      </c>
      <c r="X26" s="324" t="s">
        <v>282</v>
      </c>
      <c r="Y26" s="325" t="s">
        <v>282</v>
      </c>
    </row>
    <row r="27" spans="1:25">
      <c r="A27" s="319">
        <v>1</v>
      </c>
      <c r="B27" s="320" t="str">
        <f>VLOOKUP(Tabel10[[#This Row],[Code]],Ruimtegroepen[[Code]:[Ruimte omschrijving]],2,FALSE)</f>
        <v>Magazijnen/bergingen</v>
      </c>
      <c r="C27" s="321" t="s">
        <v>297</v>
      </c>
      <c r="D27" s="320" t="s">
        <v>12</v>
      </c>
      <c r="E27" s="321" t="s">
        <v>1306</v>
      </c>
      <c r="F27" s="321" t="s">
        <v>1310</v>
      </c>
      <c r="G27" s="326" t="s">
        <v>282</v>
      </c>
      <c r="H27" s="322" t="s">
        <v>282</v>
      </c>
      <c r="I27" s="322" t="s">
        <v>17</v>
      </c>
      <c r="J27" s="322" t="s">
        <v>15</v>
      </c>
      <c r="K27" s="322" t="s">
        <v>249</v>
      </c>
      <c r="L27" s="322" t="s">
        <v>282</v>
      </c>
      <c r="M27" s="322" t="s">
        <v>282</v>
      </c>
      <c r="N27" s="322" t="s">
        <v>282</v>
      </c>
      <c r="O27" s="323" t="s">
        <v>282</v>
      </c>
      <c r="P27" s="323" t="s">
        <v>282</v>
      </c>
      <c r="Q27" s="323" t="s">
        <v>282</v>
      </c>
      <c r="R27" s="323" t="s">
        <v>282</v>
      </c>
      <c r="S27" s="323" t="s">
        <v>18</v>
      </c>
      <c r="T27" s="323" t="s">
        <v>283</v>
      </c>
      <c r="U27" s="323" t="s">
        <v>283</v>
      </c>
      <c r="V27" s="323" t="s">
        <v>282</v>
      </c>
      <c r="W27" s="324" t="s">
        <v>282</v>
      </c>
      <c r="X27" s="324" t="s">
        <v>282</v>
      </c>
      <c r="Y27" s="325" t="s">
        <v>282</v>
      </c>
    </row>
    <row r="28" spans="1:25">
      <c r="A28" s="319">
        <v>1</v>
      </c>
      <c r="B28" s="320" t="str">
        <f>VLOOKUP(Tabel10[[#This Row],[Code]],Ruimtegroepen[[Code]:[Ruimte omschrijving]],2,FALSE)</f>
        <v>Magazijnen/bergingen</v>
      </c>
      <c r="C28" s="321" t="s">
        <v>302</v>
      </c>
      <c r="D28" s="320" t="s">
        <v>14</v>
      </c>
      <c r="E28" s="321" t="s">
        <v>100</v>
      </c>
      <c r="F28" s="321" t="s">
        <v>303</v>
      </c>
      <c r="G28" s="326" t="s">
        <v>282</v>
      </c>
      <c r="H28" s="322" t="s">
        <v>282</v>
      </c>
      <c r="I28" s="322" t="s">
        <v>15</v>
      </c>
      <c r="J28" s="322" t="s">
        <v>15</v>
      </c>
      <c r="K28" s="322" t="s">
        <v>282</v>
      </c>
      <c r="L28" s="322" t="s">
        <v>282</v>
      </c>
      <c r="M28" s="322" t="s">
        <v>282</v>
      </c>
      <c r="N28" s="322" t="s">
        <v>282</v>
      </c>
      <c r="O28" s="323" t="s">
        <v>282</v>
      </c>
      <c r="P28" s="323" t="s">
        <v>282</v>
      </c>
      <c r="Q28" s="323" t="s">
        <v>282</v>
      </c>
      <c r="R28" s="323" t="s">
        <v>282</v>
      </c>
      <c r="S28" s="323" t="s">
        <v>17</v>
      </c>
      <c r="T28" s="323" t="s">
        <v>283</v>
      </c>
      <c r="U28" s="323" t="s">
        <v>283</v>
      </c>
      <c r="V28" s="323" t="s">
        <v>282</v>
      </c>
      <c r="W28" s="324" t="s">
        <v>282</v>
      </c>
      <c r="X28" s="324" t="s">
        <v>282</v>
      </c>
      <c r="Y28" s="325" t="s">
        <v>282</v>
      </c>
    </row>
    <row r="29" spans="1:25">
      <c r="A29" s="319">
        <v>1</v>
      </c>
      <c r="B29" s="320" t="str">
        <f>VLOOKUP(Tabel10[[#This Row],[Code]],Ruimtegroepen[[Code]:[Ruimte omschrijving]],2,FALSE)</f>
        <v>Magazijnen/bergingen</v>
      </c>
      <c r="C29" s="321" t="s">
        <v>302</v>
      </c>
      <c r="D29" s="320" t="s">
        <v>14</v>
      </c>
      <c r="E29" s="321" t="s">
        <v>99</v>
      </c>
      <c r="F29" s="321" t="s">
        <v>304</v>
      </c>
      <c r="G29" s="322" t="s">
        <v>15</v>
      </c>
      <c r="H29" s="322" t="s">
        <v>15</v>
      </c>
      <c r="I29" s="322" t="s">
        <v>282</v>
      </c>
      <c r="J29" s="322" t="s">
        <v>282</v>
      </c>
      <c r="K29" s="322" t="s">
        <v>282</v>
      </c>
      <c r="L29" s="322" t="s">
        <v>282</v>
      </c>
      <c r="M29" s="322" t="s">
        <v>282</v>
      </c>
      <c r="N29" s="322" t="s">
        <v>282</v>
      </c>
      <c r="O29" s="323" t="s">
        <v>282</v>
      </c>
      <c r="P29" s="323" t="s">
        <v>282</v>
      </c>
      <c r="Q29" s="323" t="s">
        <v>282</v>
      </c>
      <c r="R29" s="323" t="s">
        <v>282</v>
      </c>
      <c r="S29" s="323" t="s">
        <v>17</v>
      </c>
      <c r="T29" s="323" t="s">
        <v>283</v>
      </c>
      <c r="U29" s="323" t="s">
        <v>283</v>
      </c>
      <c r="V29" s="323" t="s">
        <v>282</v>
      </c>
      <c r="W29" s="324" t="s">
        <v>282</v>
      </c>
      <c r="X29" s="324" t="s">
        <v>282</v>
      </c>
      <c r="Y29" s="325" t="s">
        <v>282</v>
      </c>
    </row>
    <row r="30" spans="1:25">
      <c r="A30" s="319">
        <v>1</v>
      </c>
      <c r="B30" s="320" t="str">
        <f>VLOOKUP(Tabel10[[#This Row],[Code]],Ruimtegroepen[[Code]:[Ruimte omschrijving]],2,FALSE)</f>
        <v>Magazijnen/bergingen</v>
      </c>
      <c r="C30" s="321" t="s">
        <v>302</v>
      </c>
      <c r="D30" s="320" t="s">
        <v>14</v>
      </c>
      <c r="E30" s="321" t="s">
        <v>101</v>
      </c>
      <c r="F30" s="321" t="s">
        <v>305</v>
      </c>
      <c r="G30" s="326" t="s">
        <v>282</v>
      </c>
      <c r="H30" s="322" t="s">
        <v>282</v>
      </c>
      <c r="I30" s="322" t="s">
        <v>15</v>
      </c>
      <c r="J30" s="322" t="s">
        <v>15</v>
      </c>
      <c r="K30" s="322" t="s">
        <v>249</v>
      </c>
      <c r="L30" s="322" t="s">
        <v>282</v>
      </c>
      <c r="M30" s="322" t="s">
        <v>282</v>
      </c>
      <c r="N30" s="322" t="s">
        <v>282</v>
      </c>
      <c r="O30" s="323" t="s">
        <v>282</v>
      </c>
      <c r="P30" s="323" t="s">
        <v>282</v>
      </c>
      <c r="Q30" s="323" t="s">
        <v>282</v>
      </c>
      <c r="R30" s="323" t="s">
        <v>282</v>
      </c>
      <c r="S30" s="323" t="s">
        <v>17</v>
      </c>
      <c r="T30" s="323" t="s">
        <v>283</v>
      </c>
      <c r="U30" s="323" t="s">
        <v>283</v>
      </c>
      <c r="V30" s="323" t="s">
        <v>282</v>
      </c>
      <c r="W30" s="324" t="s">
        <v>282</v>
      </c>
      <c r="X30" s="324" t="s">
        <v>282</v>
      </c>
      <c r="Y30" s="325" t="s">
        <v>282</v>
      </c>
    </row>
    <row r="31" spans="1:25">
      <c r="A31" s="319">
        <v>1</v>
      </c>
      <c r="B31" s="320" t="str">
        <f>VLOOKUP(Tabel10[[#This Row],[Code]],Ruimtegroepen[[Code]:[Ruimte omschrijving]],2,FALSE)</f>
        <v>Magazijnen/bergingen</v>
      </c>
      <c r="C31" s="321" t="s">
        <v>302</v>
      </c>
      <c r="D31" s="320" t="s">
        <v>14</v>
      </c>
      <c r="E31" s="321" t="s">
        <v>102</v>
      </c>
      <c r="F31" s="321" t="s">
        <v>306</v>
      </c>
      <c r="G31" s="326" t="s">
        <v>282</v>
      </c>
      <c r="H31" s="322" t="s">
        <v>282</v>
      </c>
      <c r="I31" s="322" t="s">
        <v>15</v>
      </c>
      <c r="J31" s="322" t="s">
        <v>15</v>
      </c>
      <c r="K31" s="322" t="s">
        <v>249</v>
      </c>
      <c r="L31" s="322" t="s">
        <v>282</v>
      </c>
      <c r="M31" s="322" t="s">
        <v>282</v>
      </c>
      <c r="N31" s="322" t="s">
        <v>282</v>
      </c>
      <c r="O31" s="323" t="s">
        <v>282</v>
      </c>
      <c r="P31" s="323" t="s">
        <v>282</v>
      </c>
      <c r="Q31" s="323" t="s">
        <v>282</v>
      </c>
      <c r="R31" s="323" t="s">
        <v>282</v>
      </c>
      <c r="S31" s="323" t="s">
        <v>17</v>
      </c>
      <c r="T31" s="323" t="s">
        <v>283</v>
      </c>
      <c r="U31" s="323" t="s">
        <v>283</v>
      </c>
      <c r="V31" s="323" t="s">
        <v>282</v>
      </c>
      <c r="W31" s="324" t="s">
        <v>282</v>
      </c>
      <c r="X31" s="324" t="s">
        <v>282</v>
      </c>
      <c r="Y31" s="325" t="s">
        <v>282</v>
      </c>
    </row>
    <row r="32" spans="1:25">
      <c r="A32" s="319">
        <v>1</v>
      </c>
      <c r="B32" s="320" t="str">
        <f>VLOOKUP(Tabel10[[#This Row],[Code]],Ruimtegroepen[[Code]:[Ruimte omschrijving]],2,FALSE)</f>
        <v>Magazijnen/bergingen</v>
      </c>
      <c r="C32" s="321" t="s">
        <v>302</v>
      </c>
      <c r="D32" s="320" t="s">
        <v>14</v>
      </c>
      <c r="E32" s="321" t="s">
        <v>99</v>
      </c>
      <c r="F32" s="321" t="s">
        <v>304</v>
      </c>
      <c r="G32" s="322" t="s">
        <v>15</v>
      </c>
      <c r="H32" s="322" t="s">
        <v>15</v>
      </c>
      <c r="I32" s="322" t="s">
        <v>282</v>
      </c>
      <c r="J32" s="322" t="s">
        <v>282</v>
      </c>
      <c r="K32" s="322" t="s">
        <v>282</v>
      </c>
      <c r="L32" s="322" t="s">
        <v>282</v>
      </c>
      <c r="M32" s="322" t="s">
        <v>282</v>
      </c>
      <c r="N32" s="322" t="s">
        <v>282</v>
      </c>
      <c r="O32" s="323" t="s">
        <v>282</v>
      </c>
      <c r="P32" s="323" t="s">
        <v>282</v>
      </c>
      <c r="Q32" s="323" t="s">
        <v>282</v>
      </c>
      <c r="R32" s="323" t="s">
        <v>282</v>
      </c>
      <c r="S32" s="323" t="s">
        <v>17</v>
      </c>
      <c r="T32" s="323" t="s">
        <v>283</v>
      </c>
      <c r="U32" s="323" t="s">
        <v>283</v>
      </c>
      <c r="V32" s="323" t="s">
        <v>282</v>
      </c>
      <c r="W32" s="324" t="s">
        <v>282</v>
      </c>
      <c r="X32" s="324" t="s">
        <v>282</v>
      </c>
      <c r="Y32" s="325" t="s">
        <v>282</v>
      </c>
    </row>
    <row r="33" spans="1:25">
      <c r="A33" s="319">
        <v>1</v>
      </c>
      <c r="B33" s="320" t="str">
        <f>VLOOKUP(Tabel10[[#This Row],[Code]],Ruimtegroepen[[Code]:[Ruimte omschrijving]],2,FALSE)</f>
        <v>Magazijnen/bergingen</v>
      </c>
      <c r="C33" s="321" t="s">
        <v>302</v>
      </c>
      <c r="D33" s="320" t="s">
        <v>14</v>
      </c>
      <c r="E33" s="321" t="s">
        <v>1306</v>
      </c>
      <c r="F33" s="321" t="s">
        <v>1311</v>
      </c>
      <c r="G33" s="326" t="s">
        <v>282</v>
      </c>
      <c r="H33" s="322" t="s">
        <v>282</v>
      </c>
      <c r="I33" s="322" t="s">
        <v>15</v>
      </c>
      <c r="J33" s="322" t="s">
        <v>15</v>
      </c>
      <c r="K33" s="322" t="s">
        <v>249</v>
      </c>
      <c r="L33" s="322" t="s">
        <v>282</v>
      </c>
      <c r="M33" s="322" t="s">
        <v>282</v>
      </c>
      <c r="N33" s="322" t="s">
        <v>282</v>
      </c>
      <c r="O33" s="323" t="s">
        <v>282</v>
      </c>
      <c r="P33" s="323" t="s">
        <v>282</v>
      </c>
      <c r="Q33" s="323" t="s">
        <v>282</v>
      </c>
      <c r="R33" s="323" t="s">
        <v>282</v>
      </c>
      <c r="S33" s="323" t="s">
        <v>17</v>
      </c>
      <c r="T33" s="323" t="s">
        <v>283</v>
      </c>
      <c r="U33" s="323" t="s">
        <v>283</v>
      </c>
      <c r="V33" s="323" t="s">
        <v>282</v>
      </c>
      <c r="W33" s="324" t="s">
        <v>282</v>
      </c>
      <c r="X33" s="324" t="s">
        <v>282</v>
      </c>
      <c r="Y33" s="325" t="s">
        <v>282</v>
      </c>
    </row>
    <row r="34" spans="1:25">
      <c r="A34" s="319">
        <v>1</v>
      </c>
      <c r="B34" s="320" t="str">
        <f>VLOOKUP(Tabel10[[#This Row],[Code]],Ruimtegroepen[[Code]:[Ruimte omschrijving]],2,FALSE)</f>
        <v>Magazijnen/bergingen</v>
      </c>
      <c r="C34" s="321" t="s">
        <v>307</v>
      </c>
      <c r="D34" s="320" t="s">
        <v>13</v>
      </c>
      <c r="E34" s="321" t="s">
        <v>100</v>
      </c>
      <c r="F34" s="321" t="s">
        <v>308</v>
      </c>
      <c r="G34" s="326" t="s">
        <v>282</v>
      </c>
      <c r="H34" s="322" t="s">
        <v>282</v>
      </c>
      <c r="I34" s="322" t="s">
        <v>15</v>
      </c>
      <c r="J34" s="322" t="s">
        <v>15</v>
      </c>
      <c r="K34" s="322" t="s">
        <v>282</v>
      </c>
      <c r="L34" s="322" t="s">
        <v>282</v>
      </c>
      <c r="M34" s="322" t="s">
        <v>282</v>
      </c>
      <c r="N34" s="322" t="s">
        <v>282</v>
      </c>
      <c r="O34" s="323" t="s">
        <v>282</v>
      </c>
      <c r="P34" s="323" t="s">
        <v>282</v>
      </c>
      <c r="Q34" s="323" t="s">
        <v>282</v>
      </c>
      <c r="R34" s="323" t="s">
        <v>282</v>
      </c>
      <c r="S34" s="323" t="s">
        <v>15</v>
      </c>
      <c r="T34" s="323" t="s">
        <v>283</v>
      </c>
      <c r="U34" s="323" t="s">
        <v>283</v>
      </c>
      <c r="V34" s="323" t="s">
        <v>282</v>
      </c>
      <c r="W34" s="324" t="s">
        <v>282</v>
      </c>
      <c r="X34" s="324" t="s">
        <v>282</v>
      </c>
      <c r="Y34" s="325" t="s">
        <v>282</v>
      </c>
    </row>
    <row r="35" spans="1:25">
      <c r="A35" s="319">
        <v>1</v>
      </c>
      <c r="B35" s="320" t="str">
        <f>VLOOKUP(Tabel10[[#This Row],[Code]],Ruimtegroepen[[Code]:[Ruimte omschrijving]],2,FALSE)</f>
        <v>Magazijnen/bergingen</v>
      </c>
      <c r="C35" s="321" t="s">
        <v>307</v>
      </c>
      <c r="D35" s="320" t="s">
        <v>13</v>
      </c>
      <c r="E35" s="321" t="s">
        <v>99</v>
      </c>
      <c r="F35" s="321" t="s">
        <v>309</v>
      </c>
      <c r="G35" s="326" t="s">
        <v>282</v>
      </c>
      <c r="H35" s="322" t="s">
        <v>15</v>
      </c>
      <c r="I35" s="322" t="s">
        <v>282</v>
      </c>
      <c r="J35" s="322" t="s">
        <v>282</v>
      </c>
      <c r="K35" s="322" t="s">
        <v>282</v>
      </c>
      <c r="L35" s="322" t="s">
        <v>282</v>
      </c>
      <c r="M35" s="322" t="s">
        <v>282</v>
      </c>
      <c r="N35" s="322" t="s">
        <v>282</v>
      </c>
      <c r="O35" s="323" t="s">
        <v>282</v>
      </c>
      <c r="P35" s="323" t="s">
        <v>282</v>
      </c>
      <c r="Q35" s="323" t="s">
        <v>282</v>
      </c>
      <c r="R35" s="323" t="s">
        <v>282</v>
      </c>
      <c r="S35" s="323" t="s">
        <v>15</v>
      </c>
      <c r="T35" s="323" t="s">
        <v>283</v>
      </c>
      <c r="U35" s="323" t="s">
        <v>283</v>
      </c>
      <c r="V35" s="323" t="s">
        <v>282</v>
      </c>
      <c r="W35" s="324" t="s">
        <v>282</v>
      </c>
      <c r="X35" s="324" t="s">
        <v>282</v>
      </c>
      <c r="Y35" s="325" t="s">
        <v>282</v>
      </c>
    </row>
    <row r="36" spans="1:25">
      <c r="A36" s="319">
        <v>1</v>
      </c>
      <c r="B36" s="320" t="str">
        <f>VLOOKUP(Tabel10[[#This Row],[Code]],Ruimtegroepen[[Code]:[Ruimte omschrijving]],2,FALSE)</f>
        <v>Magazijnen/bergingen</v>
      </c>
      <c r="C36" s="321" t="s">
        <v>307</v>
      </c>
      <c r="D36" s="320" t="s">
        <v>13</v>
      </c>
      <c r="E36" s="321" t="s">
        <v>101</v>
      </c>
      <c r="F36" s="321" t="s">
        <v>310</v>
      </c>
      <c r="G36" s="326" t="s">
        <v>282</v>
      </c>
      <c r="H36" s="322" t="s">
        <v>282</v>
      </c>
      <c r="I36" s="322" t="s">
        <v>282</v>
      </c>
      <c r="J36" s="322" t="s">
        <v>15</v>
      </c>
      <c r="K36" s="322" t="s">
        <v>249</v>
      </c>
      <c r="L36" s="322" t="s">
        <v>282</v>
      </c>
      <c r="M36" s="322" t="s">
        <v>282</v>
      </c>
      <c r="N36" s="322" t="s">
        <v>282</v>
      </c>
      <c r="O36" s="323" t="s">
        <v>282</v>
      </c>
      <c r="P36" s="323" t="s">
        <v>282</v>
      </c>
      <c r="Q36" s="323" t="s">
        <v>282</v>
      </c>
      <c r="R36" s="323" t="s">
        <v>282</v>
      </c>
      <c r="S36" s="323" t="s">
        <v>15</v>
      </c>
      <c r="T36" s="323" t="s">
        <v>283</v>
      </c>
      <c r="U36" s="323" t="s">
        <v>283</v>
      </c>
      <c r="V36" s="323" t="s">
        <v>282</v>
      </c>
      <c r="W36" s="324" t="s">
        <v>282</v>
      </c>
      <c r="X36" s="324" t="s">
        <v>282</v>
      </c>
      <c r="Y36" s="325" t="s">
        <v>282</v>
      </c>
    </row>
    <row r="37" spans="1:25">
      <c r="A37" s="319">
        <v>1</v>
      </c>
      <c r="B37" s="320" t="str">
        <f>VLOOKUP(Tabel10[[#This Row],[Code]],Ruimtegroepen[[Code]:[Ruimte omschrijving]],2,FALSE)</f>
        <v>Magazijnen/bergingen</v>
      </c>
      <c r="C37" s="321" t="s">
        <v>307</v>
      </c>
      <c r="D37" s="320" t="s">
        <v>13</v>
      </c>
      <c r="E37" s="321" t="s">
        <v>102</v>
      </c>
      <c r="F37" s="321" t="s">
        <v>311</v>
      </c>
      <c r="G37" s="326" t="s">
        <v>282</v>
      </c>
      <c r="H37" s="322" t="s">
        <v>282</v>
      </c>
      <c r="I37" s="322" t="s">
        <v>15</v>
      </c>
      <c r="J37" s="322" t="s">
        <v>15</v>
      </c>
      <c r="K37" s="322" t="s">
        <v>249</v>
      </c>
      <c r="L37" s="322" t="s">
        <v>282</v>
      </c>
      <c r="M37" s="322" t="s">
        <v>282</v>
      </c>
      <c r="N37" s="322" t="s">
        <v>282</v>
      </c>
      <c r="O37" s="323" t="s">
        <v>282</v>
      </c>
      <c r="P37" s="323" t="s">
        <v>282</v>
      </c>
      <c r="Q37" s="323" t="s">
        <v>282</v>
      </c>
      <c r="R37" s="323" t="s">
        <v>282</v>
      </c>
      <c r="S37" s="323" t="s">
        <v>15</v>
      </c>
      <c r="T37" s="323" t="s">
        <v>283</v>
      </c>
      <c r="U37" s="323" t="s">
        <v>283</v>
      </c>
      <c r="V37" s="323" t="s">
        <v>282</v>
      </c>
      <c r="W37" s="324" t="s">
        <v>282</v>
      </c>
      <c r="X37" s="324" t="s">
        <v>282</v>
      </c>
      <c r="Y37" s="325" t="s">
        <v>282</v>
      </c>
    </row>
    <row r="38" spans="1:25">
      <c r="A38" s="319">
        <v>1</v>
      </c>
      <c r="B38" s="320" t="str">
        <f>VLOOKUP(Tabel10[[#This Row],[Code]],Ruimtegroepen[[Code]:[Ruimte omschrijving]],2,FALSE)</f>
        <v>Magazijnen/bergingen</v>
      </c>
      <c r="C38" s="321" t="s">
        <v>307</v>
      </c>
      <c r="D38" s="320" t="s">
        <v>13</v>
      </c>
      <c r="E38" s="321" t="s">
        <v>99</v>
      </c>
      <c r="F38" s="321" t="s">
        <v>309</v>
      </c>
      <c r="G38" s="326" t="s">
        <v>282</v>
      </c>
      <c r="H38" s="322" t="s">
        <v>15</v>
      </c>
      <c r="I38" s="322" t="s">
        <v>282</v>
      </c>
      <c r="J38" s="322" t="s">
        <v>282</v>
      </c>
      <c r="K38" s="322" t="s">
        <v>282</v>
      </c>
      <c r="L38" s="322" t="s">
        <v>282</v>
      </c>
      <c r="M38" s="322" t="s">
        <v>282</v>
      </c>
      <c r="N38" s="322" t="s">
        <v>282</v>
      </c>
      <c r="O38" s="323" t="s">
        <v>282</v>
      </c>
      <c r="P38" s="323" t="s">
        <v>282</v>
      </c>
      <c r="Q38" s="323" t="s">
        <v>282</v>
      </c>
      <c r="R38" s="323" t="s">
        <v>282</v>
      </c>
      <c r="S38" s="323" t="s">
        <v>15</v>
      </c>
      <c r="T38" s="323" t="s">
        <v>283</v>
      </c>
      <c r="U38" s="323" t="s">
        <v>283</v>
      </c>
      <c r="V38" s="323" t="s">
        <v>282</v>
      </c>
      <c r="W38" s="324" t="s">
        <v>282</v>
      </c>
      <c r="X38" s="324" t="s">
        <v>282</v>
      </c>
      <c r="Y38" s="325" t="s">
        <v>282</v>
      </c>
    </row>
    <row r="39" spans="1:25">
      <c r="A39" s="319">
        <v>1</v>
      </c>
      <c r="B39" s="320" t="str">
        <f>VLOOKUP(Tabel10[[#This Row],[Code]],Ruimtegroepen[[Code]:[Ruimte omschrijving]],2,FALSE)</f>
        <v>Magazijnen/bergingen</v>
      </c>
      <c r="C39" s="321" t="s">
        <v>307</v>
      </c>
      <c r="D39" s="320" t="s">
        <v>13</v>
      </c>
      <c r="E39" s="321" t="s">
        <v>1306</v>
      </c>
      <c r="F39" s="321" t="s">
        <v>1312</v>
      </c>
      <c r="G39" s="326" t="s">
        <v>282</v>
      </c>
      <c r="H39" s="322" t="s">
        <v>282</v>
      </c>
      <c r="I39" s="322" t="s">
        <v>15</v>
      </c>
      <c r="J39" s="322" t="s">
        <v>15</v>
      </c>
      <c r="K39" s="322" t="s">
        <v>249</v>
      </c>
      <c r="L39" s="322" t="s">
        <v>282</v>
      </c>
      <c r="M39" s="322" t="s">
        <v>282</v>
      </c>
      <c r="N39" s="322" t="s">
        <v>282</v>
      </c>
      <c r="O39" s="323" t="s">
        <v>282</v>
      </c>
      <c r="P39" s="323" t="s">
        <v>282</v>
      </c>
      <c r="Q39" s="323" t="s">
        <v>282</v>
      </c>
      <c r="R39" s="323" t="s">
        <v>282</v>
      </c>
      <c r="S39" s="323" t="s">
        <v>15</v>
      </c>
      <c r="T39" s="323" t="s">
        <v>283</v>
      </c>
      <c r="U39" s="323" t="s">
        <v>283</v>
      </c>
      <c r="V39" s="323" t="s">
        <v>282</v>
      </c>
      <c r="W39" s="324" t="s">
        <v>282</v>
      </c>
      <c r="X39" s="324" t="s">
        <v>282</v>
      </c>
      <c r="Y39" s="325" t="s">
        <v>282</v>
      </c>
    </row>
    <row r="40" spans="1:25">
      <c r="A40" s="319">
        <v>1</v>
      </c>
      <c r="B40" s="320" t="str">
        <f>VLOOKUP(Tabel10[[#This Row],[Code]],Ruimtegroepen[[Code]:[Ruimte omschrijving]],2,FALSE)</f>
        <v>Magazijnen/bergingen</v>
      </c>
      <c r="C40" s="321" t="s">
        <v>312</v>
      </c>
      <c r="D40" s="320" t="s">
        <v>0</v>
      </c>
      <c r="E40" s="321" t="s">
        <v>100</v>
      </c>
      <c r="F40" s="321" t="s">
        <v>313</v>
      </c>
      <c r="G40" s="326" t="s">
        <v>282</v>
      </c>
      <c r="H40" s="322" t="s">
        <v>282</v>
      </c>
      <c r="I40" s="322" t="s">
        <v>16</v>
      </c>
      <c r="J40" s="322" t="s">
        <v>16</v>
      </c>
      <c r="K40" s="322" t="s">
        <v>282</v>
      </c>
      <c r="L40" s="322" t="s">
        <v>282</v>
      </c>
      <c r="M40" s="322" t="s">
        <v>282</v>
      </c>
      <c r="N40" s="322" t="s">
        <v>282</v>
      </c>
      <c r="O40" s="323" t="s">
        <v>282</v>
      </c>
      <c r="P40" s="323" t="s">
        <v>282</v>
      </c>
      <c r="Q40" s="323" t="s">
        <v>282</v>
      </c>
      <c r="R40" s="323" t="s">
        <v>282</v>
      </c>
      <c r="S40" s="323" t="s">
        <v>16</v>
      </c>
      <c r="T40" s="323" t="s">
        <v>283</v>
      </c>
      <c r="U40" s="323" t="s">
        <v>283</v>
      </c>
      <c r="V40" s="323" t="s">
        <v>282</v>
      </c>
      <c r="W40" s="324" t="s">
        <v>282</v>
      </c>
      <c r="X40" s="324" t="s">
        <v>282</v>
      </c>
      <c r="Y40" s="325" t="s">
        <v>282</v>
      </c>
    </row>
    <row r="41" spans="1:25">
      <c r="A41" s="319">
        <v>1</v>
      </c>
      <c r="B41" s="320" t="str">
        <f>VLOOKUP(Tabel10[[#This Row],[Code]],Ruimtegroepen[[Code]:[Ruimte omschrijving]],2,FALSE)</f>
        <v>Magazijnen/bergingen</v>
      </c>
      <c r="C41" s="321" t="s">
        <v>312</v>
      </c>
      <c r="D41" s="320" t="s">
        <v>0</v>
      </c>
      <c r="E41" s="321" t="s">
        <v>99</v>
      </c>
      <c r="F41" s="321" t="s">
        <v>314</v>
      </c>
      <c r="G41" s="326" t="s">
        <v>282</v>
      </c>
      <c r="H41" s="322" t="s">
        <v>16</v>
      </c>
      <c r="I41" s="322" t="s">
        <v>282</v>
      </c>
      <c r="J41" s="322" t="s">
        <v>282</v>
      </c>
      <c r="K41" s="322" t="s">
        <v>282</v>
      </c>
      <c r="L41" s="322" t="s">
        <v>282</v>
      </c>
      <c r="M41" s="322" t="s">
        <v>282</v>
      </c>
      <c r="N41" s="322" t="s">
        <v>282</v>
      </c>
      <c r="O41" s="323" t="s">
        <v>282</v>
      </c>
      <c r="P41" s="323" t="s">
        <v>282</v>
      </c>
      <c r="Q41" s="323" t="s">
        <v>282</v>
      </c>
      <c r="R41" s="323" t="s">
        <v>282</v>
      </c>
      <c r="S41" s="323" t="s">
        <v>16</v>
      </c>
      <c r="T41" s="323" t="s">
        <v>283</v>
      </c>
      <c r="U41" s="323" t="s">
        <v>283</v>
      </c>
      <c r="V41" s="323" t="s">
        <v>282</v>
      </c>
      <c r="W41" s="324" t="s">
        <v>282</v>
      </c>
      <c r="X41" s="324" t="s">
        <v>282</v>
      </c>
      <c r="Y41" s="325" t="s">
        <v>282</v>
      </c>
    </row>
    <row r="42" spans="1:25">
      <c r="A42" s="319">
        <v>1</v>
      </c>
      <c r="B42" s="320" t="str">
        <f>VLOOKUP(Tabel10[[#This Row],[Code]],Ruimtegroepen[[Code]:[Ruimte omschrijving]],2,FALSE)</f>
        <v>Magazijnen/bergingen</v>
      </c>
      <c r="C42" s="321" t="s">
        <v>312</v>
      </c>
      <c r="D42" s="320" t="s">
        <v>0</v>
      </c>
      <c r="E42" s="321" t="s">
        <v>101</v>
      </c>
      <c r="F42" s="321" t="s">
        <v>315</v>
      </c>
      <c r="G42" s="326" t="s">
        <v>282</v>
      </c>
      <c r="H42" s="322" t="s">
        <v>282</v>
      </c>
      <c r="I42" s="322" t="s">
        <v>282</v>
      </c>
      <c r="J42" s="322" t="s">
        <v>16</v>
      </c>
      <c r="K42" s="322" t="s">
        <v>249</v>
      </c>
      <c r="L42" s="322" t="s">
        <v>282</v>
      </c>
      <c r="M42" s="322" t="s">
        <v>282</v>
      </c>
      <c r="N42" s="322" t="s">
        <v>282</v>
      </c>
      <c r="O42" s="323" t="s">
        <v>282</v>
      </c>
      <c r="P42" s="323" t="s">
        <v>282</v>
      </c>
      <c r="Q42" s="323" t="s">
        <v>282</v>
      </c>
      <c r="R42" s="323" t="s">
        <v>282</v>
      </c>
      <c r="S42" s="323" t="s">
        <v>16</v>
      </c>
      <c r="T42" s="323" t="s">
        <v>283</v>
      </c>
      <c r="U42" s="323" t="s">
        <v>283</v>
      </c>
      <c r="V42" s="323" t="s">
        <v>282</v>
      </c>
      <c r="W42" s="324" t="s">
        <v>282</v>
      </c>
      <c r="X42" s="324" t="s">
        <v>282</v>
      </c>
      <c r="Y42" s="325" t="s">
        <v>282</v>
      </c>
    </row>
    <row r="43" spans="1:25">
      <c r="A43" s="319">
        <v>1</v>
      </c>
      <c r="B43" s="320" t="str">
        <f>VLOOKUP(Tabel10[[#This Row],[Code]],Ruimtegroepen[[Code]:[Ruimte omschrijving]],2,FALSE)</f>
        <v>Magazijnen/bergingen</v>
      </c>
      <c r="C43" s="321" t="s">
        <v>312</v>
      </c>
      <c r="D43" s="320" t="s">
        <v>0</v>
      </c>
      <c r="E43" s="321" t="s">
        <v>102</v>
      </c>
      <c r="F43" s="321" t="s">
        <v>316</v>
      </c>
      <c r="G43" s="326" t="s">
        <v>282</v>
      </c>
      <c r="H43" s="322" t="s">
        <v>282</v>
      </c>
      <c r="I43" s="322" t="s">
        <v>16</v>
      </c>
      <c r="J43" s="322" t="s">
        <v>16</v>
      </c>
      <c r="K43" s="322" t="s">
        <v>249</v>
      </c>
      <c r="L43" s="322" t="s">
        <v>282</v>
      </c>
      <c r="M43" s="322" t="s">
        <v>282</v>
      </c>
      <c r="N43" s="322" t="s">
        <v>282</v>
      </c>
      <c r="O43" s="323" t="s">
        <v>282</v>
      </c>
      <c r="P43" s="323" t="s">
        <v>282</v>
      </c>
      <c r="Q43" s="323" t="s">
        <v>282</v>
      </c>
      <c r="R43" s="323" t="s">
        <v>282</v>
      </c>
      <c r="S43" s="323" t="s">
        <v>16</v>
      </c>
      <c r="T43" s="323" t="s">
        <v>283</v>
      </c>
      <c r="U43" s="323" t="s">
        <v>283</v>
      </c>
      <c r="V43" s="323" t="s">
        <v>282</v>
      </c>
      <c r="W43" s="324" t="s">
        <v>282</v>
      </c>
      <c r="X43" s="324" t="s">
        <v>282</v>
      </c>
      <c r="Y43" s="325" t="s">
        <v>282</v>
      </c>
    </row>
    <row r="44" spans="1:25">
      <c r="A44" s="319">
        <v>1</v>
      </c>
      <c r="B44" s="320" t="str">
        <f>VLOOKUP(Tabel10[[#This Row],[Code]],Ruimtegroepen[[Code]:[Ruimte omschrijving]],2,FALSE)</f>
        <v>Magazijnen/bergingen</v>
      </c>
      <c r="C44" s="321" t="s">
        <v>312</v>
      </c>
      <c r="D44" s="320" t="s">
        <v>0</v>
      </c>
      <c r="E44" s="321" t="s">
        <v>99</v>
      </c>
      <c r="F44" s="321" t="s">
        <v>314</v>
      </c>
      <c r="G44" s="326" t="s">
        <v>282</v>
      </c>
      <c r="H44" s="322" t="s">
        <v>16</v>
      </c>
      <c r="I44" s="322" t="s">
        <v>282</v>
      </c>
      <c r="J44" s="322" t="s">
        <v>282</v>
      </c>
      <c r="K44" s="322" t="s">
        <v>282</v>
      </c>
      <c r="L44" s="322" t="s">
        <v>282</v>
      </c>
      <c r="M44" s="322" t="s">
        <v>282</v>
      </c>
      <c r="N44" s="322" t="s">
        <v>282</v>
      </c>
      <c r="O44" s="323" t="s">
        <v>282</v>
      </c>
      <c r="P44" s="323" t="s">
        <v>282</v>
      </c>
      <c r="Q44" s="323" t="s">
        <v>282</v>
      </c>
      <c r="R44" s="323" t="s">
        <v>282</v>
      </c>
      <c r="S44" s="323" t="s">
        <v>16</v>
      </c>
      <c r="T44" s="323" t="s">
        <v>283</v>
      </c>
      <c r="U44" s="323" t="s">
        <v>283</v>
      </c>
      <c r="V44" s="323" t="s">
        <v>282</v>
      </c>
      <c r="W44" s="324" t="s">
        <v>282</v>
      </c>
      <c r="X44" s="324" t="s">
        <v>282</v>
      </c>
      <c r="Y44" s="325" t="s">
        <v>282</v>
      </c>
    </row>
    <row r="45" spans="1:25">
      <c r="A45" s="319">
        <v>1</v>
      </c>
      <c r="B45" s="320" t="str">
        <f>VLOOKUP(Tabel10[[#This Row],[Code]],Ruimtegroepen[[Code]:[Ruimte omschrijving]],2,FALSE)</f>
        <v>Magazijnen/bergingen</v>
      </c>
      <c r="C45" s="321" t="s">
        <v>312</v>
      </c>
      <c r="D45" s="320" t="s">
        <v>0</v>
      </c>
      <c r="E45" s="321" t="s">
        <v>1306</v>
      </c>
      <c r="F45" s="321" t="s">
        <v>1313</v>
      </c>
      <c r="G45" s="326" t="s">
        <v>282</v>
      </c>
      <c r="H45" s="322" t="s">
        <v>282</v>
      </c>
      <c r="I45" s="322" t="s">
        <v>16</v>
      </c>
      <c r="J45" s="322" t="s">
        <v>16</v>
      </c>
      <c r="K45" s="322" t="s">
        <v>249</v>
      </c>
      <c r="L45" s="322" t="s">
        <v>282</v>
      </c>
      <c r="M45" s="322" t="s">
        <v>282</v>
      </c>
      <c r="N45" s="322" t="s">
        <v>282</v>
      </c>
      <c r="O45" s="323" t="s">
        <v>282</v>
      </c>
      <c r="P45" s="323" t="s">
        <v>282</v>
      </c>
      <c r="Q45" s="323" t="s">
        <v>282</v>
      </c>
      <c r="R45" s="323" t="s">
        <v>282</v>
      </c>
      <c r="S45" s="323" t="s">
        <v>16</v>
      </c>
      <c r="T45" s="323" t="s">
        <v>283</v>
      </c>
      <c r="U45" s="323" t="s">
        <v>283</v>
      </c>
      <c r="V45" s="323" t="s">
        <v>282</v>
      </c>
      <c r="W45" s="324" t="s">
        <v>282</v>
      </c>
      <c r="X45" s="324" t="s">
        <v>282</v>
      </c>
      <c r="Y45" s="325" t="s">
        <v>282</v>
      </c>
    </row>
    <row r="46" spans="1:25">
      <c r="A46" s="319">
        <v>1</v>
      </c>
      <c r="B46" s="320" t="str">
        <f>VLOOKUP(Tabel10[[#This Row],[Code]],Ruimtegroepen[[Code]:[Ruimte omschrijving]],2,FALSE)</f>
        <v>Magazijnen/bergingen</v>
      </c>
      <c r="C46" s="321" t="s">
        <v>317</v>
      </c>
      <c r="D46" s="320" t="s">
        <v>27</v>
      </c>
      <c r="E46" s="321" t="s">
        <v>100</v>
      </c>
      <c r="F46" s="321" t="s">
        <v>318</v>
      </c>
      <c r="G46" s="326" t="s">
        <v>282</v>
      </c>
      <c r="H46" s="322" t="s">
        <v>282</v>
      </c>
      <c r="I46" s="322" t="s">
        <v>15</v>
      </c>
      <c r="J46" s="322" t="s">
        <v>15</v>
      </c>
      <c r="K46" s="322" t="s">
        <v>282</v>
      </c>
      <c r="L46" s="322" t="s">
        <v>282</v>
      </c>
      <c r="M46" s="322" t="s">
        <v>282</v>
      </c>
      <c r="N46" s="322" t="s">
        <v>282</v>
      </c>
      <c r="O46" s="323" t="s">
        <v>282</v>
      </c>
      <c r="P46" s="323" t="s">
        <v>282</v>
      </c>
      <c r="Q46" s="323" t="s">
        <v>282</v>
      </c>
      <c r="R46" s="323" t="s">
        <v>282</v>
      </c>
      <c r="S46" s="323" t="s">
        <v>15</v>
      </c>
      <c r="T46" s="323" t="s">
        <v>282</v>
      </c>
      <c r="U46" s="323" t="s">
        <v>282</v>
      </c>
      <c r="V46" s="323" t="s">
        <v>282</v>
      </c>
      <c r="W46" s="324" t="s">
        <v>282</v>
      </c>
      <c r="X46" s="324" t="s">
        <v>282</v>
      </c>
      <c r="Y46" s="325" t="s">
        <v>282</v>
      </c>
    </row>
    <row r="47" spans="1:25">
      <c r="A47" s="319">
        <v>1</v>
      </c>
      <c r="B47" s="320" t="str">
        <f>VLOOKUP(Tabel10[[#This Row],[Code]],Ruimtegroepen[[Code]:[Ruimte omschrijving]],2,FALSE)</f>
        <v>Magazijnen/bergingen</v>
      </c>
      <c r="C47" s="321" t="s">
        <v>317</v>
      </c>
      <c r="D47" s="320" t="s">
        <v>27</v>
      </c>
      <c r="E47" s="321" t="s">
        <v>99</v>
      </c>
      <c r="F47" s="321" t="s">
        <v>319</v>
      </c>
      <c r="G47" s="326" t="s">
        <v>282</v>
      </c>
      <c r="H47" s="322" t="s">
        <v>15</v>
      </c>
      <c r="I47" s="322" t="s">
        <v>282</v>
      </c>
      <c r="J47" s="322" t="s">
        <v>282</v>
      </c>
      <c r="K47" s="322" t="s">
        <v>282</v>
      </c>
      <c r="L47" s="322" t="s">
        <v>282</v>
      </c>
      <c r="M47" s="322" t="s">
        <v>282</v>
      </c>
      <c r="N47" s="322" t="s">
        <v>282</v>
      </c>
      <c r="O47" s="323" t="s">
        <v>282</v>
      </c>
      <c r="P47" s="323" t="s">
        <v>282</v>
      </c>
      <c r="Q47" s="323" t="s">
        <v>282</v>
      </c>
      <c r="R47" s="323" t="s">
        <v>282</v>
      </c>
      <c r="S47" s="323" t="s">
        <v>15</v>
      </c>
      <c r="T47" s="323" t="s">
        <v>282</v>
      </c>
      <c r="U47" s="323" t="s">
        <v>282</v>
      </c>
      <c r="V47" s="323" t="s">
        <v>282</v>
      </c>
      <c r="W47" s="324" t="s">
        <v>282</v>
      </c>
      <c r="X47" s="324" t="s">
        <v>282</v>
      </c>
      <c r="Y47" s="325" t="s">
        <v>282</v>
      </c>
    </row>
    <row r="48" spans="1:25">
      <c r="A48" s="319">
        <v>1</v>
      </c>
      <c r="B48" s="320" t="str">
        <f>VLOOKUP(Tabel10[[#This Row],[Code]],Ruimtegroepen[[Code]:[Ruimte omschrijving]],2,FALSE)</f>
        <v>Magazijnen/bergingen</v>
      </c>
      <c r="C48" s="321" t="s">
        <v>317</v>
      </c>
      <c r="D48" s="320" t="s">
        <v>27</v>
      </c>
      <c r="E48" s="321" t="s">
        <v>101</v>
      </c>
      <c r="F48" s="321" t="s">
        <v>320</v>
      </c>
      <c r="G48" s="326" t="s">
        <v>282</v>
      </c>
      <c r="H48" s="322" t="s">
        <v>282</v>
      </c>
      <c r="I48" s="322" t="s">
        <v>15</v>
      </c>
      <c r="J48" s="322" t="s">
        <v>282</v>
      </c>
      <c r="K48" s="322" t="s">
        <v>282</v>
      </c>
      <c r="L48" s="322" t="s">
        <v>282</v>
      </c>
      <c r="M48" s="322" t="s">
        <v>282</v>
      </c>
      <c r="N48" s="322" t="s">
        <v>282</v>
      </c>
      <c r="O48" s="323" t="s">
        <v>282</v>
      </c>
      <c r="P48" s="323" t="s">
        <v>282</v>
      </c>
      <c r="Q48" s="323" t="s">
        <v>282</v>
      </c>
      <c r="R48" s="323" t="s">
        <v>282</v>
      </c>
      <c r="S48" s="323" t="s">
        <v>15</v>
      </c>
      <c r="T48" s="323" t="s">
        <v>282</v>
      </c>
      <c r="U48" s="323" t="s">
        <v>282</v>
      </c>
      <c r="V48" s="323" t="s">
        <v>282</v>
      </c>
      <c r="W48" s="324" t="s">
        <v>282</v>
      </c>
      <c r="X48" s="324" t="s">
        <v>282</v>
      </c>
      <c r="Y48" s="325" t="s">
        <v>282</v>
      </c>
    </row>
    <row r="49" spans="1:25">
      <c r="A49" s="319">
        <v>1</v>
      </c>
      <c r="B49" s="320" t="str">
        <f>VLOOKUP(Tabel10[[#This Row],[Code]],Ruimtegroepen[[Code]:[Ruimte omschrijving]],2,FALSE)</f>
        <v>Magazijnen/bergingen</v>
      </c>
      <c r="C49" s="321" t="s">
        <v>317</v>
      </c>
      <c r="D49" s="320" t="s">
        <v>27</v>
      </c>
      <c r="E49" s="321" t="s">
        <v>102</v>
      </c>
      <c r="F49" s="321" t="s">
        <v>321</v>
      </c>
      <c r="G49" s="326" t="s">
        <v>282</v>
      </c>
      <c r="H49" s="322" t="s">
        <v>282</v>
      </c>
      <c r="I49" s="322" t="s">
        <v>15</v>
      </c>
      <c r="J49" s="322" t="s">
        <v>282</v>
      </c>
      <c r="K49" s="322" t="s">
        <v>282</v>
      </c>
      <c r="L49" s="322" t="s">
        <v>282</v>
      </c>
      <c r="M49" s="322" t="s">
        <v>282</v>
      </c>
      <c r="N49" s="322" t="s">
        <v>282</v>
      </c>
      <c r="O49" s="323" t="s">
        <v>282</v>
      </c>
      <c r="P49" s="323" t="s">
        <v>282</v>
      </c>
      <c r="Q49" s="323" t="s">
        <v>282</v>
      </c>
      <c r="R49" s="323" t="s">
        <v>282</v>
      </c>
      <c r="S49" s="323" t="s">
        <v>15</v>
      </c>
      <c r="T49" s="323" t="s">
        <v>282</v>
      </c>
      <c r="U49" s="323" t="s">
        <v>282</v>
      </c>
      <c r="V49" s="323" t="s">
        <v>282</v>
      </c>
      <c r="W49" s="324" t="s">
        <v>282</v>
      </c>
      <c r="X49" s="324" t="s">
        <v>282</v>
      </c>
      <c r="Y49" s="325" t="s">
        <v>282</v>
      </c>
    </row>
    <row r="50" spans="1:25">
      <c r="A50" s="319">
        <v>1</v>
      </c>
      <c r="B50" s="320" t="str">
        <f>VLOOKUP(Tabel10[[#This Row],[Code]],Ruimtegroepen[[Code]:[Ruimte omschrijving]],2,FALSE)</f>
        <v>Magazijnen/bergingen</v>
      </c>
      <c r="C50" s="321" t="s">
        <v>317</v>
      </c>
      <c r="D50" s="320" t="s">
        <v>27</v>
      </c>
      <c r="E50" s="321" t="s">
        <v>99</v>
      </c>
      <c r="F50" s="321" t="s">
        <v>319</v>
      </c>
      <c r="G50" s="326" t="s">
        <v>282</v>
      </c>
      <c r="H50" s="322" t="s">
        <v>15</v>
      </c>
      <c r="I50" s="322" t="s">
        <v>282</v>
      </c>
      <c r="J50" s="322" t="s">
        <v>282</v>
      </c>
      <c r="K50" s="322" t="s">
        <v>282</v>
      </c>
      <c r="L50" s="322" t="s">
        <v>282</v>
      </c>
      <c r="M50" s="322" t="s">
        <v>282</v>
      </c>
      <c r="N50" s="322" t="s">
        <v>282</v>
      </c>
      <c r="O50" s="323" t="s">
        <v>282</v>
      </c>
      <c r="P50" s="323" t="s">
        <v>282</v>
      </c>
      <c r="Q50" s="323" t="s">
        <v>282</v>
      </c>
      <c r="R50" s="323" t="s">
        <v>282</v>
      </c>
      <c r="S50" s="323" t="s">
        <v>15</v>
      </c>
      <c r="T50" s="323" t="s">
        <v>282</v>
      </c>
      <c r="U50" s="323" t="s">
        <v>282</v>
      </c>
      <c r="V50" s="323" t="s">
        <v>282</v>
      </c>
      <c r="W50" s="324" t="s">
        <v>282</v>
      </c>
      <c r="X50" s="324" t="s">
        <v>282</v>
      </c>
      <c r="Y50" s="325" t="s">
        <v>282</v>
      </c>
    </row>
    <row r="51" spans="1:25">
      <c r="A51" s="319">
        <v>1</v>
      </c>
      <c r="B51" s="320" t="str">
        <f>VLOOKUP(Tabel10[[#This Row],[Code]],Ruimtegroepen[[Code]:[Ruimte omschrijving]],2,FALSE)</f>
        <v>Magazijnen/bergingen</v>
      </c>
      <c r="C51" s="321" t="s">
        <v>317</v>
      </c>
      <c r="D51" s="320" t="s">
        <v>27</v>
      </c>
      <c r="E51" s="321" t="s">
        <v>1306</v>
      </c>
      <c r="F51" s="321" t="s">
        <v>1314</v>
      </c>
      <c r="G51" s="326" t="s">
        <v>282</v>
      </c>
      <c r="H51" s="322" t="s">
        <v>282</v>
      </c>
      <c r="I51" s="322" t="s">
        <v>15</v>
      </c>
      <c r="J51" s="322" t="s">
        <v>282</v>
      </c>
      <c r="K51" s="322" t="s">
        <v>282</v>
      </c>
      <c r="L51" s="322" t="s">
        <v>282</v>
      </c>
      <c r="M51" s="322" t="s">
        <v>282</v>
      </c>
      <c r="N51" s="322" t="s">
        <v>282</v>
      </c>
      <c r="O51" s="323" t="s">
        <v>282</v>
      </c>
      <c r="P51" s="323" t="s">
        <v>282</v>
      </c>
      <c r="Q51" s="323" t="s">
        <v>282</v>
      </c>
      <c r="R51" s="323" t="s">
        <v>282</v>
      </c>
      <c r="S51" s="323" t="s">
        <v>15</v>
      </c>
      <c r="T51" s="323" t="s">
        <v>282</v>
      </c>
      <c r="U51" s="323" t="s">
        <v>282</v>
      </c>
      <c r="V51" s="323" t="s">
        <v>282</v>
      </c>
      <c r="W51" s="324" t="s">
        <v>282</v>
      </c>
      <c r="X51" s="324" t="s">
        <v>282</v>
      </c>
      <c r="Y51" s="325" t="s">
        <v>282</v>
      </c>
    </row>
    <row r="52" spans="1:25">
      <c r="A52" s="319">
        <v>1</v>
      </c>
      <c r="B52" s="320" t="str">
        <f>VLOOKUP(Tabel10[[#This Row],[Code]],Ruimtegroepen[[Code]:[Ruimte omschrijving]],2,FALSE)</f>
        <v>Magazijnen/bergingen</v>
      </c>
      <c r="C52" s="321" t="s">
        <v>322</v>
      </c>
      <c r="D52" s="320" t="s">
        <v>28</v>
      </c>
      <c r="E52" s="321" t="s">
        <v>100</v>
      </c>
      <c r="F52" s="321" t="s">
        <v>323</v>
      </c>
      <c r="G52" s="326" t="s">
        <v>282</v>
      </c>
      <c r="H52" s="322" t="s">
        <v>282</v>
      </c>
      <c r="I52" s="322" t="s">
        <v>17</v>
      </c>
      <c r="J52" s="322" t="s">
        <v>282</v>
      </c>
      <c r="K52" s="322" t="s">
        <v>282</v>
      </c>
      <c r="L52" s="322" t="s">
        <v>282</v>
      </c>
      <c r="M52" s="322" t="s">
        <v>282</v>
      </c>
      <c r="N52" s="322" t="s">
        <v>282</v>
      </c>
      <c r="O52" s="323" t="s">
        <v>282</v>
      </c>
      <c r="P52" s="323" t="s">
        <v>282</v>
      </c>
      <c r="Q52" s="323" t="s">
        <v>282</v>
      </c>
      <c r="R52" s="323" t="s">
        <v>282</v>
      </c>
      <c r="S52" s="323" t="s">
        <v>15</v>
      </c>
      <c r="T52" s="323" t="s">
        <v>282</v>
      </c>
      <c r="U52" s="323" t="s">
        <v>282</v>
      </c>
      <c r="V52" s="323" t="s">
        <v>282</v>
      </c>
      <c r="W52" s="324" t="s">
        <v>282</v>
      </c>
      <c r="X52" s="324" t="s">
        <v>282</v>
      </c>
      <c r="Y52" s="325" t="s">
        <v>282</v>
      </c>
    </row>
    <row r="53" spans="1:25">
      <c r="A53" s="319">
        <v>1</v>
      </c>
      <c r="B53" s="320" t="str">
        <f>VLOOKUP(Tabel10[[#This Row],[Code]],Ruimtegroepen[[Code]:[Ruimte omschrijving]],2,FALSE)</f>
        <v>Magazijnen/bergingen</v>
      </c>
      <c r="C53" s="321" t="s">
        <v>322</v>
      </c>
      <c r="D53" s="320" t="s">
        <v>28</v>
      </c>
      <c r="E53" s="321" t="s">
        <v>99</v>
      </c>
      <c r="F53" s="321" t="s">
        <v>324</v>
      </c>
      <c r="G53" s="326" t="s">
        <v>282</v>
      </c>
      <c r="H53" s="322" t="s">
        <v>17</v>
      </c>
      <c r="I53" s="322" t="s">
        <v>282</v>
      </c>
      <c r="J53" s="322" t="s">
        <v>282</v>
      </c>
      <c r="K53" s="322" t="s">
        <v>282</v>
      </c>
      <c r="L53" s="322" t="s">
        <v>282</v>
      </c>
      <c r="M53" s="322" t="s">
        <v>282</v>
      </c>
      <c r="N53" s="322" t="s">
        <v>282</v>
      </c>
      <c r="O53" s="323" t="s">
        <v>282</v>
      </c>
      <c r="P53" s="323" t="s">
        <v>282</v>
      </c>
      <c r="Q53" s="323" t="s">
        <v>282</v>
      </c>
      <c r="R53" s="323" t="s">
        <v>282</v>
      </c>
      <c r="S53" s="323" t="s">
        <v>15</v>
      </c>
      <c r="T53" s="323" t="s">
        <v>282</v>
      </c>
      <c r="U53" s="323" t="s">
        <v>282</v>
      </c>
      <c r="V53" s="323" t="s">
        <v>282</v>
      </c>
      <c r="W53" s="324" t="s">
        <v>282</v>
      </c>
      <c r="X53" s="324" t="s">
        <v>282</v>
      </c>
      <c r="Y53" s="325" t="s">
        <v>282</v>
      </c>
    </row>
    <row r="54" spans="1:25">
      <c r="A54" s="319">
        <v>1</v>
      </c>
      <c r="B54" s="320" t="str">
        <f>VLOOKUP(Tabel10[[#This Row],[Code]],Ruimtegroepen[[Code]:[Ruimte omschrijving]],2,FALSE)</f>
        <v>Magazijnen/bergingen</v>
      </c>
      <c r="C54" s="321" t="s">
        <v>322</v>
      </c>
      <c r="D54" s="320" t="s">
        <v>28</v>
      </c>
      <c r="E54" s="321" t="s">
        <v>101</v>
      </c>
      <c r="F54" s="321" t="s">
        <v>325</v>
      </c>
      <c r="G54" s="326" t="s">
        <v>282</v>
      </c>
      <c r="H54" s="322" t="s">
        <v>282</v>
      </c>
      <c r="I54" s="322" t="s">
        <v>17</v>
      </c>
      <c r="J54" s="322" t="s">
        <v>282</v>
      </c>
      <c r="K54" s="322" t="s">
        <v>282</v>
      </c>
      <c r="L54" s="322" t="s">
        <v>282</v>
      </c>
      <c r="M54" s="322" t="s">
        <v>282</v>
      </c>
      <c r="N54" s="322" t="s">
        <v>282</v>
      </c>
      <c r="O54" s="323" t="s">
        <v>282</v>
      </c>
      <c r="P54" s="323" t="s">
        <v>282</v>
      </c>
      <c r="Q54" s="323" t="s">
        <v>282</v>
      </c>
      <c r="R54" s="323" t="s">
        <v>282</v>
      </c>
      <c r="S54" s="323" t="s">
        <v>15</v>
      </c>
      <c r="T54" s="323" t="s">
        <v>282</v>
      </c>
      <c r="U54" s="323" t="s">
        <v>282</v>
      </c>
      <c r="V54" s="323" t="s">
        <v>282</v>
      </c>
      <c r="W54" s="324" t="s">
        <v>282</v>
      </c>
      <c r="X54" s="324" t="s">
        <v>282</v>
      </c>
      <c r="Y54" s="325" t="s">
        <v>282</v>
      </c>
    </row>
    <row r="55" spans="1:25">
      <c r="A55" s="319">
        <v>1</v>
      </c>
      <c r="B55" s="320" t="str">
        <f>VLOOKUP(Tabel10[[#This Row],[Code]],Ruimtegroepen[[Code]:[Ruimte omschrijving]],2,FALSE)</f>
        <v>Magazijnen/bergingen</v>
      </c>
      <c r="C55" s="321" t="s">
        <v>322</v>
      </c>
      <c r="D55" s="320" t="s">
        <v>28</v>
      </c>
      <c r="E55" s="321" t="s">
        <v>102</v>
      </c>
      <c r="F55" s="321" t="s">
        <v>326</v>
      </c>
      <c r="G55" s="326" t="s">
        <v>282</v>
      </c>
      <c r="H55" s="322" t="s">
        <v>282</v>
      </c>
      <c r="I55" s="322" t="s">
        <v>17</v>
      </c>
      <c r="J55" s="322" t="s">
        <v>282</v>
      </c>
      <c r="K55" s="322" t="s">
        <v>282</v>
      </c>
      <c r="L55" s="322" t="s">
        <v>282</v>
      </c>
      <c r="M55" s="322" t="s">
        <v>282</v>
      </c>
      <c r="N55" s="322" t="s">
        <v>282</v>
      </c>
      <c r="O55" s="323" t="s">
        <v>282</v>
      </c>
      <c r="P55" s="323" t="s">
        <v>282</v>
      </c>
      <c r="Q55" s="323" t="s">
        <v>282</v>
      </c>
      <c r="R55" s="323" t="s">
        <v>282</v>
      </c>
      <c r="S55" s="323" t="s">
        <v>15</v>
      </c>
      <c r="T55" s="323" t="s">
        <v>282</v>
      </c>
      <c r="U55" s="323" t="s">
        <v>282</v>
      </c>
      <c r="V55" s="323" t="s">
        <v>282</v>
      </c>
      <c r="W55" s="324" t="s">
        <v>282</v>
      </c>
      <c r="X55" s="324" t="s">
        <v>282</v>
      </c>
      <c r="Y55" s="325" t="s">
        <v>282</v>
      </c>
    </row>
    <row r="56" spans="1:25">
      <c r="A56" s="319">
        <v>1</v>
      </c>
      <c r="B56" s="320" t="str">
        <f>VLOOKUP(Tabel10[[#This Row],[Code]],Ruimtegroepen[[Code]:[Ruimte omschrijving]],2,FALSE)</f>
        <v>Magazijnen/bergingen</v>
      </c>
      <c r="C56" s="321" t="s">
        <v>322</v>
      </c>
      <c r="D56" s="320" t="s">
        <v>28</v>
      </c>
      <c r="E56" s="321" t="s">
        <v>99</v>
      </c>
      <c r="F56" s="321" t="s">
        <v>324</v>
      </c>
      <c r="G56" s="326" t="s">
        <v>282</v>
      </c>
      <c r="H56" s="322" t="s">
        <v>17</v>
      </c>
      <c r="I56" s="322" t="s">
        <v>282</v>
      </c>
      <c r="J56" s="322" t="s">
        <v>282</v>
      </c>
      <c r="K56" s="322" t="s">
        <v>282</v>
      </c>
      <c r="L56" s="322" t="s">
        <v>282</v>
      </c>
      <c r="M56" s="322" t="s">
        <v>282</v>
      </c>
      <c r="N56" s="322" t="s">
        <v>282</v>
      </c>
      <c r="O56" s="323" t="s">
        <v>282</v>
      </c>
      <c r="P56" s="323" t="s">
        <v>282</v>
      </c>
      <c r="Q56" s="323" t="s">
        <v>282</v>
      </c>
      <c r="R56" s="323" t="s">
        <v>282</v>
      </c>
      <c r="S56" s="323" t="s">
        <v>15</v>
      </c>
      <c r="T56" s="323" t="s">
        <v>282</v>
      </c>
      <c r="U56" s="323" t="s">
        <v>282</v>
      </c>
      <c r="V56" s="323" t="s">
        <v>282</v>
      </c>
      <c r="W56" s="324" t="s">
        <v>282</v>
      </c>
      <c r="X56" s="324" t="s">
        <v>282</v>
      </c>
      <c r="Y56" s="325" t="s">
        <v>282</v>
      </c>
    </row>
    <row r="57" spans="1:25">
      <c r="A57" s="319">
        <v>1</v>
      </c>
      <c r="B57" s="320" t="str">
        <f>VLOOKUP(Tabel10[[#This Row],[Code]],Ruimtegroepen[[Code]:[Ruimte omschrijving]],2,FALSE)</f>
        <v>Magazijnen/bergingen</v>
      </c>
      <c r="C57" s="321" t="s">
        <v>322</v>
      </c>
      <c r="D57" s="320" t="s">
        <v>28</v>
      </c>
      <c r="E57" s="321" t="s">
        <v>1306</v>
      </c>
      <c r="F57" s="321" t="s">
        <v>1315</v>
      </c>
      <c r="G57" s="326" t="s">
        <v>282</v>
      </c>
      <c r="H57" s="322" t="s">
        <v>282</v>
      </c>
      <c r="I57" s="322" t="s">
        <v>17</v>
      </c>
      <c r="J57" s="322" t="s">
        <v>282</v>
      </c>
      <c r="K57" s="322" t="s">
        <v>282</v>
      </c>
      <c r="L57" s="322" t="s">
        <v>282</v>
      </c>
      <c r="M57" s="322" t="s">
        <v>282</v>
      </c>
      <c r="N57" s="322" t="s">
        <v>282</v>
      </c>
      <c r="O57" s="323" t="s">
        <v>282</v>
      </c>
      <c r="P57" s="323" t="s">
        <v>282</v>
      </c>
      <c r="Q57" s="323" t="s">
        <v>282</v>
      </c>
      <c r="R57" s="323" t="s">
        <v>282</v>
      </c>
      <c r="S57" s="323" t="s">
        <v>15</v>
      </c>
      <c r="T57" s="323" t="s">
        <v>282</v>
      </c>
      <c r="U57" s="323" t="s">
        <v>282</v>
      </c>
      <c r="V57" s="323" t="s">
        <v>282</v>
      </c>
      <c r="W57" s="324" t="s">
        <v>282</v>
      </c>
      <c r="X57" s="324" t="s">
        <v>282</v>
      </c>
      <c r="Y57" s="325" t="s">
        <v>282</v>
      </c>
    </row>
    <row r="58" spans="1:25">
      <c r="A58" s="319">
        <v>2</v>
      </c>
      <c r="B58" s="320" t="str">
        <f>VLOOKUP(Tabel10[[#This Row],[Code]],Ruimtegroepen[[Code]:[Ruimte omschrijving]],2,FALSE)</f>
        <v>Kantoren</v>
      </c>
      <c r="C58" s="321" t="s">
        <v>327</v>
      </c>
      <c r="D58" s="320" t="s">
        <v>29</v>
      </c>
      <c r="E58" s="321" t="s">
        <v>100</v>
      </c>
      <c r="F58" s="321" t="s">
        <v>328</v>
      </c>
      <c r="G58" s="326" t="s">
        <v>282</v>
      </c>
      <c r="H58" s="322" t="s">
        <v>282</v>
      </c>
      <c r="I58" s="322" t="s">
        <v>20</v>
      </c>
      <c r="J58" s="322" t="s">
        <v>15</v>
      </c>
      <c r="K58" s="322" t="s">
        <v>282</v>
      </c>
      <c r="L58" s="322" t="s">
        <v>282</v>
      </c>
      <c r="M58" s="322" t="s">
        <v>282</v>
      </c>
      <c r="N58" s="322" t="s">
        <v>2</v>
      </c>
      <c r="O58" s="323" t="s">
        <v>2</v>
      </c>
      <c r="P58" s="323" t="s">
        <v>2</v>
      </c>
      <c r="Q58" s="323" t="s">
        <v>15</v>
      </c>
      <c r="R58" s="323" t="s">
        <v>15</v>
      </c>
      <c r="S58" s="323" t="s">
        <v>16</v>
      </c>
      <c r="T58" s="323" t="s">
        <v>329</v>
      </c>
      <c r="U58" s="323" t="s">
        <v>249</v>
      </c>
      <c r="V58" s="323" t="s">
        <v>2</v>
      </c>
      <c r="W58" s="324" t="s">
        <v>282</v>
      </c>
      <c r="X58" s="324" t="s">
        <v>282</v>
      </c>
      <c r="Y58" s="325" t="s">
        <v>282</v>
      </c>
    </row>
    <row r="59" spans="1:25">
      <c r="A59" s="319">
        <v>2</v>
      </c>
      <c r="B59" s="320" t="str">
        <f>VLOOKUP(Tabel10[[#This Row],[Code]],Ruimtegroepen[[Code]:[Ruimte omschrijving]],2,FALSE)</f>
        <v>Kantoren</v>
      </c>
      <c r="C59" s="321" t="s">
        <v>327</v>
      </c>
      <c r="D59" s="320" t="s">
        <v>29</v>
      </c>
      <c r="E59" s="321" t="s">
        <v>99</v>
      </c>
      <c r="F59" s="321" t="s">
        <v>330</v>
      </c>
      <c r="G59" s="322" t="s">
        <v>20</v>
      </c>
      <c r="H59" s="322" t="s">
        <v>15</v>
      </c>
      <c r="I59" s="322" t="s">
        <v>282</v>
      </c>
      <c r="J59" s="322" t="s">
        <v>282</v>
      </c>
      <c r="K59" s="322" t="s">
        <v>282</v>
      </c>
      <c r="L59" s="322" t="s">
        <v>282</v>
      </c>
      <c r="M59" s="322" t="s">
        <v>282</v>
      </c>
      <c r="N59" s="322" t="s">
        <v>2</v>
      </c>
      <c r="O59" s="323" t="s">
        <v>2</v>
      </c>
      <c r="P59" s="323" t="s">
        <v>2</v>
      </c>
      <c r="Q59" s="323" t="s">
        <v>15</v>
      </c>
      <c r="R59" s="323" t="s">
        <v>15</v>
      </c>
      <c r="S59" s="323" t="s">
        <v>16</v>
      </c>
      <c r="T59" s="323" t="s">
        <v>329</v>
      </c>
      <c r="U59" s="323" t="s">
        <v>249</v>
      </c>
      <c r="V59" s="323" t="s">
        <v>2</v>
      </c>
      <c r="W59" s="324" t="s">
        <v>282</v>
      </c>
      <c r="X59" s="324" t="s">
        <v>282</v>
      </c>
      <c r="Y59" s="325" t="s">
        <v>282</v>
      </c>
    </row>
    <row r="60" spans="1:25">
      <c r="A60" s="319">
        <v>2</v>
      </c>
      <c r="B60" s="320" t="str">
        <f>VLOOKUP(Tabel10[[#This Row],[Code]],Ruimtegroepen[[Code]:[Ruimte omschrijving]],2,FALSE)</f>
        <v>Kantoren</v>
      </c>
      <c r="C60" s="321" t="s">
        <v>327</v>
      </c>
      <c r="D60" s="320" t="s">
        <v>29</v>
      </c>
      <c r="E60" s="321" t="s">
        <v>101</v>
      </c>
      <c r="F60" s="321" t="s">
        <v>331</v>
      </c>
      <c r="G60" s="326" t="s">
        <v>282</v>
      </c>
      <c r="H60" s="322" t="s">
        <v>282</v>
      </c>
      <c r="I60" s="322" t="s">
        <v>20</v>
      </c>
      <c r="J60" s="322" t="s">
        <v>15</v>
      </c>
      <c r="K60" s="322" t="s">
        <v>249</v>
      </c>
      <c r="L60" s="322" t="s">
        <v>282</v>
      </c>
      <c r="M60" s="322" t="s">
        <v>282</v>
      </c>
      <c r="N60" s="322" t="s">
        <v>2</v>
      </c>
      <c r="O60" s="323" t="s">
        <v>2</v>
      </c>
      <c r="P60" s="323" t="s">
        <v>2</v>
      </c>
      <c r="Q60" s="323" t="s">
        <v>15</v>
      </c>
      <c r="R60" s="323" t="s">
        <v>15</v>
      </c>
      <c r="S60" s="323" t="s">
        <v>16</v>
      </c>
      <c r="T60" s="323" t="s">
        <v>329</v>
      </c>
      <c r="U60" s="323" t="s">
        <v>249</v>
      </c>
      <c r="V60" s="323" t="s">
        <v>2</v>
      </c>
      <c r="W60" s="324" t="s">
        <v>282</v>
      </c>
      <c r="X60" s="324" t="s">
        <v>282</v>
      </c>
      <c r="Y60" s="325" t="s">
        <v>282</v>
      </c>
    </row>
    <row r="61" spans="1:25">
      <c r="A61" s="319">
        <v>2</v>
      </c>
      <c r="B61" s="320" t="str">
        <f>VLOOKUP(Tabel10[[#This Row],[Code]],Ruimtegroepen[[Code]:[Ruimte omschrijving]],2,FALSE)</f>
        <v>Kantoren</v>
      </c>
      <c r="C61" s="321" t="s">
        <v>327</v>
      </c>
      <c r="D61" s="320" t="s">
        <v>29</v>
      </c>
      <c r="E61" s="321" t="s">
        <v>102</v>
      </c>
      <c r="F61" s="321" t="s">
        <v>332</v>
      </c>
      <c r="G61" s="326" t="s">
        <v>282</v>
      </c>
      <c r="H61" s="322" t="s">
        <v>282</v>
      </c>
      <c r="I61" s="322" t="s">
        <v>20</v>
      </c>
      <c r="J61" s="322" t="s">
        <v>15</v>
      </c>
      <c r="K61" s="322" t="s">
        <v>249</v>
      </c>
      <c r="L61" s="322" t="s">
        <v>282</v>
      </c>
      <c r="M61" s="322" t="s">
        <v>282</v>
      </c>
      <c r="N61" s="322" t="s">
        <v>2</v>
      </c>
      <c r="O61" s="323" t="s">
        <v>2</v>
      </c>
      <c r="P61" s="323" t="s">
        <v>2</v>
      </c>
      <c r="Q61" s="323" t="s">
        <v>15</v>
      </c>
      <c r="R61" s="323" t="s">
        <v>15</v>
      </c>
      <c r="S61" s="323" t="s">
        <v>16</v>
      </c>
      <c r="T61" s="323" t="s">
        <v>329</v>
      </c>
      <c r="U61" s="323" t="s">
        <v>249</v>
      </c>
      <c r="V61" s="323" t="s">
        <v>2</v>
      </c>
      <c r="W61" s="324" t="s">
        <v>282</v>
      </c>
      <c r="X61" s="324" t="s">
        <v>282</v>
      </c>
      <c r="Y61" s="325" t="s">
        <v>282</v>
      </c>
    </row>
    <row r="62" spans="1:25">
      <c r="A62" s="319">
        <v>2</v>
      </c>
      <c r="B62" s="320" t="str">
        <f>VLOOKUP(Tabel10[[#This Row],[Code]],Ruimtegroepen[[Code]:[Ruimte omschrijving]],2,FALSE)</f>
        <v>Kantoren</v>
      </c>
      <c r="C62" s="321" t="s">
        <v>327</v>
      </c>
      <c r="D62" s="320" t="s">
        <v>29</v>
      </c>
      <c r="E62" s="321" t="s">
        <v>99</v>
      </c>
      <c r="F62" s="321" t="s">
        <v>330</v>
      </c>
      <c r="G62" s="322" t="s">
        <v>20</v>
      </c>
      <c r="H62" s="322" t="s">
        <v>15</v>
      </c>
      <c r="I62" s="322" t="s">
        <v>282</v>
      </c>
      <c r="J62" s="322" t="s">
        <v>282</v>
      </c>
      <c r="K62" s="322" t="s">
        <v>282</v>
      </c>
      <c r="L62" s="322" t="s">
        <v>282</v>
      </c>
      <c r="M62" s="322" t="s">
        <v>282</v>
      </c>
      <c r="N62" s="322" t="s">
        <v>2</v>
      </c>
      <c r="O62" s="323" t="s">
        <v>2</v>
      </c>
      <c r="P62" s="323" t="s">
        <v>2</v>
      </c>
      <c r="Q62" s="323" t="s">
        <v>15</v>
      </c>
      <c r="R62" s="323" t="s">
        <v>15</v>
      </c>
      <c r="S62" s="323" t="s">
        <v>16</v>
      </c>
      <c r="T62" s="323" t="s">
        <v>329</v>
      </c>
      <c r="U62" s="323" t="s">
        <v>249</v>
      </c>
      <c r="V62" s="323" t="s">
        <v>2</v>
      </c>
      <c r="W62" s="324" t="s">
        <v>282</v>
      </c>
      <c r="X62" s="324" t="s">
        <v>282</v>
      </c>
      <c r="Y62" s="325" t="s">
        <v>282</v>
      </c>
    </row>
    <row r="63" spans="1:25">
      <c r="A63" s="319">
        <v>2</v>
      </c>
      <c r="B63" s="320" t="str">
        <f>VLOOKUP(Tabel10[[#This Row],[Code]],Ruimtegroepen[[Code]:[Ruimte omschrijving]],2,FALSE)</f>
        <v>Kantoren</v>
      </c>
      <c r="C63" s="321" t="s">
        <v>327</v>
      </c>
      <c r="D63" s="320" t="s">
        <v>29</v>
      </c>
      <c r="E63" s="321" t="s">
        <v>1306</v>
      </c>
      <c r="F63" s="321" t="s">
        <v>1325</v>
      </c>
      <c r="G63" s="326" t="s">
        <v>282</v>
      </c>
      <c r="H63" s="322" t="s">
        <v>282</v>
      </c>
      <c r="I63" s="322" t="s">
        <v>20</v>
      </c>
      <c r="J63" s="322" t="s">
        <v>15</v>
      </c>
      <c r="K63" s="322" t="s">
        <v>249</v>
      </c>
      <c r="L63" s="322" t="s">
        <v>282</v>
      </c>
      <c r="M63" s="322" t="s">
        <v>282</v>
      </c>
      <c r="N63" s="322" t="s">
        <v>2</v>
      </c>
      <c r="O63" s="323" t="s">
        <v>2</v>
      </c>
      <c r="P63" s="323" t="s">
        <v>2</v>
      </c>
      <c r="Q63" s="323" t="s">
        <v>15</v>
      </c>
      <c r="R63" s="323" t="s">
        <v>15</v>
      </c>
      <c r="S63" s="323" t="s">
        <v>16</v>
      </c>
      <c r="T63" s="323" t="s">
        <v>329</v>
      </c>
      <c r="U63" s="323" t="s">
        <v>249</v>
      </c>
      <c r="V63" s="323" t="s">
        <v>2</v>
      </c>
      <c r="W63" s="324" t="s">
        <v>282</v>
      </c>
      <c r="X63" s="324" t="s">
        <v>282</v>
      </c>
      <c r="Y63" s="325" t="s">
        <v>282</v>
      </c>
    </row>
    <row r="64" spans="1:25">
      <c r="A64" s="319">
        <v>2</v>
      </c>
      <c r="B64" s="320" t="str">
        <f>VLOOKUP(Tabel10[[#This Row],[Code]],Ruimtegroepen[[Code]:[Ruimte omschrijving]],2,FALSE)</f>
        <v>Kantoren</v>
      </c>
      <c r="C64" s="321" t="s">
        <v>333</v>
      </c>
      <c r="D64" s="320" t="s">
        <v>1</v>
      </c>
      <c r="E64" s="321" t="s">
        <v>100</v>
      </c>
      <c r="F64" s="321" t="s">
        <v>334</v>
      </c>
      <c r="G64" s="326" t="s">
        <v>282</v>
      </c>
      <c r="H64" s="322" t="s">
        <v>282</v>
      </c>
      <c r="I64" s="322" t="s">
        <v>20</v>
      </c>
      <c r="J64" s="322" t="s">
        <v>15</v>
      </c>
      <c r="K64" s="322" t="s">
        <v>282</v>
      </c>
      <c r="L64" s="322" t="s">
        <v>282</v>
      </c>
      <c r="M64" s="322" t="s">
        <v>282</v>
      </c>
      <c r="N64" s="322" t="s">
        <v>282</v>
      </c>
      <c r="O64" s="323" t="s">
        <v>2</v>
      </c>
      <c r="P64" s="323" t="s">
        <v>2</v>
      </c>
      <c r="Q64" s="323" t="s">
        <v>15</v>
      </c>
      <c r="R64" s="323" t="s">
        <v>15</v>
      </c>
      <c r="S64" s="323" t="s">
        <v>16</v>
      </c>
      <c r="T64" s="323" t="s">
        <v>329</v>
      </c>
      <c r="U64" s="323" t="s">
        <v>249</v>
      </c>
      <c r="V64" s="323" t="s">
        <v>282</v>
      </c>
      <c r="W64" s="324" t="s">
        <v>282</v>
      </c>
      <c r="X64" s="324" t="s">
        <v>282</v>
      </c>
      <c r="Y64" s="325" t="s">
        <v>282</v>
      </c>
    </row>
    <row r="65" spans="1:25">
      <c r="A65" s="319">
        <v>2</v>
      </c>
      <c r="B65" s="320" t="str">
        <f>VLOOKUP(Tabel10[[#This Row],[Code]],Ruimtegroepen[[Code]:[Ruimte omschrijving]],2,FALSE)</f>
        <v>Kantoren</v>
      </c>
      <c r="C65" s="321" t="s">
        <v>333</v>
      </c>
      <c r="D65" s="320" t="s">
        <v>1</v>
      </c>
      <c r="E65" s="321" t="s">
        <v>99</v>
      </c>
      <c r="F65" s="321" t="s">
        <v>335</v>
      </c>
      <c r="G65" s="322" t="s">
        <v>20</v>
      </c>
      <c r="H65" s="322" t="s">
        <v>15</v>
      </c>
      <c r="I65" s="322" t="s">
        <v>282</v>
      </c>
      <c r="J65" s="322" t="s">
        <v>282</v>
      </c>
      <c r="K65" s="322" t="s">
        <v>282</v>
      </c>
      <c r="L65" s="322" t="s">
        <v>282</v>
      </c>
      <c r="M65" s="322" t="s">
        <v>282</v>
      </c>
      <c r="N65" s="322" t="s">
        <v>282</v>
      </c>
      <c r="O65" s="323" t="s">
        <v>2</v>
      </c>
      <c r="P65" s="323" t="s">
        <v>2</v>
      </c>
      <c r="Q65" s="323" t="s">
        <v>15</v>
      </c>
      <c r="R65" s="323" t="s">
        <v>15</v>
      </c>
      <c r="S65" s="323" t="s">
        <v>16</v>
      </c>
      <c r="T65" s="323" t="s">
        <v>329</v>
      </c>
      <c r="U65" s="323" t="s">
        <v>249</v>
      </c>
      <c r="V65" s="323" t="s">
        <v>282</v>
      </c>
      <c r="W65" s="324" t="s">
        <v>282</v>
      </c>
      <c r="X65" s="324" t="s">
        <v>282</v>
      </c>
      <c r="Y65" s="325" t="s">
        <v>282</v>
      </c>
    </row>
    <row r="66" spans="1:25">
      <c r="A66" s="319">
        <v>2</v>
      </c>
      <c r="B66" s="320" t="str">
        <f>VLOOKUP(Tabel10[[#This Row],[Code]],Ruimtegroepen[[Code]:[Ruimte omschrijving]],2,FALSE)</f>
        <v>Kantoren</v>
      </c>
      <c r="C66" s="321" t="s">
        <v>333</v>
      </c>
      <c r="D66" s="320" t="s">
        <v>1</v>
      </c>
      <c r="E66" s="321" t="s">
        <v>101</v>
      </c>
      <c r="F66" s="321" t="s">
        <v>336</v>
      </c>
      <c r="G66" s="326" t="s">
        <v>282</v>
      </c>
      <c r="H66" s="322" t="s">
        <v>282</v>
      </c>
      <c r="I66" s="322" t="s">
        <v>20</v>
      </c>
      <c r="J66" s="322" t="s">
        <v>15</v>
      </c>
      <c r="K66" s="322" t="s">
        <v>249</v>
      </c>
      <c r="L66" s="322" t="s">
        <v>282</v>
      </c>
      <c r="M66" s="322" t="s">
        <v>282</v>
      </c>
      <c r="N66" s="322" t="s">
        <v>282</v>
      </c>
      <c r="O66" s="323" t="s">
        <v>2</v>
      </c>
      <c r="P66" s="323" t="s">
        <v>2</v>
      </c>
      <c r="Q66" s="323" t="s">
        <v>15</v>
      </c>
      <c r="R66" s="323" t="s">
        <v>15</v>
      </c>
      <c r="S66" s="323" t="s">
        <v>16</v>
      </c>
      <c r="T66" s="323" t="s">
        <v>329</v>
      </c>
      <c r="U66" s="323" t="s">
        <v>249</v>
      </c>
      <c r="V66" s="323" t="s">
        <v>282</v>
      </c>
      <c r="W66" s="324" t="s">
        <v>282</v>
      </c>
      <c r="X66" s="324" t="s">
        <v>282</v>
      </c>
      <c r="Y66" s="325" t="s">
        <v>282</v>
      </c>
    </row>
    <row r="67" spans="1:25">
      <c r="A67" s="319">
        <v>2</v>
      </c>
      <c r="B67" s="320" t="str">
        <f>VLOOKUP(Tabel10[[#This Row],[Code]],Ruimtegroepen[[Code]:[Ruimte omschrijving]],2,FALSE)</f>
        <v>Kantoren</v>
      </c>
      <c r="C67" s="321" t="s">
        <v>333</v>
      </c>
      <c r="D67" s="320" t="s">
        <v>1</v>
      </c>
      <c r="E67" s="321" t="s">
        <v>102</v>
      </c>
      <c r="F67" s="321" t="s">
        <v>337</v>
      </c>
      <c r="G67" s="326" t="s">
        <v>282</v>
      </c>
      <c r="H67" s="322" t="s">
        <v>282</v>
      </c>
      <c r="I67" s="322" t="s">
        <v>20</v>
      </c>
      <c r="J67" s="322" t="s">
        <v>15</v>
      </c>
      <c r="K67" s="322" t="s">
        <v>249</v>
      </c>
      <c r="L67" s="322" t="s">
        <v>282</v>
      </c>
      <c r="M67" s="322" t="s">
        <v>282</v>
      </c>
      <c r="N67" s="322" t="s">
        <v>282</v>
      </c>
      <c r="O67" s="323" t="s">
        <v>2</v>
      </c>
      <c r="P67" s="323" t="s">
        <v>2</v>
      </c>
      <c r="Q67" s="323" t="s">
        <v>15</v>
      </c>
      <c r="R67" s="323" t="s">
        <v>15</v>
      </c>
      <c r="S67" s="323" t="s">
        <v>16</v>
      </c>
      <c r="T67" s="323" t="s">
        <v>329</v>
      </c>
      <c r="U67" s="323" t="s">
        <v>249</v>
      </c>
      <c r="V67" s="323" t="s">
        <v>282</v>
      </c>
      <c r="W67" s="324" t="s">
        <v>282</v>
      </c>
      <c r="X67" s="324" t="s">
        <v>282</v>
      </c>
      <c r="Y67" s="325" t="s">
        <v>282</v>
      </c>
    </row>
    <row r="68" spans="1:25">
      <c r="A68" s="319">
        <v>2</v>
      </c>
      <c r="B68" s="320" t="str">
        <f>VLOOKUP(Tabel10[[#This Row],[Code]],Ruimtegroepen[[Code]:[Ruimte omschrijving]],2,FALSE)</f>
        <v>Kantoren</v>
      </c>
      <c r="C68" s="321" t="s">
        <v>333</v>
      </c>
      <c r="D68" s="320" t="s">
        <v>1</v>
      </c>
      <c r="E68" s="321" t="s">
        <v>99</v>
      </c>
      <c r="F68" s="321" t="s">
        <v>335</v>
      </c>
      <c r="G68" s="322" t="s">
        <v>20</v>
      </c>
      <c r="H68" s="322" t="s">
        <v>15</v>
      </c>
      <c r="I68" s="322" t="s">
        <v>282</v>
      </c>
      <c r="J68" s="322" t="s">
        <v>282</v>
      </c>
      <c r="K68" s="322" t="s">
        <v>282</v>
      </c>
      <c r="L68" s="322" t="s">
        <v>282</v>
      </c>
      <c r="M68" s="322" t="s">
        <v>282</v>
      </c>
      <c r="N68" s="322" t="s">
        <v>282</v>
      </c>
      <c r="O68" s="323" t="s">
        <v>2</v>
      </c>
      <c r="P68" s="323" t="s">
        <v>2</v>
      </c>
      <c r="Q68" s="323" t="s">
        <v>15</v>
      </c>
      <c r="R68" s="323" t="s">
        <v>15</v>
      </c>
      <c r="S68" s="323" t="s">
        <v>16</v>
      </c>
      <c r="T68" s="323" t="s">
        <v>329</v>
      </c>
      <c r="U68" s="323" t="s">
        <v>249</v>
      </c>
      <c r="V68" s="323" t="s">
        <v>282</v>
      </c>
      <c r="W68" s="324" t="s">
        <v>282</v>
      </c>
      <c r="X68" s="324" t="s">
        <v>282</v>
      </c>
      <c r="Y68" s="325" t="s">
        <v>282</v>
      </c>
    </row>
    <row r="69" spans="1:25">
      <c r="A69" s="319">
        <v>2</v>
      </c>
      <c r="B69" s="320" t="str">
        <f>VLOOKUP(Tabel10[[#This Row],[Code]],Ruimtegroepen[[Code]:[Ruimte omschrijving]],2,FALSE)</f>
        <v>Kantoren</v>
      </c>
      <c r="C69" s="321" t="s">
        <v>333</v>
      </c>
      <c r="D69" s="320" t="s">
        <v>1</v>
      </c>
      <c r="E69" s="321" t="s">
        <v>1306</v>
      </c>
      <c r="F69" s="321" t="s">
        <v>1326</v>
      </c>
      <c r="G69" s="326" t="s">
        <v>282</v>
      </c>
      <c r="H69" s="322" t="s">
        <v>282</v>
      </c>
      <c r="I69" s="322" t="s">
        <v>20</v>
      </c>
      <c r="J69" s="322" t="s">
        <v>15</v>
      </c>
      <c r="K69" s="322" t="s">
        <v>249</v>
      </c>
      <c r="L69" s="322" t="s">
        <v>282</v>
      </c>
      <c r="M69" s="322" t="s">
        <v>282</v>
      </c>
      <c r="N69" s="322" t="s">
        <v>282</v>
      </c>
      <c r="O69" s="323" t="s">
        <v>2</v>
      </c>
      <c r="P69" s="323" t="s">
        <v>2</v>
      </c>
      <c r="Q69" s="323" t="s">
        <v>15</v>
      </c>
      <c r="R69" s="323" t="s">
        <v>15</v>
      </c>
      <c r="S69" s="323" t="s">
        <v>16</v>
      </c>
      <c r="T69" s="323" t="s">
        <v>329</v>
      </c>
      <c r="U69" s="323" t="s">
        <v>249</v>
      </c>
      <c r="V69" s="323" t="s">
        <v>282</v>
      </c>
      <c r="W69" s="324" t="s">
        <v>282</v>
      </c>
      <c r="X69" s="324" t="s">
        <v>282</v>
      </c>
      <c r="Y69" s="325" t="s">
        <v>282</v>
      </c>
    </row>
    <row r="70" spans="1:25">
      <c r="A70" s="319">
        <v>2</v>
      </c>
      <c r="B70" s="320" t="str">
        <f>VLOOKUP(Tabel10[[#This Row],[Code]],Ruimtegroepen[[Code]:[Ruimte omschrijving]],2,FALSE)</f>
        <v>Kantoren</v>
      </c>
      <c r="C70" s="321" t="s">
        <v>338</v>
      </c>
      <c r="D70" s="320" t="s">
        <v>21</v>
      </c>
      <c r="E70" s="321" t="s">
        <v>100</v>
      </c>
      <c r="F70" s="321" t="s">
        <v>339</v>
      </c>
      <c r="G70" s="326" t="s">
        <v>282</v>
      </c>
      <c r="H70" s="322" t="s">
        <v>282</v>
      </c>
      <c r="I70" s="322" t="s">
        <v>18</v>
      </c>
      <c r="J70" s="322" t="s">
        <v>15</v>
      </c>
      <c r="K70" s="322" t="s">
        <v>282</v>
      </c>
      <c r="L70" s="322" t="s">
        <v>282</v>
      </c>
      <c r="M70" s="322" t="s">
        <v>282</v>
      </c>
      <c r="N70" s="322" t="s">
        <v>282</v>
      </c>
      <c r="O70" s="323" t="s">
        <v>20</v>
      </c>
      <c r="P70" s="323" t="s">
        <v>20</v>
      </c>
      <c r="Q70" s="323" t="s">
        <v>15</v>
      </c>
      <c r="R70" s="323" t="s">
        <v>15</v>
      </c>
      <c r="S70" s="323" t="s">
        <v>16</v>
      </c>
      <c r="T70" s="323" t="s">
        <v>329</v>
      </c>
      <c r="U70" s="323" t="s">
        <v>249</v>
      </c>
      <c r="V70" s="323" t="s">
        <v>282</v>
      </c>
      <c r="W70" s="324" t="s">
        <v>282</v>
      </c>
      <c r="X70" s="324" t="s">
        <v>282</v>
      </c>
      <c r="Y70" s="325" t="s">
        <v>282</v>
      </c>
    </row>
    <row r="71" spans="1:25">
      <c r="A71" s="319">
        <v>2</v>
      </c>
      <c r="B71" s="320" t="str">
        <f>VLOOKUP(Tabel10[[#This Row],[Code]],Ruimtegroepen[[Code]:[Ruimte omschrijving]],2,FALSE)</f>
        <v>Kantoren</v>
      </c>
      <c r="C71" s="321" t="s">
        <v>338</v>
      </c>
      <c r="D71" s="320" t="s">
        <v>21</v>
      </c>
      <c r="E71" s="321" t="s">
        <v>99</v>
      </c>
      <c r="F71" s="321" t="s">
        <v>340</v>
      </c>
      <c r="G71" s="322" t="s">
        <v>18</v>
      </c>
      <c r="H71" s="322" t="s">
        <v>15</v>
      </c>
      <c r="I71" s="322" t="s">
        <v>282</v>
      </c>
      <c r="J71" s="322" t="s">
        <v>282</v>
      </c>
      <c r="K71" s="322" t="s">
        <v>282</v>
      </c>
      <c r="L71" s="322" t="s">
        <v>282</v>
      </c>
      <c r="M71" s="322" t="s">
        <v>282</v>
      </c>
      <c r="N71" s="322" t="s">
        <v>282</v>
      </c>
      <c r="O71" s="323" t="s">
        <v>20</v>
      </c>
      <c r="P71" s="323" t="s">
        <v>20</v>
      </c>
      <c r="Q71" s="323" t="s">
        <v>15</v>
      </c>
      <c r="R71" s="323" t="s">
        <v>15</v>
      </c>
      <c r="S71" s="323" t="s">
        <v>16</v>
      </c>
      <c r="T71" s="323" t="s">
        <v>329</v>
      </c>
      <c r="U71" s="323" t="s">
        <v>249</v>
      </c>
      <c r="V71" s="323" t="s">
        <v>282</v>
      </c>
      <c r="W71" s="324" t="s">
        <v>282</v>
      </c>
      <c r="X71" s="324" t="s">
        <v>282</v>
      </c>
      <c r="Y71" s="325" t="s">
        <v>282</v>
      </c>
    </row>
    <row r="72" spans="1:25">
      <c r="A72" s="319">
        <v>2</v>
      </c>
      <c r="B72" s="320" t="str">
        <f>VLOOKUP(Tabel10[[#This Row],[Code]],Ruimtegroepen[[Code]:[Ruimte omschrijving]],2,FALSE)</f>
        <v>Kantoren</v>
      </c>
      <c r="C72" s="321" t="s">
        <v>338</v>
      </c>
      <c r="D72" s="320" t="s">
        <v>21</v>
      </c>
      <c r="E72" s="321" t="s">
        <v>101</v>
      </c>
      <c r="F72" s="321" t="s">
        <v>341</v>
      </c>
      <c r="G72" s="326" t="s">
        <v>282</v>
      </c>
      <c r="H72" s="322" t="s">
        <v>282</v>
      </c>
      <c r="I72" s="322" t="s">
        <v>18</v>
      </c>
      <c r="J72" s="322" t="s">
        <v>15</v>
      </c>
      <c r="K72" s="322" t="s">
        <v>249</v>
      </c>
      <c r="L72" s="322" t="s">
        <v>282</v>
      </c>
      <c r="M72" s="322" t="s">
        <v>282</v>
      </c>
      <c r="N72" s="322" t="s">
        <v>282</v>
      </c>
      <c r="O72" s="323" t="s">
        <v>20</v>
      </c>
      <c r="P72" s="323" t="s">
        <v>20</v>
      </c>
      <c r="Q72" s="323" t="s">
        <v>15</v>
      </c>
      <c r="R72" s="323" t="s">
        <v>15</v>
      </c>
      <c r="S72" s="323" t="s">
        <v>16</v>
      </c>
      <c r="T72" s="323" t="s">
        <v>329</v>
      </c>
      <c r="U72" s="323" t="s">
        <v>249</v>
      </c>
      <c r="V72" s="323" t="s">
        <v>282</v>
      </c>
      <c r="W72" s="324" t="s">
        <v>282</v>
      </c>
      <c r="X72" s="324" t="s">
        <v>282</v>
      </c>
      <c r="Y72" s="325" t="s">
        <v>282</v>
      </c>
    </row>
    <row r="73" spans="1:25">
      <c r="A73" s="319">
        <v>2</v>
      </c>
      <c r="B73" s="320" t="str">
        <f>VLOOKUP(Tabel10[[#This Row],[Code]],Ruimtegroepen[[Code]:[Ruimte omschrijving]],2,FALSE)</f>
        <v>Kantoren</v>
      </c>
      <c r="C73" s="321" t="s">
        <v>338</v>
      </c>
      <c r="D73" s="320" t="s">
        <v>21</v>
      </c>
      <c r="E73" s="321" t="s">
        <v>102</v>
      </c>
      <c r="F73" s="321" t="s">
        <v>342</v>
      </c>
      <c r="G73" s="326" t="s">
        <v>282</v>
      </c>
      <c r="H73" s="322" t="s">
        <v>282</v>
      </c>
      <c r="I73" s="322" t="s">
        <v>18</v>
      </c>
      <c r="J73" s="322" t="s">
        <v>15</v>
      </c>
      <c r="K73" s="322" t="s">
        <v>249</v>
      </c>
      <c r="L73" s="322" t="s">
        <v>282</v>
      </c>
      <c r="M73" s="322" t="s">
        <v>282</v>
      </c>
      <c r="N73" s="322" t="s">
        <v>282</v>
      </c>
      <c r="O73" s="323" t="s">
        <v>20</v>
      </c>
      <c r="P73" s="323" t="s">
        <v>20</v>
      </c>
      <c r="Q73" s="323" t="s">
        <v>15</v>
      </c>
      <c r="R73" s="323" t="s">
        <v>15</v>
      </c>
      <c r="S73" s="323" t="s">
        <v>16</v>
      </c>
      <c r="T73" s="323" t="s">
        <v>329</v>
      </c>
      <c r="U73" s="323" t="s">
        <v>249</v>
      </c>
      <c r="V73" s="323" t="s">
        <v>282</v>
      </c>
      <c r="W73" s="324" t="s">
        <v>282</v>
      </c>
      <c r="X73" s="324" t="s">
        <v>282</v>
      </c>
      <c r="Y73" s="325" t="s">
        <v>282</v>
      </c>
    </row>
    <row r="74" spans="1:25">
      <c r="A74" s="319">
        <v>2</v>
      </c>
      <c r="B74" s="320" t="str">
        <f>VLOOKUP(Tabel10[[#This Row],[Code]],Ruimtegroepen[[Code]:[Ruimte omschrijving]],2,FALSE)</f>
        <v>Kantoren</v>
      </c>
      <c r="C74" s="321" t="s">
        <v>338</v>
      </c>
      <c r="D74" s="320" t="s">
        <v>21</v>
      </c>
      <c r="E74" s="321" t="s">
        <v>99</v>
      </c>
      <c r="F74" s="321" t="s">
        <v>340</v>
      </c>
      <c r="G74" s="322" t="s">
        <v>18</v>
      </c>
      <c r="H74" s="322" t="s">
        <v>15</v>
      </c>
      <c r="I74" s="322" t="s">
        <v>282</v>
      </c>
      <c r="J74" s="322" t="s">
        <v>282</v>
      </c>
      <c r="K74" s="322" t="s">
        <v>282</v>
      </c>
      <c r="L74" s="322" t="s">
        <v>282</v>
      </c>
      <c r="M74" s="322" t="s">
        <v>282</v>
      </c>
      <c r="N74" s="322" t="s">
        <v>282</v>
      </c>
      <c r="O74" s="323" t="s">
        <v>20</v>
      </c>
      <c r="P74" s="323" t="s">
        <v>20</v>
      </c>
      <c r="Q74" s="323" t="s">
        <v>15</v>
      </c>
      <c r="R74" s="323" t="s">
        <v>15</v>
      </c>
      <c r="S74" s="323" t="s">
        <v>16</v>
      </c>
      <c r="T74" s="323" t="s">
        <v>329</v>
      </c>
      <c r="U74" s="323" t="s">
        <v>249</v>
      </c>
      <c r="V74" s="323" t="s">
        <v>282</v>
      </c>
      <c r="W74" s="324" t="s">
        <v>282</v>
      </c>
      <c r="X74" s="324" t="s">
        <v>282</v>
      </c>
      <c r="Y74" s="325" t="s">
        <v>282</v>
      </c>
    </row>
    <row r="75" spans="1:25">
      <c r="A75" s="319">
        <v>2</v>
      </c>
      <c r="B75" s="320" t="str">
        <f>VLOOKUP(Tabel10[[#This Row],[Code]],Ruimtegroepen[[Code]:[Ruimte omschrijving]],2,FALSE)</f>
        <v>Kantoren</v>
      </c>
      <c r="C75" s="321" t="s">
        <v>343</v>
      </c>
      <c r="D75" s="320" t="s">
        <v>12</v>
      </c>
      <c r="E75" s="321" t="s">
        <v>1306</v>
      </c>
      <c r="F75" s="321" t="s">
        <v>1328</v>
      </c>
      <c r="G75" s="326" t="s">
        <v>282</v>
      </c>
      <c r="H75" s="322" t="s">
        <v>282</v>
      </c>
      <c r="I75" s="322" t="s">
        <v>18</v>
      </c>
      <c r="J75" s="322" t="s">
        <v>15</v>
      </c>
      <c r="K75" s="322" t="s">
        <v>249</v>
      </c>
      <c r="L75" s="322" t="s">
        <v>282</v>
      </c>
      <c r="M75" s="322" t="s">
        <v>282</v>
      </c>
      <c r="N75" s="322" t="s">
        <v>282</v>
      </c>
      <c r="O75" s="323" t="s">
        <v>20</v>
      </c>
      <c r="P75" s="323" t="s">
        <v>20</v>
      </c>
      <c r="Q75" s="323" t="s">
        <v>15</v>
      </c>
      <c r="R75" s="323" t="s">
        <v>15</v>
      </c>
      <c r="S75" s="323" t="s">
        <v>16</v>
      </c>
      <c r="T75" s="323" t="s">
        <v>329</v>
      </c>
      <c r="U75" s="323" t="s">
        <v>249</v>
      </c>
      <c r="V75" s="323" t="s">
        <v>282</v>
      </c>
      <c r="W75" s="324" t="s">
        <v>282</v>
      </c>
      <c r="X75" s="324" t="s">
        <v>282</v>
      </c>
      <c r="Y75" s="325" t="s">
        <v>282</v>
      </c>
    </row>
    <row r="76" spans="1:25">
      <c r="A76" s="319">
        <v>2</v>
      </c>
      <c r="B76" s="320" t="str">
        <f>VLOOKUP(Tabel10[[#This Row],[Code]],Ruimtegroepen[[Code]:[Ruimte omschrijving]],2,FALSE)</f>
        <v>Kantoren</v>
      </c>
      <c r="C76" s="321" t="s">
        <v>343</v>
      </c>
      <c r="D76" s="320" t="s">
        <v>12</v>
      </c>
      <c r="E76" s="321" t="s">
        <v>100</v>
      </c>
      <c r="F76" s="321" t="s">
        <v>344</v>
      </c>
      <c r="G76" s="326" t="s">
        <v>282</v>
      </c>
      <c r="H76" s="322" t="s">
        <v>282</v>
      </c>
      <c r="I76" s="322" t="s">
        <v>17</v>
      </c>
      <c r="J76" s="322" t="s">
        <v>15</v>
      </c>
      <c r="K76" s="322" t="s">
        <v>282</v>
      </c>
      <c r="L76" s="322" t="s">
        <v>282</v>
      </c>
      <c r="M76" s="322" t="s">
        <v>282</v>
      </c>
      <c r="N76" s="322" t="s">
        <v>282</v>
      </c>
      <c r="O76" s="323" t="s">
        <v>18</v>
      </c>
      <c r="P76" s="323" t="s">
        <v>18</v>
      </c>
      <c r="Q76" s="323" t="s">
        <v>15</v>
      </c>
      <c r="R76" s="323" t="s">
        <v>15</v>
      </c>
      <c r="S76" s="323" t="s">
        <v>16</v>
      </c>
      <c r="T76" s="323" t="s">
        <v>329</v>
      </c>
      <c r="U76" s="323" t="s">
        <v>249</v>
      </c>
      <c r="V76" s="323" t="s">
        <v>282</v>
      </c>
      <c r="W76" s="324" t="s">
        <v>282</v>
      </c>
      <c r="X76" s="324" t="s">
        <v>282</v>
      </c>
      <c r="Y76" s="325" t="s">
        <v>282</v>
      </c>
    </row>
    <row r="77" spans="1:25">
      <c r="A77" s="319">
        <v>2</v>
      </c>
      <c r="B77" s="320" t="str">
        <f>VLOOKUP(Tabel10[[#This Row],[Code]],Ruimtegroepen[[Code]:[Ruimte omschrijving]],2,FALSE)</f>
        <v>Kantoren</v>
      </c>
      <c r="C77" s="321" t="s">
        <v>343</v>
      </c>
      <c r="D77" s="320" t="s">
        <v>12</v>
      </c>
      <c r="E77" s="321" t="s">
        <v>99</v>
      </c>
      <c r="F77" s="321" t="s">
        <v>345</v>
      </c>
      <c r="G77" s="322" t="s">
        <v>17</v>
      </c>
      <c r="H77" s="322" t="s">
        <v>15</v>
      </c>
      <c r="I77" s="322" t="s">
        <v>282</v>
      </c>
      <c r="J77" s="322" t="s">
        <v>282</v>
      </c>
      <c r="K77" s="322" t="s">
        <v>282</v>
      </c>
      <c r="L77" s="322" t="s">
        <v>282</v>
      </c>
      <c r="M77" s="322" t="s">
        <v>282</v>
      </c>
      <c r="N77" s="322" t="s">
        <v>282</v>
      </c>
      <c r="O77" s="323" t="s">
        <v>18</v>
      </c>
      <c r="P77" s="323" t="s">
        <v>18</v>
      </c>
      <c r="Q77" s="323" t="s">
        <v>15</v>
      </c>
      <c r="R77" s="323" t="s">
        <v>15</v>
      </c>
      <c r="S77" s="323" t="s">
        <v>16</v>
      </c>
      <c r="T77" s="323" t="s">
        <v>329</v>
      </c>
      <c r="U77" s="323" t="s">
        <v>249</v>
      </c>
      <c r="V77" s="323" t="s">
        <v>282</v>
      </c>
      <c r="W77" s="324" t="s">
        <v>282</v>
      </c>
      <c r="X77" s="324" t="s">
        <v>282</v>
      </c>
      <c r="Y77" s="325" t="s">
        <v>282</v>
      </c>
    </row>
    <row r="78" spans="1:25">
      <c r="A78" s="319">
        <v>2</v>
      </c>
      <c r="B78" s="320" t="str">
        <f>VLOOKUP(Tabel10[[#This Row],[Code]],Ruimtegroepen[[Code]:[Ruimte omschrijving]],2,FALSE)</f>
        <v>Kantoren</v>
      </c>
      <c r="C78" s="321" t="s">
        <v>343</v>
      </c>
      <c r="D78" s="320" t="s">
        <v>12</v>
      </c>
      <c r="E78" s="321" t="s">
        <v>101</v>
      </c>
      <c r="F78" s="321" t="s">
        <v>346</v>
      </c>
      <c r="G78" s="326" t="s">
        <v>282</v>
      </c>
      <c r="H78" s="322" t="s">
        <v>282</v>
      </c>
      <c r="I78" s="322" t="s">
        <v>17</v>
      </c>
      <c r="J78" s="322" t="s">
        <v>15</v>
      </c>
      <c r="K78" s="322" t="s">
        <v>249</v>
      </c>
      <c r="L78" s="322" t="s">
        <v>282</v>
      </c>
      <c r="M78" s="322" t="s">
        <v>282</v>
      </c>
      <c r="N78" s="322" t="s">
        <v>282</v>
      </c>
      <c r="O78" s="323" t="s">
        <v>18</v>
      </c>
      <c r="P78" s="323" t="s">
        <v>18</v>
      </c>
      <c r="Q78" s="323" t="s">
        <v>15</v>
      </c>
      <c r="R78" s="323" t="s">
        <v>15</v>
      </c>
      <c r="S78" s="323" t="s">
        <v>16</v>
      </c>
      <c r="T78" s="323" t="s">
        <v>329</v>
      </c>
      <c r="U78" s="323" t="s">
        <v>249</v>
      </c>
      <c r="V78" s="323" t="s">
        <v>282</v>
      </c>
      <c r="W78" s="324" t="s">
        <v>282</v>
      </c>
      <c r="X78" s="324" t="s">
        <v>282</v>
      </c>
      <c r="Y78" s="325" t="s">
        <v>282</v>
      </c>
    </row>
    <row r="79" spans="1:25">
      <c r="A79" s="319">
        <v>2</v>
      </c>
      <c r="B79" s="320" t="str">
        <f>VLOOKUP(Tabel10[[#This Row],[Code]],Ruimtegroepen[[Code]:[Ruimte omschrijving]],2,FALSE)</f>
        <v>Kantoren</v>
      </c>
      <c r="C79" s="321" t="s">
        <v>343</v>
      </c>
      <c r="D79" s="320" t="s">
        <v>12</v>
      </c>
      <c r="E79" s="321" t="s">
        <v>102</v>
      </c>
      <c r="F79" s="321" t="s">
        <v>347</v>
      </c>
      <c r="G79" s="326" t="s">
        <v>282</v>
      </c>
      <c r="H79" s="322" t="s">
        <v>282</v>
      </c>
      <c r="I79" s="322" t="s">
        <v>17</v>
      </c>
      <c r="J79" s="322" t="s">
        <v>15</v>
      </c>
      <c r="K79" s="322" t="s">
        <v>249</v>
      </c>
      <c r="L79" s="322" t="s">
        <v>282</v>
      </c>
      <c r="M79" s="322" t="s">
        <v>282</v>
      </c>
      <c r="N79" s="322" t="s">
        <v>282</v>
      </c>
      <c r="O79" s="323" t="s">
        <v>18</v>
      </c>
      <c r="P79" s="323" t="s">
        <v>18</v>
      </c>
      <c r="Q79" s="323" t="s">
        <v>15</v>
      </c>
      <c r="R79" s="323" t="s">
        <v>15</v>
      </c>
      <c r="S79" s="323" t="s">
        <v>16</v>
      </c>
      <c r="T79" s="323" t="s">
        <v>329</v>
      </c>
      <c r="U79" s="323" t="s">
        <v>249</v>
      </c>
      <c r="V79" s="323" t="s">
        <v>282</v>
      </c>
      <c r="W79" s="324" t="s">
        <v>282</v>
      </c>
      <c r="X79" s="324" t="s">
        <v>282</v>
      </c>
      <c r="Y79" s="325" t="s">
        <v>282</v>
      </c>
    </row>
    <row r="80" spans="1:25">
      <c r="A80" s="319">
        <v>2</v>
      </c>
      <c r="B80" s="320" t="str">
        <f>VLOOKUP(Tabel10[[#This Row],[Code]],Ruimtegroepen[[Code]:[Ruimte omschrijving]],2,FALSE)</f>
        <v>Kantoren</v>
      </c>
      <c r="C80" s="321" t="s">
        <v>343</v>
      </c>
      <c r="D80" s="320" t="s">
        <v>12</v>
      </c>
      <c r="E80" s="321" t="s">
        <v>99</v>
      </c>
      <c r="F80" s="321" t="s">
        <v>345</v>
      </c>
      <c r="G80" s="322" t="s">
        <v>17</v>
      </c>
      <c r="H80" s="322" t="s">
        <v>15</v>
      </c>
      <c r="I80" s="322" t="s">
        <v>282</v>
      </c>
      <c r="J80" s="322" t="s">
        <v>282</v>
      </c>
      <c r="K80" s="322" t="s">
        <v>282</v>
      </c>
      <c r="L80" s="322" t="s">
        <v>282</v>
      </c>
      <c r="M80" s="322" t="s">
        <v>282</v>
      </c>
      <c r="N80" s="322" t="s">
        <v>282</v>
      </c>
      <c r="O80" s="323" t="s">
        <v>18</v>
      </c>
      <c r="P80" s="323" t="s">
        <v>18</v>
      </c>
      <c r="Q80" s="323" t="s">
        <v>15</v>
      </c>
      <c r="R80" s="323" t="s">
        <v>15</v>
      </c>
      <c r="S80" s="323" t="s">
        <v>16</v>
      </c>
      <c r="T80" s="323" t="s">
        <v>329</v>
      </c>
      <c r="U80" s="323" t="s">
        <v>249</v>
      </c>
      <c r="V80" s="323" t="s">
        <v>282</v>
      </c>
      <c r="W80" s="324" t="s">
        <v>282</v>
      </c>
      <c r="X80" s="324" t="s">
        <v>282</v>
      </c>
      <c r="Y80" s="325" t="s">
        <v>282</v>
      </c>
    </row>
    <row r="81" spans="1:25">
      <c r="A81" s="319">
        <v>2</v>
      </c>
      <c r="B81" s="320" t="str">
        <f>VLOOKUP(Tabel10[[#This Row],[Code]],Ruimtegroepen[[Code]:[Ruimte omschrijving]],2,FALSE)</f>
        <v>Kantoren</v>
      </c>
      <c r="C81" s="321" t="s">
        <v>343</v>
      </c>
      <c r="D81" s="320" t="s">
        <v>12</v>
      </c>
      <c r="E81" s="321" t="s">
        <v>1306</v>
      </c>
      <c r="F81" s="321" t="s">
        <v>1327</v>
      </c>
      <c r="G81" s="326" t="s">
        <v>282</v>
      </c>
      <c r="H81" s="322" t="s">
        <v>282</v>
      </c>
      <c r="I81" s="322" t="s">
        <v>17</v>
      </c>
      <c r="J81" s="322" t="s">
        <v>15</v>
      </c>
      <c r="K81" s="322" t="s">
        <v>249</v>
      </c>
      <c r="L81" s="322" t="s">
        <v>282</v>
      </c>
      <c r="M81" s="322" t="s">
        <v>282</v>
      </c>
      <c r="N81" s="322" t="s">
        <v>282</v>
      </c>
      <c r="O81" s="323" t="s">
        <v>18</v>
      </c>
      <c r="P81" s="323" t="s">
        <v>18</v>
      </c>
      <c r="Q81" s="323" t="s">
        <v>15</v>
      </c>
      <c r="R81" s="323" t="s">
        <v>15</v>
      </c>
      <c r="S81" s="323" t="s">
        <v>16</v>
      </c>
      <c r="T81" s="323" t="s">
        <v>329</v>
      </c>
      <c r="U81" s="323" t="s">
        <v>249</v>
      </c>
      <c r="V81" s="323" t="s">
        <v>282</v>
      </c>
      <c r="W81" s="324" t="s">
        <v>282</v>
      </c>
      <c r="X81" s="324" t="s">
        <v>282</v>
      </c>
      <c r="Y81" s="325" t="s">
        <v>282</v>
      </c>
    </row>
    <row r="82" spans="1:25">
      <c r="A82" s="319">
        <v>2</v>
      </c>
      <c r="B82" s="320" t="str">
        <f>VLOOKUP(Tabel10[[#This Row],[Code]],Ruimtegroepen[[Code]:[Ruimte omschrijving]],2,FALSE)</f>
        <v>Kantoren</v>
      </c>
      <c r="C82" s="321" t="s">
        <v>348</v>
      </c>
      <c r="D82" s="320" t="s">
        <v>14</v>
      </c>
      <c r="E82" s="321" t="s">
        <v>100</v>
      </c>
      <c r="F82" s="321" t="s">
        <v>349</v>
      </c>
      <c r="G82" s="326" t="s">
        <v>282</v>
      </c>
      <c r="H82" s="322" t="s">
        <v>282</v>
      </c>
      <c r="I82" s="322" t="s">
        <v>15</v>
      </c>
      <c r="J82" s="322" t="s">
        <v>15</v>
      </c>
      <c r="K82" s="322" t="s">
        <v>282</v>
      </c>
      <c r="L82" s="322" t="s">
        <v>282</v>
      </c>
      <c r="M82" s="322" t="s">
        <v>282</v>
      </c>
      <c r="N82" s="322" t="s">
        <v>282</v>
      </c>
      <c r="O82" s="323" t="s">
        <v>17</v>
      </c>
      <c r="P82" s="323" t="s">
        <v>17</v>
      </c>
      <c r="Q82" s="323" t="s">
        <v>15</v>
      </c>
      <c r="R82" s="323" t="s">
        <v>15</v>
      </c>
      <c r="S82" s="323" t="s">
        <v>16</v>
      </c>
      <c r="T82" s="323" t="s">
        <v>329</v>
      </c>
      <c r="U82" s="323" t="s">
        <v>249</v>
      </c>
      <c r="V82" s="323" t="s">
        <v>282</v>
      </c>
      <c r="W82" s="324" t="s">
        <v>282</v>
      </c>
      <c r="X82" s="324" t="s">
        <v>282</v>
      </c>
      <c r="Y82" s="325" t="s">
        <v>282</v>
      </c>
    </row>
    <row r="83" spans="1:25">
      <c r="A83" s="319">
        <v>2</v>
      </c>
      <c r="B83" s="320" t="str">
        <f>VLOOKUP(Tabel10[[#This Row],[Code]],Ruimtegroepen[[Code]:[Ruimte omschrijving]],2,FALSE)</f>
        <v>Kantoren</v>
      </c>
      <c r="C83" s="321" t="s">
        <v>348</v>
      </c>
      <c r="D83" s="320" t="s">
        <v>14</v>
      </c>
      <c r="E83" s="321" t="s">
        <v>99</v>
      </c>
      <c r="F83" s="321" t="s">
        <v>350</v>
      </c>
      <c r="G83" s="322" t="s">
        <v>15</v>
      </c>
      <c r="H83" s="322" t="s">
        <v>15</v>
      </c>
      <c r="I83" s="322" t="s">
        <v>282</v>
      </c>
      <c r="J83" s="322" t="s">
        <v>282</v>
      </c>
      <c r="K83" s="322" t="s">
        <v>282</v>
      </c>
      <c r="L83" s="322" t="s">
        <v>282</v>
      </c>
      <c r="M83" s="322" t="s">
        <v>282</v>
      </c>
      <c r="N83" s="322" t="s">
        <v>282</v>
      </c>
      <c r="O83" s="323" t="s">
        <v>17</v>
      </c>
      <c r="P83" s="323" t="s">
        <v>17</v>
      </c>
      <c r="Q83" s="323" t="s">
        <v>15</v>
      </c>
      <c r="R83" s="323" t="s">
        <v>15</v>
      </c>
      <c r="S83" s="323" t="s">
        <v>16</v>
      </c>
      <c r="T83" s="323" t="s">
        <v>329</v>
      </c>
      <c r="U83" s="323" t="s">
        <v>249</v>
      </c>
      <c r="V83" s="323" t="s">
        <v>282</v>
      </c>
      <c r="W83" s="324" t="s">
        <v>282</v>
      </c>
      <c r="X83" s="324" t="s">
        <v>282</v>
      </c>
      <c r="Y83" s="325" t="s">
        <v>282</v>
      </c>
    </row>
    <row r="84" spans="1:25">
      <c r="A84" s="319">
        <v>2</v>
      </c>
      <c r="B84" s="320" t="str">
        <f>VLOOKUP(Tabel10[[#This Row],[Code]],Ruimtegroepen[[Code]:[Ruimte omschrijving]],2,FALSE)</f>
        <v>Kantoren</v>
      </c>
      <c r="C84" s="321" t="s">
        <v>348</v>
      </c>
      <c r="D84" s="320" t="s">
        <v>14</v>
      </c>
      <c r="E84" s="321" t="s">
        <v>101</v>
      </c>
      <c r="F84" s="321" t="s">
        <v>351</v>
      </c>
      <c r="G84" s="326" t="s">
        <v>282</v>
      </c>
      <c r="H84" s="322" t="s">
        <v>282</v>
      </c>
      <c r="I84" s="322" t="s">
        <v>15</v>
      </c>
      <c r="J84" s="322" t="s">
        <v>15</v>
      </c>
      <c r="K84" s="322" t="s">
        <v>249</v>
      </c>
      <c r="L84" s="322" t="s">
        <v>282</v>
      </c>
      <c r="M84" s="322" t="s">
        <v>282</v>
      </c>
      <c r="N84" s="322" t="s">
        <v>282</v>
      </c>
      <c r="O84" s="323" t="s">
        <v>17</v>
      </c>
      <c r="P84" s="323" t="s">
        <v>17</v>
      </c>
      <c r="Q84" s="323" t="s">
        <v>15</v>
      </c>
      <c r="R84" s="323" t="s">
        <v>15</v>
      </c>
      <c r="S84" s="323" t="s">
        <v>16</v>
      </c>
      <c r="T84" s="323" t="s">
        <v>329</v>
      </c>
      <c r="U84" s="323" t="s">
        <v>249</v>
      </c>
      <c r="V84" s="323" t="s">
        <v>282</v>
      </c>
      <c r="W84" s="324" t="s">
        <v>282</v>
      </c>
      <c r="X84" s="324" t="s">
        <v>282</v>
      </c>
      <c r="Y84" s="325" t="s">
        <v>282</v>
      </c>
    </row>
    <row r="85" spans="1:25">
      <c r="A85" s="319">
        <v>2</v>
      </c>
      <c r="B85" s="320" t="str">
        <f>VLOOKUP(Tabel10[[#This Row],[Code]],Ruimtegroepen[[Code]:[Ruimte omschrijving]],2,FALSE)</f>
        <v>Kantoren</v>
      </c>
      <c r="C85" s="321" t="s">
        <v>348</v>
      </c>
      <c r="D85" s="320" t="s">
        <v>14</v>
      </c>
      <c r="E85" s="321" t="s">
        <v>102</v>
      </c>
      <c r="F85" s="321" t="s">
        <v>352</v>
      </c>
      <c r="G85" s="326" t="s">
        <v>282</v>
      </c>
      <c r="H85" s="322" t="s">
        <v>282</v>
      </c>
      <c r="I85" s="322" t="s">
        <v>15</v>
      </c>
      <c r="J85" s="322" t="s">
        <v>15</v>
      </c>
      <c r="K85" s="322" t="s">
        <v>249</v>
      </c>
      <c r="L85" s="322" t="s">
        <v>282</v>
      </c>
      <c r="M85" s="322" t="s">
        <v>282</v>
      </c>
      <c r="N85" s="322" t="s">
        <v>282</v>
      </c>
      <c r="O85" s="323" t="s">
        <v>17</v>
      </c>
      <c r="P85" s="323" t="s">
        <v>17</v>
      </c>
      <c r="Q85" s="323" t="s">
        <v>15</v>
      </c>
      <c r="R85" s="323" t="s">
        <v>15</v>
      </c>
      <c r="S85" s="323" t="s">
        <v>16</v>
      </c>
      <c r="T85" s="323" t="s">
        <v>329</v>
      </c>
      <c r="U85" s="323" t="s">
        <v>249</v>
      </c>
      <c r="V85" s="323" t="s">
        <v>282</v>
      </c>
      <c r="W85" s="324" t="s">
        <v>282</v>
      </c>
      <c r="X85" s="324" t="s">
        <v>282</v>
      </c>
      <c r="Y85" s="325" t="s">
        <v>282</v>
      </c>
    </row>
    <row r="86" spans="1:25">
      <c r="A86" s="319">
        <v>2</v>
      </c>
      <c r="B86" s="320" t="str">
        <f>VLOOKUP(Tabel10[[#This Row],[Code]],Ruimtegroepen[[Code]:[Ruimte omschrijving]],2,FALSE)</f>
        <v>Kantoren</v>
      </c>
      <c r="C86" s="321" t="s">
        <v>348</v>
      </c>
      <c r="D86" s="320" t="s">
        <v>14</v>
      </c>
      <c r="E86" s="321" t="s">
        <v>99</v>
      </c>
      <c r="F86" s="321" t="s">
        <v>350</v>
      </c>
      <c r="G86" s="322" t="s">
        <v>15</v>
      </c>
      <c r="H86" s="322" t="s">
        <v>15</v>
      </c>
      <c r="I86" s="322" t="s">
        <v>282</v>
      </c>
      <c r="J86" s="322" t="s">
        <v>282</v>
      </c>
      <c r="K86" s="322" t="s">
        <v>282</v>
      </c>
      <c r="L86" s="322" t="s">
        <v>282</v>
      </c>
      <c r="M86" s="322" t="s">
        <v>282</v>
      </c>
      <c r="N86" s="322" t="s">
        <v>282</v>
      </c>
      <c r="O86" s="323" t="s">
        <v>17</v>
      </c>
      <c r="P86" s="323" t="s">
        <v>17</v>
      </c>
      <c r="Q86" s="323" t="s">
        <v>15</v>
      </c>
      <c r="R86" s="323" t="s">
        <v>15</v>
      </c>
      <c r="S86" s="323" t="s">
        <v>16</v>
      </c>
      <c r="T86" s="323" t="s">
        <v>329</v>
      </c>
      <c r="U86" s="323" t="s">
        <v>249</v>
      </c>
      <c r="V86" s="323" t="s">
        <v>282</v>
      </c>
      <c r="W86" s="324" t="s">
        <v>282</v>
      </c>
      <c r="X86" s="324" t="s">
        <v>282</v>
      </c>
      <c r="Y86" s="325" t="s">
        <v>282</v>
      </c>
    </row>
    <row r="87" spans="1:25">
      <c r="A87" s="319">
        <v>2</v>
      </c>
      <c r="B87" s="320" t="str">
        <f>VLOOKUP(Tabel10[[#This Row],[Code]],Ruimtegroepen[[Code]:[Ruimte omschrijving]],2,FALSE)</f>
        <v>Kantoren</v>
      </c>
      <c r="C87" s="321" t="s">
        <v>348</v>
      </c>
      <c r="D87" s="320" t="s">
        <v>14</v>
      </c>
      <c r="E87" s="321" t="s">
        <v>1306</v>
      </c>
      <c r="F87" s="321" t="s">
        <v>1329</v>
      </c>
      <c r="G87" s="326" t="s">
        <v>282</v>
      </c>
      <c r="H87" s="322" t="s">
        <v>282</v>
      </c>
      <c r="I87" s="322" t="s">
        <v>15</v>
      </c>
      <c r="J87" s="322" t="s">
        <v>15</v>
      </c>
      <c r="K87" s="322" t="s">
        <v>249</v>
      </c>
      <c r="L87" s="322" t="s">
        <v>282</v>
      </c>
      <c r="M87" s="322" t="s">
        <v>282</v>
      </c>
      <c r="N87" s="322" t="s">
        <v>282</v>
      </c>
      <c r="O87" s="323" t="s">
        <v>17</v>
      </c>
      <c r="P87" s="323" t="s">
        <v>17</v>
      </c>
      <c r="Q87" s="323" t="s">
        <v>15</v>
      </c>
      <c r="R87" s="323" t="s">
        <v>15</v>
      </c>
      <c r="S87" s="323" t="s">
        <v>16</v>
      </c>
      <c r="T87" s="323" t="s">
        <v>329</v>
      </c>
      <c r="U87" s="323" t="s">
        <v>249</v>
      </c>
      <c r="V87" s="323" t="s">
        <v>282</v>
      </c>
      <c r="W87" s="324" t="s">
        <v>282</v>
      </c>
      <c r="X87" s="324" t="s">
        <v>282</v>
      </c>
      <c r="Y87" s="325" t="s">
        <v>282</v>
      </c>
    </row>
    <row r="88" spans="1:25">
      <c r="A88" s="319">
        <v>2</v>
      </c>
      <c r="B88" s="320" t="str">
        <f>VLOOKUP(Tabel10[[#This Row],[Code]],Ruimtegroepen[[Code]:[Ruimte omschrijving]],2,FALSE)</f>
        <v>Kantoren</v>
      </c>
      <c r="C88" s="321" t="s">
        <v>353</v>
      </c>
      <c r="D88" s="320" t="s">
        <v>13</v>
      </c>
      <c r="E88" s="321" t="s">
        <v>100</v>
      </c>
      <c r="F88" s="321" t="s">
        <v>354</v>
      </c>
      <c r="G88" s="326" t="s">
        <v>282</v>
      </c>
      <c r="H88" s="322" t="s">
        <v>282</v>
      </c>
      <c r="I88" s="322" t="s">
        <v>282</v>
      </c>
      <c r="J88" s="322" t="s">
        <v>15</v>
      </c>
      <c r="K88" s="322" t="s">
        <v>282</v>
      </c>
      <c r="L88" s="322" t="s">
        <v>282</v>
      </c>
      <c r="M88" s="322" t="s">
        <v>282</v>
      </c>
      <c r="N88" s="322" t="s">
        <v>282</v>
      </c>
      <c r="O88" s="323" t="s">
        <v>15</v>
      </c>
      <c r="P88" s="323" t="s">
        <v>15</v>
      </c>
      <c r="Q88" s="323" t="s">
        <v>15</v>
      </c>
      <c r="R88" s="323" t="s">
        <v>15</v>
      </c>
      <c r="S88" s="323" t="s">
        <v>16</v>
      </c>
      <c r="T88" s="323" t="s">
        <v>329</v>
      </c>
      <c r="U88" s="323" t="s">
        <v>249</v>
      </c>
      <c r="V88" s="323" t="s">
        <v>282</v>
      </c>
      <c r="W88" s="324" t="s">
        <v>282</v>
      </c>
      <c r="X88" s="324" t="s">
        <v>282</v>
      </c>
      <c r="Y88" s="325" t="s">
        <v>282</v>
      </c>
    </row>
    <row r="89" spans="1:25">
      <c r="A89" s="319">
        <v>2</v>
      </c>
      <c r="B89" s="320" t="str">
        <f>VLOOKUP(Tabel10[[#This Row],[Code]],Ruimtegroepen[[Code]:[Ruimte omschrijving]],2,FALSE)</f>
        <v>Kantoren</v>
      </c>
      <c r="C89" s="321" t="s">
        <v>353</v>
      </c>
      <c r="D89" s="320" t="s">
        <v>13</v>
      </c>
      <c r="E89" s="321" t="s">
        <v>99</v>
      </c>
      <c r="F89" s="321" t="s">
        <v>355</v>
      </c>
      <c r="G89" s="326" t="s">
        <v>282</v>
      </c>
      <c r="H89" s="322" t="s">
        <v>15</v>
      </c>
      <c r="I89" s="322" t="s">
        <v>282</v>
      </c>
      <c r="J89" s="322" t="s">
        <v>282</v>
      </c>
      <c r="K89" s="322" t="s">
        <v>282</v>
      </c>
      <c r="L89" s="322" t="s">
        <v>282</v>
      </c>
      <c r="M89" s="322" t="s">
        <v>282</v>
      </c>
      <c r="N89" s="322" t="s">
        <v>282</v>
      </c>
      <c r="O89" s="323" t="s">
        <v>15</v>
      </c>
      <c r="P89" s="323" t="s">
        <v>15</v>
      </c>
      <c r="Q89" s="323" t="s">
        <v>15</v>
      </c>
      <c r="R89" s="323" t="s">
        <v>15</v>
      </c>
      <c r="S89" s="323" t="s">
        <v>16</v>
      </c>
      <c r="T89" s="323" t="s">
        <v>329</v>
      </c>
      <c r="U89" s="323" t="s">
        <v>249</v>
      </c>
      <c r="V89" s="323" t="s">
        <v>282</v>
      </c>
      <c r="W89" s="324" t="s">
        <v>282</v>
      </c>
      <c r="X89" s="324" t="s">
        <v>282</v>
      </c>
      <c r="Y89" s="325" t="s">
        <v>282</v>
      </c>
    </row>
    <row r="90" spans="1:25">
      <c r="A90" s="319">
        <v>2</v>
      </c>
      <c r="B90" s="320" t="str">
        <f>VLOOKUP(Tabel10[[#This Row],[Code]],Ruimtegroepen[[Code]:[Ruimte omschrijving]],2,FALSE)</f>
        <v>Kantoren</v>
      </c>
      <c r="C90" s="321" t="s">
        <v>353</v>
      </c>
      <c r="D90" s="320" t="s">
        <v>13</v>
      </c>
      <c r="E90" s="321" t="s">
        <v>101</v>
      </c>
      <c r="F90" s="321" t="s">
        <v>356</v>
      </c>
      <c r="G90" s="326" t="s">
        <v>282</v>
      </c>
      <c r="H90" s="322" t="s">
        <v>282</v>
      </c>
      <c r="I90" s="322" t="s">
        <v>282</v>
      </c>
      <c r="J90" s="322" t="s">
        <v>15</v>
      </c>
      <c r="K90" s="322" t="s">
        <v>249</v>
      </c>
      <c r="L90" s="322" t="s">
        <v>282</v>
      </c>
      <c r="M90" s="322" t="s">
        <v>282</v>
      </c>
      <c r="N90" s="322" t="s">
        <v>282</v>
      </c>
      <c r="O90" s="323" t="s">
        <v>15</v>
      </c>
      <c r="P90" s="323" t="s">
        <v>15</v>
      </c>
      <c r="Q90" s="323" t="s">
        <v>15</v>
      </c>
      <c r="R90" s="323" t="s">
        <v>15</v>
      </c>
      <c r="S90" s="323" t="s">
        <v>16</v>
      </c>
      <c r="T90" s="323" t="s">
        <v>329</v>
      </c>
      <c r="U90" s="323" t="s">
        <v>249</v>
      </c>
      <c r="V90" s="323" t="s">
        <v>282</v>
      </c>
      <c r="W90" s="324" t="s">
        <v>282</v>
      </c>
      <c r="X90" s="324" t="s">
        <v>282</v>
      </c>
      <c r="Y90" s="325" t="s">
        <v>282</v>
      </c>
    </row>
    <row r="91" spans="1:25">
      <c r="A91" s="319">
        <v>2</v>
      </c>
      <c r="B91" s="320" t="str">
        <f>VLOOKUP(Tabel10[[#This Row],[Code]],Ruimtegroepen[[Code]:[Ruimte omschrijving]],2,FALSE)</f>
        <v>Kantoren</v>
      </c>
      <c r="C91" s="321" t="s">
        <v>353</v>
      </c>
      <c r="D91" s="320" t="s">
        <v>13</v>
      </c>
      <c r="E91" s="321" t="s">
        <v>102</v>
      </c>
      <c r="F91" s="321" t="s">
        <v>357</v>
      </c>
      <c r="G91" s="326" t="s">
        <v>282</v>
      </c>
      <c r="H91" s="322" t="s">
        <v>282</v>
      </c>
      <c r="I91" s="322" t="s">
        <v>282</v>
      </c>
      <c r="J91" s="322" t="s">
        <v>15</v>
      </c>
      <c r="K91" s="322" t="s">
        <v>249</v>
      </c>
      <c r="L91" s="322" t="s">
        <v>282</v>
      </c>
      <c r="M91" s="322" t="s">
        <v>282</v>
      </c>
      <c r="N91" s="322" t="s">
        <v>282</v>
      </c>
      <c r="O91" s="323" t="s">
        <v>15</v>
      </c>
      <c r="P91" s="323" t="s">
        <v>15</v>
      </c>
      <c r="Q91" s="323" t="s">
        <v>15</v>
      </c>
      <c r="R91" s="323" t="s">
        <v>15</v>
      </c>
      <c r="S91" s="323" t="s">
        <v>16</v>
      </c>
      <c r="T91" s="323" t="s">
        <v>329</v>
      </c>
      <c r="U91" s="323" t="s">
        <v>249</v>
      </c>
      <c r="V91" s="323" t="s">
        <v>282</v>
      </c>
      <c r="W91" s="324" t="s">
        <v>282</v>
      </c>
      <c r="X91" s="324" t="s">
        <v>282</v>
      </c>
      <c r="Y91" s="325" t="s">
        <v>282</v>
      </c>
    </row>
    <row r="92" spans="1:25">
      <c r="A92" s="319">
        <v>2</v>
      </c>
      <c r="B92" s="320" t="str">
        <f>VLOOKUP(Tabel10[[#This Row],[Code]],Ruimtegroepen[[Code]:[Ruimte omschrijving]],2,FALSE)</f>
        <v>Kantoren</v>
      </c>
      <c r="C92" s="321" t="s">
        <v>353</v>
      </c>
      <c r="D92" s="320" t="s">
        <v>13</v>
      </c>
      <c r="E92" s="321" t="s">
        <v>99</v>
      </c>
      <c r="F92" s="321" t="s">
        <v>355</v>
      </c>
      <c r="G92" s="326" t="s">
        <v>282</v>
      </c>
      <c r="H92" s="322" t="s">
        <v>15</v>
      </c>
      <c r="I92" s="322" t="s">
        <v>282</v>
      </c>
      <c r="J92" s="322" t="s">
        <v>282</v>
      </c>
      <c r="K92" s="322" t="s">
        <v>282</v>
      </c>
      <c r="L92" s="322" t="s">
        <v>282</v>
      </c>
      <c r="M92" s="322" t="s">
        <v>282</v>
      </c>
      <c r="N92" s="322" t="s">
        <v>282</v>
      </c>
      <c r="O92" s="323" t="s">
        <v>15</v>
      </c>
      <c r="P92" s="323" t="s">
        <v>15</v>
      </c>
      <c r="Q92" s="323" t="s">
        <v>15</v>
      </c>
      <c r="R92" s="323" t="s">
        <v>15</v>
      </c>
      <c r="S92" s="323" t="s">
        <v>16</v>
      </c>
      <c r="T92" s="323" t="s">
        <v>329</v>
      </c>
      <c r="U92" s="323" t="s">
        <v>249</v>
      </c>
      <c r="V92" s="323" t="s">
        <v>282</v>
      </c>
      <c r="W92" s="324" t="s">
        <v>282</v>
      </c>
      <c r="X92" s="324" t="s">
        <v>282</v>
      </c>
      <c r="Y92" s="325" t="s">
        <v>282</v>
      </c>
    </row>
    <row r="93" spans="1:25">
      <c r="A93" s="319">
        <v>2</v>
      </c>
      <c r="B93" s="320" t="str">
        <f>VLOOKUP(Tabel10[[#This Row],[Code]],Ruimtegroepen[[Code]:[Ruimte omschrijving]],2,FALSE)</f>
        <v>Kantoren</v>
      </c>
      <c r="C93" s="321" t="s">
        <v>353</v>
      </c>
      <c r="D93" s="320" t="s">
        <v>13</v>
      </c>
      <c r="E93" s="321" t="s">
        <v>1306</v>
      </c>
      <c r="F93" s="321" t="s">
        <v>1330</v>
      </c>
      <c r="G93" s="326" t="s">
        <v>282</v>
      </c>
      <c r="H93" s="322" t="s">
        <v>282</v>
      </c>
      <c r="I93" s="322" t="s">
        <v>282</v>
      </c>
      <c r="J93" s="322" t="s">
        <v>15</v>
      </c>
      <c r="K93" s="322" t="s">
        <v>249</v>
      </c>
      <c r="L93" s="322" t="s">
        <v>282</v>
      </c>
      <c r="M93" s="322" t="s">
        <v>282</v>
      </c>
      <c r="N93" s="322" t="s">
        <v>282</v>
      </c>
      <c r="O93" s="323" t="s">
        <v>15</v>
      </c>
      <c r="P93" s="323" t="s">
        <v>15</v>
      </c>
      <c r="Q93" s="323" t="s">
        <v>15</v>
      </c>
      <c r="R93" s="323" t="s">
        <v>15</v>
      </c>
      <c r="S93" s="323" t="s">
        <v>16</v>
      </c>
      <c r="T93" s="323" t="s">
        <v>329</v>
      </c>
      <c r="U93" s="323" t="s">
        <v>249</v>
      </c>
      <c r="V93" s="323" t="s">
        <v>282</v>
      </c>
      <c r="W93" s="324" t="s">
        <v>282</v>
      </c>
      <c r="X93" s="324" t="s">
        <v>282</v>
      </c>
      <c r="Y93" s="325" t="s">
        <v>282</v>
      </c>
    </row>
    <row r="94" spans="1:25">
      <c r="A94" s="319">
        <v>2</v>
      </c>
      <c r="B94" s="320" t="str">
        <f>VLOOKUP(Tabel10[[#This Row],[Code]],Ruimtegroepen[[Code]:[Ruimte omschrijving]],2,FALSE)</f>
        <v>Kantoren</v>
      </c>
      <c r="C94" s="321" t="s">
        <v>358</v>
      </c>
      <c r="D94" s="320" t="s">
        <v>0</v>
      </c>
      <c r="E94" s="321" t="s">
        <v>100</v>
      </c>
      <c r="F94" s="321" t="s">
        <v>359</v>
      </c>
      <c r="G94" s="326" t="s">
        <v>282</v>
      </c>
      <c r="H94" s="322" t="s">
        <v>282</v>
      </c>
      <c r="I94" s="322" t="s">
        <v>16</v>
      </c>
      <c r="J94" s="322" t="s">
        <v>282</v>
      </c>
      <c r="K94" s="322" t="s">
        <v>282</v>
      </c>
      <c r="L94" s="322" t="s">
        <v>282</v>
      </c>
      <c r="M94" s="322" t="s">
        <v>282</v>
      </c>
      <c r="N94" s="322" t="s">
        <v>282</v>
      </c>
      <c r="O94" s="323" t="s">
        <v>16</v>
      </c>
      <c r="P94" s="323" t="s">
        <v>16</v>
      </c>
      <c r="Q94" s="323" t="s">
        <v>16</v>
      </c>
      <c r="R94" s="323" t="s">
        <v>16</v>
      </c>
      <c r="S94" s="323" t="s">
        <v>16</v>
      </c>
      <c r="T94" s="323" t="s">
        <v>329</v>
      </c>
      <c r="U94" s="323" t="s">
        <v>249</v>
      </c>
      <c r="V94" s="323" t="s">
        <v>282</v>
      </c>
      <c r="W94" s="324" t="s">
        <v>282</v>
      </c>
      <c r="X94" s="324" t="s">
        <v>282</v>
      </c>
      <c r="Y94" s="325" t="s">
        <v>282</v>
      </c>
    </row>
    <row r="95" spans="1:25">
      <c r="A95" s="319">
        <v>2</v>
      </c>
      <c r="B95" s="320" t="str">
        <f>VLOOKUP(Tabel10[[#This Row],[Code]],Ruimtegroepen[[Code]:[Ruimte omschrijving]],2,FALSE)</f>
        <v>Kantoren</v>
      </c>
      <c r="C95" s="321" t="s">
        <v>358</v>
      </c>
      <c r="D95" s="320" t="s">
        <v>0</v>
      </c>
      <c r="E95" s="321" t="s">
        <v>99</v>
      </c>
      <c r="F95" s="321" t="s">
        <v>360</v>
      </c>
      <c r="G95" s="326" t="s">
        <v>282</v>
      </c>
      <c r="H95" s="322" t="s">
        <v>16</v>
      </c>
      <c r="I95" s="322" t="s">
        <v>282</v>
      </c>
      <c r="J95" s="322" t="s">
        <v>282</v>
      </c>
      <c r="K95" s="322" t="s">
        <v>282</v>
      </c>
      <c r="L95" s="322" t="s">
        <v>282</v>
      </c>
      <c r="M95" s="322" t="s">
        <v>282</v>
      </c>
      <c r="N95" s="322" t="s">
        <v>282</v>
      </c>
      <c r="O95" s="323" t="s">
        <v>16</v>
      </c>
      <c r="P95" s="323" t="s">
        <v>16</v>
      </c>
      <c r="Q95" s="323" t="s">
        <v>16</v>
      </c>
      <c r="R95" s="323" t="s">
        <v>16</v>
      </c>
      <c r="S95" s="323" t="s">
        <v>16</v>
      </c>
      <c r="T95" s="323" t="s">
        <v>329</v>
      </c>
      <c r="U95" s="323" t="s">
        <v>249</v>
      </c>
      <c r="V95" s="323" t="s">
        <v>282</v>
      </c>
      <c r="W95" s="324" t="s">
        <v>282</v>
      </c>
      <c r="X95" s="324" t="s">
        <v>282</v>
      </c>
      <c r="Y95" s="325" t="s">
        <v>282</v>
      </c>
    </row>
    <row r="96" spans="1:25">
      <c r="A96" s="319">
        <v>2</v>
      </c>
      <c r="B96" s="320" t="str">
        <f>VLOOKUP(Tabel10[[#This Row],[Code]],Ruimtegroepen[[Code]:[Ruimte omschrijving]],2,FALSE)</f>
        <v>Kantoren</v>
      </c>
      <c r="C96" s="321" t="s">
        <v>358</v>
      </c>
      <c r="D96" s="320" t="s">
        <v>0</v>
      </c>
      <c r="E96" s="321" t="s">
        <v>101</v>
      </c>
      <c r="F96" s="321" t="s">
        <v>362</v>
      </c>
      <c r="G96" s="326" t="s">
        <v>282</v>
      </c>
      <c r="H96" s="322" t="s">
        <v>282</v>
      </c>
      <c r="I96" s="322" t="s">
        <v>282</v>
      </c>
      <c r="J96" s="322" t="s">
        <v>16</v>
      </c>
      <c r="K96" s="322" t="s">
        <v>249</v>
      </c>
      <c r="L96" s="322" t="s">
        <v>282</v>
      </c>
      <c r="M96" s="322" t="s">
        <v>282</v>
      </c>
      <c r="N96" s="322" t="s">
        <v>282</v>
      </c>
      <c r="O96" s="323" t="s">
        <v>16</v>
      </c>
      <c r="P96" s="323" t="s">
        <v>16</v>
      </c>
      <c r="Q96" s="323" t="s">
        <v>16</v>
      </c>
      <c r="R96" s="323" t="s">
        <v>16</v>
      </c>
      <c r="S96" s="323" t="s">
        <v>16</v>
      </c>
      <c r="T96" s="323" t="s">
        <v>329</v>
      </c>
      <c r="U96" s="323" t="s">
        <v>249</v>
      </c>
      <c r="V96" s="323" t="s">
        <v>282</v>
      </c>
      <c r="W96" s="324" t="s">
        <v>282</v>
      </c>
      <c r="X96" s="324" t="s">
        <v>282</v>
      </c>
      <c r="Y96" s="325" t="s">
        <v>282</v>
      </c>
    </row>
    <row r="97" spans="1:25">
      <c r="A97" s="319">
        <v>2</v>
      </c>
      <c r="B97" s="320" t="str">
        <f>VLOOKUP(Tabel10[[#This Row],[Code]],Ruimtegroepen[[Code]:[Ruimte omschrijving]],2,FALSE)</f>
        <v>Kantoren</v>
      </c>
      <c r="C97" s="321" t="s">
        <v>358</v>
      </c>
      <c r="D97" s="320" t="s">
        <v>0</v>
      </c>
      <c r="E97" s="321" t="s">
        <v>102</v>
      </c>
      <c r="F97" s="321" t="s">
        <v>363</v>
      </c>
      <c r="G97" s="326" t="s">
        <v>282</v>
      </c>
      <c r="H97" s="322" t="s">
        <v>282</v>
      </c>
      <c r="I97" s="322" t="s">
        <v>16</v>
      </c>
      <c r="J97" s="322" t="s">
        <v>282</v>
      </c>
      <c r="K97" s="322" t="s">
        <v>249</v>
      </c>
      <c r="L97" s="322" t="s">
        <v>282</v>
      </c>
      <c r="M97" s="322" t="s">
        <v>282</v>
      </c>
      <c r="N97" s="322" t="s">
        <v>282</v>
      </c>
      <c r="O97" s="323" t="s">
        <v>16</v>
      </c>
      <c r="P97" s="323" t="s">
        <v>16</v>
      </c>
      <c r="Q97" s="323" t="s">
        <v>16</v>
      </c>
      <c r="R97" s="323" t="s">
        <v>16</v>
      </c>
      <c r="S97" s="323" t="s">
        <v>16</v>
      </c>
      <c r="T97" s="323" t="s">
        <v>329</v>
      </c>
      <c r="U97" s="323" t="s">
        <v>249</v>
      </c>
      <c r="V97" s="323" t="s">
        <v>282</v>
      </c>
      <c r="W97" s="324" t="s">
        <v>282</v>
      </c>
      <c r="X97" s="324" t="s">
        <v>282</v>
      </c>
      <c r="Y97" s="325" t="s">
        <v>282</v>
      </c>
    </row>
    <row r="98" spans="1:25">
      <c r="A98" s="319">
        <v>2</v>
      </c>
      <c r="B98" s="320" t="str">
        <f>VLOOKUP(Tabel10[[#This Row],[Code]],Ruimtegroepen[[Code]:[Ruimte omschrijving]],2,FALSE)</f>
        <v>Kantoren</v>
      </c>
      <c r="C98" s="321" t="s">
        <v>358</v>
      </c>
      <c r="D98" s="320" t="s">
        <v>0</v>
      </c>
      <c r="E98" s="321" t="s">
        <v>99</v>
      </c>
      <c r="F98" s="321" t="s">
        <v>360</v>
      </c>
      <c r="G98" s="326" t="s">
        <v>282</v>
      </c>
      <c r="H98" s="322" t="s">
        <v>16</v>
      </c>
      <c r="I98" s="322" t="s">
        <v>282</v>
      </c>
      <c r="J98" s="322" t="s">
        <v>282</v>
      </c>
      <c r="K98" s="322" t="s">
        <v>282</v>
      </c>
      <c r="L98" s="322" t="s">
        <v>282</v>
      </c>
      <c r="M98" s="322" t="s">
        <v>282</v>
      </c>
      <c r="N98" s="322" t="s">
        <v>282</v>
      </c>
      <c r="O98" s="323" t="s">
        <v>16</v>
      </c>
      <c r="P98" s="323" t="s">
        <v>16</v>
      </c>
      <c r="Q98" s="323" t="s">
        <v>16</v>
      </c>
      <c r="R98" s="323" t="s">
        <v>16</v>
      </c>
      <c r="S98" s="323" t="s">
        <v>16</v>
      </c>
      <c r="T98" s="323" t="s">
        <v>329</v>
      </c>
      <c r="U98" s="323" t="s">
        <v>249</v>
      </c>
      <c r="V98" s="323" t="s">
        <v>282</v>
      </c>
      <c r="W98" s="324" t="s">
        <v>282</v>
      </c>
      <c r="X98" s="324" t="s">
        <v>282</v>
      </c>
      <c r="Y98" s="325" t="s">
        <v>282</v>
      </c>
    </row>
    <row r="99" spans="1:25">
      <c r="A99" s="319">
        <v>2</v>
      </c>
      <c r="B99" s="320" t="str">
        <f>VLOOKUP(Tabel10[[#This Row],[Code]],Ruimtegroepen[[Code]:[Ruimte omschrijving]],2,FALSE)</f>
        <v>Kantoren</v>
      </c>
      <c r="C99" s="321" t="s">
        <v>358</v>
      </c>
      <c r="D99" s="320" t="s">
        <v>0</v>
      </c>
      <c r="E99" s="321" t="s">
        <v>1306</v>
      </c>
      <c r="F99" s="321" t="s">
        <v>1331</v>
      </c>
      <c r="G99" s="326" t="s">
        <v>282</v>
      </c>
      <c r="H99" s="322" t="s">
        <v>282</v>
      </c>
      <c r="I99" s="322" t="s">
        <v>16</v>
      </c>
      <c r="J99" s="322" t="s">
        <v>282</v>
      </c>
      <c r="K99" s="322" t="s">
        <v>249</v>
      </c>
      <c r="L99" s="322" t="s">
        <v>282</v>
      </c>
      <c r="M99" s="322" t="s">
        <v>282</v>
      </c>
      <c r="N99" s="322" t="s">
        <v>282</v>
      </c>
      <c r="O99" s="323" t="s">
        <v>16</v>
      </c>
      <c r="P99" s="323" t="s">
        <v>16</v>
      </c>
      <c r="Q99" s="323" t="s">
        <v>16</v>
      </c>
      <c r="R99" s="323" t="s">
        <v>16</v>
      </c>
      <c r="S99" s="323" t="s">
        <v>16</v>
      </c>
      <c r="T99" s="323" t="s">
        <v>329</v>
      </c>
      <c r="U99" s="323" t="s">
        <v>249</v>
      </c>
      <c r="V99" s="323" t="s">
        <v>282</v>
      </c>
      <c r="W99" s="324" t="s">
        <v>282</v>
      </c>
      <c r="X99" s="324" t="s">
        <v>282</v>
      </c>
      <c r="Y99" s="325" t="s">
        <v>282</v>
      </c>
    </row>
    <row r="100" spans="1:25">
      <c r="A100" s="319">
        <v>2</v>
      </c>
      <c r="B100" s="320" t="str">
        <f>VLOOKUP(Tabel10[[#This Row],[Code]],Ruimtegroepen[[Code]:[Ruimte omschrijving]],2,FALSE)</f>
        <v>Kantoren</v>
      </c>
      <c r="C100" s="321" t="s">
        <v>364</v>
      </c>
      <c r="D100" s="320" t="s">
        <v>27</v>
      </c>
      <c r="E100" s="321" t="s">
        <v>100</v>
      </c>
      <c r="F100" s="321" t="s">
        <v>365</v>
      </c>
      <c r="G100" s="326" t="s">
        <v>282</v>
      </c>
      <c r="H100" s="322" t="s">
        <v>282</v>
      </c>
      <c r="I100" s="322" t="s">
        <v>15</v>
      </c>
      <c r="J100" s="322" t="s">
        <v>282</v>
      </c>
      <c r="K100" s="322" t="s">
        <v>282</v>
      </c>
      <c r="L100" s="322" t="s">
        <v>282</v>
      </c>
      <c r="M100" s="322" t="s">
        <v>282</v>
      </c>
      <c r="N100" s="322" t="s">
        <v>282</v>
      </c>
      <c r="O100" s="323" t="s">
        <v>15</v>
      </c>
      <c r="P100" s="323" t="s">
        <v>15</v>
      </c>
      <c r="Q100" s="323" t="s">
        <v>15</v>
      </c>
      <c r="R100" s="323" t="s">
        <v>282</v>
      </c>
      <c r="S100" s="323" t="s">
        <v>282</v>
      </c>
      <c r="T100" s="323" t="s">
        <v>282</v>
      </c>
      <c r="U100" s="323" t="s">
        <v>282</v>
      </c>
      <c r="V100" s="323" t="s">
        <v>282</v>
      </c>
      <c r="W100" s="324" t="s">
        <v>282</v>
      </c>
      <c r="X100" s="324" t="s">
        <v>282</v>
      </c>
      <c r="Y100" s="325" t="s">
        <v>282</v>
      </c>
    </row>
    <row r="101" spans="1:25">
      <c r="A101" s="319">
        <v>2</v>
      </c>
      <c r="B101" s="320" t="str">
        <f>VLOOKUP(Tabel10[[#This Row],[Code]],Ruimtegroepen[[Code]:[Ruimte omschrijving]],2,FALSE)</f>
        <v>Kantoren</v>
      </c>
      <c r="C101" s="321" t="s">
        <v>364</v>
      </c>
      <c r="D101" s="320" t="s">
        <v>27</v>
      </c>
      <c r="E101" s="321" t="s">
        <v>99</v>
      </c>
      <c r="F101" s="321" t="s">
        <v>366</v>
      </c>
      <c r="G101" s="326" t="s">
        <v>282</v>
      </c>
      <c r="H101" s="322" t="s">
        <v>15</v>
      </c>
      <c r="I101" s="322" t="s">
        <v>282</v>
      </c>
      <c r="J101" s="322" t="s">
        <v>282</v>
      </c>
      <c r="K101" s="322" t="s">
        <v>282</v>
      </c>
      <c r="L101" s="322" t="s">
        <v>282</v>
      </c>
      <c r="M101" s="322" t="s">
        <v>282</v>
      </c>
      <c r="N101" s="322" t="s">
        <v>282</v>
      </c>
      <c r="O101" s="323" t="s">
        <v>15</v>
      </c>
      <c r="P101" s="323" t="s">
        <v>15</v>
      </c>
      <c r="Q101" s="323" t="s">
        <v>15</v>
      </c>
      <c r="R101" s="323" t="s">
        <v>282</v>
      </c>
      <c r="S101" s="323" t="s">
        <v>282</v>
      </c>
      <c r="T101" s="323" t="s">
        <v>282</v>
      </c>
      <c r="U101" s="323" t="s">
        <v>282</v>
      </c>
      <c r="V101" s="323" t="s">
        <v>282</v>
      </c>
      <c r="W101" s="324" t="s">
        <v>282</v>
      </c>
      <c r="X101" s="324" t="s">
        <v>282</v>
      </c>
      <c r="Y101" s="325" t="s">
        <v>282</v>
      </c>
    </row>
    <row r="102" spans="1:25">
      <c r="A102" s="319">
        <v>2</v>
      </c>
      <c r="B102" s="320" t="str">
        <f>VLOOKUP(Tabel10[[#This Row],[Code]],Ruimtegroepen[[Code]:[Ruimte omschrijving]],2,FALSE)</f>
        <v>Kantoren</v>
      </c>
      <c r="C102" s="321" t="s">
        <v>364</v>
      </c>
      <c r="D102" s="320" t="s">
        <v>27</v>
      </c>
      <c r="E102" s="321" t="s">
        <v>101</v>
      </c>
      <c r="F102" s="321" t="s">
        <v>367</v>
      </c>
      <c r="G102" s="326" t="s">
        <v>282</v>
      </c>
      <c r="H102" s="322" t="s">
        <v>282</v>
      </c>
      <c r="I102" s="322" t="s">
        <v>15</v>
      </c>
      <c r="J102" s="322" t="s">
        <v>282</v>
      </c>
      <c r="K102" s="322" t="s">
        <v>282</v>
      </c>
      <c r="L102" s="322" t="s">
        <v>282</v>
      </c>
      <c r="M102" s="322" t="s">
        <v>282</v>
      </c>
      <c r="N102" s="322" t="s">
        <v>282</v>
      </c>
      <c r="O102" s="323" t="s">
        <v>15</v>
      </c>
      <c r="P102" s="323" t="s">
        <v>15</v>
      </c>
      <c r="Q102" s="323" t="s">
        <v>15</v>
      </c>
      <c r="R102" s="323" t="s">
        <v>282</v>
      </c>
      <c r="S102" s="323" t="s">
        <v>282</v>
      </c>
      <c r="T102" s="323" t="s">
        <v>282</v>
      </c>
      <c r="U102" s="323" t="s">
        <v>282</v>
      </c>
      <c r="V102" s="323" t="s">
        <v>282</v>
      </c>
      <c r="W102" s="324" t="s">
        <v>282</v>
      </c>
      <c r="X102" s="324" t="s">
        <v>282</v>
      </c>
      <c r="Y102" s="325" t="s">
        <v>282</v>
      </c>
    </row>
    <row r="103" spans="1:25">
      <c r="A103" s="319">
        <v>2</v>
      </c>
      <c r="B103" s="320" t="str">
        <f>VLOOKUP(Tabel10[[#This Row],[Code]],Ruimtegroepen[[Code]:[Ruimte omschrijving]],2,FALSE)</f>
        <v>Kantoren</v>
      </c>
      <c r="C103" s="321" t="s">
        <v>364</v>
      </c>
      <c r="D103" s="320" t="s">
        <v>27</v>
      </c>
      <c r="E103" s="321" t="s">
        <v>102</v>
      </c>
      <c r="F103" s="321" t="s">
        <v>368</v>
      </c>
      <c r="G103" s="326" t="s">
        <v>282</v>
      </c>
      <c r="H103" s="322" t="s">
        <v>282</v>
      </c>
      <c r="I103" s="322" t="s">
        <v>15</v>
      </c>
      <c r="J103" s="322" t="s">
        <v>282</v>
      </c>
      <c r="K103" s="322" t="s">
        <v>282</v>
      </c>
      <c r="L103" s="322" t="s">
        <v>282</v>
      </c>
      <c r="M103" s="322" t="s">
        <v>282</v>
      </c>
      <c r="N103" s="322" t="s">
        <v>282</v>
      </c>
      <c r="O103" s="323" t="s">
        <v>15</v>
      </c>
      <c r="P103" s="323" t="s">
        <v>15</v>
      </c>
      <c r="Q103" s="323" t="s">
        <v>15</v>
      </c>
      <c r="R103" s="323" t="s">
        <v>282</v>
      </c>
      <c r="S103" s="323" t="s">
        <v>282</v>
      </c>
      <c r="T103" s="323" t="s">
        <v>282</v>
      </c>
      <c r="U103" s="323" t="s">
        <v>282</v>
      </c>
      <c r="V103" s="323" t="s">
        <v>282</v>
      </c>
      <c r="W103" s="324" t="s">
        <v>282</v>
      </c>
      <c r="X103" s="324" t="s">
        <v>282</v>
      </c>
      <c r="Y103" s="325" t="s">
        <v>282</v>
      </c>
    </row>
    <row r="104" spans="1:25">
      <c r="A104" s="319">
        <v>2</v>
      </c>
      <c r="B104" s="320" t="str">
        <f>VLOOKUP(Tabel10[[#This Row],[Code]],Ruimtegroepen[[Code]:[Ruimte omschrijving]],2,FALSE)</f>
        <v>Kantoren</v>
      </c>
      <c r="C104" s="321" t="s">
        <v>364</v>
      </c>
      <c r="D104" s="320" t="s">
        <v>27</v>
      </c>
      <c r="E104" s="321" t="s">
        <v>99</v>
      </c>
      <c r="F104" s="321" t="s">
        <v>366</v>
      </c>
      <c r="G104" s="326" t="s">
        <v>282</v>
      </c>
      <c r="H104" s="322" t="s">
        <v>15</v>
      </c>
      <c r="I104" s="322" t="s">
        <v>282</v>
      </c>
      <c r="J104" s="322" t="s">
        <v>282</v>
      </c>
      <c r="K104" s="322" t="s">
        <v>282</v>
      </c>
      <c r="L104" s="322" t="s">
        <v>282</v>
      </c>
      <c r="M104" s="322" t="s">
        <v>282</v>
      </c>
      <c r="N104" s="322" t="s">
        <v>282</v>
      </c>
      <c r="O104" s="323" t="s">
        <v>15</v>
      </c>
      <c r="P104" s="323" t="s">
        <v>15</v>
      </c>
      <c r="Q104" s="323" t="s">
        <v>15</v>
      </c>
      <c r="R104" s="323" t="s">
        <v>282</v>
      </c>
      <c r="S104" s="323" t="s">
        <v>282</v>
      </c>
      <c r="T104" s="323" t="s">
        <v>282</v>
      </c>
      <c r="U104" s="323" t="s">
        <v>282</v>
      </c>
      <c r="V104" s="323" t="s">
        <v>282</v>
      </c>
      <c r="W104" s="324" t="s">
        <v>282</v>
      </c>
      <c r="X104" s="324" t="s">
        <v>282</v>
      </c>
      <c r="Y104" s="325" t="s">
        <v>282</v>
      </c>
    </row>
    <row r="105" spans="1:25">
      <c r="A105" s="319">
        <v>2</v>
      </c>
      <c r="B105" s="320" t="str">
        <f>VLOOKUP(Tabel10[[#This Row],[Code]],Ruimtegroepen[[Code]:[Ruimte omschrijving]],2,FALSE)</f>
        <v>Kantoren</v>
      </c>
      <c r="C105" s="321" t="s">
        <v>364</v>
      </c>
      <c r="D105" s="320" t="s">
        <v>27</v>
      </c>
      <c r="E105" s="321" t="s">
        <v>1306</v>
      </c>
      <c r="F105" s="321" t="s">
        <v>1332</v>
      </c>
      <c r="G105" s="326" t="s">
        <v>282</v>
      </c>
      <c r="H105" s="322" t="s">
        <v>282</v>
      </c>
      <c r="I105" s="322" t="s">
        <v>15</v>
      </c>
      <c r="J105" s="322" t="s">
        <v>282</v>
      </c>
      <c r="K105" s="322" t="s">
        <v>282</v>
      </c>
      <c r="L105" s="322" t="s">
        <v>282</v>
      </c>
      <c r="M105" s="322" t="s">
        <v>282</v>
      </c>
      <c r="N105" s="322" t="s">
        <v>282</v>
      </c>
      <c r="O105" s="323" t="s">
        <v>15</v>
      </c>
      <c r="P105" s="323" t="s">
        <v>15</v>
      </c>
      <c r="Q105" s="323" t="s">
        <v>15</v>
      </c>
      <c r="R105" s="323" t="s">
        <v>282</v>
      </c>
      <c r="S105" s="323" t="s">
        <v>282</v>
      </c>
      <c r="T105" s="323" t="s">
        <v>282</v>
      </c>
      <c r="U105" s="323" t="s">
        <v>282</v>
      </c>
      <c r="V105" s="323" t="s">
        <v>282</v>
      </c>
      <c r="W105" s="324" t="s">
        <v>282</v>
      </c>
      <c r="X105" s="324" t="s">
        <v>282</v>
      </c>
      <c r="Y105" s="325" t="s">
        <v>282</v>
      </c>
    </row>
    <row r="106" spans="1:25">
      <c r="A106" s="319">
        <v>2</v>
      </c>
      <c r="B106" s="320" t="str">
        <f>VLOOKUP(Tabel10[[#This Row],[Code]],Ruimtegroepen[[Code]:[Ruimte omschrijving]],2,FALSE)</f>
        <v>Kantoren</v>
      </c>
      <c r="C106" s="321" t="s">
        <v>369</v>
      </c>
      <c r="D106" s="320" t="s">
        <v>28</v>
      </c>
      <c r="E106" s="321" t="s">
        <v>100</v>
      </c>
      <c r="F106" s="321" t="s">
        <v>370</v>
      </c>
      <c r="G106" s="326" t="s">
        <v>282</v>
      </c>
      <c r="H106" s="322" t="s">
        <v>282</v>
      </c>
      <c r="I106" s="322" t="s">
        <v>17</v>
      </c>
      <c r="J106" s="322" t="s">
        <v>282</v>
      </c>
      <c r="K106" s="322" t="s">
        <v>282</v>
      </c>
      <c r="L106" s="322" t="s">
        <v>282</v>
      </c>
      <c r="M106" s="322" t="s">
        <v>282</v>
      </c>
      <c r="N106" s="322" t="s">
        <v>282</v>
      </c>
      <c r="O106" s="323" t="s">
        <v>17</v>
      </c>
      <c r="P106" s="323" t="s">
        <v>17</v>
      </c>
      <c r="Q106" s="323" t="s">
        <v>15</v>
      </c>
      <c r="R106" s="323" t="s">
        <v>282</v>
      </c>
      <c r="S106" s="323" t="s">
        <v>282</v>
      </c>
      <c r="T106" s="323" t="s">
        <v>282</v>
      </c>
      <c r="U106" s="323" t="s">
        <v>282</v>
      </c>
      <c r="V106" s="323" t="s">
        <v>282</v>
      </c>
      <c r="W106" s="324" t="s">
        <v>282</v>
      </c>
      <c r="X106" s="324" t="s">
        <v>282</v>
      </c>
      <c r="Y106" s="325" t="s">
        <v>282</v>
      </c>
    </row>
    <row r="107" spans="1:25">
      <c r="A107" s="319">
        <v>2</v>
      </c>
      <c r="B107" s="320" t="str">
        <f>VLOOKUP(Tabel10[[#This Row],[Code]],Ruimtegroepen[[Code]:[Ruimte omschrijving]],2,FALSE)</f>
        <v>Kantoren</v>
      </c>
      <c r="C107" s="321" t="s">
        <v>369</v>
      </c>
      <c r="D107" s="320" t="s">
        <v>28</v>
      </c>
      <c r="E107" s="321" t="s">
        <v>99</v>
      </c>
      <c r="F107" s="321" t="s">
        <v>371</v>
      </c>
      <c r="G107" s="326" t="s">
        <v>282</v>
      </c>
      <c r="H107" s="322" t="s">
        <v>17</v>
      </c>
      <c r="I107" s="322" t="s">
        <v>282</v>
      </c>
      <c r="J107" s="322" t="s">
        <v>282</v>
      </c>
      <c r="K107" s="322" t="s">
        <v>282</v>
      </c>
      <c r="L107" s="322" t="s">
        <v>282</v>
      </c>
      <c r="M107" s="322" t="s">
        <v>282</v>
      </c>
      <c r="N107" s="322" t="s">
        <v>282</v>
      </c>
      <c r="O107" s="323" t="s">
        <v>17</v>
      </c>
      <c r="P107" s="323" t="s">
        <v>17</v>
      </c>
      <c r="Q107" s="323" t="s">
        <v>15</v>
      </c>
      <c r="R107" s="323" t="s">
        <v>282</v>
      </c>
      <c r="S107" s="323" t="s">
        <v>282</v>
      </c>
      <c r="T107" s="323" t="s">
        <v>282</v>
      </c>
      <c r="U107" s="323" t="s">
        <v>282</v>
      </c>
      <c r="V107" s="323" t="s">
        <v>282</v>
      </c>
      <c r="W107" s="324" t="s">
        <v>282</v>
      </c>
      <c r="X107" s="324" t="s">
        <v>282</v>
      </c>
      <c r="Y107" s="325" t="s">
        <v>282</v>
      </c>
    </row>
    <row r="108" spans="1:25">
      <c r="A108" s="319">
        <v>2</v>
      </c>
      <c r="B108" s="320" t="str">
        <f>VLOOKUP(Tabel10[[#This Row],[Code]],Ruimtegroepen[[Code]:[Ruimte omschrijving]],2,FALSE)</f>
        <v>Kantoren</v>
      </c>
      <c r="C108" s="321" t="s">
        <v>369</v>
      </c>
      <c r="D108" s="320" t="s">
        <v>28</v>
      </c>
      <c r="E108" s="321" t="s">
        <v>101</v>
      </c>
      <c r="F108" s="321" t="s">
        <v>372</v>
      </c>
      <c r="G108" s="326" t="s">
        <v>282</v>
      </c>
      <c r="H108" s="322" t="s">
        <v>282</v>
      </c>
      <c r="I108" s="322" t="s">
        <v>17</v>
      </c>
      <c r="J108" s="322" t="s">
        <v>282</v>
      </c>
      <c r="K108" s="322" t="s">
        <v>282</v>
      </c>
      <c r="L108" s="322" t="s">
        <v>282</v>
      </c>
      <c r="M108" s="322" t="s">
        <v>282</v>
      </c>
      <c r="N108" s="322" t="s">
        <v>282</v>
      </c>
      <c r="O108" s="323" t="s">
        <v>17</v>
      </c>
      <c r="P108" s="323" t="s">
        <v>17</v>
      </c>
      <c r="Q108" s="323" t="s">
        <v>15</v>
      </c>
      <c r="R108" s="323" t="s">
        <v>282</v>
      </c>
      <c r="S108" s="323" t="s">
        <v>282</v>
      </c>
      <c r="T108" s="323" t="s">
        <v>282</v>
      </c>
      <c r="U108" s="323" t="s">
        <v>282</v>
      </c>
      <c r="V108" s="323" t="s">
        <v>282</v>
      </c>
      <c r="W108" s="324" t="s">
        <v>282</v>
      </c>
      <c r="X108" s="324" t="s">
        <v>282</v>
      </c>
      <c r="Y108" s="325" t="s">
        <v>282</v>
      </c>
    </row>
    <row r="109" spans="1:25">
      <c r="A109" s="319">
        <v>2</v>
      </c>
      <c r="B109" s="320" t="str">
        <f>VLOOKUP(Tabel10[[#This Row],[Code]],Ruimtegroepen[[Code]:[Ruimte omschrijving]],2,FALSE)</f>
        <v>Kantoren</v>
      </c>
      <c r="C109" s="321" t="s">
        <v>369</v>
      </c>
      <c r="D109" s="320" t="s">
        <v>28</v>
      </c>
      <c r="E109" s="321" t="s">
        <v>102</v>
      </c>
      <c r="F109" s="321" t="s">
        <v>373</v>
      </c>
      <c r="G109" s="326" t="s">
        <v>282</v>
      </c>
      <c r="H109" s="322" t="s">
        <v>282</v>
      </c>
      <c r="I109" s="322" t="s">
        <v>17</v>
      </c>
      <c r="J109" s="322" t="s">
        <v>282</v>
      </c>
      <c r="K109" s="322" t="s">
        <v>282</v>
      </c>
      <c r="L109" s="322" t="s">
        <v>282</v>
      </c>
      <c r="M109" s="322" t="s">
        <v>282</v>
      </c>
      <c r="N109" s="322" t="s">
        <v>282</v>
      </c>
      <c r="O109" s="323" t="s">
        <v>17</v>
      </c>
      <c r="P109" s="323" t="s">
        <v>17</v>
      </c>
      <c r="Q109" s="323" t="s">
        <v>15</v>
      </c>
      <c r="R109" s="323" t="s">
        <v>282</v>
      </c>
      <c r="S109" s="323" t="s">
        <v>282</v>
      </c>
      <c r="T109" s="323" t="s">
        <v>282</v>
      </c>
      <c r="U109" s="323" t="s">
        <v>282</v>
      </c>
      <c r="V109" s="323" t="s">
        <v>282</v>
      </c>
      <c r="W109" s="324" t="s">
        <v>282</v>
      </c>
      <c r="X109" s="324" t="s">
        <v>282</v>
      </c>
      <c r="Y109" s="325" t="s">
        <v>282</v>
      </c>
    </row>
    <row r="110" spans="1:25">
      <c r="A110" s="319">
        <v>2</v>
      </c>
      <c r="B110" s="320" t="str">
        <f>VLOOKUP(Tabel10[[#This Row],[Code]],Ruimtegroepen[[Code]:[Ruimte omschrijving]],2,FALSE)</f>
        <v>Kantoren</v>
      </c>
      <c r="C110" s="321" t="s">
        <v>369</v>
      </c>
      <c r="D110" s="320" t="s">
        <v>28</v>
      </c>
      <c r="E110" s="321" t="s">
        <v>99</v>
      </c>
      <c r="F110" s="321" t="s">
        <v>371</v>
      </c>
      <c r="G110" s="326" t="s">
        <v>282</v>
      </c>
      <c r="H110" s="322" t="s">
        <v>17</v>
      </c>
      <c r="I110" s="322" t="s">
        <v>282</v>
      </c>
      <c r="J110" s="322" t="s">
        <v>282</v>
      </c>
      <c r="K110" s="322" t="s">
        <v>282</v>
      </c>
      <c r="L110" s="322" t="s">
        <v>282</v>
      </c>
      <c r="M110" s="322" t="s">
        <v>282</v>
      </c>
      <c r="N110" s="322" t="s">
        <v>282</v>
      </c>
      <c r="O110" s="323" t="s">
        <v>17</v>
      </c>
      <c r="P110" s="323" t="s">
        <v>17</v>
      </c>
      <c r="Q110" s="323" t="s">
        <v>15</v>
      </c>
      <c r="R110" s="323" t="s">
        <v>282</v>
      </c>
      <c r="S110" s="323" t="s">
        <v>282</v>
      </c>
      <c r="T110" s="323" t="s">
        <v>282</v>
      </c>
      <c r="U110" s="323" t="s">
        <v>282</v>
      </c>
      <c r="V110" s="323" t="s">
        <v>282</v>
      </c>
      <c r="W110" s="324" t="s">
        <v>282</v>
      </c>
      <c r="X110" s="324" t="s">
        <v>282</v>
      </c>
      <c r="Y110" s="325" t="s">
        <v>282</v>
      </c>
    </row>
    <row r="111" spans="1:25">
      <c r="A111" s="319">
        <v>2</v>
      </c>
      <c r="B111" s="320" t="str">
        <f>VLOOKUP(Tabel10[[#This Row],[Code]],Ruimtegroepen[[Code]:[Ruimte omschrijving]],2,FALSE)</f>
        <v>Kantoren</v>
      </c>
      <c r="C111" s="321" t="s">
        <v>369</v>
      </c>
      <c r="D111" s="320" t="s">
        <v>28</v>
      </c>
      <c r="E111" s="321" t="s">
        <v>1306</v>
      </c>
      <c r="F111" s="321" t="s">
        <v>1333</v>
      </c>
      <c r="G111" s="326" t="s">
        <v>282</v>
      </c>
      <c r="H111" s="322" t="s">
        <v>282</v>
      </c>
      <c r="I111" s="322" t="s">
        <v>17</v>
      </c>
      <c r="J111" s="322" t="s">
        <v>282</v>
      </c>
      <c r="K111" s="322" t="s">
        <v>282</v>
      </c>
      <c r="L111" s="322" t="s">
        <v>282</v>
      </c>
      <c r="M111" s="322" t="s">
        <v>282</v>
      </c>
      <c r="N111" s="322" t="s">
        <v>282</v>
      </c>
      <c r="O111" s="323" t="s">
        <v>17</v>
      </c>
      <c r="P111" s="323" t="s">
        <v>17</v>
      </c>
      <c r="Q111" s="323" t="s">
        <v>15</v>
      </c>
      <c r="R111" s="323" t="s">
        <v>282</v>
      </c>
      <c r="S111" s="323" t="s">
        <v>282</v>
      </c>
      <c r="T111" s="323" t="s">
        <v>282</v>
      </c>
      <c r="U111" s="323" t="s">
        <v>282</v>
      </c>
      <c r="V111" s="323" t="s">
        <v>282</v>
      </c>
      <c r="W111" s="324" t="s">
        <v>282</v>
      </c>
      <c r="X111" s="324" t="s">
        <v>282</v>
      </c>
      <c r="Y111" s="325" t="s">
        <v>282</v>
      </c>
    </row>
    <row r="112" spans="1:25">
      <c r="A112" s="319">
        <v>3</v>
      </c>
      <c r="B112" s="320" t="str">
        <f>VLOOKUP(Tabel10[[#This Row],[Code]],Ruimtegroepen[[Code]:[Ruimte omschrijving]],2,FALSE)</f>
        <v>Reproruimte</v>
      </c>
      <c r="C112" s="321" t="s">
        <v>374</v>
      </c>
      <c r="D112" s="320" t="s">
        <v>29</v>
      </c>
      <c r="E112" s="321" t="s">
        <v>100</v>
      </c>
      <c r="F112" s="321" t="s">
        <v>375</v>
      </c>
      <c r="G112" s="326" t="s">
        <v>282</v>
      </c>
      <c r="H112" s="322" t="s">
        <v>282</v>
      </c>
      <c r="I112" s="322" t="s">
        <v>20</v>
      </c>
      <c r="J112" s="322" t="s">
        <v>15</v>
      </c>
      <c r="K112" s="322" t="s">
        <v>282</v>
      </c>
      <c r="L112" s="322" t="s">
        <v>282</v>
      </c>
      <c r="M112" s="322" t="s">
        <v>282</v>
      </c>
      <c r="N112" s="322" t="s">
        <v>2</v>
      </c>
      <c r="O112" s="323" t="s">
        <v>2</v>
      </c>
      <c r="P112" s="323" t="s">
        <v>2</v>
      </c>
      <c r="Q112" s="323" t="s">
        <v>15</v>
      </c>
      <c r="R112" s="323" t="s">
        <v>15</v>
      </c>
      <c r="S112" s="323" t="s">
        <v>16</v>
      </c>
      <c r="T112" s="323" t="s">
        <v>283</v>
      </c>
      <c r="U112" s="323" t="s">
        <v>249</v>
      </c>
      <c r="V112" s="323" t="s">
        <v>2</v>
      </c>
      <c r="W112" s="324" t="s">
        <v>282</v>
      </c>
      <c r="X112" s="324" t="s">
        <v>282</v>
      </c>
      <c r="Y112" s="325" t="s">
        <v>282</v>
      </c>
    </row>
    <row r="113" spans="1:25">
      <c r="A113" s="319">
        <v>3</v>
      </c>
      <c r="B113" s="320" t="str">
        <f>VLOOKUP(Tabel10[[#This Row],[Code]],Ruimtegroepen[[Code]:[Ruimte omschrijving]],2,FALSE)</f>
        <v>Reproruimte</v>
      </c>
      <c r="C113" s="321" t="s">
        <v>374</v>
      </c>
      <c r="D113" s="320" t="s">
        <v>29</v>
      </c>
      <c r="E113" s="321" t="s">
        <v>99</v>
      </c>
      <c r="F113" s="321" t="s">
        <v>376</v>
      </c>
      <c r="G113" s="322" t="s">
        <v>20</v>
      </c>
      <c r="H113" s="322" t="s">
        <v>15</v>
      </c>
      <c r="I113" s="322" t="s">
        <v>282</v>
      </c>
      <c r="J113" s="322" t="s">
        <v>282</v>
      </c>
      <c r="K113" s="322" t="s">
        <v>282</v>
      </c>
      <c r="L113" s="322" t="s">
        <v>282</v>
      </c>
      <c r="M113" s="322" t="s">
        <v>282</v>
      </c>
      <c r="N113" s="322" t="s">
        <v>2</v>
      </c>
      <c r="O113" s="323" t="s">
        <v>2</v>
      </c>
      <c r="P113" s="323" t="s">
        <v>2</v>
      </c>
      <c r="Q113" s="323" t="s">
        <v>15</v>
      </c>
      <c r="R113" s="323" t="s">
        <v>15</v>
      </c>
      <c r="S113" s="323" t="s">
        <v>16</v>
      </c>
      <c r="T113" s="323" t="s">
        <v>283</v>
      </c>
      <c r="U113" s="323" t="s">
        <v>249</v>
      </c>
      <c r="V113" s="323" t="s">
        <v>2</v>
      </c>
      <c r="W113" s="324" t="s">
        <v>282</v>
      </c>
      <c r="X113" s="324" t="s">
        <v>282</v>
      </c>
      <c r="Y113" s="325" t="s">
        <v>282</v>
      </c>
    </row>
    <row r="114" spans="1:25">
      <c r="A114" s="319">
        <v>3</v>
      </c>
      <c r="B114" s="320" t="str">
        <f>VLOOKUP(Tabel10[[#This Row],[Code]],Ruimtegroepen[[Code]:[Ruimte omschrijving]],2,FALSE)</f>
        <v>Reproruimte</v>
      </c>
      <c r="C114" s="321" t="s">
        <v>374</v>
      </c>
      <c r="D114" s="320" t="s">
        <v>29</v>
      </c>
      <c r="E114" s="321" t="s">
        <v>101</v>
      </c>
      <c r="F114" s="321" t="s">
        <v>377</v>
      </c>
      <c r="G114" s="326" t="s">
        <v>282</v>
      </c>
      <c r="H114" s="322" t="s">
        <v>282</v>
      </c>
      <c r="I114" s="322" t="s">
        <v>20</v>
      </c>
      <c r="J114" s="322" t="s">
        <v>15</v>
      </c>
      <c r="K114" s="322" t="s">
        <v>329</v>
      </c>
      <c r="L114" s="322" t="s">
        <v>282</v>
      </c>
      <c r="M114" s="322" t="s">
        <v>282</v>
      </c>
      <c r="N114" s="322" t="s">
        <v>2</v>
      </c>
      <c r="O114" s="323" t="s">
        <v>2</v>
      </c>
      <c r="P114" s="323" t="s">
        <v>2</v>
      </c>
      <c r="Q114" s="323" t="s">
        <v>15</v>
      </c>
      <c r="R114" s="323" t="s">
        <v>15</v>
      </c>
      <c r="S114" s="323" t="s">
        <v>16</v>
      </c>
      <c r="T114" s="323" t="s">
        <v>283</v>
      </c>
      <c r="U114" s="323" t="s">
        <v>249</v>
      </c>
      <c r="V114" s="323" t="s">
        <v>2</v>
      </c>
      <c r="W114" s="324" t="s">
        <v>282</v>
      </c>
      <c r="X114" s="324" t="s">
        <v>282</v>
      </c>
      <c r="Y114" s="325" t="s">
        <v>282</v>
      </c>
    </row>
    <row r="115" spans="1:25">
      <c r="A115" s="319">
        <v>3</v>
      </c>
      <c r="B115" s="320" t="str">
        <f>VLOOKUP(Tabel10[[#This Row],[Code]],Ruimtegroepen[[Code]:[Ruimte omschrijving]],2,FALSE)</f>
        <v>Reproruimte</v>
      </c>
      <c r="C115" s="321" t="s">
        <v>374</v>
      </c>
      <c r="D115" s="320" t="s">
        <v>29</v>
      </c>
      <c r="E115" s="321" t="s">
        <v>102</v>
      </c>
      <c r="F115" s="321" t="s">
        <v>378</v>
      </c>
      <c r="G115" s="326" t="s">
        <v>282</v>
      </c>
      <c r="H115" s="322" t="s">
        <v>282</v>
      </c>
      <c r="I115" s="322" t="s">
        <v>20</v>
      </c>
      <c r="J115" s="322" t="s">
        <v>15</v>
      </c>
      <c r="K115" s="322" t="s">
        <v>329</v>
      </c>
      <c r="L115" s="322" t="s">
        <v>282</v>
      </c>
      <c r="M115" s="322" t="s">
        <v>282</v>
      </c>
      <c r="N115" s="322" t="s">
        <v>2</v>
      </c>
      <c r="O115" s="323" t="s">
        <v>2</v>
      </c>
      <c r="P115" s="323" t="s">
        <v>2</v>
      </c>
      <c r="Q115" s="323" t="s">
        <v>15</v>
      </c>
      <c r="R115" s="323" t="s">
        <v>15</v>
      </c>
      <c r="S115" s="323" t="s">
        <v>16</v>
      </c>
      <c r="T115" s="323" t="s">
        <v>283</v>
      </c>
      <c r="U115" s="323" t="s">
        <v>249</v>
      </c>
      <c r="V115" s="323" t="s">
        <v>2</v>
      </c>
      <c r="W115" s="324" t="s">
        <v>282</v>
      </c>
      <c r="X115" s="324" t="s">
        <v>282</v>
      </c>
      <c r="Y115" s="325" t="s">
        <v>282</v>
      </c>
    </row>
    <row r="116" spans="1:25">
      <c r="A116" s="319">
        <v>3</v>
      </c>
      <c r="B116" s="320" t="str">
        <f>VLOOKUP(Tabel10[[#This Row],[Code]],Ruimtegroepen[[Code]:[Ruimte omschrijving]],2,FALSE)</f>
        <v>Reproruimte</v>
      </c>
      <c r="C116" s="321" t="s">
        <v>374</v>
      </c>
      <c r="D116" s="320" t="s">
        <v>29</v>
      </c>
      <c r="E116" s="321" t="s">
        <v>99</v>
      </c>
      <c r="F116" s="321" t="s">
        <v>376</v>
      </c>
      <c r="G116" s="322" t="s">
        <v>20</v>
      </c>
      <c r="H116" s="322" t="s">
        <v>15</v>
      </c>
      <c r="I116" s="322" t="s">
        <v>282</v>
      </c>
      <c r="J116" s="322" t="s">
        <v>282</v>
      </c>
      <c r="K116" s="322" t="s">
        <v>282</v>
      </c>
      <c r="L116" s="322" t="s">
        <v>282</v>
      </c>
      <c r="M116" s="322" t="s">
        <v>282</v>
      </c>
      <c r="N116" s="322" t="s">
        <v>282</v>
      </c>
      <c r="O116" s="323" t="s">
        <v>282</v>
      </c>
      <c r="P116" s="323" t="s">
        <v>282</v>
      </c>
      <c r="Q116" s="323" t="s">
        <v>282</v>
      </c>
      <c r="R116" s="323" t="s">
        <v>282</v>
      </c>
      <c r="S116" s="323" t="s">
        <v>282</v>
      </c>
      <c r="T116" s="323" t="s">
        <v>282</v>
      </c>
      <c r="U116" s="323" t="s">
        <v>282</v>
      </c>
      <c r="V116" s="323" t="s">
        <v>282</v>
      </c>
      <c r="W116" s="324" t="s">
        <v>282</v>
      </c>
      <c r="X116" s="324" t="s">
        <v>282</v>
      </c>
      <c r="Y116" s="325" t="s">
        <v>282</v>
      </c>
    </row>
    <row r="117" spans="1:25">
      <c r="A117" s="319">
        <v>3</v>
      </c>
      <c r="B117" s="320" t="str">
        <f>VLOOKUP(Tabel10[[#This Row],[Code]],Ruimtegroepen[[Code]:[Ruimte omschrijving]],2,FALSE)</f>
        <v>Reproruimte</v>
      </c>
      <c r="C117" s="321" t="s">
        <v>374</v>
      </c>
      <c r="D117" s="320" t="s">
        <v>29</v>
      </c>
      <c r="E117" s="321" t="s">
        <v>1306</v>
      </c>
      <c r="F117" s="321" t="s">
        <v>1334</v>
      </c>
      <c r="G117" s="326" t="s">
        <v>282</v>
      </c>
      <c r="H117" s="322" t="s">
        <v>282</v>
      </c>
      <c r="I117" s="322" t="s">
        <v>20</v>
      </c>
      <c r="J117" s="322" t="s">
        <v>15</v>
      </c>
      <c r="K117" s="322" t="s">
        <v>329</v>
      </c>
      <c r="L117" s="322" t="s">
        <v>282</v>
      </c>
      <c r="M117" s="322" t="s">
        <v>282</v>
      </c>
      <c r="N117" s="322" t="s">
        <v>2</v>
      </c>
      <c r="O117" s="323" t="s">
        <v>2</v>
      </c>
      <c r="P117" s="323" t="s">
        <v>2</v>
      </c>
      <c r="Q117" s="323" t="s">
        <v>15</v>
      </c>
      <c r="R117" s="323" t="s">
        <v>15</v>
      </c>
      <c r="S117" s="323" t="s">
        <v>16</v>
      </c>
      <c r="T117" s="323" t="s">
        <v>283</v>
      </c>
      <c r="U117" s="323" t="s">
        <v>249</v>
      </c>
      <c r="V117" s="323" t="s">
        <v>2</v>
      </c>
      <c r="W117" s="324" t="s">
        <v>282</v>
      </c>
      <c r="X117" s="324" t="s">
        <v>282</v>
      </c>
      <c r="Y117" s="325" t="s">
        <v>282</v>
      </c>
    </row>
    <row r="118" spans="1:25">
      <c r="A118" s="319">
        <v>3</v>
      </c>
      <c r="B118" s="320" t="str">
        <f>VLOOKUP(Tabel10[[#This Row],[Code]],Ruimtegroepen[[Code]:[Ruimte omschrijving]],2,FALSE)</f>
        <v>Reproruimte</v>
      </c>
      <c r="C118" s="321" t="s">
        <v>379</v>
      </c>
      <c r="D118" s="320" t="s">
        <v>1</v>
      </c>
      <c r="E118" s="321" t="s">
        <v>100</v>
      </c>
      <c r="F118" s="321" t="s">
        <v>380</v>
      </c>
      <c r="G118" s="326" t="s">
        <v>282</v>
      </c>
      <c r="H118" s="322" t="s">
        <v>282</v>
      </c>
      <c r="I118" s="322" t="s">
        <v>20</v>
      </c>
      <c r="J118" s="322" t="s">
        <v>15</v>
      </c>
      <c r="K118" s="322" t="s">
        <v>282</v>
      </c>
      <c r="L118" s="322" t="s">
        <v>282</v>
      </c>
      <c r="M118" s="322" t="s">
        <v>282</v>
      </c>
      <c r="N118" s="322" t="s">
        <v>282</v>
      </c>
      <c r="O118" s="323" t="s">
        <v>2</v>
      </c>
      <c r="P118" s="323" t="s">
        <v>2</v>
      </c>
      <c r="Q118" s="323" t="s">
        <v>15</v>
      </c>
      <c r="R118" s="323" t="s">
        <v>15</v>
      </c>
      <c r="S118" s="323" t="s">
        <v>16</v>
      </c>
      <c r="T118" s="323" t="s">
        <v>283</v>
      </c>
      <c r="U118" s="323" t="s">
        <v>249</v>
      </c>
      <c r="V118" s="323" t="s">
        <v>282</v>
      </c>
      <c r="W118" s="324" t="s">
        <v>282</v>
      </c>
      <c r="X118" s="324" t="s">
        <v>282</v>
      </c>
      <c r="Y118" s="325" t="s">
        <v>282</v>
      </c>
    </row>
    <row r="119" spans="1:25">
      <c r="A119" s="319">
        <v>3</v>
      </c>
      <c r="B119" s="320" t="str">
        <f>VLOOKUP(Tabel10[[#This Row],[Code]],Ruimtegroepen[[Code]:[Ruimte omschrijving]],2,FALSE)</f>
        <v>Reproruimte</v>
      </c>
      <c r="C119" s="321" t="s">
        <v>379</v>
      </c>
      <c r="D119" s="320" t="s">
        <v>1</v>
      </c>
      <c r="E119" s="321" t="s">
        <v>99</v>
      </c>
      <c r="F119" s="321" t="s">
        <v>381</v>
      </c>
      <c r="G119" s="322" t="s">
        <v>20</v>
      </c>
      <c r="H119" s="322" t="s">
        <v>15</v>
      </c>
      <c r="I119" s="322" t="s">
        <v>282</v>
      </c>
      <c r="J119" s="322" t="s">
        <v>282</v>
      </c>
      <c r="K119" s="322" t="s">
        <v>282</v>
      </c>
      <c r="L119" s="322" t="s">
        <v>282</v>
      </c>
      <c r="M119" s="322" t="s">
        <v>282</v>
      </c>
      <c r="N119" s="322" t="s">
        <v>282</v>
      </c>
      <c r="O119" s="323" t="s">
        <v>2</v>
      </c>
      <c r="P119" s="323" t="s">
        <v>2</v>
      </c>
      <c r="Q119" s="323" t="s">
        <v>15</v>
      </c>
      <c r="R119" s="323" t="s">
        <v>15</v>
      </c>
      <c r="S119" s="323" t="s">
        <v>16</v>
      </c>
      <c r="T119" s="323" t="s">
        <v>283</v>
      </c>
      <c r="U119" s="323" t="s">
        <v>249</v>
      </c>
      <c r="V119" s="323" t="s">
        <v>282</v>
      </c>
      <c r="W119" s="324" t="s">
        <v>282</v>
      </c>
      <c r="X119" s="324" t="s">
        <v>282</v>
      </c>
      <c r="Y119" s="325" t="s">
        <v>282</v>
      </c>
    </row>
    <row r="120" spans="1:25">
      <c r="A120" s="319">
        <v>3</v>
      </c>
      <c r="B120" s="320" t="str">
        <f>VLOOKUP(Tabel10[[#This Row],[Code]],Ruimtegroepen[[Code]:[Ruimte omschrijving]],2,FALSE)</f>
        <v>Reproruimte</v>
      </c>
      <c r="C120" s="321" t="s">
        <v>379</v>
      </c>
      <c r="D120" s="320" t="s">
        <v>1</v>
      </c>
      <c r="E120" s="321" t="s">
        <v>101</v>
      </c>
      <c r="F120" s="321" t="s">
        <v>382</v>
      </c>
      <c r="G120" s="326" t="s">
        <v>282</v>
      </c>
      <c r="H120" s="322" t="s">
        <v>282</v>
      </c>
      <c r="I120" s="322" t="s">
        <v>20</v>
      </c>
      <c r="J120" s="322" t="s">
        <v>15</v>
      </c>
      <c r="K120" s="322" t="s">
        <v>329</v>
      </c>
      <c r="L120" s="322" t="s">
        <v>282</v>
      </c>
      <c r="M120" s="322" t="s">
        <v>282</v>
      </c>
      <c r="N120" s="322" t="s">
        <v>282</v>
      </c>
      <c r="O120" s="323" t="s">
        <v>2</v>
      </c>
      <c r="P120" s="323" t="s">
        <v>2</v>
      </c>
      <c r="Q120" s="323" t="s">
        <v>15</v>
      </c>
      <c r="R120" s="323" t="s">
        <v>15</v>
      </c>
      <c r="S120" s="323" t="s">
        <v>16</v>
      </c>
      <c r="T120" s="323" t="s">
        <v>283</v>
      </c>
      <c r="U120" s="323" t="s">
        <v>249</v>
      </c>
      <c r="V120" s="323" t="s">
        <v>282</v>
      </c>
      <c r="W120" s="324" t="s">
        <v>282</v>
      </c>
      <c r="X120" s="324" t="s">
        <v>282</v>
      </c>
      <c r="Y120" s="325" t="s">
        <v>282</v>
      </c>
    </row>
    <row r="121" spans="1:25">
      <c r="A121" s="319">
        <v>3</v>
      </c>
      <c r="B121" s="320" t="str">
        <f>VLOOKUP(Tabel10[[#This Row],[Code]],Ruimtegroepen[[Code]:[Ruimte omschrijving]],2,FALSE)</f>
        <v>Reproruimte</v>
      </c>
      <c r="C121" s="321" t="s">
        <v>379</v>
      </c>
      <c r="D121" s="320" t="s">
        <v>1</v>
      </c>
      <c r="E121" s="321" t="s">
        <v>102</v>
      </c>
      <c r="F121" s="321" t="s">
        <v>383</v>
      </c>
      <c r="G121" s="326" t="s">
        <v>282</v>
      </c>
      <c r="H121" s="322" t="s">
        <v>282</v>
      </c>
      <c r="I121" s="322" t="s">
        <v>20</v>
      </c>
      <c r="J121" s="322" t="s">
        <v>15</v>
      </c>
      <c r="K121" s="322" t="s">
        <v>329</v>
      </c>
      <c r="L121" s="322" t="s">
        <v>282</v>
      </c>
      <c r="M121" s="322" t="s">
        <v>282</v>
      </c>
      <c r="N121" s="322" t="s">
        <v>282</v>
      </c>
      <c r="O121" s="323" t="s">
        <v>2</v>
      </c>
      <c r="P121" s="323" t="s">
        <v>2</v>
      </c>
      <c r="Q121" s="323" t="s">
        <v>15</v>
      </c>
      <c r="R121" s="323" t="s">
        <v>15</v>
      </c>
      <c r="S121" s="323" t="s">
        <v>16</v>
      </c>
      <c r="T121" s="323" t="s">
        <v>283</v>
      </c>
      <c r="U121" s="323" t="s">
        <v>249</v>
      </c>
      <c r="V121" s="323" t="s">
        <v>282</v>
      </c>
      <c r="W121" s="324" t="s">
        <v>282</v>
      </c>
      <c r="X121" s="324" t="s">
        <v>282</v>
      </c>
      <c r="Y121" s="325" t="s">
        <v>282</v>
      </c>
    </row>
    <row r="122" spans="1:25">
      <c r="A122" s="319">
        <v>3</v>
      </c>
      <c r="B122" s="320" t="str">
        <f>VLOOKUP(Tabel10[[#This Row],[Code]],Ruimtegroepen[[Code]:[Ruimte omschrijving]],2,FALSE)</f>
        <v>Reproruimte</v>
      </c>
      <c r="C122" s="321" t="s">
        <v>379</v>
      </c>
      <c r="D122" s="320" t="s">
        <v>1</v>
      </c>
      <c r="E122" s="321" t="s">
        <v>99</v>
      </c>
      <c r="F122" s="321" t="s">
        <v>381</v>
      </c>
      <c r="G122" s="322" t="s">
        <v>20</v>
      </c>
      <c r="H122" s="322" t="s">
        <v>15</v>
      </c>
      <c r="I122" s="322" t="s">
        <v>282</v>
      </c>
      <c r="J122" s="322" t="s">
        <v>282</v>
      </c>
      <c r="K122" s="322" t="s">
        <v>282</v>
      </c>
      <c r="L122" s="322" t="s">
        <v>282</v>
      </c>
      <c r="M122" s="322" t="s">
        <v>282</v>
      </c>
      <c r="N122" s="322" t="s">
        <v>282</v>
      </c>
      <c r="O122" s="323" t="s">
        <v>282</v>
      </c>
      <c r="P122" s="323" t="s">
        <v>282</v>
      </c>
      <c r="Q122" s="323" t="s">
        <v>282</v>
      </c>
      <c r="R122" s="323" t="s">
        <v>282</v>
      </c>
      <c r="S122" s="323" t="s">
        <v>282</v>
      </c>
      <c r="T122" s="323" t="s">
        <v>282</v>
      </c>
      <c r="U122" s="323" t="s">
        <v>282</v>
      </c>
      <c r="V122" s="323" t="s">
        <v>282</v>
      </c>
      <c r="W122" s="324" t="s">
        <v>282</v>
      </c>
      <c r="X122" s="324" t="s">
        <v>282</v>
      </c>
      <c r="Y122" s="325" t="s">
        <v>282</v>
      </c>
    </row>
    <row r="123" spans="1:25">
      <c r="A123" s="319">
        <v>3</v>
      </c>
      <c r="B123" s="320" t="str">
        <f>VLOOKUP(Tabel10[[#This Row],[Code]],Ruimtegroepen[[Code]:[Ruimte omschrijving]],2,FALSE)</f>
        <v>Reproruimte</v>
      </c>
      <c r="C123" s="321" t="s">
        <v>379</v>
      </c>
      <c r="D123" s="320" t="s">
        <v>1</v>
      </c>
      <c r="E123" s="321" t="s">
        <v>1306</v>
      </c>
      <c r="F123" s="321" t="s">
        <v>1335</v>
      </c>
      <c r="G123" s="326" t="s">
        <v>282</v>
      </c>
      <c r="H123" s="322" t="s">
        <v>282</v>
      </c>
      <c r="I123" s="322" t="s">
        <v>20</v>
      </c>
      <c r="J123" s="322" t="s">
        <v>15</v>
      </c>
      <c r="K123" s="322" t="s">
        <v>329</v>
      </c>
      <c r="L123" s="322" t="s">
        <v>282</v>
      </c>
      <c r="M123" s="322" t="s">
        <v>282</v>
      </c>
      <c r="N123" s="322" t="s">
        <v>282</v>
      </c>
      <c r="O123" s="323" t="s">
        <v>2</v>
      </c>
      <c r="P123" s="323" t="s">
        <v>2</v>
      </c>
      <c r="Q123" s="323" t="s">
        <v>15</v>
      </c>
      <c r="R123" s="323" t="s">
        <v>15</v>
      </c>
      <c r="S123" s="323" t="s">
        <v>16</v>
      </c>
      <c r="T123" s="323" t="s">
        <v>283</v>
      </c>
      <c r="U123" s="323" t="s">
        <v>249</v>
      </c>
      <c r="V123" s="323" t="s">
        <v>282</v>
      </c>
      <c r="W123" s="324" t="s">
        <v>282</v>
      </c>
      <c r="X123" s="324" t="s">
        <v>282</v>
      </c>
      <c r="Y123" s="325" t="s">
        <v>282</v>
      </c>
    </row>
    <row r="124" spans="1:25">
      <c r="A124" s="319">
        <v>3</v>
      </c>
      <c r="B124" s="320" t="str">
        <f>VLOOKUP(Tabel10[[#This Row],[Code]],Ruimtegroepen[[Code]:[Ruimte omschrijving]],2,FALSE)</f>
        <v>Reproruimte</v>
      </c>
      <c r="C124" s="321" t="s">
        <v>384</v>
      </c>
      <c r="D124" s="320" t="s">
        <v>21</v>
      </c>
      <c r="E124" s="321" t="s">
        <v>100</v>
      </c>
      <c r="F124" s="321" t="s">
        <v>385</v>
      </c>
      <c r="G124" s="326" t="s">
        <v>282</v>
      </c>
      <c r="H124" s="322" t="s">
        <v>282</v>
      </c>
      <c r="I124" s="322" t="s">
        <v>18</v>
      </c>
      <c r="J124" s="322" t="s">
        <v>15</v>
      </c>
      <c r="K124" s="322" t="s">
        <v>282</v>
      </c>
      <c r="L124" s="322" t="s">
        <v>282</v>
      </c>
      <c r="M124" s="322" t="s">
        <v>282</v>
      </c>
      <c r="N124" s="322" t="s">
        <v>282</v>
      </c>
      <c r="O124" s="323" t="s">
        <v>20</v>
      </c>
      <c r="P124" s="323" t="s">
        <v>20</v>
      </c>
      <c r="Q124" s="323" t="s">
        <v>15</v>
      </c>
      <c r="R124" s="323" t="s">
        <v>15</v>
      </c>
      <c r="S124" s="323" t="s">
        <v>16</v>
      </c>
      <c r="T124" s="323" t="s">
        <v>283</v>
      </c>
      <c r="U124" s="323" t="s">
        <v>249</v>
      </c>
      <c r="V124" s="323" t="s">
        <v>282</v>
      </c>
      <c r="W124" s="324" t="s">
        <v>282</v>
      </c>
      <c r="X124" s="324" t="s">
        <v>282</v>
      </c>
      <c r="Y124" s="325" t="s">
        <v>282</v>
      </c>
    </row>
    <row r="125" spans="1:25">
      <c r="A125" s="319">
        <v>3</v>
      </c>
      <c r="B125" s="320" t="str">
        <f>VLOOKUP(Tabel10[[#This Row],[Code]],Ruimtegroepen[[Code]:[Ruimte omschrijving]],2,FALSE)</f>
        <v>Reproruimte</v>
      </c>
      <c r="C125" s="321" t="s">
        <v>384</v>
      </c>
      <c r="D125" s="320" t="s">
        <v>21</v>
      </c>
      <c r="E125" s="321" t="s">
        <v>99</v>
      </c>
      <c r="F125" s="321" t="s">
        <v>386</v>
      </c>
      <c r="G125" s="322" t="s">
        <v>18</v>
      </c>
      <c r="H125" s="322" t="s">
        <v>15</v>
      </c>
      <c r="I125" s="322" t="s">
        <v>282</v>
      </c>
      <c r="J125" s="322" t="s">
        <v>282</v>
      </c>
      <c r="K125" s="322" t="s">
        <v>282</v>
      </c>
      <c r="L125" s="322" t="s">
        <v>282</v>
      </c>
      <c r="M125" s="322" t="s">
        <v>282</v>
      </c>
      <c r="N125" s="322" t="s">
        <v>282</v>
      </c>
      <c r="O125" s="323" t="s">
        <v>20</v>
      </c>
      <c r="P125" s="323" t="s">
        <v>20</v>
      </c>
      <c r="Q125" s="323" t="s">
        <v>15</v>
      </c>
      <c r="R125" s="323" t="s">
        <v>15</v>
      </c>
      <c r="S125" s="323" t="s">
        <v>16</v>
      </c>
      <c r="T125" s="323" t="s">
        <v>283</v>
      </c>
      <c r="U125" s="323" t="s">
        <v>249</v>
      </c>
      <c r="V125" s="323" t="s">
        <v>282</v>
      </c>
      <c r="W125" s="324" t="s">
        <v>282</v>
      </c>
      <c r="X125" s="324" t="s">
        <v>282</v>
      </c>
      <c r="Y125" s="325" t="s">
        <v>282</v>
      </c>
    </row>
    <row r="126" spans="1:25">
      <c r="A126" s="319">
        <v>3</v>
      </c>
      <c r="B126" s="320" t="str">
        <f>VLOOKUP(Tabel10[[#This Row],[Code]],Ruimtegroepen[[Code]:[Ruimte omschrijving]],2,FALSE)</f>
        <v>Reproruimte</v>
      </c>
      <c r="C126" s="321" t="s">
        <v>384</v>
      </c>
      <c r="D126" s="320" t="s">
        <v>21</v>
      </c>
      <c r="E126" s="321" t="s">
        <v>101</v>
      </c>
      <c r="F126" s="321" t="s">
        <v>387</v>
      </c>
      <c r="G126" s="326" t="s">
        <v>282</v>
      </c>
      <c r="H126" s="322" t="s">
        <v>282</v>
      </c>
      <c r="I126" s="322" t="s">
        <v>18</v>
      </c>
      <c r="J126" s="322" t="s">
        <v>15</v>
      </c>
      <c r="K126" s="322" t="s">
        <v>329</v>
      </c>
      <c r="L126" s="322" t="s">
        <v>282</v>
      </c>
      <c r="M126" s="322" t="s">
        <v>282</v>
      </c>
      <c r="N126" s="322" t="s">
        <v>282</v>
      </c>
      <c r="O126" s="323" t="s">
        <v>20</v>
      </c>
      <c r="P126" s="323" t="s">
        <v>20</v>
      </c>
      <c r="Q126" s="323" t="s">
        <v>15</v>
      </c>
      <c r="R126" s="323" t="s">
        <v>15</v>
      </c>
      <c r="S126" s="323" t="s">
        <v>16</v>
      </c>
      <c r="T126" s="323" t="s">
        <v>283</v>
      </c>
      <c r="U126" s="323" t="s">
        <v>249</v>
      </c>
      <c r="V126" s="323" t="s">
        <v>282</v>
      </c>
      <c r="W126" s="324" t="s">
        <v>282</v>
      </c>
      <c r="X126" s="324" t="s">
        <v>282</v>
      </c>
      <c r="Y126" s="325" t="s">
        <v>282</v>
      </c>
    </row>
    <row r="127" spans="1:25">
      <c r="A127" s="319">
        <v>3</v>
      </c>
      <c r="B127" s="320" t="str">
        <f>VLOOKUP(Tabel10[[#This Row],[Code]],Ruimtegroepen[[Code]:[Ruimte omschrijving]],2,FALSE)</f>
        <v>Reproruimte</v>
      </c>
      <c r="C127" s="321" t="s">
        <v>384</v>
      </c>
      <c r="D127" s="320" t="s">
        <v>21</v>
      </c>
      <c r="E127" s="321" t="s">
        <v>102</v>
      </c>
      <c r="F127" s="321" t="s">
        <v>388</v>
      </c>
      <c r="G127" s="326" t="s">
        <v>282</v>
      </c>
      <c r="H127" s="322" t="s">
        <v>282</v>
      </c>
      <c r="I127" s="322" t="s">
        <v>18</v>
      </c>
      <c r="J127" s="322" t="s">
        <v>15</v>
      </c>
      <c r="K127" s="322" t="s">
        <v>329</v>
      </c>
      <c r="L127" s="322" t="s">
        <v>282</v>
      </c>
      <c r="M127" s="322" t="s">
        <v>282</v>
      </c>
      <c r="N127" s="322" t="s">
        <v>282</v>
      </c>
      <c r="O127" s="323" t="s">
        <v>20</v>
      </c>
      <c r="P127" s="323" t="s">
        <v>20</v>
      </c>
      <c r="Q127" s="323" t="s">
        <v>15</v>
      </c>
      <c r="R127" s="323" t="s">
        <v>15</v>
      </c>
      <c r="S127" s="323" t="s">
        <v>16</v>
      </c>
      <c r="T127" s="323" t="s">
        <v>283</v>
      </c>
      <c r="U127" s="323" t="s">
        <v>249</v>
      </c>
      <c r="V127" s="323" t="s">
        <v>282</v>
      </c>
      <c r="W127" s="324" t="s">
        <v>282</v>
      </c>
      <c r="X127" s="324" t="s">
        <v>282</v>
      </c>
      <c r="Y127" s="325" t="s">
        <v>282</v>
      </c>
    </row>
    <row r="128" spans="1:25">
      <c r="A128" s="319">
        <v>3</v>
      </c>
      <c r="B128" s="320" t="str">
        <f>VLOOKUP(Tabel10[[#This Row],[Code]],Ruimtegroepen[[Code]:[Ruimte omschrijving]],2,FALSE)</f>
        <v>Reproruimte</v>
      </c>
      <c r="C128" s="321" t="s">
        <v>384</v>
      </c>
      <c r="D128" s="320" t="s">
        <v>21</v>
      </c>
      <c r="E128" s="321" t="s">
        <v>99</v>
      </c>
      <c r="F128" s="321" t="s">
        <v>386</v>
      </c>
      <c r="G128" s="322" t="s">
        <v>18</v>
      </c>
      <c r="H128" s="322" t="s">
        <v>15</v>
      </c>
      <c r="I128" s="322" t="s">
        <v>282</v>
      </c>
      <c r="J128" s="322" t="s">
        <v>282</v>
      </c>
      <c r="K128" s="322" t="s">
        <v>282</v>
      </c>
      <c r="L128" s="322" t="s">
        <v>282</v>
      </c>
      <c r="M128" s="322" t="s">
        <v>282</v>
      </c>
      <c r="N128" s="322" t="s">
        <v>282</v>
      </c>
      <c r="O128" s="323" t="s">
        <v>282</v>
      </c>
      <c r="P128" s="323" t="s">
        <v>282</v>
      </c>
      <c r="Q128" s="323" t="s">
        <v>282</v>
      </c>
      <c r="R128" s="323" t="s">
        <v>282</v>
      </c>
      <c r="S128" s="323" t="s">
        <v>282</v>
      </c>
      <c r="T128" s="323" t="s">
        <v>282</v>
      </c>
      <c r="U128" s="323" t="s">
        <v>282</v>
      </c>
      <c r="V128" s="323" t="s">
        <v>282</v>
      </c>
      <c r="W128" s="324" t="s">
        <v>282</v>
      </c>
      <c r="X128" s="324" t="s">
        <v>282</v>
      </c>
      <c r="Y128" s="325" t="s">
        <v>282</v>
      </c>
    </row>
    <row r="129" spans="1:25">
      <c r="A129" s="319">
        <v>3</v>
      </c>
      <c r="B129" s="320" t="str">
        <f>VLOOKUP(Tabel10[[#This Row],[Code]],Ruimtegroepen[[Code]:[Ruimte omschrijving]],2,FALSE)</f>
        <v>Reproruimte</v>
      </c>
      <c r="C129" s="321" t="s">
        <v>384</v>
      </c>
      <c r="D129" s="320" t="s">
        <v>21</v>
      </c>
      <c r="E129" s="321" t="s">
        <v>1306</v>
      </c>
      <c r="F129" s="321" t="s">
        <v>1336</v>
      </c>
      <c r="G129" s="326" t="s">
        <v>282</v>
      </c>
      <c r="H129" s="322" t="s">
        <v>282</v>
      </c>
      <c r="I129" s="322" t="s">
        <v>18</v>
      </c>
      <c r="J129" s="322" t="s">
        <v>15</v>
      </c>
      <c r="K129" s="322" t="s">
        <v>329</v>
      </c>
      <c r="L129" s="322" t="s">
        <v>282</v>
      </c>
      <c r="M129" s="322" t="s">
        <v>282</v>
      </c>
      <c r="N129" s="322" t="s">
        <v>282</v>
      </c>
      <c r="O129" s="323" t="s">
        <v>20</v>
      </c>
      <c r="P129" s="323" t="s">
        <v>20</v>
      </c>
      <c r="Q129" s="323" t="s">
        <v>15</v>
      </c>
      <c r="R129" s="323" t="s">
        <v>15</v>
      </c>
      <c r="S129" s="323" t="s">
        <v>16</v>
      </c>
      <c r="T129" s="323" t="s">
        <v>283</v>
      </c>
      <c r="U129" s="323" t="s">
        <v>249</v>
      </c>
      <c r="V129" s="323" t="s">
        <v>282</v>
      </c>
      <c r="W129" s="324" t="s">
        <v>282</v>
      </c>
      <c r="X129" s="324" t="s">
        <v>282</v>
      </c>
      <c r="Y129" s="325" t="s">
        <v>282</v>
      </c>
    </row>
    <row r="130" spans="1:25">
      <c r="A130" s="319">
        <v>3</v>
      </c>
      <c r="B130" s="320" t="str">
        <f>VLOOKUP(Tabel10[[#This Row],[Code]],Ruimtegroepen[[Code]:[Ruimte omschrijving]],2,FALSE)</f>
        <v>Reproruimte</v>
      </c>
      <c r="C130" s="321" t="s">
        <v>389</v>
      </c>
      <c r="D130" s="320" t="s">
        <v>12</v>
      </c>
      <c r="E130" s="321" t="s">
        <v>100</v>
      </c>
      <c r="F130" s="321" t="s">
        <v>390</v>
      </c>
      <c r="G130" s="326" t="s">
        <v>282</v>
      </c>
      <c r="H130" s="322" t="s">
        <v>282</v>
      </c>
      <c r="I130" s="322" t="s">
        <v>17</v>
      </c>
      <c r="J130" s="322" t="s">
        <v>15</v>
      </c>
      <c r="K130" s="322" t="s">
        <v>282</v>
      </c>
      <c r="L130" s="322" t="s">
        <v>282</v>
      </c>
      <c r="M130" s="322" t="s">
        <v>282</v>
      </c>
      <c r="N130" s="322" t="s">
        <v>282</v>
      </c>
      <c r="O130" s="323" t="s">
        <v>18</v>
      </c>
      <c r="P130" s="323" t="s">
        <v>18</v>
      </c>
      <c r="Q130" s="323" t="s">
        <v>15</v>
      </c>
      <c r="R130" s="323" t="s">
        <v>15</v>
      </c>
      <c r="S130" s="323" t="s">
        <v>16</v>
      </c>
      <c r="T130" s="323" t="s">
        <v>283</v>
      </c>
      <c r="U130" s="323" t="s">
        <v>249</v>
      </c>
      <c r="V130" s="323" t="s">
        <v>282</v>
      </c>
      <c r="W130" s="324" t="s">
        <v>282</v>
      </c>
      <c r="X130" s="324" t="s">
        <v>282</v>
      </c>
      <c r="Y130" s="325" t="s">
        <v>282</v>
      </c>
    </row>
    <row r="131" spans="1:25">
      <c r="A131" s="319">
        <v>3</v>
      </c>
      <c r="B131" s="320" t="str">
        <f>VLOOKUP(Tabel10[[#This Row],[Code]],Ruimtegroepen[[Code]:[Ruimte omschrijving]],2,FALSE)</f>
        <v>Reproruimte</v>
      </c>
      <c r="C131" s="321" t="s">
        <v>389</v>
      </c>
      <c r="D131" s="320" t="s">
        <v>12</v>
      </c>
      <c r="E131" s="321" t="s">
        <v>99</v>
      </c>
      <c r="F131" s="321" t="s">
        <v>391</v>
      </c>
      <c r="G131" s="322" t="s">
        <v>17</v>
      </c>
      <c r="H131" s="322" t="s">
        <v>15</v>
      </c>
      <c r="I131" s="322" t="s">
        <v>282</v>
      </c>
      <c r="J131" s="322" t="s">
        <v>282</v>
      </c>
      <c r="K131" s="322" t="s">
        <v>282</v>
      </c>
      <c r="L131" s="322" t="s">
        <v>282</v>
      </c>
      <c r="M131" s="322" t="s">
        <v>282</v>
      </c>
      <c r="N131" s="322" t="s">
        <v>282</v>
      </c>
      <c r="O131" s="323" t="s">
        <v>18</v>
      </c>
      <c r="P131" s="323" t="s">
        <v>18</v>
      </c>
      <c r="Q131" s="323" t="s">
        <v>15</v>
      </c>
      <c r="R131" s="323" t="s">
        <v>15</v>
      </c>
      <c r="S131" s="323" t="s">
        <v>16</v>
      </c>
      <c r="T131" s="323" t="s">
        <v>283</v>
      </c>
      <c r="U131" s="323" t="s">
        <v>249</v>
      </c>
      <c r="V131" s="323" t="s">
        <v>282</v>
      </c>
      <c r="W131" s="324" t="s">
        <v>282</v>
      </c>
      <c r="X131" s="324" t="s">
        <v>282</v>
      </c>
      <c r="Y131" s="325" t="s">
        <v>282</v>
      </c>
    </row>
    <row r="132" spans="1:25">
      <c r="A132" s="319">
        <v>3</v>
      </c>
      <c r="B132" s="320" t="str">
        <f>VLOOKUP(Tabel10[[#This Row],[Code]],Ruimtegroepen[[Code]:[Ruimte omschrijving]],2,FALSE)</f>
        <v>Reproruimte</v>
      </c>
      <c r="C132" s="321" t="s">
        <v>389</v>
      </c>
      <c r="D132" s="320" t="s">
        <v>12</v>
      </c>
      <c r="E132" s="321" t="s">
        <v>101</v>
      </c>
      <c r="F132" s="321" t="s">
        <v>392</v>
      </c>
      <c r="G132" s="326" t="s">
        <v>282</v>
      </c>
      <c r="H132" s="322" t="s">
        <v>282</v>
      </c>
      <c r="I132" s="322" t="s">
        <v>17</v>
      </c>
      <c r="J132" s="322" t="s">
        <v>15</v>
      </c>
      <c r="K132" s="322" t="s">
        <v>329</v>
      </c>
      <c r="L132" s="322" t="s">
        <v>282</v>
      </c>
      <c r="M132" s="322" t="s">
        <v>282</v>
      </c>
      <c r="N132" s="322" t="s">
        <v>282</v>
      </c>
      <c r="O132" s="323" t="s">
        <v>18</v>
      </c>
      <c r="P132" s="323" t="s">
        <v>18</v>
      </c>
      <c r="Q132" s="323" t="s">
        <v>15</v>
      </c>
      <c r="R132" s="323" t="s">
        <v>15</v>
      </c>
      <c r="S132" s="323" t="s">
        <v>16</v>
      </c>
      <c r="T132" s="323" t="s">
        <v>283</v>
      </c>
      <c r="U132" s="323" t="s">
        <v>249</v>
      </c>
      <c r="V132" s="323" t="s">
        <v>282</v>
      </c>
      <c r="W132" s="324" t="s">
        <v>282</v>
      </c>
      <c r="X132" s="324" t="s">
        <v>282</v>
      </c>
      <c r="Y132" s="325" t="s">
        <v>282</v>
      </c>
    </row>
    <row r="133" spans="1:25">
      <c r="A133" s="319">
        <v>3</v>
      </c>
      <c r="B133" s="320" t="str">
        <f>VLOOKUP(Tabel10[[#This Row],[Code]],Ruimtegroepen[[Code]:[Ruimte omschrijving]],2,FALSE)</f>
        <v>Reproruimte</v>
      </c>
      <c r="C133" s="321" t="s">
        <v>389</v>
      </c>
      <c r="D133" s="320" t="s">
        <v>12</v>
      </c>
      <c r="E133" s="321" t="s">
        <v>102</v>
      </c>
      <c r="F133" s="321" t="s">
        <v>393</v>
      </c>
      <c r="G133" s="326" t="s">
        <v>282</v>
      </c>
      <c r="H133" s="322" t="s">
        <v>282</v>
      </c>
      <c r="I133" s="322" t="s">
        <v>17</v>
      </c>
      <c r="J133" s="322" t="s">
        <v>15</v>
      </c>
      <c r="K133" s="322" t="s">
        <v>329</v>
      </c>
      <c r="L133" s="322" t="s">
        <v>282</v>
      </c>
      <c r="M133" s="322" t="s">
        <v>282</v>
      </c>
      <c r="N133" s="322" t="s">
        <v>282</v>
      </c>
      <c r="O133" s="323" t="s">
        <v>18</v>
      </c>
      <c r="P133" s="323" t="s">
        <v>18</v>
      </c>
      <c r="Q133" s="323" t="s">
        <v>15</v>
      </c>
      <c r="R133" s="323" t="s">
        <v>15</v>
      </c>
      <c r="S133" s="323" t="s">
        <v>16</v>
      </c>
      <c r="T133" s="323" t="s">
        <v>283</v>
      </c>
      <c r="U133" s="323" t="s">
        <v>249</v>
      </c>
      <c r="V133" s="323" t="s">
        <v>282</v>
      </c>
      <c r="W133" s="324" t="s">
        <v>282</v>
      </c>
      <c r="X133" s="324" t="s">
        <v>282</v>
      </c>
      <c r="Y133" s="325" t="s">
        <v>282</v>
      </c>
    </row>
    <row r="134" spans="1:25">
      <c r="A134" s="319">
        <v>3</v>
      </c>
      <c r="B134" s="320" t="str">
        <f>VLOOKUP(Tabel10[[#This Row],[Code]],Ruimtegroepen[[Code]:[Ruimte omschrijving]],2,FALSE)</f>
        <v>Reproruimte</v>
      </c>
      <c r="C134" s="321" t="s">
        <v>389</v>
      </c>
      <c r="D134" s="320" t="s">
        <v>12</v>
      </c>
      <c r="E134" s="321" t="s">
        <v>99</v>
      </c>
      <c r="F134" s="321" t="s">
        <v>391</v>
      </c>
      <c r="G134" s="322" t="s">
        <v>17</v>
      </c>
      <c r="H134" s="322" t="s">
        <v>15</v>
      </c>
      <c r="I134" s="322" t="s">
        <v>282</v>
      </c>
      <c r="J134" s="322" t="s">
        <v>282</v>
      </c>
      <c r="K134" s="322" t="s">
        <v>282</v>
      </c>
      <c r="L134" s="322" t="s">
        <v>282</v>
      </c>
      <c r="M134" s="322" t="s">
        <v>282</v>
      </c>
      <c r="N134" s="322" t="s">
        <v>282</v>
      </c>
      <c r="O134" s="323" t="s">
        <v>282</v>
      </c>
      <c r="P134" s="323" t="s">
        <v>282</v>
      </c>
      <c r="Q134" s="323" t="s">
        <v>282</v>
      </c>
      <c r="R134" s="323" t="s">
        <v>282</v>
      </c>
      <c r="S134" s="323" t="s">
        <v>282</v>
      </c>
      <c r="T134" s="323" t="s">
        <v>282</v>
      </c>
      <c r="U134" s="323" t="s">
        <v>282</v>
      </c>
      <c r="V134" s="323" t="s">
        <v>282</v>
      </c>
      <c r="W134" s="324" t="s">
        <v>282</v>
      </c>
      <c r="X134" s="324" t="s">
        <v>282</v>
      </c>
      <c r="Y134" s="325" t="s">
        <v>282</v>
      </c>
    </row>
    <row r="135" spans="1:25">
      <c r="A135" s="319">
        <v>3</v>
      </c>
      <c r="B135" s="320" t="str">
        <f>VLOOKUP(Tabel10[[#This Row],[Code]],Ruimtegroepen[[Code]:[Ruimte omschrijving]],2,FALSE)</f>
        <v>Reproruimte</v>
      </c>
      <c r="C135" s="321" t="s">
        <v>389</v>
      </c>
      <c r="D135" s="320" t="s">
        <v>12</v>
      </c>
      <c r="E135" s="321" t="s">
        <v>1306</v>
      </c>
      <c r="F135" s="321" t="s">
        <v>1337</v>
      </c>
      <c r="G135" s="326" t="s">
        <v>282</v>
      </c>
      <c r="H135" s="322" t="s">
        <v>282</v>
      </c>
      <c r="I135" s="322" t="s">
        <v>17</v>
      </c>
      <c r="J135" s="322" t="s">
        <v>15</v>
      </c>
      <c r="K135" s="322" t="s">
        <v>329</v>
      </c>
      <c r="L135" s="322" t="s">
        <v>282</v>
      </c>
      <c r="M135" s="322" t="s">
        <v>282</v>
      </c>
      <c r="N135" s="322" t="s">
        <v>282</v>
      </c>
      <c r="O135" s="323" t="s">
        <v>18</v>
      </c>
      <c r="P135" s="323" t="s">
        <v>18</v>
      </c>
      <c r="Q135" s="323" t="s">
        <v>15</v>
      </c>
      <c r="R135" s="323" t="s">
        <v>15</v>
      </c>
      <c r="S135" s="323" t="s">
        <v>16</v>
      </c>
      <c r="T135" s="323" t="s">
        <v>283</v>
      </c>
      <c r="U135" s="323" t="s">
        <v>249</v>
      </c>
      <c r="V135" s="323" t="s">
        <v>282</v>
      </c>
      <c r="W135" s="324" t="s">
        <v>282</v>
      </c>
      <c r="X135" s="324" t="s">
        <v>282</v>
      </c>
      <c r="Y135" s="325" t="s">
        <v>282</v>
      </c>
    </row>
    <row r="136" spans="1:25">
      <c r="A136" s="319">
        <v>3</v>
      </c>
      <c r="B136" s="320" t="str">
        <f>VLOOKUP(Tabel10[[#This Row],[Code]],Ruimtegroepen[[Code]:[Ruimte omschrijving]],2,FALSE)</f>
        <v>Reproruimte</v>
      </c>
      <c r="C136" s="321" t="s">
        <v>394</v>
      </c>
      <c r="D136" s="320" t="s">
        <v>14</v>
      </c>
      <c r="E136" s="321" t="s">
        <v>100</v>
      </c>
      <c r="F136" s="321" t="s">
        <v>395</v>
      </c>
      <c r="G136" s="326" t="s">
        <v>282</v>
      </c>
      <c r="H136" s="322" t="s">
        <v>282</v>
      </c>
      <c r="I136" s="322" t="s">
        <v>15</v>
      </c>
      <c r="J136" s="322" t="s">
        <v>15</v>
      </c>
      <c r="K136" s="322" t="s">
        <v>282</v>
      </c>
      <c r="L136" s="322" t="s">
        <v>282</v>
      </c>
      <c r="M136" s="322" t="s">
        <v>282</v>
      </c>
      <c r="N136" s="322" t="s">
        <v>282</v>
      </c>
      <c r="O136" s="323" t="s">
        <v>17</v>
      </c>
      <c r="P136" s="323" t="s">
        <v>17</v>
      </c>
      <c r="Q136" s="323" t="s">
        <v>15</v>
      </c>
      <c r="R136" s="323" t="s">
        <v>15</v>
      </c>
      <c r="S136" s="323" t="s">
        <v>16</v>
      </c>
      <c r="T136" s="323" t="s">
        <v>283</v>
      </c>
      <c r="U136" s="323" t="s">
        <v>249</v>
      </c>
      <c r="V136" s="323" t="s">
        <v>282</v>
      </c>
      <c r="W136" s="324" t="s">
        <v>282</v>
      </c>
      <c r="X136" s="324" t="s">
        <v>282</v>
      </c>
      <c r="Y136" s="325" t="s">
        <v>282</v>
      </c>
    </row>
    <row r="137" spans="1:25">
      <c r="A137" s="319">
        <v>3</v>
      </c>
      <c r="B137" s="320" t="str">
        <f>VLOOKUP(Tabel10[[#This Row],[Code]],Ruimtegroepen[[Code]:[Ruimte omschrijving]],2,FALSE)</f>
        <v>Reproruimte</v>
      </c>
      <c r="C137" s="321" t="s">
        <v>394</v>
      </c>
      <c r="D137" s="320" t="s">
        <v>14</v>
      </c>
      <c r="E137" s="321" t="s">
        <v>99</v>
      </c>
      <c r="F137" s="321" t="s">
        <v>396</v>
      </c>
      <c r="G137" s="322" t="s">
        <v>15</v>
      </c>
      <c r="H137" s="322" t="s">
        <v>15</v>
      </c>
      <c r="I137" s="322" t="s">
        <v>282</v>
      </c>
      <c r="J137" s="322" t="s">
        <v>282</v>
      </c>
      <c r="K137" s="322" t="s">
        <v>282</v>
      </c>
      <c r="L137" s="322" t="s">
        <v>282</v>
      </c>
      <c r="M137" s="322" t="s">
        <v>282</v>
      </c>
      <c r="N137" s="322" t="s">
        <v>282</v>
      </c>
      <c r="O137" s="323" t="s">
        <v>17</v>
      </c>
      <c r="P137" s="323" t="s">
        <v>17</v>
      </c>
      <c r="Q137" s="323" t="s">
        <v>15</v>
      </c>
      <c r="R137" s="323" t="s">
        <v>15</v>
      </c>
      <c r="S137" s="323" t="s">
        <v>16</v>
      </c>
      <c r="T137" s="323" t="s">
        <v>283</v>
      </c>
      <c r="U137" s="323" t="s">
        <v>249</v>
      </c>
      <c r="V137" s="323" t="s">
        <v>282</v>
      </c>
      <c r="W137" s="324" t="s">
        <v>282</v>
      </c>
      <c r="X137" s="324" t="s">
        <v>282</v>
      </c>
      <c r="Y137" s="325" t="s">
        <v>282</v>
      </c>
    </row>
    <row r="138" spans="1:25">
      <c r="A138" s="319">
        <v>3</v>
      </c>
      <c r="B138" s="320" t="str">
        <f>VLOOKUP(Tabel10[[#This Row],[Code]],Ruimtegroepen[[Code]:[Ruimte omschrijving]],2,FALSE)</f>
        <v>Reproruimte</v>
      </c>
      <c r="C138" s="321" t="s">
        <v>394</v>
      </c>
      <c r="D138" s="320" t="s">
        <v>14</v>
      </c>
      <c r="E138" s="321" t="s">
        <v>101</v>
      </c>
      <c r="F138" s="321" t="s">
        <v>397</v>
      </c>
      <c r="G138" s="326" t="s">
        <v>282</v>
      </c>
      <c r="H138" s="322" t="s">
        <v>282</v>
      </c>
      <c r="I138" s="322" t="s">
        <v>15</v>
      </c>
      <c r="J138" s="322" t="s">
        <v>15</v>
      </c>
      <c r="K138" s="322" t="s">
        <v>329</v>
      </c>
      <c r="L138" s="322" t="s">
        <v>282</v>
      </c>
      <c r="M138" s="322" t="s">
        <v>282</v>
      </c>
      <c r="N138" s="322" t="s">
        <v>282</v>
      </c>
      <c r="O138" s="323" t="s">
        <v>17</v>
      </c>
      <c r="P138" s="323" t="s">
        <v>17</v>
      </c>
      <c r="Q138" s="323" t="s">
        <v>15</v>
      </c>
      <c r="R138" s="323" t="s">
        <v>15</v>
      </c>
      <c r="S138" s="323" t="s">
        <v>16</v>
      </c>
      <c r="T138" s="323" t="s">
        <v>283</v>
      </c>
      <c r="U138" s="323" t="s">
        <v>249</v>
      </c>
      <c r="V138" s="323" t="s">
        <v>282</v>
      </c>
      <c r="W138" s="324" t="s">
        <v>282</v>
      </c>
      <c r="X138" s="324" t="s">
        <v>282</v>
      </c>
      <c r="Y138" s="325" t="s">
        <v>282</v>
      </c>
    </row>
    <row r="139" spans="1:25">
      <c r="A139" s="319">
        <v>3</v>
      </c>
      <c r="B139" s="320" t="str">
        <f>VLOOKUP(Tabel10[[#This Row],[Code]],Ruimtegroepen[[Code]:[Ruimte omschrijving]],2,FALSE)</f>
        <v>Reproruimte</v>
      </c>
      <c r="C139" s="321" t="s">
        <v>394</v>
      </c>
      <c r="D139" s="320" t="s">
        <v>14</v>
      </c>
      <c r="E139" s="321" t="s">
        <v>102</v>
      </c>
      <c r="F139" s="321" t="s">
        <v>398</v>
      </c>
      <c r="G139" s="326" t="s">
        <v>282</v>
      </c>
      <c r="H139" s="322" t="s">
        <v>282</v>
      </c>
      <c r="I139" s="322" t="s">
        <v>15</v>
      </c>
      <c r="J139" s="322" t="s">
        <v>15</v>
      </c>
      <c r="K139" s="322" t="s">
        <v>329</v>
      </c>
      <c r="L139" s="322" t="s">
        <v>282</v>
      </c>
      <c r="M139" s="322" t="s">
        <v>282</v>
      </c>
      <c r="N139" s="322" t="s">
        <v>282</v>
      </c>
      <c r="O139" s="323" t="s">
        <v>17</v>
      </c>
      <c r="P139" s="323" t="s">
        <v>17</v>
      </c>
      <c r="Q139" s="323" t="s">
        <v>15</v>
      </c>
      <c r="R139" s="323" t="s">
        <v>15</v>
      </c>
      <c r="S139" s="323" t="s">
        <v>16</v>
      </c>
      <c r="T139" s="323" t="s">
        <v>283</v>
      </c>
      <c r="U139" s="323" t="s">
        <v>249</v>
      </c>
      <c r="V139" s="323" t="s">
        <v>282</v>
      </c>
      <c r="W139" s="324" t="s">
        <v>282</v>
      </c>
      <c r="X139" s="324" t="s">
        <v>282</v>
      </c>
      <c r="Y139" s="325" t="s">
        <v>282</v>
      </c>
    </row>
    <row r="140" spans="1:25">
      <c r="A140" s="319">
        <v>3</v>
      </c>
      <c r="B140" s="320" t="str">
        <f>VLOOKUP(Tabel10[[#This Row],[Code]],Ruimtegroepen[[Code]:[Ruimte omschrijving]],2,FALSE)</f>
        <v>Reproruimte</v>
      </c>
      <c r="C140" s="321" t="s">
        <v>394</v>
      </c>
      <c r="D140" s="320" t="s">
        <v>14</v>
      </c>
      <c r="E140" s="321" t="s">
        <v>99</v>
      </c>
      <c r="F140" s="321" t="s">
        <v>396</v>
      </c>
      <c r="G140" s="322" t="s">
        <v>15</v>
      </c>
      <c r="H140" s="322" t="s">
        <v>15</v>
      </c>
      <c r="I140" s="322" t="s">
        <v>282</v>
      </c>
      <c r="J140" s="322" t="s">
        <v>282</v>
      </c>
      <c r="K140" s="322" t="s">
        <v>282</v>
      </c>
      <c r="L140" s="322" t="s">
        <v>282</v>
      </c>
      <c r="M140" s="322" t="s">
        <v>282</v>
      </c>
      <c r="N140" s="322" t="s">
        <v>282</v>
      </c>
      <c r="O140" s="323" t="s">
        <v>282</v>
      </c>
      <c r="P140" s="323" t="s">
        <v>282</v>
      </c>
      <c r="Q140" s="323" t="s">
        <v>282</v>
      </c>
      <c r="R140" s="323" t="s">
        <v>282</v>
      </c>
      <c r="S140" s="323" t="s">
        <v>282</v>
      </c>
      <c r="T140" s="323" t="s">
        <v>282</v>
      </c>
      <c r="U140" s="323" t="s">
        <v>282</v>
      </c>
      <c r="V140" s="323" t="s">
        <v>282</v>
      </c>
      <c r="W140" s="324" t="s">
        <v>282</v>
      </c>
      <c r="X140" s="324" t="s">
        <v>282</v>
      </c>
      <c r="Y140" s="325" t="s">
        <v>282</v>
      </c>
    </row>
    <row r="141" spans="1:25">
      <c r="A141" s="319">
        <v>3</v>
      </c>
      <c r="B141" s="320" t="str">
        <f>VLOOKUP(Tabel10[[#This Row],[Code]],Ruimtegroepen[[Code]:[Ruimte omschrijving]],2,FALSE)</f>
        <v>Reproruimte</v>
      </c>
      <c r="C141" s="321" t="s">
        <v>394</v>
      </c>
      <c r="D141" s="320" t="s">
        <v>14</v>
      </c>
      <c r="E141" s="321" t="s">
        <v>1306</v>
      </c>
      <c r="F141" s="321" t="s">
        <v>1338</v>
      </c>
      <c r="G141" s="326" t="s">
        <v>282</v>
      </c>
      <c r="H141" s="322" t="s">
        <v>282</v>
      </c>
      <c r="I141" s="322" t="s">
        <v>15</v>
      </c>
      <c r="J141" s="322" t="s">
        <v>15</v>
      </c>
      <c r="K141" s="322" t="s">
        <v>329</v>
      </c>
      <c r="L141" s="322" t="s">
        <v>282</v>
      </c>
      <c r="M141" s="322" t="s">
        <v>282</v>
      </c>
      <c r="N141" s="322" t="s">
        <v>282</v>
      </c>
      <c r="O141" s="323" t="s">
        <v>17</v>
      </c>
      <c r="P141" s="323" t="s">
        <v>17</v>
      </c>
      <c r="Q141" s="323" t="s">
        <v>15</v>
      </c>
      <c r="R141" s="323" t="s">
        <v>15</v>
      </c>
      <c r="S141" s="323" t="s">
        <v>16</v>
      </c>
      <c r="T141" s="323" t="s">
        <v>283</v>
      </c>
      <c r="U141" s="323" t="s">
        <v>249</v>
      </c>
      <c r="V141" s="323" t="s">
        <v>282</v>
      </c>
      <c r="W141" s="324" t="s">
        <v>282</v>
      </c>
      <c r="X141" s="324" t="s">
        <v>282</v>
      </c>
      <c r="Y141" s="325" t="s">
        <v>282</v>
      </c>
    </row>
    <row r="142" spans="1:25">
      <c r="A142" s="319">
        <v>3</v>
      </c>
      <c r="B142" s="320" t="str">
        <f>VLOOKUP(Tabel10[[#This Row],[Code]],Ruimtegroepen[[Code]:[Ruimte omschrijving]],2,FALSE)</f>
        <v>Reproruimte</v>
      </c>
      <c r="C142" s="321" t="s">
        <v>399</v>
      </c>
      <c r="D142" s="320" t="s">
        <v>13</v>
      </c>
      <c r="E142" s="321" t="s">
        <v>100</v>
      </c>
      <c r="F142" s="321" t="s">
        <v>400</v>
      </c>
      <c r="G142" s="326" t="s">
        <v>282</v>
      </c>
      <c r="H142" s="322" t="s">
        <v>282</v>
      </c>
      <c r="I142" s="322" t="s">
        <v>282</v>
      </c>
      <c r="J142" s="322" t="s">
        <v>15</v>
      </c>
      <c r="K142" s="322" t="s">
        <v>282</v>
      </c>
      <c r="L142" s="322" t="s">
        <v>282</v>
      </c>
      <c r="M142" s="322" t="s">
        <v>282</v>
      </c>
      <c r="N142" s="322" t="s">
        <v>282</v>
      </c>
      <c r="O142" s="323" t="s">
        <v>15</v>
      </c>
      <c r="P142" s="323" t="s">
        <v>15</v>
      </c>
      <c r="Q142" s="323" t="s">
        <v>15</v>
      </c>
      <c r="R142" s="323" t="s">
        <v>15</v>
      </c>
      <c r="S142" s="323" t="s">
        <v>16</v>
      </c>
      <c r="T142" s="323" t="s">
        <v>283</v>
      </c>
      <c r="U142" s="323" t="s">
        <v>249</v>
      </c>
      <c r="V142" s="323" t="s">
        <v>282</v>
      </c>
      <c r="W142" s="324" t="s">
        <v>282</v>
      </c>
      <c r="X142" s="324" t="s">
        <v>282</v>
      </c>
      <c r="Y142" s="325" t="s">
        <v>282</v>
      </c>
    </row>
    <row r="143" spans="1:25">
      <c r="A143" s="319">
        <v>3</v>
      </c>
      <c r="B143" s="320" t="str">
        <f>VLOOKUP(Tabel10[[#This Row],[Code]],Ruimtegroepen[[Code]:[Ruimte omschrijving]],2,FALSE)</f>
        <v>Reproruimte</v>
      </c>
      <c r="C143" s="321" t="s">
        <v>399</v>
      </c>
      <c r="D143" s="320" t="s">
        <v>13</v>
      </c>
      <c r="E143" s="321" t="s">
        <v>99</v>
      </c>
      <c r="F143" s="321" t="s">
        <v>401</v>
      </c>
      <c r="G143" s="326" t="s">
        <v>282</v>
      </c>
      <c r="H143" s="322" t="s">
        <v>15</v>
      </c>
      <c r="I143" s="322" t="s">
        <v>282</v>
      </c>
      <c r="J143" s="322" t="s">
        <v>282</v>
      </c>
      <c r="K143" s="322" t="s">
        <v>282</v>
      </c>
      <c r="L143" s="322" t="s">
        <v>282</v>
      </c>
      <c r="M143" s="322" t="s">
        <v>282</v>
      </c>
      <c r="N143" s="322" t="s">
        <v>282</v>
      </c>
      <c r="O143" s="323" t="s">
        <v>15</v>
      </c>
      <c r="P143" s="323" t="s">
        <v>15</v>
      </c>
      <c r="Q143" s="323" t="s">
        <v>15</v>
      </c>
      <c r="R143" s="323" t="s">
        <v>15</v>
      </c>
      <c r="S143" s="323" t="s">
        <v>16</v>
      </c>
      <c r="T143" s="323" t="s">
        <v>283</v>
      </c>
      <c r="U143" s="323" t="s">
        <v>249</v>
      </c>
      <c r="V143" s="323" t="s">
        <v>282</v>
      </c>
      <c r="W143" s="324" t="s">
        <v>282</v>
      </c>
      <c r="X143" s="324" t="s">
        <v>282</v>
      </c>
      <c r="Y143" s="325" t="s">
        <v>282</v>
      </c>
    </row>
    <row r="144" spans="1:25">
      <c r="A144" s="319">
        <v>3</v>
      </c>
      <c r="B144" s="320" t="str">
        <f>VLOOKUP(Tabel10[[#This Row],[Code]],Ruimtegroepen[[Code]:[Ruimte omschrijving]],2,FALSE)</f>
        <v>Reproruimte</v>
      </c>
      <c r="C144" s="321" t="s">
        <v>399</v>
      </c>
      <c r="D144" s="320" t="s">
        <v>13</v>
      </c>
      <c r="E144" s="321" t="s">
        <v>101</v>
      </c>
      <c r="F144" s="321" t="s">
        <v>402</v>
      </c>
      <c r="G144" s="326" t="s">
        <v>282</v>
      </c>
      <c r="H144" s="322" t="s">
        <v>282</v>
      </c>
      <c r="I144" s="322" t="s">
        <v>282</v>
      </c>
      <c r="J144" s="322" t="s">
        <v>15</v>
      </c>
      <c r="K144" s="322" t="s">
        <v>329</v>
      </c>
      <c r="L144" s="322" t="s">
        <v>282</v>
      </c>
      <c r="M144" s="322" t="s">
        <v>282</v>
      </c>
      <c r="N144" s="322" t="s">
        <v>282</v>
      </c>
      <c r="O144" s="323" t="s">
        <v>15</v>
      </c>
      <c r="P144" s="323" t="s">
        <v>15</v>
      </c>
      <c r="Q144" s="323" t="s">
        <v>15</v>
      </c>
      <c r="R144" s="323" t="s">
        <v>15</v>
      </c>
      <c r="S144" s="323" t="s">
        <v>16</v>
      </c>
      <c r="T144" s="323" t="s">
        <v>283</v>
      </c>
      <c r="U144" s="323" t="s">
        <v>249</v>
      </c>
      <c r="V144" s="323" t="s">
        <v>282</v>
      </c>
      <c r="W144" s="324" t="s">
        <v>282</v>
      </c>
      <c r="X144" s="324" t="s">
        <v>282</v>
      </c>
      <c r="Y144" s="325" t="s">
        <v>282</v>
      </c>
    </row>
    <row r="145" spans="1:25">
      <c r="A145" s="319">
        <v>3</v>
      </c>
      <c r="B145" s="320" t="str">
        <f>VLOOKUP(Tabel10[[#This Row],[Code]],Ruimtegroepen[[Code]:[Ruimte omschrijving]],2,FALSE)</f>
        <v>Reproruimte</v>
      </c>
      <c r="C145" s="321" t="s">
        <v>399</v>
      </c>
      <c r="D145" s="320" t="s">
        <v>13</v>
      </c>
      <c r="E145" s="321" t="s">
        <v>102</v>
      </c>
      <c r="F145" s="321" t="s">
        <v>403</v>
      </c>
      <c r="G145" s="326" t="s">
        <v>282</v>
      </c>
      <c r="H145" s="322" t="s">
        <v>282</v>
      </c>
      <c r="I145" s="322" t="s">
        <v>282</v>
      </c>
      <c r="J145" s="322" t="s">
        <v>15</v>
      </c>
      <c r="K145" s="322" t="s">
        <v>329</v>
      </c>
      <c r="L145" s="322" t="s">
        <v>282</v>
      </c>
      <c r="M145" s="322" t="s">
        <v>282</v>
      </c>
      <c r="N145" s="322" t="s">
        <v>282</v>
      </c>
      <c r="O145" s="323" t="s">
        <v>15</v>
      </c>
      <c r="P145" s="323" t="s">
        <v>15</v>
      </c>
      <c r="Q145" s="323" t="s">
        <v>15</v>
      </c>
      <c r="R145" s="323" t="s">
        <v>15</v>
      </c>
      <c r="S145" s="323" t="s">
        <v>16</v>
      </c>
      <c r="T145" s="323" t="s">
        <v>283</v>
      </c>
      <c r="U145" s="323" t="s">
        <v>249</v>
      </c>
      <c r="V145" s="323" t="s">
        <v>282</v>
      </c>
      <c r="W145" s="324" t="s">
        <v>282</v>
      </c>
      <c r="X145" s="324" t="s">
        <v>282</v>
      </c>
      <c r="Y145" s="325" t="s">
        <v>282</v>
      </c>
    </row>
    <row r="146" spans="1:25">
      <c r="A146" s="319">
        <v>3</v>
      </c>
      <c r="B146" s="320" t="str">
        <f>VLOOKUP(Tabel10[[#This Row],[Code]],Ruimtegroepen[[Code]:[Ruimte omschrijving]],2,FALSE)</f>
        <v>Reproruimte</v>
      </c>
      <c r="C146" s="321" t="s">
        <v>399</v>
      </c>
      <c r="D146" s="320" t="s">
        <v>13</v>
      </c>
      <c r="E146" s="321" t="s">
        <v>99</v>
      </c>
      <c r="F146" s="321" t="s">
        <v>401</v>
      </c>
      <c r="G146" s="326" t="s">
        <v>282</v>
      </c>
      <c r="H146" s="322" t="s">
        <v>15</v>
      </c>
      <c r="I146" s="322" t="s">
        <v>282</v>
      </c>
      <c r="J146" s="322" t="s">
        <v>282</v>
      </c>
      <c r="K146" s="322" t="s">
        <v>282</v>
      </c>
      <c r="L146" s="322" t="s">
        <v>282</v>
      </c>
      <c r="M146" s="322" t="s">
        <v>282</v>
      </c>
      <c r="N146" s="322" t="s">
        <v>282</v>
      </c>
      <c r="O146" s="323" t="s">
        <v>282</v>
      </c>
      <c r="P146" s="323" t="s">
        <v>282</v>
      </c>
      <c r="Q146" s="323" t="s">
        <v>282</v>
      </c>
      <c r="R146" s="323" t="s">
        <v>282</v>
      </c>
      <c r="S146" s="323" t="s">
        <v>282</v>
      </c>
      <c r="T146" s="323" t="s">
        <v>282</v>
      </c>
      <c r="U146" s="323" t="s">
        <v>282</v>
      </c>
      <c r="V146" s="323" t="s">
        <v>282</v>
      </c>
      <c r="W146" s="324" t="s">
        <v>282</v>
      </c>
      <c r="X146" s="324" t="s">
        <v>282</v>
      </c>
      <c r="Y146" s="325" t="s">
        <v>282</v>
      </c>
    </row>
    <row r="147" spans="1:25">
      <c r="A147" s="319">
        <v>3</v>
      </c>
      <c r="B147" s="320" t="str">
        <f>VLOOKUP(Tabel10[[#This Row],[Code]],Ruimtegroepen[[Code]:[Ruimte omschrijving]],2,FALSE)</f>
        <v>Reproruimte</v>
      </c>
      <c r="C147" s="321" t="s">
        <v>399</v>
      </c>
      <c r="D147" s="320" t="s">
        <v>13</v>
      </c>
      <c r="E147" s="321" t="s">
        <v>1306</v>
      </c>
      <c r="F147" s="321" t="s">
        <v>1339</v>
      </c>
      <c r="G147" s="326" t="s">
        <v>282</v>
      </c>
      <c r="H147" s="322" t="s">
        <v>282</v>
      </c>
      <c r="I147" s="322" t="s">
        <v>282</v>
      </c>
      <c r="J147" s="322" t="s">
        <v>15</v>
      </c>
      <c r="K147" s="322" t="s">
        <v>329</v>
      </c>
      <c r="L147" s="322" t="s">
        <v>282</v>
      </c>
      <c r="M147" s="322" t="s">
        <v>282</v>
      </c>
      <c r="N147" s="322" t="s">
        <v>282</v>
      </c>
      <c r="O147" s="323" t="s">
        <v>15</v>
      </c>
      <c r="P147" s="323" t="s">
        <v>15</v>
      </c>
      <c r="Q147" s="323" t="s">
        <v>15</v>
      </c>
      <c r="R147" s="323" t="s">
        <v>15</v>
      </c>
      <c r="S147" s="323" t="s">
        <v>16</v>
      </c>
      <c r="T147" s="323" t="s">
        <v>283</v>
      </c>
      <c r="U147" s="323" t="s">
        <v>249</v>
      </c>
      <c r="V147" s="323" t="s">
        <v>282</v>
      </c>
      <c r="W147" s="324" t="s">
        <v>282</v>
      </c>
      <c r="X147" s="324" t="s">
        <v>282</v>
      </c>
      <c r="Y147" s="325" t="s">
        <v>282</v>
      </c>
    </row>
    <row r="148" spans="1:25">
      <c r="A148" s="319">
        <v>3</v>
      </c>
      <c r="B148" s="320" t="str">
        <f>VLOOKUP(Tabel10[[#This Row],[Code]],Ruimtegroepen[[Code]:[Ruimte omschrijving]],2,FALSE)</f>
        <v>Reproruimte</v>
      </c>
      <c r="C148" s="321" t="s">
        <v>404</v>
      </c>
      <c r="D148" s="320" t="s">
        <v>0</v>
      </c>
      <c r="E148" s="321" t="s">
        <v>100</v>
      </c>
      <c r="F148" s="321" t="s">
        <v>405</v>
      </c>
      <c r="G148" s="326" t="s">
        <v>282</v>
      </c>
      <c r="H148" s="322" t="s">
        <v>282</v>
      </c>
      <c r="I148" s="322" t="s">
        <v>16</v>
      </c>
      <c r="J148" s="322" t="s">
        <v>282</v>
      </c>
      <c r="K148" s="322" t="s">
        <v>282</v>
      </c>
      <c r="L148" s="322" t="s">
        <v>282</v>
      </c>
      <c r="M148" s="322" t="s">
        <v>282</v>
      </c>
      <c r="N148" s="322" t="s">
        <v>282</v>
      </c>
      <c r="O148" s="323" t="s">
        <v>16</v>
      </c>
      <c r="P148" s="323" t="s">
        <v>16</v>
      </c>
      <c r="Q148" s="323" t="s">
        <v>16</v>
      </c>
      <c r="R148" s="323" t="s">
        <v>16</v>
      </c>
      <c r="S148" s="323" t="s">
        <v>16</v>
      </c>
      <c r="T148" s="323" t="s">
        <v>283</v>
      </c>
      <c r="U148" s="323" t="s">
        <v>249</v>
      </c>
      <c r="V148" s="323" t="s">
        <v>282</v>
      </c>
      <c r="W148" s="324" t="s">
        <v>282</v>
      </c>
      <c r="X148" s="324" t="s">
        <v>282</v>
      </c>
      <c r="Y148" s="325" t="s">
        <v>282</v>
      </c>
    </row>
    <row r="149" spans="1:25">
      <c r="A149" s="319">
        <v>3</v>
      </c>
      <c r="B149" s="320" t="str">
        <f>VLOOKUP(Tabel10[[#This Row],[Code]],Ruimtegroepen[[Code]:[Ruimte omschrijving]],2,FALSE)</f>
        <v>Reproruimte</v>
      </c>
      <c r="C149" s="321" t="s">
        <v>404</v>
      </c>
      <c r="D149" s="320" t="s">
        <v>0</v>
      </c>
      <c r="E149" s="321" t="s">
        <v>99</v>
      </c>
      <c r="F149" s="321" t="s">
        <v>406</v>
      </c>
      <c r="G149" s="326" t="s">
        <v>282</v>
      </c>
      <c r="H149" s="322" t="s">
        <v>16</v>
      </c>
      <c r="I149" s="322" t="s">
        <v>282</v>
      </c>
      <c r="J149" s="322" t="s">
        <v>282</v>
      </c>
      <c r="K149" s="322" t="s">
        <v>282</v>
      </c>
      <c r="L149" s="322" t="s">
        <v>282</v>
      </c>
      <c r="M149" s="322" t="s">
        <v>282</v>
      </c>
      <c r="N149" s="322" t="s">
        <v>282</v>
      </c>
      <c r="O149" s="323" t="s">
        <v>16</v>
      </c>
      <c r="P149" s="323" t="s">
        <v>16</v>
      </c>
      <c r="Q149" s="323" t="s">
        <v>16</v>
      </c>
      <c r="R149" s="323" t="s">
        <v>16</v>
      </c>
      <c r="S149" s="323" t="s">
        <v>16</v>
      </c>
      <c r="T149" s="323" t="s">
        <v>283</v>
      </c>
      <c r="U149" s="323" t="s">
        <v>249</v>
      </c>
      <c r="V149" s="323" t="s">
        <v>282</v>
      </c>
      <c r="W149" s="324" t="s">
        <v>282</v>
      </c>
      <c r="X149" s="324" t="s">
        <v>282</v>
      </c>
      <c r="Y149" s="325" t="s">
        <v>282</v>
      </c>
    </row>
    <row r="150" spans="1:25">
      <c r="A150" s="319">
        <v>3</v>
      </c>
      <c r="B150" s="320" t="str">
        <f>VLOOKUP(Tabel10[[#This Row],[Code]],Ruimtegroepen[[Code]:[Ruimte omschrijving]],2,FALSE)</f>
        <v>Reproruimte</v>
      </c>
      <c r="C150" s="321" t="s">
        <v>404</v>
      </c>
      <c r="D150" s="320" t="s">
        <v>0</v>
      </c>
      <c r="E150" s="321" t="s">
        <v>101</v>
      </c>
      <c r="F150" s="321" t="s">
        <v>407</v>
      </c>
      <c r="G150" s="326" t="s">
        <v>282</v>
      </c>
      <c r="H150" s="322" t="s">
        <v>282</v>
      </c>
      <c r="I150" s="322" t="s">
        <v>282</v>
      </c>
      <c r="J150" s="322" t="s">
        <v>16</v>
      </c>
      <c r="K150" s="322" t="s">
        <v>329</v>
      </c>
      <c r="L150" s="322" t="s">
        <v>282</v>
      </c>
      <c r="M150" s="322" t="s">
        <v>282</v>
      </c>
      <c r="N150" s="322" t="s">
        <v>282</v>
      </c>
      <c r="O150" s="323" t="s">
        <v>16</v>
      </c>
      <c r="P150" s="323" t="s">
        <v>16</v>
      </c>
      <c r="Q150" s="323" t="s">
        <v>16</v>
      </c>
      <c r="R150" s="323" t="s">
        <v>16</v>
      </c>
      <c r="S150" s="323" t="s">
        <v>16</v>
      </c>
      <c r="T150" s="323" t="s">
        <v>283</v>
      </c>
      <c r="U150" s="323" t="s">
        <v>249</v>
      </c>
      <c r="V150" s="323" t="s">
        <v>282</v>
      </c>
      <c r="W150" s="324" t="s">
        <v>282</v>
      </c>
      <c r="X150" s="324" t="s">
        <v>282</v>
      </c>
      <c r="Y150" s="325" t="s">
        <v>282</v>
      </c>
    </row>
    <row r="151" spans="1:25">
      <c r="A151" s="319">
        <v>3</v>
      </c>
      <c r="B151" s="320" t="str">
        <f>VLOOKUP(Tabel10[[#This Row],[Code]],Ruimtegroepen[[Code]:[Ruimte omschrijving]],2,FALSE)</f>
        <v>Reproruimte</v>
      </c>
      <c r="C151" s="321" t="s">
        <v>404</v>
      </c>
      <c r="D151" s="320" t="s">
        <v>0</v>
      </c>
      <c r="E151" s="321" t="s">
        <v>102</v>
      </c>
      <c r="F151" s="321" t="s">
        <v>408</v>
      </c>
      <c r="G151" s="326" t="s">
        <v>282</v>
      </c>
      <c r="H151" s="322" t="s">
        <v>282</v>
      </c>
      <c r="I151" s="322" t="s">
        <v>16</v>
      </c>
      <c r="J151" s="322" t="s">
        <v>282</v>
      </c>
      <c r="K151" s="322" t="s">
        <v>329</v>
      </c>
      <c r="L151" s="322" t="s">
        <v>282</v>
      </c>
      <c r="M151" s="322" t="s">
        <v>282</v>
      </c>
      <c r="N151" s="322" t="s">
        <v>282</v>
      </c>
      <c r="O151" s="323" t="s">
        <v>16</v>
      </c>
      <c r="P151" s="323" t="s">
        <v>16</v>
      </c>
      <c r="Q151" s="323" t="s">
        <v>16</v>
      </c>
      <c r="R151" s="323" t="s">
        <v>16</v>
      </c>
      <c r="S151" s="323" t="s">
        <v>16</v>
      </c>
      <c r="T151" s="323" t="s">
        <v>283</v>
      </c>
      <c r="U151" s="323" t="s">
        <v>249</v>
      </c>
      <c r="V151" s="323" t="s">
        <v>282</v>
      </c>
      <c r="W151" s="324" t="s">
        <v>282</v>
      </c>
      <c r="X151" s="324" t="s">
        <v>282</v>
      </c>
      <c r="Y151" s="325" t="s">
        <v>282</v>
      </c>
    </row>
    <row r="152" spans="1:25">
      <c r="A152" s="319">
        <v>3</v>
      </c>
      <c r="B152" s="320" t="str">
        <f>VLOOKUP(Tabel10[[#This Row],[Code]],Ruimtegroepen[[Code]:[Ruimte omschrijving]],2,FALSE)</f>
        <v>Reproruimte</v>
      </c>
      <c r="C152" s="321" t="s">
        <v>404</v>
      </c>
      <c r="D152" s="320" t="s">
        <v>0</v>
      </c>
      <c r="E152" s="321" t="s">
        <v>99</v>
      </c>
      <c r="F152" s="321" t="s">
        <v>406</v>
      </c>
      <c r="G152" s="326" t="s">
        <v>282</v>
      </c>
      <c r="H152" s="322" t="s">
        <v>16</v>
      </c>
      <c r="I152" s="322" t="s">
        <v>282</v>
      </c>
      <c r="J152" s="322" t="s">
        <v>282</v>
      </c>
      <c r="K152" s="322" t="s">
        <v>282</v>
      </c>
      <c r="L152" s="322" t="s">
        <v>282</v>
      </c>
      <c r="M152" s="322" t="s">
        <v>282</v>
      </c>
      <c r="N152" s="322" t="s">
        <v>282</v>
      </c>
      <c r="O152" s="323" t="s">
        <v>282</v>
      </c>
      <c r="P152" s="323" t="s">
        <v>282</v>
      </c>
      <c r="Q152" s="323" t="s">
        <v>282</v>
      </c>
      <c r="R152" s="323" t="s">
        <v>282</v>
      </c>
      <c r="S152" s="323" t="s">
        <v>282</v>
      </c>
      <c r="T152" s="323" t="s">
        <v>282</v>
      </c>
      <c r="U152" s="323" t="s">
        <v>282</v>
      </c>
      <c r="V152" s="323" t="s">
        <v>282</v>
      </c>
      <c r="W152" s="324" t="s">
        <v>282</v>
      </c>
      <c r="X152" s="324" t="s">
        <v>282</v>
      </c>
      <c r="Y152" s="325" t="s">
        <v>282</v>
      </c>
    </row>
    <row r="153" spans="1:25">
      <c r="A153" s="319">
        <v>3</v>
      </c>
      <c r="B153" s="320" t="str">
        <f>VLOOKUP(Tabel10[[#This Row],[Code]],Ruimtegroepen[[Code]:[Ruimte omschrijving]],2,FALSE)</f>
        <v>Reproruimte</v>
      </c>
      <c r="C153" s="321" t="s">
        <v>404</v>
      </c>
      <c r="D153" s="320" t="s">
        <v>0</v>
      </c>
      <c r="E153" s="321" t="s">
        <v>1306</v>
      </c>
      <c r="F153" s="321" t="s">
        <v>1340</v>
      </c>
      <c r="G153" s="326" t="s">
        <v>282</v>
      </c>
      <c r="H153" s="322" t="s">
        <v>282</v>
      </c>
      <c r="I153" s="322" t="s">
        <v>16</v>
      </c>
      <c r="J153" s="322" t="s">
        <v>282</v>
      </c>
      <c r="K153" s="322" t="s">
        <v>329</v>
      </c>
      <c r="L153" s="322" t="s">
        <v>282</v>
      </c>
      <c r="M153" s="322" t="s">
        <v>282</v>
      </c>
      <c r="N153" s="322" t="s">
        <v>282</v>
      </c>
      <c r="O153" s="323" t="s">
        <v>16</v>
      </c>
      <c r="P153" s="323" t="s">
        <v>16</v>
      </c>
      <c r="Q153" s="323" t="s">
        <v>16</v>
      </c>
      <c r="R153" s="323" t="s">
        <v>16</v>
      </c>
      <c r="S153" s="323" t="s">
        <v>16</v>
      </c>
      <c r="T153" s="323" t="s">
        <v>283</v>
      </c>
      <c r="U153" s="323" t="s">
        <v>249</v>
      </c>
      <c r="V153" s="323" t="s">
        <v>282</v>
      </c>
      <c r="W153" s="324" t="s">
        <v>282</v>
      </c>
      <c r="X153" s="324" t="s">
        <v>282</v>
      </c>
      <c r="Y153" s="325" t="s">
        <v>282</v>
      </c>
    </row>
    <row r="154" spans="1:25">
      <c r="A154" s="319">
        <v>3</v>
      </c>
      <c r="B154" s="320" t="str">
        <f>VLOOKUP(Tabel10[[#This Row],[Code]],Ruimtegroepen[[Code]:[Ruimte omschrijving]],2,FALSE)</f>
        <v>Reproruimte</v>
      </c>
      <c r="C154" s="321" t="s">
        <v>409</v>
      </c>
      <c r="D154" s="320" t="s">
        <v>27</v>
      </c>
      <c r="E154" s="321" t="s">
        <v>100</v>
      </c>
      <c r="F154" s="321" t="s">
        <v>410</v>
      </c>
      <c r="G154" s="326" t="s">
        <v>282</v>
      </c>
      <c r="H154" s="322" t="s">
        <v>282</v>
      </c>
      <c r="I154" s="322" t="s">
        <v>282</v>
      </c>
      <c r="J154" s="322" t="s">
        <v>15</v>
      </c>
      <c r="K154" s="322" t="s">
        <v>282</v>
      </c>
      <c r="L154" s="322" t="s">
        <v>282</v>
      </c>
      <c r="M154" s="322" t="s">
        <v>282</v>
      </c>
      <c r="N154" s="322" t="s">
        <v>282</v>
      </c>
      <c r="O154" s="323" t="s">
        <v>15</v>
      </c>
      <c r="P154" s="323" t="s">
        <v>15</v>
      </c>
      <c r="Q154" s="323" t="s">
        <v>15</v>
      </c>
      <c r="R154" s="323" t="s">
        <v>282</v>
      </c>
      <c r="S154" s="323" t="s">
        <v>282</v>
      </c>
      <c r="T154" s="323" t="s">
        <v>282</v>
      </c>
      <c r="U154" s="323" t="s">
        <v>282</v>
      </c>
      <c r="V154" s="323" t="s">
        <v>282</v>
      </c>
      <c r="W154" s="324" t="s">
        <v>282</v>
      </c>
      <c r="X154" s="324" t="s">
        <v>282</v>
      </c>
      <c r="Y154" s="325" t="s">
        <v>282</v>
      </c>
    </row>
    <row r="155" spans="1:25">
      <c r="A155" s="319">
        <v>3</v>
      </c>
      <c r="B155" s="320" t="str">
        <f>VLOOKUP(Tabel10[[#This Row],[Code]],Ruimtegroepen[[Code]:[Ruimte omschrijving]],2,FALSE)</f>
        <v>Reproruimte</v>
      </c>
      <c r="C155" s="321" t="s">
        <v>409</v>
      </c>
      <c r="D155" s="320" t="s">
        <v>27</v>
      </c>
      <c r="E155" s="321" t="s">
        <v>99</v>
      </c>
      <c r="F155" s="321" t="s">
        <v>411</v>
      </c>
      <c r="G155" s="326" t="s">
        <v>282</v>
      </c>
      <c r="H155" s="322" t="s">
        <v>15</v>
      </c>
      <c r="I155" s="322" t="s">
        <v>282</v>
      </c>
      <c r="J155" s="322" t="s">
        <v>282</v>
      </c>
      <c r="K155" s="322" t="s">
        <v>282</v>
      </c>
      <c r="L155" s="322" t="s">
        <v>282</v>
      </c>
      <c r="M155" s="322" t="s">
        <v>282</v>
      </c>
      <c r="N155" s="322" t="s">
        <v>282</v>
      </c>
      <c r="O155" s="323" t="s">
        <v>15</v>
      </c>
      <c r="P155" s="323" t="s">
        <v>15</v>
      </c>
      <c r="Q155" s="323" t="s">
        <v>15</v>
      </c>
      <c r="R155" s="323" t="s">
        <v>282</v>
      </c>
      <c r="S155" s="323" t="s">
        <v>282</v>
      </c>
      <c r="T155" s="323" t="s">
        <v>282</v>
      </c>
      <c r="U155" s="323" t="s">
        <v>282</v>
      </c>
      <c r="V155" s="323" t="s">
        <v>282</v>
      </c>
      <c r="W155" s="324" t="s">
        <v>282</v>
      </c>
      <c r="X155" s="324" t="s">
        <v>282</v>
      </c>
      <c r="Y155" s="325" t="s">
        <v>282</v>
      </c>
    </row>
    <row r="156" spans="1:25">
      <c r="A156" s="319">
        <v>3</v>
      </c>
      <c r="B156" s="320" t="str">
        <f>VLOOKUP(Tabel10[[#This Row],[Code]],Ruimtegroepen[[Code]:[Ruimte omschrijving]],2,FALSE)</f>
        <v>Reproruimte</v>
      </c>
      <c r="C156" s="321" t="s">
        <v>409</v>
      </c>
      <c r="D156" s="320" t="s">
        <v>27</v>
      </c>
      <c r="E156" s="321" t="s">
        <v>101</v>
      </c>
      <c r="F156" s="321" t="s">
        <v>412</v>
      </c>
      <c r="G156" s="326" t="s">
        <v>282</v>
      </c>
      <c r="H156" s="322" t="s">
        <v>282</v>
      </c>
      <c r="I156" s="322" t="s">
        <v>282</v>
      </c>
      <c r="J156" s="322" t="s">
        <v>15</v>
      </c>
      <c r="K156" s="322" t="s">
        <v>282</v>
      </c>
      <c r="L156" s="322" t="s">
        <v>282</v>
      </c>
      <c r="M156" s="322" t="s">
        <v>282</v>
      </c>
      <c r="N156" s="322" t="s">
        <v>282</v>
      </c>
      <c r="O156" s="323" t="s">
        <v>15</v>
      </c>
      <c r="P156" s="323" t="s">
        <v>15</v>
      </c>
      <c r="Q156" s="323" t="s">
        <v>15</v>
      </c>
      <c r="R156" s="323" t="s">
        <v>282</v>
      </c>
      <c r="S156" s="323" t="s">
        <v>282</v>
      </c>
      <c r="T156" s="323" t="s">
        <v>282</v>
      </c>
      <c r="U156" s="323" t="s">
        <v>282</v>
      </c>
      <c r="V156" s="323" t="s">
        <v>282</v>
      </c>
      <c r="W156" s="324" t="s">
        <v>282</v>
      </c>
      <c r="X156" s="324" t="s">
        <v>282</v>
      </c>
      <c r="Y156" s="325" t="s">
        <v>282</v>
      </c>
    </row>
    <row r="157" spans="1:25">
      <c r="A157" s="319">
        <v>3</v>
      </c>
      <c r="B157" s="320" t="str">
        <f>VLOOKUP(Tabel10[[#This Row],[Code]],Ruimtegroepen[[Code]:[Ruimte omschrijving]],2,FALSE)</f>
        <v>Reproruimte</v>
      </c>
      <c r="C157" s="321" t="s">
        <v>409</v>
      </c>
      <c r="D157" s="320" t="s">
        <v>27</v>
      </c>
      <c r="E157" s="321" t="s">
        <v>102</v>
      </c>
      <c r="F157" s="321" t="s">
        <v>413</v>
      </c>
      <c r="G157" s="326" t="s">
        <v>282</v>
      </c>
      <c r="H157" s="322" t="s">
        <v>282</v>
      </c>
      <c r="I157" s="322" t="s">
        <v>282</v>
      </c>
      <c r="J157" s="322" t="s">
        <v>15</v>
      </c>
      <c r="K157" s="322" t="s">
        <v>282</v>
      </c>
      <c r="L157" s="322" t="s">
        <v>282</v>
      </c>
      <c r="M157" s="322" t="s">
        <v>282</v>
      </c>
      <c r="N157" s="322" t="s">
        <v>282</v>
      </c>
      <c r="O157" s="323" t="s">
        <v>15</v>
      </c>
      <c r="P157" s="323" t="s">
        <v>15</v>
      </c>
      <c r="Q157" s="323" t="s">
        <v>15</v>
      </c>
      <c r="R157" s="323" t="s">
        <v>282</v>
      </c>
      <c r="S157" s="323" t="s">
        <v>282</v>
      </c>
      <c r="T157" s="323" t="s">
        <v>282</v>
      </c>
      <c r="U157" s="323" t="s">
        <v>282</v>
      </c>
      <c r="V157" s="323" t="s">
        <v>282</v>
      </c>
      <c r="W157" s="324" t="s">
        <v>282</v>
      </c>
      <c r="X157" s="324" t="s">
        <v>282</v>
      </c>
      <c r="Y157" s="325" t="s">
        <v>282</v>
      </c>
    </row>
    <row r="158" spans="1:25">
      <c r="A158" s="319">
        <v>3</v>
      </c>
      <c r="B158" s="320" t="str">
        <f>VLOOKUP(Tabel10[[#This Row],[Code]],Ruimtegroepen[[Code]:[Ruimte omschrijving]],2,FALSE)</f>
        <v>Reproruimte</v>
      </c>
      <c r="C158" s="321" t="s">
        <v>409</v>
      </c>
      <c r="D158" s="320" t="s">
        <v>27</v>
      </c>
      <c r="E158" s="321" t="s">
        <v>99</v>
      </c>
      <c r="F158" s="321" t="s">
        <v>411</v>
      </c>
      <c r="G158" s="326" t="s">
        <v>282</v>
      </c>
      <c r="H158" s="322" t="s">
        <v>15</v>
      </c>
      <c r="I158" s="322" t="s">
        <v>282</v>
      </c>
      <c r="J158" s="322" t="s">
        <v>282</v>
      </c>
      <c r="K158" s="322" t="s">
        <v>282</v>
      </c>
      <c r="L158" s="322" t="s">
        <v>282</v>
      </c>
      <c r="M158" s="322" t="s">
        <v>282</v>
      </c>
      <c r="N158" s="322" t="s">
        <v>282</v>
      </c>
      <c r="O158" s="323" t="s">
        <v>15</v>
      </c>
      <c r="P158" s="323" t="s">
        <v>15</v>
      </c>
      <c r="Q158" s="323" t="s">
        <v>15</v>
      </c>
      <c r="R158" s="323" t="s">
        <v>282</v>
      </c>
      <c r="S158" s="323" t="s">
        <v>282</v>
      </c>
      <c r="T158" s="323" t="s">
        <v>282</v>
      </c>
      <c r="U158" s="323" t="s">
        <v>282</v>
      </c>
      <c r="V158" s="323" t="s">
        <v>282</v>
      </c>
      <c r="W158" s="324" t="s">
        <v>282</v>
      </c>
      <c r="X158" s="324" t="s">
        <v>282</v>
      </c>
      <c r="Y158" s="325" t="s">
        <v>282</v>
      </c>
    </row>
    <row r="159" spans="1:25">
      <c r="A159" s="319">
        <v>3</v>
      </c>
      <c r="B159" s="320" t="str">
        <f>VLOOKUP(Tabel10[[#This Row],[Code]],Ruimtegroepen[[Code]:[Ruimte omschrijving]],2,FALSE)</f>
        <v>Reproruimte</v>
      </c>
      <c r="C159" s="321" t="s">
        <v>409</v>
      </c>
      <c r="D159" s="320" t="s">
        <v>27</v>
      </c>
      <c r="E159" s="321" t="s">
        <v>1306</v>
      </c>
      <c r="F159" s="321" t="s">
        <v>1373</v>
      </c>
      <c r="G159" s="326" t="s">
        <v>282</v>
      </c>
      <c r="H159" s="322" t="s">
        <v>282</v>
      </c>
      <c r="I159" s="322" t="s">
        <v>282</v>
      </c>
      <c r="J159" s="322" t="s">
        <v>15</v>
      </c>
      <c r="K159" s="322" t="s">
        <v>282</v>
      </c>
      <c r="L159" s="322" t="s">
        <v>282</v>
      </c>
      <c r="M159" s="322" t="s">
        <v>282</v>
      </c>
      <c r="N159" s="322" t="s">
        <v>282</v>
      </c>
      <c r="O159" s="323" t="s">
        <v>15</v>
      </c>
      <c r="P159" s="323" t="s">
        <v>15</v>
      </c>
      <c r="Q159" s="323" t="s">
        <v>15</v>
      </c>
      <c r="R159" s="323" t="s">
        <v>282</v>
      </c>
      <c r="S159" s="323" t="s">
        <v>282</v>
      </c>
      <c r="T159" s="323" t="s">
        <v>282</v>
      </c>
      <c r="U159" s="323" t="s">
        <v>282</v>
      </c>
      <c r="V159" s="323" t="s">
        <v>282</v>
      </c>
      <c r="W159" s="324" t="s">
        <v>282</v>
      </c>
      <c r="X159" s="324" t="s">
        <v>282</v>
      </c>
      <c r="Y159" s="325" t="s">
        <v>282</v>
      </c>
    </row>
    <row r="160" spans="1:25">
      <c r="A160" s="319">
        <v>3</v>
      </c>
      <c r="B160" s="320" t="str">
        <f>VLOOKUP(Tabel10[[#This Row],[Code]],Ruimtegroepen[[Code]:[Ruimte omschrijving]],2,FALSE)</f>
        <v>Reproruimte</v>
      </c>
      <c r="C160" s="321" t="s">
        <v>414</v>
      </c>
      <c r="D160" s="320" t="s">
        <v>28</v>
      </c>
      <c r="E160" s="321" t="s">
        <v>100</v>
      </c>
      <c r="F160" s="321" t="s">
        <v>415</v>
      </c>
      <c r="G160" s="326" t="s">
        <v>282</v>
      </c>
      <c r="H160" s="322" t="s">
        <v>282</v>
      </c>
      <c r="I160" s="322" t="s">
        <v>17</v>
      </c>
      <c r="J160" s="322" t="s">
        <v>282</v>
      </c>
      <c r="K160" s="322" t="s">
        <v>282</v>
      </c>
      <c r="L160" s="322" t="s">
        <v>282</v>
      </c>
      <c r="M160" s="322" t="s">
        <v>282</v>
      </c>
      <c r="N160" s="322" t="s">
        <v>282</v>
      </c>
      <c r="O160" s="323" t="s">
        <v>17</v>
      </c>
      <c r="P160" s="323" t="s">
        <v>17</v>
      </c>
      <c r="Q160" s="323" t="s">
        <v>15</v>
      </c>
      <c r="R160" s="323" t="s">
        <v>282</v>
      </c>
      <c r="S160" s="323" t="s">
        <v>282</v>
      </c>
      <c r="T160" s="323" t="s">
        <v>282</v>
      </c>
      <c r="U160" s="323" t="s">
        <v>282</v>
      </c>
      <c r="V160" s="323" t="s">
        <v>282</v>
      </c>
      <c r="W160" s="324" t="s">
        <v>282</v>
      </c>
      <c r="X160" s="324" t="s">
        <v>282</v>
      </c>
      <c r="Y160" s="325" t="s">
        <v>282</v>
      </c>
    </row>
    <row r="161" spans="1:25">
      <c r="A161" s="319">
        <v>3</v>
      </c>
      <c r="B161" s="320" t="str">
        <f>VLOOKUP(Tabel10[[#This Row],[Code]],Ruimtegroepen[[Code]:[Ruimte omschrijving]],2,FALSE)</f>
        <v>Reproruimte</v>
      </c>
      <c r="C161" s="321" t="s">
        <v>414</v>
      </c>
      <c r="D161" s="320" t="s">
        <v>28</v>
      </c>
      <c r="E161" s="321" t="s">
        <v>99</v>
      </c>
      <c r="F161" s="321" t="s">
        <v>416</v>
      </c>
      <c r="G161" s="326" t="s">
        <v>282</v>
      </c>
      <c r="H161" s="322" t="s">
        <v>17</v>
      </c>
      <c r="I161" s="322" t="s">
        <v>282</v>
      </c>
      <c r="J161" s="322" t="s">
        <v>282</v>
      </c>
      <c r="K161" s="322" t="s">
        <v>282</v>
      </c>
      <c r="L161" s="322" t="s">
        <v>282</v>
      </c>
      <c r="M161" s="322" t="s">
        <v>282</v>
      </c>
      <c r="N161" s="322" t="s">
        <v>282</v>
      </c>
      <c r="O161" s="323" t="s">
        <v>17</v>
      </c>
      <c r="P161" s="323" t="s">
        <v>17</v>
      </c>
      <c r="Q161" s="323" t="s">
        <v>15</v>
      </c>
      <c r="R161" s="323" t="s">
        <v>282</v>
      </c>
      <c r="S161" s="323" t="s">
        <v>282</v>
      </c>
      <c r="T161" s="323" t="s">
        <v>282</v>
      </c>
      <c r="U161" s="323" t="s">
        <v>282</v>
      </c>
      <c r="V161" s="323" t="s">
        <v>282</v>
      </c>
      <c r="W161" s="324" t="s">
        <v>282</v>
      </c>
      <c r="X161" s="324" t="s">
        <v>282</v>
      </c>
      <c r="Y161" s="325" t="s">
        <v>282</v>
      </c>
    </row>
    <row r="162" spans="1:25">
      <c r="A162" s="319">
        <v>3</v>
      </c>
      <c r="B162" s="320" t="str">
        <f>VLOOKUP(Tabel10[[#This Row],[Code]],Ruimtegroepen[[Code]:[Ruimte omschrijving]],2,FALSE)</f>
        <v>Reproruimte</v>
      </c>
      <c r="C162" s="321" t="s">
        <v>414</v>
      </c>
      <c r="D162" s="320" t="s">
        <v>28</v>
      </c>
      <c r="E162" s="321" t="s">
        <v>101</v>
      </c>
      <c r="F162" s="321" t="s">
        <v>417</v>
      </c>
      <c r="G162" s="326" t="s">
        <v>282</v>
      </c>
      <c r="H162" s="322" t="s">
        <v>282</v>
      </c>
      <c r="I162" s="322" t="s">
        <v>17</v>
      </c>
      <c r="J162" s="322" t="s">
        <v>282</v>
      </c>
      <c r="K162" s="322" t="s">
        <v>282</v>
      </c>
      <c r="L162" s="322" t="s">
        <v>282</v>
      </c>
      <c r="M162" s="322" t="s">
        <v>282</v>
      </c>
      <c r="N162" s="322" t="s">
        <v>282</v>
      </c>
      <c r="O162" s="323" t="s">
        <v>17</v>
      </c>
      <c r="P162" s="323" t="s">
        <v>17</v>
      </c>
      <c r="Q162" s="323" t="s">
        <v>15</v>
      </c>
      <c r="R162" s="323" t="s">
        <v>282</v>
      </c>
      <c r="S162" s="323" t="s">
        <v>282</v>
      </c>
      <c r="T162" s="323" t="s">
        <v>282</v>
      </c>
      <c r="U162" s="323" t="s">
        <v>282</v>
      </c>
      <c r="V162" s="323" t="s">
        <v>282</v>
      </c>
      <c r="W162" s="324" t="s">
        <v>282</v>
      </c>
      <c r="X162" s="324" t="s">
        <v>282</v>
      </c>
      <c r="Y162" s="325" t="s">
        <v>282</v>
      </c>
    </row>
    <row r="163" spans="1:25">
      <c r="A163" s="319">
        <v>3</v>
      </c>
      <c r="B163" s="320" t="str">
        <f>VLOOKUP(Tabel10[[#This Row],[Code]],Ruimtegroepen[[Code]:[Ruimte omschrijving]],2,FALSE)</f>
        <v>Reproruimte</v>
      </c>
      <c r="C163" s="321" t="s">
        <v>414</v>
      </c>
      <c r="D163" s="320" t="s">
        <v>28</v>
      </c>
      <c r="E163" s="321" t="s">
        <v>102</v>
      </c>
      <c r="F163" s="321" t="s">
        <v>418</v>
      </c>
      <c r="G163" s="326" t="s">
        <v>282</v>
      </c>
      <c r="H163" s="322" t="s">
        <v>282</v>
      </c>
      <c r="I163" s="322" t="s">
        <v>17</v>
      </c>
      <c r="J163" s="322" t="s">
        <v>282</v>
      </c>
      <c r="K163" s="322" t="s">
        <v>282</v>
      </c>
      <c r="L163" s="322" t="s">
        <v>282</v>
      </c>
      <c r="M163" s="322" t="s">
        <v>282</v>
      </c>
      <c r="N163" s="322" t="s">
        <v>282</v>
      </c>
      <c r="O163" s="323" t="s">
        <v>17</v>
      </c>
      <c r="P163" s="323" t="s">
        <v>17</v>
      </c>
      <c r="Q163" s="323" t="s">
        <v>15</v>
      </c>
      <c r="R163" s="323" t="s">
        <v>282</v>
      </c>
      <c r="S163" s="323" t="s">
        <v>282</v>
      </c>
      <c r="T163" s="323" t="s">
        <v>282</v>
      </c>
      <c r="U163" s="323" t="s">
        <v>282</v>
      </c>
      <c r="V163" s="323" t="s">
        <v>282</v>
      </c>
      <c r="W163" s="324" t="s">
        <v>282</v>
      </c>
      <c r="X163" s="324" t="s">
        <v>282</v>
      </c>
      <c r="Y163" s="325" t="s">
        <v>282</v>
      </c>
    </row>
    <row r="164" spans="1:25">
      <c r="A164" s="319">
        <v>3</v>
      </c>
      <c r="B164" s="320" t="str">
        <f>VLOOKUP(Tabel10[[#This Row],[Code]],Ruimtegroepen[[Code]:[Ruimte omschrijving]],2,FALSE)</f>
        <v>Reproruimte</v>
      </c>
      <c r="C164" s="321" t="s">
        <v>414</v>
      </c>
      <c r="D164" s="320" t="s">
        <v>28</v>
      </c>
      <c r="E164" s="321" t="s">
        <v>99</v>
      </c>
      <c r="F164" s="321" t="s">
        <v>416</v>
      </c>
      <c r="G164" s="326" t="s">
        <v>282</v>
      </c>
      <c r="H164" s="322" t="s">
        <v>17</v>
      </c>
      <c r="I164" s="322" t="s">
        <v>282</v>
      </c>
      <c r="J164" s="322" t="s">
        <v>282</v>
      </c>
      <c r="K164" s="322" t="s">
        <v>282</v>
      </c>
      <c r="L164" s="322" t="s">
        <v>282</v>
      </c>
      <c r="M164" s="322" t="s">
        <v>282</v>
      </c>
      <c r="N164" s="322" t="s">
        <v>282</v>
      </c>
      <c r="O164" s="323" t="s">
        <v>17</v>
      </c>
      <c r="P164" s="323" t="s">
        <v>17</v>
      </c>
      <c r="Q164" s="323" t="s">
        <v>15</v>
      </c>
      <c r="R164" s="323" t="s">
        <v>282</v>
      </c>
      <c r="S164" s="323" t="s">
        <v>282</v>
      </c>
      <c r="T164" s="323" t="s">
        <v>282</v>
      </c>
      <c r="U164" s="323" t="s">
        <v>282</v>
      </c>
      <c r="V164" s="323" t="s">
        <v>282</v>
      </c>
      <c r="W164" s="324" t="s">
        <v>282</v>
      </c>
      <c r="X164" s="324" t="s">
        <v>282</v>
      </c>
      <c r="Y164" s="325" t="s">
        <v>282</v>
      </c>
    </row>
    <row r="165" spans="1:25">
      <c r="A165" s="319">
        <v>3</v>
      </c>
      <c r="B165" s="320" t="str">
        <f>VLOOKUP(Tabel10[[#This Row],[Code]],Ruimtegroepen[[Code]:[Ruimte omschrijving]],2,FALSE)</f>
        <v>Reproruimte</v>
      </c>
      <c r="C165" s="321" t="s">
        <v>414</v>
      </c>
      <c r="D165" s="320" t="s">
        <v>28</v>
      </c>
      <c r="E165" s="321" t="s">
        <v>1306</v>
      </c>
      <c r="F165" s="321" t="s">
        <v>1406</v>
      </c>
      <c r="G165" s="326" t="s">
        <v>282</v>
      </c>
      <c r="H165" s="322" t="s">
        <v>282</v>
      </c>
      <c r="I165" s="322" t="s">
        <v>17</v>
      </c>
      <c r="J165" s="322" t="s">
        <v>282</v>
      </c>
      <c r="K165" s="322" t="s">
        <v>282</v>
      </c>
      <c r="L165" s="322" t="s">
        <v>282</v>
      </c>
      <c r="M165" s="322" t="s">
        <v>282</v>
      </c>
      <c r="N165" s="322" t="s">
        <v>282</v>
      </c>
      <c r="O165" s="323" t="s">
        <v>17</v>
      </c>
      <c r="P165" s="323" t="s">
        <v>17</v>
      </c>
      <c r="Q165" s="323" t="s">
        <v>15</v>
      </c>
      <c r="R165" s="323" t="s">
        <v>282</v>
      </c>
      <c r="S165" s="323" t="s">
        <v>282</v>
      </c>
      <c r="T165" s="323" t="s">
        <v>282</v>
      </c>
      <c r="U165" s="323" t="s">
        <v>282</v>
      </c>
      <c r="V165" s="323" t="s">
        <v>282</v>
      </c>
      <c r="W165" s="324" t="s">
        <v>282</v>
      </c>
      <c r="X165" s="324" t="s">
        <v>282</v>
      </c>
      <c r="Y165" s="325" t="s">
        <v>282</v>
      </c>
    </row>
    <row r="166" spans="1:25">
      <c r="A166" s="319">
        <v>4</v>
      </c>
      <c r="B166" s="320" t="str">
        <f>VLOOKUP(Tabel10[[#This Row],[Code]],Ruimtegroepen[[Code]:[Ruimte omschrijving]],2,FALSE)</f>
        <v>Vergader/spreekkamers</v>
      </c>
      <c r="C166" s="321" t="s">
        <v>419</v>
      </c>
      <c r="D166" s="320" t="s">
        <v>29</v>
      </c>
      <c r="E166" s="321" t="s">
        <v>100</v>
      </c>
      <c r="F166" s="321" t="s">
        <v>420</v>
      </c>
      <c r="G166" s="326" t="s">
        <v>282</v>
      </c>
      <c r="H166" s="322" t="s">
        <v>282</v>
      </c>
      <c r="I166" s="322" t="s">
        <v>20</v>
      </c>
      <c r="J166" s="322" t="s">
        <v>15</v>
      </c>
      <c r="K166" s="322" t="s">
        <v>282</v>
      </c>
      <c r="L166" s="322" t="s">
        <v>282</v>
      </c>
      <c r="M166" s="322" t="s">
        <v>282</v>
      </c>
      <c r="N166" s="322" t="s">
        <v>2</v>
      </c>
      <c r="O166" s="323" t="s">
        <v>2</v>
      </c>
      <c r="P166" s="323" t="s">
        <v>2</v>
      </c>
      <c r="Q166" s="323" t="s">
        <v>15</v>
      </c>
      <c r="R166" s="323" t="s">
        <v>15</v>
      </c>
      <c r="S166" s="323" t="s">
        <v>16</v>
      </c>
      <c r="T166" s="323" t="s">
        <v>329</v>
      </c>
      <c r="U166" s="323" t="s">
        <v>249</v>
      </c>
      <c r="V166" s="323" t="s">
        <v>2</v>
      </c>
      <c r="W166" s="324" t="s">
        <v>282</v>
      </c>
      <c r="X166" s="324" t="s">
        <v>282</v>
      </c>
      <c r="Y166" s="325" t="s">
        <v>282</v>
      </c>
    </row>
    <row r="167" spans="1:25">
      <c r="A167" s="319">
        <v>4</v>
      </c>
      <c r="B167" s="320" t="str">
        <f>VLOOKUP(Tabel10[[#This Row],[Code]],Ruimtegroepen[[Code]:[Ruimte omschrijving]],2,FALSE)</f>
        <v>Vergader/spreekkamers</v>
      </c>
      <c r="C167" s="321" t="s">
        <v>419</v>
      </c>
      <c r="D167" s="320" t="s">
        <v>29</v>
      </c>
      <c r="E167" s="321" t="s">
        <v>99</v>
      </c>
      <c r="F167" s="321" t="s">
        <v>421</v>
      </c>
      <c r="G167" s="322" t="s">
        <v>20</v>
      </c>
      <c r="H167" s="322" t="s">
        <v>15</v>
      </c>
      <c r="I167" s="322" t="s">
        <v>282</v>
      </c>
      <c r="J167" s="322" t="s">
        <v>282</v>
      </c>
      <c r="K167" s="322" t="s">
        <v>282</v>
      </c>
      <c r="L167" s="322" t="s">
        <v>282</v>
      </c>
      <c r="M167" s="322" t="s">
        <v>282</v>
      </c>
      <c r="N167" s="322" t="s">
        <v>2</v>
      </c>
      <c r="O167" s="323" t="s">
        <v>2</v>
      </c>
      <c r="P167" s="323" t="s">
        <v>2</v>
      </c>
      <c r="Q167" s="323" t="s">
        <v>15</v>
      </c>
      <c r="R167" s="323" t="s">
        <v>15</v>
      </c>
      <c r="S167" s="323" t="s">
        <v>16</v>
      </c>
      <c r="T167" s="323" t="s">
        <v>329</v>
      </c>
      <c r="U167" s="323" t="s">
        <v>249</v>
      </c>
      <c r="V167" s="323" t="s">
        <v>2</v>
      </c>
      <c r="W167" s="324" t="s">
        <v>282</v>
      </c>
      <c r="X167" s="324" t="s">
        <v>282</v>
      </c>
      <c r="Y167" s="325" t="s">
        <v>282</v>
      </c>
    </row>
    <row r="168" spans="1:25">
      <c r="A168" s="319">
        <v>4</v>
      </c>
      <c r="B168" s="320" t="str">
        <f>VLOOKUP(Tabel10[[#This Row],[Code]],Ruimtegroepen[[Code]:[Ruimte omschrijving]],2,FALSE)</f>
        <v>Vergader/spreekkamers</v>
      </c>
      <c r="C168" s="321" t="s">
        <v>419</v>
      </c>
      <c r="D168" s="320" t="s">
        <v>29</v>
      </c>
      <c r="E168" s="321" t="s">
        <v>101</v>
      </c>
      <c r="F168" s="321" t="s">
        <v>422</v>
      </c>
      <c r="G168" s="326" t="s">
        <v>282</v>
      </c>
      <c r="H168" s="322" t="s">
        <v>282</v>
      </c>
      <c r="I168" s="322" t="s">
        <v>20</v>
      </c>
      <c r="J168" s="322" t="s">
        <v>15</v>
      </c>
      <c r="K168" s="322" t="s">
        <v>329</v>
      </c>
      <c r="L168" s="322" t="s">
        <v>282</v>
      </c>
      <c r="M168" s="322" t="s">
        <v>282</v>
      </c>
      <c r="N168" s="322" t="s">
        <v>2</v>
      </c>
      <c r="O168" s="323" t="s">
        <v>2</v>
      </c>
      <c r="P168" s="323" t="s">
        <v>2</v>
      </c>
      <c r="Q168" s="323" t="s">
        <v>15</v>
      </c>
      <c r="R168" s="323" t="s">
        <v>15</v>
      </c>
      <c r="S168" s="323" t="s">
        <v>16</v>
      </c>
      <c r="T168" s="323" t="s">
        <v>329</v>
      </c>
      <c r="U168" s="323" t="s">
        <v>249</v>
      </c>
      <c r="V168" s="323" t="s">
        <v>2</v>
      </c>
      <c r="W168" s="324" t="s">
        <v>282</v>
      </c>
      <c r="X168" s="324" t="s">
        <v>282</v>
      </c>
      <c r="Y168" s="325" t="s">
        <v>282</v>
      </c>
    </row>
    <row r="169" spans="1:25">
      <c r="A169" s="319">
        <v>4</v>
      </c>
      <c r="B169" s="320" t="str">
        <f>VLOOKUP(Tabel10[[#This Row],[Code]],Ruimtegroepen[[Code]:[Ruimte omschrijving]],2,FALSE)</f>
        <v>Vergader/spreekkamers</v>
      </c>
      <c r="C169" s="321" t="s">
        <v>419</v>
      </c>
      <c r="D169" s="320" t="s">
        <v>29</v>
      </c>
      <c r="E169" s="321" t="s">
        <v>102</v>
      </c>
      <c r="F169" s="321" t="s">
        <v>423</v>
      </c>
      <c r="G169" s="326" t="s">
        <v>282</v>
      </c>
      <c r="H169" s="322" t="s">
        <v>282</v>
      </c>
      <c r="I169" s="322" t="s">
        <v>20</v>
      </c>
      <c r="J169" s="322" t="s">
        <v>15</v>
      </c>
      <c r="K169" s="322" t="s">
        <v>329</v>
      </c>
      <c r="L169" s="322" t="s">
        <v>282</v>
      </c>
      <c r="M169" s="322" t="s">
        <v>282</v>
      </c>
      <c r="N169" s="322" t="s">
        <v>2</v>
      </c>
      <c r="O169" s="323" t="s">
        <v>2</v>
      </c>
      <c r="P169" s="323" t="s">
        <v>2</v>
      </c>
      <c r="Q169" s="323" t="s">
        <v>15</v>
      </c>
      <c r="R169" s="323" t="s">
        <v>15</v>
      </c>
      <c r="S169" s="323" t="s">
        <v>16</v>
      </c>
      <c r="T169" s="323" t="s">
        <v>329</v>
      </c>
      <c r="U169" s="323" t="s">
        <v>249</v>
      </c>
      <c r="V169" s="323" t="s">
        <v>2</v>
      </c>
      <c r="W169" s="324" t="s">
        <v>282</v>
      </c>
      <c r="X169" s="324" t="s">
        <v>282</v>
      </c>
      <c r="Y169" s="325" t="s">
        <v>282</v>
      </c>
    </row>
    <row r="170" spans="1:25">
      <c r="A170" s="319">
        <v>4</v>
      </c>
      <c r="B170" s="320" t="str">
        <f>VLOOKUP(Tabel10[[#This Row],[Code]],Ruimtegroepen[[Code]:[Ruimte omschrijving]],2,FALSE)</f>
        <v>Vergader/spreekkamers</v>
      </c>
      <c r="C170" s="321" t="s">
        <v>419</v>
      </c>
      <c r="D170" s="320" t="s">
        <v>29</v>
      </c>
      <c r="E170" s="321" t="s">
        <v>99</v>
      </c>
      <c r="F170" s="321" t="s">
        <v>421</v>
      </c>
      <c r="G170" s="322" t="s">
        <v>20</v>
      </c>
      <c r="H170" s="322" t="s">
        <v>15</v>
      </c>
      <c r="I170" s="322" t="s">
        <v>282</v>
      </c>
      <c r="J170" s="322" t="s">
        <v>282</v>
      </c>
      <c r="K170" s="322" t="s">
        <v>282</v>
      </c>
      <c r="L170" s="322" t="s">
        <v>282</v>
      </c>
      <c r="M170" s="322" t="s">
        <v>282</v>
      </c>
      <c r="N170" s="322" t="s">
        <v>2</v>
      </c>
      <c r="O170" s="323" t="s">
        <v>2</v>
      </c>
      <c r="P170" s="323" t="s">
        <v>2</v>
      </c>
      <c r="Q170" s="323" t="s">
        <v>15</v>
      </c>
      <c r="R170" s="323" t="s">
        <v>15</v>
      </c>
      <c r="S170" s="323" t="s">
        <v>16</v>
      </c>
      <c r="T170" s="323" t="s">
        <v>329</v>
      </c>
      <c r="U170" s="323" t="s">
        <v>249</v>
      </c>
      <c r="V170" s="323" t="s">
        <v>2</v>
      </c>
      <c r="W170" s="324" t="s">
        <v>282</v>
      </c>
      <c r="X170" s="324" t="s">
        <v>282</v>
      </c>
      <c r="Y170" s="325" t="s">
        <v>282</v>
      </c>
    </row>
    <row r="171" spans="1:25">
      <c r="A171" s="319">
        <v>4</v>
      </c>
      <c r="B171" s="320" t="str">
        <f>VLOOKUP(Tabel10[[#This Row],[Code]],Ruimtegroepen[[Code]:[Ruimte omschrijving]],2,FALSE)</f>
        <v>Vergader/spreekkamers</v>
      </c>
      <c r="C171" s="321" t="s">
        <v>419</v>
      </c>
      <c r="D171" s="320" t="s">
        <v>29</v>
      </c>
      <c r="E171" s="321" t="s">
        <v>1306</v>
      </c>
      <c r="F171" s="321" t="s">
        <v>1474</v>
      </c>
      <c r="G171" s="326" t="s">
        <v>282</v>
      </c>
      <c r="H171" s="322" t="s">
        <v>282</v>
      </c>
      <c r="I171" s="322" t="s">
        <v>20</v>
      </c>
      <c r="J171" s="322" t="s">
        <v>15</v>
      </c>
      <c r="K171" s="322" t="s">
        <v>329</v>
      </c>
      <c r="L171" s="322" t="s">
        <v>282</v>
      </c>
      <c r="M171" s="322" t="s">
        <v>282</v>
      </c>
      <c r="N171" s="322" t="s">
        <v>2</v>
      </c>
      <c r="O171" s="323" t="s">
        <v>2</v>
      </c>
      <c r="P171" s="323" t="s">
        <v>2</v>
      </c>
      <c r="Q171" s="323" t="s">
        <v>15</v>
      </c>
      <c r="R171" s="323" t="s">
        <v>15</v>
      </c>
      <c r="S171" s="323" t="s">
        <v>16</v>
      </c>
      <c r="T171" s="323" t="s">
        <v>329</v>
      </c>
      <c r="U171" s="323" t="s">
        <v>249</v>
      </c>
      <c r="V171" s="323" t="s">
        <v>2</v>
      </c>
      <c r="W171" s="324" t="s">
        <v>282</v>
      </c>
      <c r="X171" s="324" t="s">
        <v>282</v>
      </c>
      <c r="Y171" s="325" t="s">
        <v>282</v>
      </c>
    </row>
    <row r="172" spans="1:25">
      <c r="A172" s="319">
        <v>4</v>
      </c>
      <c r="B172" s="320" t="str">
        <f>VLOOKUP(Tabel10[[#This Row],[Code]],Ruimtegroepen[[Code]:[Ruimte omschrijving]],2,FALSE)</f>
        <v>Vergader/spreekkamers</v>
      </c>
      <c r="C172" s="321" t="s">
        <v>424</v>
      </c>
      <c r="D172" s="320" t="s">
        <v>1</v>
      </c>
      <c r="E172" s="321" t="s">
        <v>100</v>
      </c>
      <c r="F172" s="321" t="s">
        <v>425</v>
      </c>
      <c r="G172" s="326" t="s">
        <v>282</v>
      </c>
      <c r="H172" s="322" t="s">
        <v>282</v>
      </c>
      <c r="I172" s="322" t="s">
        <v>20</v>
      </c>
      <c r="J172" s="322" t="s">
        <v>15</v>
      </c>
      <c r="K172" s="322" t="s">
        <v>282</v>
      </c>
      <c r="L172" s="322" t="s">
        <v>282</v>
      </c>
      <c r="M172" s="322" t="s">
        <v>282</v>
      </c>
      <c r="N172" s="322" t="s">
        <v>282</v>
      </c>
      <c r="O172" s="323" t="s">
        <v>2</v>
      </c>
      <c r="P172" s="323" t="s">
        <v>2</v>
      </c>
      <c r="Q172" s="323" t="s">
        <v>15</v>
      </c>
      <c r="R172" s="323" t="s">
        <v>15</v>
      </c>
      <c r="S172" s="323" t="s">
        <v>16</v>
      </c>
      <c r="T172" s="323" t="s">
        <v>329</v>
      </c>
      <c r="U172" s="323" t="s">
        <v>249</v>
      </c>
      <c r="V172" s="323" t="s">
        <v>282</v>
      </c>
      <c r="W172" s="324" t="s">
        <v>282</v>
      </c>
      <c r="X172" s="324" t="s">
        <v>282</v>
      </c>
      <c r="Y172" s="325" t="s">
        <v>282</v>
      </c>
    </row>
    <row r="173" spans="1:25">
      <c r="A173" s="319">
        <v>4</v>
      </c>
      <c r="B173" s="320" t="str">
        <f>VLOOKUP(Tabel10[[#This Row],[Code]],Ruimtegroepen[[Code]:[Ruimte omschrijving]],2,FALSE)</f>
        <v>Vergader/spreekkamers</v>
      </c>
      <c r="C173" s="321" t="s">
        <v>424</v>
      </c>
      <c r="D173" s="320" t="s">
        <v>1</v>
      </c>
      <c r="E173" s="321" t="s">
        <v>99</v>
      </c>
      <c r="F173" s="321" t="s">
        <v>426</v>
      </c>
      <c r="G173" s="322" t="s">
        <v>20</v>
      </c>
      <c r="H173" s="322" t="s">
        <v>15</v>
      </c>
      <c r="I173" s="322" t="s">
        <v>282</v>
      </c>
      <c r="J173" s="322" t="s">
        <v>282</v>
      </c>
      <c r="K173" s="322" t="s">
        <v>282</v>
      </c>
      <c r="L173" s="322" t="s">
        <v>282</v>
      </c>
      <c r="M173" s="322" t="s">
        <v>282</v>
      </c>
      <c r="N173" s="322" t="s">
        <v>282</v>
      </c>
      <c r="O173" s="323" t="s">
        <v>2</v>
      </c>
      <c r="P173" s="323" t="s">
        <v>2</v>
      </c>
      <c r="Q173" s="323" t="s">
        <v>15</v>
      </c>
      <c r="R173" s="323" t="s">
        <v>15</v>
      </c>
      <c r="S173" s="323" t="s">
        <v>16</v>
      </c>
      <c r="T173" s="323" t="s">
        <v>329</v>
      </c>
      <c r="U173" s="323" t="s">
        <v>249</v>
      </c>
      <c r="V173" s="323" t="s">
        <v>282</v>
      </c>
      <c r="W173" s="324" t="s">
        <v>282</v>
      </c>
      <c r="X173" s="324" t="s">
        <v>282</v>
      </c>
      <c r="Y173" s="325" t="s">
        <v>282</v>
      </c>
    </row>
    <row r="174" spans="1:25">
      <c r="A174" s="319">
        <v>4</v>
      </c>
      <c r="B174" s="320" t="str">
        <f>VLOOKUP(Tabel10[[#This Row],[Code]],Ruimtegroepen[[Code]:[Ruimte omschrijving]],2,FALSE)</f>
        <v>Vergader/spreekkamers</v>
      </c>
      <c r="C174" s="321" t="s">
        <v>424</v>
      </c>
      <c r="D174" s="320" t="s">
        <v>1</v>
      </c>
      <c r="E174" s="321" t="s">
        <v>101</v>
      </c>
      <c r="F174" s="321" t="s">
        <v>427</v>
      </c>
      <c r="G174" s="326" t="s">
        <v>282</v>
      </c>
      <c r="H174" s="322" t="s">
        <v>282</v>
      </c>
      <c r="I174" s="322" t="s">
        <v>20</v>
      </c>
      <c r="J174" s="322" t="s">
        <v>15</v>
      </c>
      <c r="K174" s="322" t="s">
        <v>329</v>
      </c>
      <c r="L174" s="322" t="s">
        <v>282</v>
      </c>
      <c r="M174" s="322" t="s">
        <v>282</v>
      </c>
      <c r="N174" s="322" t="s">
        <v>282</v>
      </c>
      <c r="O174" s="323" t="s">
        <v>2</v>
      </c>
      <c r="P174" s="323" t="s">
        <v>2</v>
      </c>
      <c r="Q174" s="323" t="s">
        <v>15</v>
      </c>
      <c r="R174" s="323" t="s">
        <v>15</v>
      </c>
      <c r="S174" s="323" t="s">
        <v>16</v>
      </c>
      <c r="T174" s="323" t="s">
        <v>329</v>
      </c>
      <c r="U174" s="323" t="s">
        <v>249</v>
      </c>
      <c r="V174" s="323" t="s">
        <v>282</v>
      </c>
      <c r="W174" s="324" t="s">
        <v>282</v>
      </c>
      <c r="X174" s="324" t="s">
        <v>282</v>
      </c>
      <c r="Y174" s="325" t="s">
        <v>282</v>
      </c>
    </row>
    <row r="175" spans="1:25">
      <c r="A175" s="319">
        <v>4</v>
      </c>
      <c r="B175" s="320" t="str">
        <f>VLOOKUP(Tabel10[[#This Row],[Code]],Ruimtegroepen[[Code]:[Ruimte omschrijving]],2,FALSE)</f>
        <v>Vergader/spreekkamers</v>
      </c>
      <c r="C175" s="321" t="s">
        <v>424</v>
      </c>
      <c r="D175" s="320" t="s">
        <v>1</v>
      </c>
      <c r="E175" s="321" t="s">
        <v>102</v>
      </c>
      <c r="F175" s="321" t="s">
        <v>428</v>
      </c>
      <c r="G175" s="326" t="s">
        <v>282</v>
      </c>
      <c r="H175" s="322" t="s">
        <v>282</v>
      </c>
      <c r="I175" s="322" t="s">
        <v>20</v>
      </c>
      <c r="J175" s="322" t="s">
        <v>15</v>
      </c>
      <c r="K175" s="322" t="s">
        <v>329</v>
      </c>
      <c r="L175" s="322" t="s">
        <v>282</v>
      </c>
      <c r="M175" s="322" t="s">
        <v>282</v>
      </c>
      <c r="N175" s="322" t="s">
        <v>282</v>
      </c>
      <c r="O175" s="323" t="s">
        <v>2</v>
      </c>
      <c r="P175" s="323" t="s">
        <v>2</v>
      </c>
      <c r="Q175" s="323" t="s">
        <v>15</v>
      </c>
      <c r="R175" s="323" t="s">
        <v>15</v>
      </c>
      <c r="S175" s="323" t="s">
        <v>16</v>
      </c>
      <c r="T175" s="323" t="s">
        <v>329</v>
      </c>
      <c r="U175" s="323" t="s">
        <v>249</v>
      </c>
      <c r="V175" s="323" t="s">
        <v>282</v>
      </c>
      <c r="W175" s="324" t="s">
        <v>282</v>
      </c>
      <c r="X175" s="324" t="s">
        <v>282</v>
      </c>
      <c r="Y175" s="325" t="s">
        <v>282</v>
      </c>
    </row>
    <row r="176" spans="1:25">
      <c r="A176" s="319">
        <v>4</v>
      </c>
      <c r="B176" s="320" t="str">
        <f>VLOOKUP(Tabel10[[#This Row],[Code]],Ruimtegroepen[[Code]:[Ruimte omschrijving]],2,FALSE)</f>
        <v>Vergader/spreekkamers</v>
      </c>
      <c r="C176" s="321" t="s">
        <v>424</v>
      </c>
      <c r="D176" s="320" t="s">
        <v>1</v>
      </c>
      <c r="E176" s="321" t="s">
        <v>99</v>
      </c>
      <c r="F176" s="321" t="s">
        <v>426</v>
      </c>
      <c r="G176" s="322" t="s">
        <v>20</v>
      </c>
      <c r="H176" s="322" t="s">
        <v>15</v>
      </c>
      <c r="I176" s="322" t="s">
        <v>282</v>
      </c>
      <c r="J176" s="322" t="s">
        <v>282</v>
      </c>
      <c r="K176" s="322" t="s">
        <v>282</v>
      </c>
      <c r="L176" s="322" t="s">
        <v>282</v>
      </c>
      <c r="M176" s="322" t="s">
        <v>282</v>
      </c>
      <c r="N176" s="322" t="s">
        <v>282</v>
      </c>
      <c r="O176" s="323" t="s">
        <v>2</v>
      </c>
      <c r="P176" s="323" t="s">
        <v>2</v>
      </c>
      <c r="Q176" s="323" t="s">
        <v>15</v>
      </c>
      <c r="R176" s="323" t="s">
        <v>15</v>
      </c>
      <c r="S176" s="323" t="s">
        <v>16</v>
      </c>
      <c r="T176" s="323" t="s">
        <v>329</v>
      </c>
      <c r="U176" s="323" t="s">
        <v>249</v>
      </c>
      <c r="V176" s="323" t="s">
        <v>282</v>
      </c>
      <c r="W176" s="324" t="s">
        <v>282</v>
      </c>
      <c r="X176" s="324" t="s">
        <v>282</v>
      </c>
      <c r="Y176" s="325" t="s">
        <v>282</v>
      </c>
    </row>
    <row r="177" spans="1:25">
      <c r="A177" s="319">
        <v>4</v>
      </c>
      <c r="B177" s="320" t="str">
        <f>VLOOKUP(Tabel10[[#This Row],[Code]],Ruimtegroepen[[Code]:[Ruimte omschrijving]],2,FALSE)</f>
        <v>Vergader/spreekkamers</v>
      </c>
      <c r="C177" s="321" t="s">
        <v>424</v>
      </c>
      <c r="D177" s="320" t="s">
        <v>1</v>
      </c>
      <c r="E177" s="321" t="s">
        <v>1306</v>
      </c>
      <c r="F177" s="321" t="s">
        <v>1459</v>
      </c>
      <c r="G177" s="326" t="s">
        <v>282</v>
      </c>
      <c r="H177" s="322" t="s">
        <v>282</v>
      </c>
      <c r="I177" s="322" t="s">
        <v>20</v>
      </c>
      <c r="J177" s="322" t="s">
        <v>15</v>
      </c>
      <c r="K177" s="322" t="s">
        <v>329</v>
      </c>
      <c r="L177" s="322" t="s">
        <v>282</v>
      </c>
      <c r="M177" s="322" t="s">
        <v>282</v>
      </c>
      <c r="N177" s="322" t="s">
        <v>282</v>
      </c>
      <c r="O177" s="323" t="s">
        <v>2</v>
      </c>
      <c r="P177" s="323" t="s">
        <v>2</v>
      </c>
      <c r="Q177" s="323" t="s">
        <v>15</v>
      </c>
      <c r="R177" s="323" t="s">
        <v>15</v>
      </c>
      <c r="S177" s="323" t="s">
        <v>16</v>
      </c>
      <c r="T177" s="323" t="s">
        <v>329</v>
      </c>
      <c r="U177" s="323" t="s">
        <v>249</v>
      </c>
      <c r="V177" s="323" t="s">
        <v>282</v>
      </c>
      <c r="W177" s="324" t="s">
        <v>282</v>
      </c>
      <c r="X177" s="324" t="s">
        <v>282</v>
      </c>
      <c r="Y177" s="325" t="s">
        <v>282</v>
      </c>
    </row>
    <row r="178" spans="1:25">
      <c r="A178" s="319">
        <v>4</v>
      </c>
      <c r="B178" s="320" t="str">
        <f>VLOOKUP(Tabel10[[#This Row],[Code]],Ruimtegroepen[[Code]:[Ruimte omschrijving]],2,FALSE)</f>
        <v>Vergader/spreekkamers</v>
      </c>
      <c r="C178" s="321" t="s">
        <v>429</v>
      </c>
      <c r="D178" s="320" t="s">
        <v>21</v>
      </c>
      <c r="E178" s="321" t="s">
        <v>100</v>
      </c>
      <c r="F178" s="321" t="s">
        <v>430</v>
      </c>
      <c r="G178" s="326" t="s">
        <v>282</v>
      </c>
      <c r="H178" s="322" t="s">
        <v>282</v>
      </c>
      <c r="I178" s="322" t="s">
        <v>18</v>
      </c>
      <c r="J178" s="322" t="s">
        <v>15</v>
      </c>
      <c r="K178" s="322" t="s">
        <v>282</v>
      </c>
      <c r="L178" s="322" t="s">
        <v>282</v>
      </c>
      <c r="M178" s="322" t="s">
        <v>282</v>
      </c>
      <c r="N178" s="322" t="s">
        <v>282</v>
      </c>
      <c r="O178" s="323" t="s">
        <v>20</v>
      </c>
      <c r="P178" s="323" t="s">
        <v>20</v>
      </c>
      <c r="Q178" s="323" t="s">
        <v>15</v>
      </c>
      <c r="R178" s="323" t="s">
        <v>15</v>
      </c>
      <c r="S178" s="323" t="s">
        <v>16</v>
      </c>
      <c r="T178" s="323" t="s">
        <v>329</v>
      </c>
      <c r="U178" s="323" t="s">
        <v>249</v>
      </c>
      <c r="V178" s="323" t="s">
        <v>282</v>
      </c>
      <c r="W178" s="324" t="s">
        <v>282</v>
      </c>
      <c r="X178" s="324" t="s">
        <v>282</v>
      </c>
      <c r="Y178" s="325" t="s">
        <v>282</v>
      </c>
    </row>
    <row r="179" spans="1:25">
      <c r="A179" s="319">
        <v>4</v>
      </c>
      <c r="B179" s="320" t="str">
        <f>VLOOKUP(Tabel10[[#This Row],[Code]],Ruimtegroepen[[Code]:[Ruimte omschrijving]],2,FALSE)</f>
        <v>Vergader/spreekkamers</v>
      </c>
      <c r="C179" s="321" t="s">
        <v>429</v>
      </c>
      <c r="D179" s="320" t="s">
        <v>21</v>
      </c>
      <c r="E179" s="321" t="s">
        <v>99</v>
      </c>
      <c r="F179" s="321" t="s">
        <v>431</v>
      </c>
      <c r="G179" s="322" t="s">
        <v>18</v>
      </c>
      <c r="H179" s="322" t="s">
        <v>15</v>
      </c>
      <c r="I179" s="322" t="s">
        <v>282</v>
      </c>
      <c r="J179" s="322" t="s">
        <v>282</v>
      </c>
      <c r="K179" s="322" t="s">
        <v>282</v>
      </c>
      <c r="L179" s="322" t="s">
        <v>282</v>
      </c>
      <c r="M179" s="322" t="s">
        <v>282</v>
      </c>
      <c r="N179" s="322" t="s">
        <v>282</v>
      </c>
      <c r="O179" s="323" t="s">
        <v>20</v>
      </c>
      <c r="P179" s="323" t="s">
        <v>20</v>
      </c>
      <c r="Q179" s="323" t="s">
        <v>15</v>
      </c>
      <c r="R179" s="323" t="s">
        <v>15</v>
      </c>
      <c r="S179" s="323" t="s">
        <v>16</v>
      </c>
      <c r="T179" s="323" t="s">
        <v>329</v>
      </c>
      <c r="U179" s="323" t="s">
        <v>249</v>
      </c>
      <c r="V179" s="323" t="s">
        <v>282</v>
      </c>
      <c r="W179" s="324" t="s">
        <v>282</v>
      </c>
      <c r="X179" s="324" t="s">
        <v>282</v>
      </c>
      <c r="Y179" s="325" t="s">
        <v>282</v>
      </c>
    </row>
    <row r="180" spans="1:25">
      <c r="A180" s="319">
        <v>4</v>
      </c>
      <c r="B180" s="320" t="str">
        <f>VLOOKUP(Tabel10[[#This Row],[Code]],Ruimtegroepen[[Code]:[Ruimte omschrijving]],2,FALSE)</f>
        <v>Vergader/spreekkamers</v>
      </c>
      <c r="C180" s="321" t="s">
        <v>429</v>
      </c>
      <c r="D180" s="320" t="s">
        <v>21</v>
      </c>
      <c r="E180" s="321" t="s">
        <v>101</v>
      </c>
      <c r="F180" s="321" t="s">
        <v>432</v>
      </c>
      <c r="G180" s="326" t="s">
        <v>282</v>
      </c>
      <c r="H180" s="322" t="s">
        <v>282</v>
      </c>
      <c r="I180" s="322" t="s">
        <v>18</v>
      </c>
      <c r="J180" s="322" t="s">
        <v>15</v>
      </c>
      <c r="K180" s="322" t="s">
        <v>329</v>
      </c>
      <c r="L180" s="322" t="s">
        <v>282</v>
      </c>
      <c r="M180" s="322" t="s">
        <v>282</v>
      </c>
      <c r="N180" s="322" t="s">
        <v>282</v>
      </c>
      <c r="O180" s="323" t="s">
        <v>20</v>
      </c>
      <c r="P180" s="323" t="s">
        <v>20</v>
      </c>
      <c r="Q180" s="323" t="s">
        <v>15</v>
      </c>
      <c r="R180" s="323" t="s">
        <v>15</v>
      </c>
      <c r="S180" s="323" t="s">
        <v>16</v>
      </c>
      <c r="T180" s="323" t="s">
        <v>329</v>
      </c>
      <c r="U180" s="323" t="s">
        <v>249</v>
      </c>
      <c r="V180" s="323" t="s">
        <v>282</v>
      </c>
      <c r="W180" s="324" t="s">
        <v>282</v>
      </c>
      <c r="X180" s="324" t="s">
        <v>282</v>
      </c>
      <c r="Y180" s="325" t="s">
        <v>282</v>
      </c>
    </row>
    <row r="181" spans="1:25">
      <c r="A181" s="319">
        <v>4</v>
      </c>
      <c r="B181" s="320" t="str">
        <f>VLOOKUP(Tabel10[[#This Row],[Code]],Ruimtegroepen[[Code]:[Ruimte omschrijving]],2,FALSE)</f>
        <v>Vergader/spreekkamers</v>
      </c>
      <c r="C181" s="321" t="s">
        <v>429</v>
      </c>
      <c r="D181" s="320" t="s">
        <v>21</v>
      </c>
      <c r="E181" s="321" t="s">
        <v>102</v>
      </c>
      <c r="F181" s="321" t="s">
        <v>433</v>
      </c>
      <c r="G181" s="326" t="s">
        <v>282</v>
      </c>
      <c r="H181" s="322" t="s">
        <v>282</v>
      </c>
      <c r="I181" s="322" t="s">
        <v>18</v>
      </c>
      <c r="J181" s="322" t="s">
        <v>15</v>
      </c>
      <c r="K181" s="322" t="s">
        <v>329</v>
      </c>
      <c r="L181" s="322" t="s">
        <v>282</v>
      </c>
      <c r="M181" s="322" t="s">
        <v>282</v>
      </c>
      <c r="N181" s="322" t="s">
        <v>282</v>
      </c>
      <c r="O181" s="323" t="s">
        <v>20</v>
      </c>
      <c r="P181" s="323" t="s">
        <v>20</v>
      </c>
      <c r="Q181" s="323" t="s">
        <v>15</v>
      </c>
      <c r="R181" s="323" t="s">
        <v>15</v>
      </c>
      <c r="S181" s="323" t="s">
        <v>16</v>
      </c>
      <c r="T181" s="323" t="s">
        <v>329</v>
      </c>
      <c r="U181" s="323" t="s">
        <v>249</v>
      </c>
      <c r="V181" s="323" t="s">
        <v>282</v>
      </c>
      <c r="W181" s="324" t="s">
        <v>282</v>
      </c>
      <c r="X181" s="324" t="s">
        <v>282</v>
      </c>
      <c r="Y181" s="325" t="s">
        <v>282</v>
      </c>
    </row>
    <row r="182" spans="1:25">
      <c r="A182" s="319">
        <v>4</v>
      </c>
      <c r="B182" s="320" t="str">
        <f>VLOOKUP(Tabel10[[#This Row],[Code]],Ruimtegroepen[[Code]:[Ruimte omschrijving]],2,FALSE)</f>
        <v>Vergader/spreekkamers</v>
      </c>
      <c r="C182" s="321" t="s">
        <v>429</v>
      </c>
      <c r="D182" s="320" t="s">
        <v>21</v>
      </c>
      <c r="E182" s="321" t="s">
        <v>99</v>
      </c>
      <c r="F182" s="321" t="s">
        <v>431</v>
      </c>
      <c r="G182" s="322" t="s">
        <v>18</v>
      </c>
      <c r="H182" s="322" t="s">
        <v>15</v>
      </c>
      <c r="I182" s="322" t="s">
        <v>282</v>
      </c>
      <c r="J182" s="322" t="s">
        <v>282</v>
      </c>
      <c r="K182" s="322" t="s">
        <v>282</v>
      </c>
      <c r="L182" s="322" t="s">
        <v>282</v>
      </c>
      <c r="M182" s="322" t="s">
        <v>282</v>
      </c>
      <c r="N182" s="322" t="s">
        <v>282</v>
      </c>
      <c r="O182" s="323" t="s">
        <v>20</v>
      </c>
      <c r="P182" s="323" t="s">
        <v>20</v>
      </c>
      <c r="Q182" s="323" t="s">
        <v>15</v>
      </c>
      <c r="R182" s="323" t="s">
        <v>15</v>
      </c>
      <c r="S182" s="323" t="s">
        <v>16</v>
      </c>
      <c r="T182" s="323" t="s">
        <v>329</v>
      </c>
      <c r="U182" s="323" t="s">
        <v>249</v>
      </c>
      <c r="V182" s="323" t="s">
        <v>282</v>
      </c>
      <c r="W182" s="324" t="s">
        <v>282</v>
      </c>
      <c r="X182" s="324" t="s">
        <v>282</v>
      </c>
      <c r="Y182" s="325" t="s">
        <v>282</v>
      </c>
    </row>
    <row r="183" spans="1:25">
      <c r="A183" s="319">
        <v>4</v>
      </c>
      <c r="B183" s="320" t="str">
        <f>VLOOKUP(Tabel10[[#This Row],[Code]],Ruimtegroepen[[Code]:[Ruimte omschrijving]],2,FALSE)</f>
        <v>Vergader/spreekkamers</v>
      </c>
      <c r="C183" s="321" t="s">
        <v>429</v>
      </c>
      <c r="D183" s="320" t="s">
        <v>21</v>
      </c>
      <c r="E183" s="321" t="s">
        <v>1306</v>
      </c>
      <c r="F183" s="321" t="s">
        <v>1440</v>
      </c>
      <c r="G183" s="326" t="s">
        <v>282</v>
      </c>
      <c r="H183" s="322" t="s">
        <v>282</v>
      </c>
      <c r="I183" s="322" t="s">
        <v>18</v>
      </c>
      <c r="J183" s="322" t="s">
        <v>15</v>
      </c>
      <c r="K183" s="322" t="s">
        <v>329</v>
      </c>
      <c r="L183" s="322" t="s">
        <v>282</v>
      </c>
      <c r="M183" s="322" t="s">
        <v>282</v>
      </c>
      <c r="N183" s="322" t="s">
        <v>282</v>
      </c>
      <c r="O183" s="323" t="s">
        <v>20</v>
      </c>
      <c r="P183" s="323" t="s">
        <v>20</v>
      </c>
      <c r="Q183" s="323" t="s">
        <v>15</v>
      </c>
      <c r="R183" s="323" t="s">
        <v>15</v>
      </c>
      <c r="S183" s="323" t="s">
        <v>16</v>
      </c>
      <c r="T183" s="323" t="s">
        <v>329</v>
      </c>
      <c r="U183" s="323" t="s">
        <v>249</v>
      </c>
      <c r="V183" s="323" t="s">
        <v>282</v>
      </c>
      <c r="W183" s="324" t="s">
        <v>282</v>
      </c>
      <c r="X183" s="324" t="s">
        <v>282</v>
      </c>
      <c r="Y183" s="325" t="s">
        <v>282</v>
      </c>
    </row>
    <row r="184" spans="1:25">
      <c r="A184" s="319">
        <v>4</v>
      </c>
      <c r="B184" s="320" t="str">
        <f>VLOOKUP(Tabel10[[#This Row],[Code]],Ruimtegroepen[[Code]:[Ruimte omschrijving]],2,FALSE)</f>
        <v>Vergader/spreekkamers</v>
      </c>
      <c r="C184" s="321" t="s">
        <v>434</v>
      </c>
      <c r="D184" s="320" t="s">
        <v>12</v>
      </c>
      <c r="E184" s="321" t="s">
        <v>100</v>
      </c>
      <c r="F184" s="321" t="s">
        <v>435</v>
      </c>
      <c r="G184" s="326" t="s">
        <v>282</v>
      </c>
      <c r="H184" s="322" t="s">
        <v>282</v>
      </c>
      <c r="I184" s="322" t="s">
        <v>17</v>
      </c>
      <c r="J184" s="322" t="s">
        <v>15</v>
      </c>
      <c r="K184" s="322" t="s">
        <v>282</v>
      </c>
      <c r="L184" s="322" t="s">
        <v>282</v>
      </c>
      <c r="M184" s="322" t="s">
        <v>282</v>
      </c>
      <c r="N184" s="322" t="s">
        <v>282</v>
      </c>
      <c r="O184" s="323" t="s">
        <v>18</v>
      </c>
      <c r="P184" s="323" t="s">
        <v>18</v>
      </c>
      <c r="Q184" s="323" t="s">
        <v>15</v>
      </c>
      <c r="R184" s="323" t="s">
        <v>15</v>
      </c>
      <c r="S184" s="323" t="s">
        <v>16</v>
      </c>
      <c r="T184" s="323" t="s">
        <v>329</v>
      </c>
      <c r="U184" s="323" t="s">
        <v>249</v>
      </c>
      <c r="V184" s="323" t="s">
        <v>282</v>
      </c>
      <c r="W184" s="324" t="s">
        <v>282</v>
      </c>
      <c r="X184" s="324" t="s">
        <v>282</v>
      </c>
      <c r="Y184" s="325" t="s">
        <v>282</v>
      </c>
    </row>
    <row r="185" spans="1:25">
      <c r="A185" s="319">
        <v>4</v>
      </c>
      <c r="B185" s="320" t="str">
        <f>VLOOKUP(Tabel10[[#This Row],[Code]],Ruimtegroepen[[Code]:[Ruimte omschrijving]],2,FALSE)</f>
        <v>Vergader/spreekkamers</v>
      </c>
      <c r="C185" s="321" t="s">
        <v>434</v>
      </c>
      <c r="D185" s="320" t="s">
        <v>12</v>
      </c>
      <c r="E185" s="321" t="s">
        <v>99</v>
      </c>
      <c r="F185" s="321" t="s">
        <v>436</v>
      </c>
      <c r="G185" s="322" t="s">
        <v>17</v>
      </c>
      <c r="H185" s="322" t="s">
        <v>15</v>
      </c>
      <c r="I185" s="322" t="s">
        <v>282</v>
      </c>
      <c r="J185" s="322" t="s">
        <v>282</v>
      </c>
      <c r="K185" s="322" t="s">
        <v>282</v>
      </c>
      <c r="L185" s="322" t="s">
        <v>282</v>
      </c>
      <c r="M185" s="322" t="s">
        <v>282</v>
      </c>
      <c r="N185" s="322" t="s">
        <v>282</v>
      </c>
      <c r="O185" s="323" t="s">
        <v>18</v>
      </c>
      <c r="P185" s="323" t="s">
        <v>18</v>
      </c>
      <c r="Q185" s="323" t="s">
        <v>15</v>
      </c>
      <c r="R185" s="323" t="s">
        <v>15</v>
      </c>
      <c r="S185" s="323" t="s">
        <v>16</v>
      </c>
      <c r="T185" s="323" t="s">
        <v>329</v>
      </c>
      <c r="U185" s="323" t="s">
        <v>249</v>
      </c>
      <c r="V185" s="323" t="s">
        <v>282</v>
      </c>
      <c r="W185" s="324" t="s">
        <v>282</v>
      </c>
      <c r="X185" s="324" t="s">
        <v>282</v>
      </c>
      <c r="Y185" s="325" t="s">
        <v>282</v>
      </c>
    </row>
    <row r="186" spans="1:25">
      <c r="A186" s="319">
        <v>4</v>
      </c>
      <c r="B186" s="320" t="str">
        <f>VLOOKUP(Tabel10[[#This Row],[Code]],Ruimtegroepen[[Code]:[Ruimte omschrijving]],2,FALSE)</f>
        <v>Vergader/spreekkamers</v>
      </c>
      <c r="C186" s="321" t="s">
        <v>434</v>
      </c>
      <c r="D186" s="320" t="s">
        <v>12</v>
      </c>
      <c r="E186" s="321" t="s">
        <v>101</v>
      </c>
      <c r="F186" s="321" t="s">
        <v>437</v>
      </c>
      <c r="G186" s="326" t="s">
        <v>282</v>
      </c>
      <c r="H186" s="322" t="s">
        <v>282</v>
      </c>
      <c r="I186" s="322" t="s">
        <v>17</v>
      </c>
      <c r="J186" s="322" t="s">
        <v>15</v>
      </c>
      <c r="K186" s="322" t="s">
        <v>329</v>
      </c>
      <c r="L186" s="322" t="s">
        <v>282</v>
      </c>
      <c r="M186" s="322" t="s">
        <v>282</v>
      </c>
      <c r="N186" s="322" t="s">
        <v>282</v>
      </c>
      <c r="O186" s="323" t="s">
        <v>18</v>
      </c>
      <c r="P186" s="323" t="s">
        <v>18</v>
      </c>
      <c r="Q186" s="323" t="s">
        <v>15</v>
      </c>
      <c r="R186" s="323" t="s">
        <v>15</v>
      </c>
      <c r="S186" s="323" t="s">
        <v>16</v>
      </c>
      <c r="T186" s="323" t="s">
        <v>329</v>
      </c>
      <c r="U186" s="323" t="s">
        <v>249</v>
      </c>
      <c r="V186" s="323" t="s">
        <v>282</v>
      </c>
      <c r="W186" s="324" t="s">
        <v>282</v>
      </c>
      <c r="X186" s="324" t="s">
        <v>282</v>
      </c>
      <c r="Y186" s="325" t="s">
        <v>282</v>
      </c>
    </row>
    <row r="187" spans="1:25">
      <c r="A187" s="319">
        <v>4</v>
      </c>
      <c r="B187" s="320" t="str">
        <f>VLOOKUP(Tabel10[[#This Row],[Code]],Ruimtegroepen[[Code]:[Ruimte omschrijving]],2,FALSE)</f>
        <v>Vergader/spreekkamers</v>
      </c>
      <c r="C187" s="321" t="s">
        <v>434</v>
      </c>
      <c r="D187" s="320" t="s">
        <v>12</v>
      </c>
      <c r="E187" s="321" t="s">
        <v>102</v>
      </c>
      <c r="F187" s="321" t="s">
        <v>438</v>
      </c>
      <c r="G187" s="326" t="s">
        <v>282</v>
      </c>
      <c r="H187" s="322" t="s">
        <v>282</v>
      </c>
      <c r="I187" s="322" t="s">
        <v>17</v>
      </c>
      <c r="J187" s="322" t="s">
        <v>15</v>
      </c>
      <c r="K187" s="322" t="s">
        <v>329</v>
      </c>
      <c r="L187" s="322" t="s">
        <v>282</v>
      </c>
      <c r="M187" s="322" t="s">
        <v>282</v>
      </c>
      <c r="N187" s="322" t="s">
        <v>282</v>
      </c>
      <c r="O187" s="323" t="s">
        <v>18</v>
      </c>
      <c r="P187" s="323" t="s">
        <v>18</v>
      </c>
      <c r="Q187" s="323" t="s">
        <v>15</v>
      </c>
      <c r="R187" s="323" t="s">
        <v>15</v>
      </c>
      <c r="S187" s="323" t="s">
        <v>16</v>
      </c>
      <c r="T187" s="323" t="s">
        <v>329</v>
      </c>
      <c r="U187" s="323" t="s">
        <v>249</v>
      </c>
      <c r="V187" s="323" t="s">
        <v>282</v>
      </c>
      <c r="W187" s="324" t="s">
        <v>282</v>
      </c>
      <c r="X187" s="324" t="s">
        <v>282</v>
      </c>
      <c r="Y187" s="325" t="s">
        <v>282</v>
      </c>
    </row>
    <row r="188" spans="1:25">
      <c r="A188" s="319">
        <v>4</v>
      </c>
      <c r="B188" s="320" t="str">
        <f>VLOOKUP(Tabel10[[#This Row],[Code]],Ruimtegroepen[[Code]:[Ruimte omschrijving]],2,FALSE)</f>
        <v>Vergader/spreekkamers</v>
      </c>
      <c r="C188" s="321" t="s">
        <v>434</v>
      </c>
      <c r="D188" s="320" t="s">
        <v>12</v>
      </c>
      <c r="E188" s="321" t="s">
        <v>99</v>
      </c>
      <c r="F188" s="321" t="s">
        <v>436</v>
      </c>
      <c r="G188" s="322" t="s">
        <v>17</v>
      </c>
      <c r="H188" s="322" t="s">
        <v>15</v>
      </c>
      <c r="I188" s="322" t="s">
        <v>282</v>
      </c>
      <c r="J188" s="322" t="s">
        <v>282</v>
      </c>
      <c r="K188" s="322" t="s">
        <v>282</v>
      </c>
      <c r="L188" s="322" t="s">
        <v>282</v>
      </c>
      <c r="M188" s="322" t="s">
        <v>282</v>
      </c>
      <c r="N188" s="322" t="s">
        <v>282</v>
      </c>
      <c r="O188" s="323" t="s">
        <v>18</v>
      </c>
      <c r="P188" s="323" t="s">
        <v>18</v>
      </c>
      <c r="Q188" s="323" t="s">
        <v>15</v>
      </c>
      <c r="R188" s="323" t="s">
        <v>15</v>
      </c>
      <c r="S188" s="323" t="s">
        <v>16</v>
      </c>
      <c r="T188" s="323" t="s">
        <v>329</v>
      </c>
      <c r="U188" s="323" t="s">
        <v>249</v>
      </c>
      <c r="V188" s="323" t="s">
        <v>282</v>
      </c>
      <c r="W188" s="324" t="s">
        <v>282</v>
      </c>
      <c r="X188" s="324" t="s">
        <v>282</v>
      </c>
      <c r="Y188" s="325" t="s">
        <v>282</v>
      </c>
    </row>
    <row r="189" spans="1:25">
      <c r="A189" s="319">
        <v>4</v>
      </c>
      <c r="B189" s="320" t="str">
        <f>VLOOKUP(Tabel10[[#This Row],[Code]],Ruimtegroepen[[Code]:[Ruimte omschrijving]],2,FALSE)</f>
        <v>Vergader/spreekkamers</v>
      </c>
      <c r="C189" s="321" t="s">
        <v>434</v>
      </c>
      <c r="D189" s="320" t="s">
        <v>12</v>
      </c>
      <c r="E189" s="321" t="s">
        <v>1306</v>
      </c>
      <c r="F189" s="321" t="s">
        <v>1423</v>
      </c>
      <c r="G189" s="326" t="s">
        <v>282</v>
      </c>
      <c r="H189" s="322" t="s">
        <v>282</v>
      </c>
      <c r="I189" s="322" t="s">
        <v>17</v>
      </c>
      <c r="J189" s="322" t="s">
        <v>15</v>
      </c>
      <c r="K189" s="322" t="s">
        <v>329</v>
      </c>
      <c r="L189" s="322" t="s">
        <v>282</v>
      </c>
      <c r="M189" s="322" t="s">
        <v>282</v>
      </c>
      <c r="N189" s="322" t="s">
        <v>282</v>
      </c>
      <c r="O189" s="323" t="s">
        <v>18</v>
      </c>
      <c r="P189" s="323" t="s">
        <v>18</v>
      </c>
      <c r="Q189" s="323" t="s">
        <v>15</v>
      </c>
      <c r="R189" s="323" t="s">
        <v>15</v>
      </c>
      <c r="S189" s="323" t="s">
        <v>16</v>
      </c>
      <c r="T189" s="323" t="s">
        <v>329</v>
      </c>
      <c r="U189" s="323" t="s">
        <v>249</v>
      </c>
      <c r="V189" s="323" t="s">
        <v>282</v>
      </c>
      <c r="W189" s="324" t="s">
        <v>282</v>
      </c>
      <c r="X189" s="324" t="s">
        <v>282</v>
      </c>
      <c r="Y189" s="325" t="s">
        <v>282</v>
      </c>
    </row>
    <row r="190" spans="1:25">
      <c r="A190" s="319">
        <v>4</v>
      </c>
      <c r="B190" s="320" t="str">
        <f>VLOOKUP(Tabel10[[#This Row],[Code]],Ruimtegroepen[[Code]:[Ruimte omschrijving]],2,FALSE)</f>
        <v>Vergader/spreekkamers</v>
      </c>
      <c r="C190" s="321" t="s">
        <v>439</v>
      </c>
      <c r="D190" s="320" t="s">
        <v>14</v>
      </c>
      <c r="E190" s="321" t="s">
        <v>100</v>
      </c>
      <c r="F190" s="321" t="s">
        <v>440</v>
      </c>
      <c r="G190" s="326" t="s">
        <v>282</v>
      </c>
      <c r="H190" s="322" t="s">
        <v>282</v>
      </c>
      <c r="I190" s="322" t="s">
        <v>15</v>
      </c>
      <c r="J190" s="322" t="s">
        <v>15</v>
      </c>
      <c r="K190" s="322" t="s">
        <v>282</v>
      </c>
      <c r="L190" s="322" t="s">
        <v>282</v>
      </c>
      <c r="M190" s="322" t="s">
        <v>282</v>
      </c>
      <c r="N190" s="322" t="s">
        <v>282</v>
      </c>
      <c r="O190" s="323" t="s">
        <v>17</v>
      </c>
      <c r="P190" s="323" t="s">
        <v>17</v>
      </c>
      <c r="Q190" s="323" t="s">
        <v>15</v>
      </c>
      <c r="R190" s="323" t="s">
        <v>15</v>
      </c>
      <c r="S190" s="323" t="s">
        <v>16</v>
      </c>
      <c r="T190" s="323" t="s">
        <v>329</v>
      </c>
      <c r="U190" s="323" t="s">
        <v>249</v>
      </c>
      <c r="V190" s="323" t="s">
        <v>282</v>
      </c>
      <c r="W190" s="324" t="s">
        <v>282</v>
      </c>
      <c r="X190" s="324" t="s">
        <v>282</v>
      </c>
      <c r="Y190" s="325" t="s">
        <v>282</v>
      </c>
    </row>
    <row r="191" spans="1:25">
      <c r="A191" s="319">
        <v>4</v>
      </c>
      <c r="B191" s="320" t="str">
        <f>VLOOKUP(Tabel10[[#This Row],[Code]],Ruimtegroepen[[Code]:[Ruimte omschrijving]],2,FALSE)</f>
        <v>Vergader/spreekkamers</v>
      </c>
      <c r="C191" s="321" t="s">
        <v>439</v>
      </c>
      <c r="D191" s="320" t="s">
        <v>14</v>
      </c>
      <c r="E191" s="321" t="s">
        <v>99</v>
      </c>
      <c r="F191" s="321" t="s">
        <v>441</v>
      </c>
      <c r="G191" s="322" t="s">
        <v>15</v>
      </c>
      <c r="H191" s="322" t="s">
        <v>15</v>
      </c>
      <c r="I191" s="322" t="s">
        <v>282</v>
      </c>
      <c r="J191" s="322" t="s">
        <v>282</v>
      </c>
      <c r="K191" s="322" t="s">
        <v>282</v>
      </c>
      <c r="L191" s="322" t="s">
        <v>282</v>
      </c>
      <c r="M191" s="322" t="s">
        <v>282</v>
      </c>
      <c r="N191" s="322" t="s">
        <v>282</v>
      </c>
      <c r="O191" s="323" t="s">
        <v>17</v>
      </c>
      <c r="P191" s="323" t="s">
        <v>17</v>
      </c>
      <c r="Q191" s="323" t="s">
        <v>15</v>
      </c>
      <c r="R191" s="323" t="s">
        <v>15</v>
      </c>
      <c r="S191" s="323" t="s">
        <v>16</v>
      </c>
      <c r="T191" s="323" t="s">
        <v>329</v>
      </c>
      <c r="U191" s="323" t="s">
        <v>249</v>
      </c>
      <c r="V191" s="323" t="s">
        <v>282</v>
      </c>
      <c r="W191" s="324" t="s">
        <v>282</v>
      </c>
      <c r="X191" s="324" t="s">
        <v>282</v>
      </c>
      <c r="Y191" s="325" t="s">
        <v>282</v>
      </c>
    </row>
    <row r="192" spans="1:25">
      <c r="A192" s="319">
        <v>4</v>
      </c>
      <c r="B192" s="320" t="str">
        <f>VLOOKUP(Tabel10[[#This Row],[Code]],Ruimtegroepen[[Code]:[Ruimte omschrijving]],2,FALSE)</f>
        <v>Vergader/spreekkamers</v>
      </c>
      <c r="C192" s="321" t="s">
        <v>439</v>
      </c>
      <c r="D192" s="320" t="s">
        <v>14</v>
      </c>
      <c r="E192" s="321" t="s">
        <v>101</v>
      </c>
      <c r="F192" s="321" t="s">
        <v>442</v>
      </c>
      <c r="G192" s="326" t="s">
        <v>282</v>
      </c>
      <c r="H192" s="322" t="s">
        <v>282</v>
      </c>
      <c r="I192" s="322" t="s">
        <v>15</v>
      </c>
      <c r="J192" s="322" t="s">
        <v>15</v>
      </c>
      <c r="K192" s="322" t="s">
        <v>329</v>
      </c>
      <c r="L192" s="322" t="s">
        <v>282</v>
      </c>
      <c r="M192" s="322" t="s">
        <v>282</v>
      </c>
      <c r="N192" s="322" t="s">
        <v>282</v>
      </c>
      <c r="O192" s="323" t="s">
        <v>17</v>
      </c>
      <c r="P192" s="323" t="s">
        <v>17</v>
      </c>
      <c r="Q192" s="323" t="s">
        <v>15</v>
      </c>
      <c r="R192" s="323" t="s">
        <v>15</v>
      </c>
      <c r="S192" s="323" t="s">
        <v>16</v>
      </c>
      <c r="T192" s="323" t="s">
        <v>329</v>
      </c>
      <c r="U192" s="323" t="s">
        <v>249</v>
      </c>
      <c r="V192" s="323" t="s">
        <v>282</v>
      </c>
      <c r="W192" s="324" t="s">
        <v>282</v>
      </c>
      <c r="X192" s="324" t="s">
        <v>282</v>
      </c>
      <c r="Y192" s="325" t="s">
        <v>282</v>
      </c>
    </row>
    <row r="193" spans="1:25">
      <c r="A193" s="319">
        <v>4</v>
      </c>
      <c r="B193" s="320" t="str">
        <f>VLOOKUP(Tabel10[[#This Row],[Code]],Ruimtegroepen[[Code]:[Ruimte omschrijving]],2,FALSE)</f>
        <v>Vergader/spreekkamers</v>
      </c>
      <c r="C193" s="321" t="s">
        <v>439</v>
      </c>
      <c r="D193" s="320" t="s">
        <v>14</v>
      </c>
      <c r="E193" s="321" t="s">
        <v>102</v>
      </c>
      <c r="F193" s="321" t="s">
        <v>443</v>
      </c>
      <c r="G193" s="326" t="s">
        <v>282</v>
      </c>
      <c r="H193" s="322" t="s">
        <v>282</v>
      </c>
      <c r="I193" s="322" t="s">
        <v>15</v>
      </c>
      <c r="J193" s="322" t="s">
        <v>15</v>
      </c>
      <c r="K193" s="322" t="s">
        <v>329</v>
      </c>
      <c r="L193" s="322" t="s">
        <v>282</v>
      </c>
      <c r="M193" s="322" t="s">
        <v>282</v>
      </c>
      <c r="N193" s="322" t="s">
        <v>282</v>
      </c>
      <c r="O193" s="323" t="s">
        <v>17</v>
      </c>
      <c r="P193" s="323" t="s">
        <v>17</v>
      </c>
      <c r="Q193" s="323" t="s">
        <v>15</v>
      </c>
      <c r="R193" s="323" t="s">
        <v>15</v>
      </c>
      <c r="S193" s="323" t="s">
        <v>16</v>
      </c>
      <c r="T193" s="323" t="s">
        <v>329</v>
      </c>
      <c r="U193" s="323" t="s">
        <v>249</v>
      </c>
      <c r="V193" s="323" t="s">
        <v>282</v>
      </c>
      <c r="W193" s="324" t="s">
        <v>282</v>
      </c>
      <c r="X193" s="324" t="s">
        <v>282</v>
      </c>
      <c r="Y193" s="325" t="s">
        <v>282</v>
      </c>
    </row>
    <row r="194" spans="1:25">
      <c r="A194" s="319">
        <v>4</v>
      </c>
      <c r="B194" s="320" t="str">
        <f>VLOOKUP(Tabel10[[#This Row],[Code]],Ruimtegroepen[[Code]:[Ruimte omschrijving]],2,FALSE)</f>
        <v>Vergader/spreekkamers</v>
      </c>
      <c r="C194" s="321" t="s">
        <v>439</v>
      </c>
      <c r="D194" s="320" t="s">
        <v>14</v>
      </c>
      <c r="E194" s="321" t="s">
        <v>99</v>
      </c>
      <c r="F194" s="321" t="s">
        <v>441</v>
      </c>
      <c r="G194" s="322" t="s">
        <v>15</v>
      </c>
      <c r="H194" s="322" t="s">
        <v>15</v>
      </c>
      <c r="I194" s="322" t="s">
        <v>282</v>
      </c>
      <c r="J194" s="322" t="s">
        <v>282</v>
      </c>
      <c r="K194" s="322" t="s">
        <v>282</v>
      </c>
      <c r="L194" s="322" t="s">
        <v>282</v>
      </c>
      <c r="M194" s="322" t="s">
        <v>282</v>
      </c>
      <c r="N194" s="322" t="s">
        <v>282</v>
      </c>
      <c r="O194" s="323" t="s">
        <v>17</v>
      </c>
      <c r="P194" s="323" t="s">
        <v>17</v>
      </c>
      <c r="Q194" s="323" t="s">
        <v>15</v>
      </c>
      <c r="R194" s="323" t="s">
        <v>15</v>
      </c>
      <c r="S194" s="323" t="s">
        <v>16</v>
      </c>
      <c r="T194" s="323" t="s">
        <v>329</v>
      </c>
      <c r="U194" s="323" t="s">
        <v>249</v>
      </c>
      <c r="V194" s="323" t="s">
        <v>282</v>
      </c>
      <c r="W194" s="324" t="s">
        <v>282</v>
      </c>
      <c r="X194" s="324" t="s">
        <v>282</v>
      </c>
      <c r="Y194" s="325" t="s">
        <v>282</v>
      </c>
    </row>
    <row r="195" spans="1:25">
      <c r="A195" s="319">
        <v>4</v>
      </c>
      <c r="B195" s="320" t="str">
        <f>VLOOKUP(Tabel10[[#This Row],[Code]],Ruimtegroepen[[Code]:[Ruimte omschrijving]],2,FALSE)</f>
        <v>Vergader/spreekkamers</v>
      </c>
      <c r="C195" s="321" t="s">
        <v>439</v>
      </c>
      <c r="D195" s="320" t="s">
        <v>14</v>
      </c>
      <c r="E195" s="321" t="s">
        <v>1306</v>
      </c>
      <c r="F195" s="321" t="s">
        <v>1390</v>
      </c>
      <c r="G195" s="326" t="s">
        <v>282</v>
      </c>
      <c r="H195" s="322" t="s">
        <v>282</v>
      </c>
      <c r="I195" s="322" t="s">
        <v>15</v>
      </c>
      <c r="J195" s="322" t="s">
        <v>15</v>
      </c>
      <c r="K195" s="322" t="s">
        <v>329</v>
      </c>
      <c r="L195" s="322" t="s">
        <v>282</v>
      </c>
      <c r="M195" s="322" t="s">
        <v>282</v>
      </c>
      <c r="N195" s="322" t="s">
        <v>282</v>
      </c>
      <c r="O195" s="323" t="s">
        <v>17</v>
      </c>
      <c r="P195" s="323" t="s">
        <v>17</v>
      </c>
      <c r="Q195" s="323" t="s">
        <v>15</v>
      </c>
      <c r="R195" s="323" t="s">
        <v>15</v>
      </c>
      <c r="S195" s="323" t="s">
        <v>16</v>
      </c>
      <c r="T195" s="323" t="s">
        <v>329</v>
      </c>
      <c r="U195" s="323" t="s">
        <v>249</v>
      </c>
      <c r="V195" s="323" t="s">
        <v>282</v>
      </c>
      <c r="W195" s="324" t="s">
        <v>282</v>
      </c>
      <c r="X195" s="324" t="s">
        <v>282</v>
      </c>
      <c r="Y195" s="325" t="s">
        <v>282</v>
      </c>
    </row>
    <row r="196" spans="1:25">
      <c r="A196" s="319">
        <v>4</v>
      </c>
      <c r="B196" s="320" t="str">
        <f>VLOOKUP(Tabel10[[#This Row],[Code]],Ruimtegroepen[[Code]:[Ruimte omschrijving]],2,FALSE)</f>
        <v>Vergader/spreekkamers</v>
      </c>
      <c r="C196" s="321" t="s">
        <v>444</v>
      </c>
      <c r="D196" s="320" t="s">
        <v>13</v>
      </c>
      <c r="E196" s="321" t="s">
        <v>100</v>
      </c>
      <c r="F196" s="321" t="s">
        <v>445</v>
      </c>
      <c r="G196" s="326" t="s">
        <v>282</v>
      </c>
      <c r="H196" s="322" t="s">
        <v>282</v>
      </c>
      <c r="I196" s="322" t="s">
        <v>282</v>
      </c>
      <c r="J196" s="322" t="s">
        <v>15</v>
      </c>
      <c r="K196" s="322" t="s">
        <v>282</v>
      </c>
      <c r="L196" s="322" t="s">
        <v>282</v>
      </c>
      <c r="M196" s="322" t="s">
        <v>282</v>
      </c>
      <c r="N196" s="322" t="s">
        <v>282</v>
      </c>
      <c r="O196" s="323" t="s">
        <v>15</v>
      </c>
      <c r="P196" s="323" t="s">
        <v>15</v>
      </c>
      <c r="Q196" s="323" t="s">
        <v>15</v>
      </c>
      <c r="R196" s="323" t="s">
        <v>15</v>
      </c>
      <c r="S196" s="323" t="s">
        <v>16</v>
      </c>
      <c r="T196" s="323" t="s">
        <v>329</v>
      </c>
      <c r="U196" s="323" t="s">
        <v>249</v>
      </c>
      <c r="V196" s="323" t="s">
        <v>282</v>
      </c>
      <c r="W196" s="324" t="s">
        <v>282</v>
      </c>
      <c r="X196" s="324" t="s">
        <v>282</v>
      </c>
      <c r="Y196" s="325" t="s">
        <v>282</v>
      </c>
    </row>
    <row r="197" spans="1:25">
      <c r="A197" s="319">
        <v>4</v>
      </c>
      <c r="B197" s="320" t="str">
        <f>VLOOKUP(Tabel10[[#This Row],[Code]],Ruimtegroepen[[Code]:[Ruimte omschrijving]],2,FALSE)</f>
        <v>Vergader/spreekkamers</v>
      </c>
      <c r="C197" s="321" t="s">
        <v>444</v>
      </c>
      <c r="D197" s="320" t="s">
        <v>13</v>
      </c>
      <c r="E197" s="321" t="s">
        <v>99</v>
      </c>
      <c r="F197" s="321" t="s">
        <v>446</v>
      </c>
      <c r="G197" s="326" t="s">
        <v>282</v>
      </c>
      <c r="H197" s="322" t="s">
        <v>15</v>
      </c>
      <c r="I197" s="322" t="s">
        <v>282</v>
      </c>
      <c r="J197" s="322" t="s">
        <v>282</v>
      </c>
      <c r="K197" s="322" t="s">
        <v>282</v>
      </c>
      <c r="L197" s="322" t="s">
        <v>282</v>
      </c>
      <c r="M197" s="322" t="s">
        <v>282</v>
      </c>
      <c r="N197" s="322" t="s">
        <v>282</v>
      </c>
      <c r="O197" s="323" t="s">
        <v>15</v>
      </c>
      <c r="P197" s="323" t="s">
        <v>15</v>
      </c>
      <c r="Q197" s="323" t="s">
        <v>15</v>
      </c>
      <c r="R197" s="323" t="s">
        <v>15</v>
      </c>
      <c r="S197" s="323" t="s">
        <v>16</v>
      </c>
      <c r="T197" s="323" t="s">
        <v>329</v>
      </c>
      <c r="U197" s="323" t="s">
        <v>249</v>
      </c>
      <c r="V197" s="323" t="s">
        <v>282</v>
      </c>
      <c r="W197" s="324" t="s">
        <v>282</v>
      </c>
      <c r="X197" s="324" t="s">
        <v>282</v>
      </c>
      <c r="Y197" s="325" t="s">
        <v>282</v>
      </c>
    </row>
    <row r="198" spans="1:25">
      <c r="A198" s="319">
        <v>4</v>
      </c>
      <c r="B198" s="320" t="str">
        <f>VLOOKUP(Tabel10[[#This Row],[Code]],Ruimtegroepen[[Code]:[Ruimte omschrijving]],2,FALSE)</f>
        <v>Vergader/spreekkamers</v>
      </c>
      <c r="C198" s="321" t="s">
        <v>444</v>
      </c>
      <c r="D198" s="320" t="s">
        <v>13</v>
      </c>
      <c r="E198" s="321" t="s">
        <v>101</v>
      </c>
      <c r="F198" s="321" t="s">
        <v>447</v>
      </c>
      <c r="G198" s="326" t="s">
        <v>282</v>
      </c>
      <c r="H198" s="322" t="s">
        <v>282</v>
      </c>
      <c r="I198" s="322" t="s">
        <v>282</v>
      </c>
      <c r="J198" s="322" t="s">
        <v>15</v>
      </c>
      <c r="K198" s="322" t="s">
        <v>329</v>
      </c>
      <c r="L198" s="322" t="s">
        <v>282</v>
      </c>
      <c r="M198" s="322" t="s">
        <v>282</v>
      </c>
      <c r="N198" s="322" t="s">
        <v>282</v>
      </c>
      <c r="O198" s="323" t="s">
        <v>15</v>
      </c>
      <c r="P198" s="323" t="s">
        <v>15</v>
      </c>
      <c r="Q198" s="323" t="s">
        <v>15</v>
      </c>
      <c r="R198" s="323" t="s">
        <v>15</v>
      </c>
      <c r="S198" s="323" t="s">
        <v>16</v>
      </c>
      <c r="T198" s="323" t="s">
        <v>329</v>
      </c>
      <c r="U198" s="323" t="s">
        <v>249</v>
      </c>
      <c r="V198" s="323" t="s">
        <v>282</v>
      </c>
      <c r="W198" s="324" t="s">
        <v>282</v>
      </c>
      <c r="X198" s="324" t="s">
        <v>282</v>
      </c>
      <c r="Y198" s="325" t="s">
        <v>282</v>
      </c>
    </row>
    <row r="199" spans="1:25">
      <c r="A199" s="319">
        <v>4</v>
      </c>
      <c r="B199" s="320" t="str">
        <f>VLOOKUP(Tabel10[[#This Row],[Code]],Ruimtegroepen[[Code]:[Ruimte omschrijving]],2,FALSE)</f>
        <v>Vergader/spreekkamers</v>
      </c>
      <c r="C199" s="321" t="s">
        <v>444</v>
      </c>
      <c r="D199" s="320" t="s">
        <v>13</v>
      </c>
      <c r="E199" s="321" t="s">
        <v>102</v>
      </c>
      <c r="F199" s="321" t="s">
        <v>448</v>
      </c>
      <c r="G199" s="326" t="s">
        <v>282</v>
      </c>
      <c r="H199" s="322" t="s">
        <v>282</v>
      </c>
      <c r="I199" s="322" t="s">
        <v>282</v>
      </c>
      <c r="J199" s="322" t="s">
        <v>15</v>
      </c>
      <c r="K199" s="322" t="s">
        <v>329</v>
      </c>
      <c r="L199" s="322" t="s">
        <v>282</v>
      </c>
      <c r="M199" s="322" t="s">
        <v>282</v>
      </c>
      <c r="N199" s="322" t="s">
        <v>282</v>
      </c>
      <c r="O199" s="323" t="s">
        <v>15</v>
      </c>
      <c r="P199" s="323" t="s">
        <v>15</v>
      </c>
      <c r="Q199" s="323" t="s">
        <v>15</v>
      </c>
      <c r="R199" s="323" t="s">
        <v>15</v>
      </c>
      <c r="S199" s="323" t="s">
        <v>16</v>
      </c>
      <c r="T199" s="323" t="s">
        <v>329</v>
      </c>
      <c r="U199" s="323" t="s">
        <v>249</v>
      </c>
      <c r="V199" s="323" t="s">
        <v>282</v>
      </c>
      <c r="W199" s="324" t="s">
        <v>282</v>
      </c>
      <c r="X199" s="324" t="s">
        <v>282</v>
      </c>
      <c r="Y199" s="325" t="s">
        <v>282</v>
      </c>
    </row>
    <row r="200" spans="1:25">
      <c r="A200" s="319">
        <v>4</v>
      </c>
      <c r="B200" s="320" t="str">
        <f>VLOOKUP(Tabel10[[#This Row],[Code]],Ruimtegroepen[[Code]:[Ruimte omschrijving]],2,FALSE)</f>
        <v>Vergader/spreekkamers</v>
      </c>
      <c r="C200" s="321" t="s">
        <v>444</v>
      </c>
      <c r="D200" s="320" t="s">
        <v>13</v>
      </c>
      <c r="E200" s="321" t="s">
        <v>99</v>
      </c>
      <c r="F200" s="321" t="s">
        <v>446</v>
      </c>
      <c r="G200" s="326" t="s">
        <v>282</v>
      </c>
      <c r="H200" s="322" t="s">
        <v>15</v>
      </c>
      <c r="I200" s="322" t="s">
        <v>282</v>
      </c>
      <c r="J200" s="322" t="s">
        <v>282</v>
      </c>
      <c r="K200" s="322" t="s">
        <v>282</v>
      </c>
      <c r="L200" s="322" t="s">
        <v>282</v>
      </c>
      <c r="M200" s="322" t="s">
        <v>282</v>
      </c>
      <c r="N200" s="322" t="s">
        <v>282</v>
      </c>
      <c r="O200" s="323" t="s">
        <v>15</v>
      </c>
      <c r="P200" s="323" t="s">
        <v>15</v>
      </c>
      <c r="Q200" s="323" t="s">
        <v>15</v>
      </c>
      <c r="R200" s="323" t="s">
        <v>15</v>
      </c>
      <c r="S200" s="323" t="s">
        <v>16</v>
      </c>
      <c r="T200" s="323" t="s">
        <v>329</v>
      </c>
      <c r="U200" s="323" t="s">
        <v>249</v>
      </c>
      <c r="V200" s="323" t="s">
        <v>282</v>
      </c>
      <c r="W200" s="324" t="s">
        <v>282</v>
      </c>
      <c r="X200" s="324" t="s">
        <v>282</v>
      </c>
      <c r="Y200" s="325" t="s">
        <v>282</v>
      </c>
    </row>
    <row r="201" spans="1:25">
      <c r="A201" s="319">
        <v>4</v>
      </c>
      <c r="B201" s="320" t="str">
        <f>VLOOKUP(Tabel10[[#This Row],[Code]],Ruimtegroepen[[Code]:[Ruimte omschrijving]],2,FALSE)</f>
        <v>Vergader/spreekkamers</v>
      </c>
      <c r="C201" s="321" t="s">
        <v>444</v>
      </c>
      <c r="D201" s="320" t="s">
        <v>13</v>
      </c>
      <c r="E201" s="321" t="s">
        <v>1306</v>
      </c>
      <c r="F201" s="321" t="s">
        <v>1357</v>
      </c>
      <c r="G201" s="326" t="s">
        <v>282</v>
      </c>
      <c r="H201" s="322" t="s">
        <v>282</v>
      </c>
      <c r="I201" s="322" t="s">
        <v>282</v>
      </c>
      <c r="J201" s="322" t="s">
        <v>15</v>
      </c>
      <c r="K201" s="322" t="s">
        <v>329</v>
      </c>
      <c r="L201" s="322" t="s">
        <v>282</v>
      </c>
      <c r="M201" s="322" t="s">
        <v>282</v>
      </c>
      <c r="N201" s="322" t="s">
        <v>282</v>
      </c>
      <c r="O201" s="323" t="s">
        <v>15</v>
      </c>
      <c r="P201" s="323" t="s">
        <v>15</v>
      </c>
      <c r="Q201" s="323" t="s">
        <v>15</v>
      </c>
      <c r="R201" s="323" t="s">
        <v>15</v>
      </c>
      <c r="S201" s="323" t="s">
        <v>16</v>
      </c>
      <c r="T201" s="323" t="s">
        <v>329</v>
      </c>
      <c r="U201" s="323" t="s">
        <v>249</v>
      </c>
      <c r="V201" s="323" t="s">
        <v>282</v>
      </c>
      <c r="W201" s="324" t="s">
        <v>282</v>
      </c>
      <c r="X201" s="324" t="s">
        <v>282</v>
      </c>
      <c r="Y201" s="325" t="s">
        <v>282</v>
      </c>
    </row>
    <row r="202" spans="1:25">
      <c r="A202" s="319">
        <v>4</v>
      </c>
      <c r="B202" s="320" t="str">
        <f>VLOOKUP(Tabel10[[#This Row],[Code]],Ruimtegroepen[[Code]:[Ruimte omschrijving]],2,FALSE)</f>
        <v>Vergader/spreekkamers</v>
      </c>
      <c r="C202" s="321" t="s">
        <v>449</v>
      </c>
      <c r="D202" s="320" t="s">
        <v>0</v>
      </c>
      <c r="E202" s="321" t="s">
        <v>100</v>
      </c>
      <c r="F202" s="321" t="s">
        <v>450</v>
      </c>
      <c r="G202" s="326" t="s">
        <v>282</v>
      </c>
      <c r="H202" s="322" t="s">
        <v>282</v>
      </c>
      <c r="I202" s="322" t="s">
        <v>16</v>
      </c>
      <c r="J202" s="322" t="s">
        <v>282</v>
      </c>
      <c r="K202" s="322" t="s">
        <v>282</v>
      </c>
      <c r="L202" s="322" t="s">
        <v>282</v>
      </c>
      <c r="M202" s="322" t="s">
        <v>282</v>
      </c>
      <c r="N202" s="322" t="s">
        <v>282</v>
      </c>
      <c r="O202" s="323" t="s">
        <v>16</v>
      </c>
      <c r="P202" s="323" t="s">
        <v>16</v>
      </c>
      <c r="Q202" s="323" t="s">
        <v>16</v>
      </c>
      <c r="R202" s="323" t="s">
        <v>16</v>
      </c>
      <c r="S202" s="323" t="s">
        <v>16</v>
      </c>
      <c r="T202" s="323" t="s">
        <v>329</v>
      </c>
      <c r="U202" s="323" t="s">
        <v>249</v>
      </c>
      <c r="V202" s="323" t="s">
        <v>282</v>
      </c>
      <c r="W202" s="324" t="s">
        <v>282</v>
      </c>
      <c r="X202" s="324" t="s">
        <v>282</v>
      </c>
      <c r="Y202" s="325" t="s">
        <v>282</v>
      </c>
    </row>
    <row r="203" spans="1:25">
      <c r="A203" s="319">
        <v>4</v>
      </c>
      <c r="B203" s="320" t="str">
        <f>VLOOKUP(Tabel10[[#This Row],[Code]],Ruimtegroepen[[Code]:[Ruimte omschrijving]],2,FALSE)</f>
        <v>Vergader/spreekkamers</v>
      </c>
      <c r="C203" s="321" t="s">
        <v>449</v>
      </c>
      <c r="D203" s="320" t="s">
        <v>0</v>
      </c>
      <c r="E203" s="321" t="s">
        <v>99</v>
      </c>
      <c r="F203" s="321" t="s">
        <v>451</v>
      </c>
      <c r="G203" s="326" t="s">
        <v>282</v>
      </c>
      <c r="H203" s="322" t="s">
        <v>16</v>
      </c>
      <c r="I203" s="322" t="s">
        <v>282</v>
      </c>
      <c r="J203" s="322" t="s">
        <v>282</v>
      </c>
      <c r="K203" s="322" t="s">
        <v>282</v>
      </c>
      <c r="L203" s="322" t="s">
        <v>282</v>
      </c>
      <c r="M203" s="322" t="s">
        <v>282</v>
      </c>
      <c r="N203" s="322" t="s">
        <v>282</v>
      </c>
      <c r="O203" s="323" t="s">
        <v>16</v>
      </c>
      <c r="P203" s="323" t="s">
        <v>16</v>
      </c>
      <c r="Q203" s="323" t="s">
        <v>16</v>
      </c>
      <c r="R203" s="323" t="s">
        <v>16</v>
      </c>
      <c r="S203" s="323" t="s">
        <v>16</v>
      </c>
      <c r="T203" s="323" t="s">
        <v>329</v>
      </c>
      <c r="U203" s="323" t="s">
        <v>249</v>
      </c>
      <c r="V203" s="323" t="s">
        <v>282</v>
      </c>
      <c r="W203" s="324" t="s">
        <v>282</v>
      </c>
      <c r="X203" s="324" t="s">
        <v>282</v>
      </c>
      <c r="Y203" s="325" t="s">
        <v>282</v>
      </c>
    </row>
    <row r="204" spans="1:25">
      <c r="A204" s="319">
        <v>4</v>
      </c>
      <c r="B204" s="320" t="str">
        <f>VLOOKUP(Tabel10[[#This Row],[Code]],Ruimtegroepen[[Code]:[Ruimte omschrijving]],2,FALSE)</f>
        <v>Vergader/spreekkamers</v>
      </c>
      <c r="C204" s="321" t="s">
        <v>449</v>
      </c>
      <c r="D204" s="320" t="s">
        <v>0</v>
      </c>
      <c r="E204" s="321" t="s">
        <v>101</v>
      </c>
      <c r="F204" s="321" t="s">
        <v>452</v>
      </c>
      <c r="G204" s="326" t="s">
        <v>282</v>
      </c>
      <c r="H204" s="322" t="s">
        <v>282</v>
      </c>
      <c r="I204" s="322" t="s">
        <v>282</v>
      </c>
      <c r="J204" s="322" t="s">
        <v>16</v>
      </c>
      <c r="K204" s="322" t="s">
        <v>329</v>
      </c>
      <c r="L204" s="322" t="s">
        <v>282</v>
      </c>
      <c r="M204" s="322" t="s">
        <v>282</v>
      </c>
      <c r="N204" s="322" t="s">
        <v>282</v>
      </c>
      <c r="O204" s="323" t="s">
        <v>16</v>
      </c>
      <c r="P204" s="323" t="s">
        <v>16</v>
      </c>
      <c r="Q204" s="323" t="s">
        <v>16</v>
      </c>
      <c r="R204" s="323" t="s">
        <v>16</v>
      </c>
      <c r="S204" s="323" t="s">
        <v>16</v>
      </c>
      <c r="T204" s="323" t="s">
        <v>329</v>
      </c>
      <c r="U204" s="323" t="s">
        <v>249</v>
      </c>
      <c r="V204" s="323" t="s">
        <v>282</v>
      </c>
      <c r="W204" s="324" t="s">
        <v>282</v>
      </c>
      <c r="X204" s="324" t="s">
        <v>282</v>
      </c>
      <c r="Y204" s="325" t="s">
        <v>282</v>
      </c>
    </row>
    <row r="205" spans="1:25">
      <c r="A205" s="319">
        <v>4</v>
      </c>
      <c r="B205" s="320" t="str">
        <f>VLOOKUP(Tabel10[[#This Row],[Code]],Ruimtegroepen[[Code]:[Ruimte omschrijving]],2,FALSE)</f>
        <v>Vergader/spreekkamers</v>
      </c>
      <c r="C205" s="321" t="s">
        <v>449</v>
      </c>
      <c r="D205" s="320" t="s">
        <v>0</v>
      </c>
      <c r="E205" s="321" t="s">
        <v>102</v>
      </c>
      <c r="F205" s="321" t="s">
        <v>453</v>
      </c>
      <c r="G205" s="326" t="s">
        <v>282</v>
      </c>
      <c r="H205" s="322" t="s">
        <v>282</v>
      </c>
      <c r="I205" s="322" t="s">
        <v>16</v>
      </c>
      <c r="J205" s="322" t="s">
        <v>282</v>
      </c>
      <c r="K205" s="322" t="s">
        <v>329</v>
      </c>
      <c r="L205" s="322" t="s">
        <v>282</v>
      </c>
      <c r="M205" s="322" t="s">
        <v>282</v>
      </c>
      <c r="N205" s="322" t="s">
        <v>282</v>
      </c>
      <c r="O205" s="323" t="s">
        <v>16</v>
      </c>
      <c r="P205" s="323" t="s">
        <v>16</v>
      </c>
      <c r="Q205" s="323" t="s">
        <v>16</v>
      </c>
      <c r="R205" s="323" t="s">
        <v>16</v>
      </c>
      <c r="S205" s="323" t="s">
        <v>16</v>
      </c>
      <c r="T205" s="323" t="s">
        <v>329</v>
      </c>
      <c r="U205" s="323" t="s">
        <v>249</v>
      </c>
      <c r="V205" s="323" t="s">
        <v>282</v>
      </c>
      <c r="W205" s="324" t="s">
        <v>282</v>
      </c>
      <c r="X205" s="324" t="s">
        <v>282</v>
      </c>
      <c r="Y205" s="325" t="s">
        <v>282</v>
      </c>
    </row>
    <row r="206" spans="1:25">
      <c r="A206" s="319">
        <v>4</v>
      </c>
      <c r="B206" s="320" t="str">
        <f>VLOOKUP(Tabel10[[#This Row],[Code]],Ruimtegroepen[[Code]:[Ruimte omschrijving]],2,FALSE)</f>
        <v>Vergader/spreekkamers</v>
      </c>
      <c r="C206" s="321" t="s">
        <v>449</v>
      </c>
      <c r="D206" s="320" t="s">
        <v>0</v>
      </c>
      <c r="E206" s="321" t="s">
        <v>99</v>
      </c>
      <c r="F206" s="321" t="s">
        <v>451</v>
      </c>
      <c r="G206" s="326" t="s">
        <v>282</v>
      </c>
      <c r="H206" s="322" t="s">
        <v>16</v>
      </c>
      <c r="I206" s="322" t="s">
        <v>282</v>
      </c>
      <c r="J206" s="322" t="s">
        <v>282</v>
      </c>
      <c r="K206" s="322" t="s">
        <v>282</v>
      </c>
      <c r="L206" s="322" t="s">
        <v>282</v>
      </c>
      <c r="M206" s="322" t="s">
        <v>282</v>
      </c>
      <c r="N206" s="322" t="s">
        <v>282</v>
      </c>
      <c r="O206" s="323" t="s">
        <v>16</v>
      </c>
      <c r="P206" s="323" t="s">
        <v>16</v>
      </c>
      <c r="Q206" s="323" t="s">
        <v>16</v>
      </c>
      <c r="R206" s="323" t="s">
        <v>16</v>
      </c>
      <c r="S206" s="323" t="s">
        <v>16</v>
      </c>
      <c r="T206" s="323" t="s">
        <v>329</v>
      </c>
      <c r="U206" s="323" t="s">
        <v>249</v>
      </c>
      <c r="V206" s="323" t="s">
        <v>282</v>
      </c>
      <c r="W206" s="324" t="s">
        <v>282</v>
      </c>
      <c r="X206" s="324" t="s">
        <v>282</v>
      </c>
      <c r="Y206" s="325" t="s">
        <v>282</v>
      </c>
    </row>
    <row r="207" spans="1:25">
      <c r="A207" s="319">
        <v>4</v>
      </c>
      <c r="B207" s="320" t="str">
        <f>VLOOKUP(Tabel10[[#This Row],[Code]],Ruimtegroepen[[Code]:[Ruimte omschrijving]],2,FALSE)</f>
        <v>Vergader/spreekkamers</v>
      </c>
      <c r="C207" s="321" t="s">
        <v>449</v>
      </c>
      <c r="D207" s="320" t="s">
        <v>0</v>
      </c>
      <c r="E207" s="321" t="s">
        <v>1306</v>
      </c>
      <c r="F207" s="321" t="s">
        <v>1341</v>
      </c>
      <c r="G207" s="326" t="s">
        <v>282</v>
      </c>
      <c r="H207" s="322" t="s">
        <v>282</v>
      </c>
      <c r="I207" s="322" t="s">
        <v>16</v>
      </c>
      <c r="J207" s="322" t="s">
        <v>282</v>
      </c>
      <c r="K207" s="322" t="s">
        <v>329</v>
      </c>
      <c r="L207" s="322" t="s">
        <v>282</v>
      </c>
      <c r="M207" s="322" t="s">
        <v>282</v>
      </c>
      <c r="N207" s="322" t="s">
        <v>282</v>
      </c>
      <c r="O207" s="323" t="s">
        <v>16</v>
      </c>
      <c r="P207" s="323" t="s">
        <v>16</v>
      </c>
      <c r="Q207" s="323" t="s">
        <v>16</v>
      </c>
      <c r="R207" s="323" t="s">
        <v>16</v>
      </c>
      <c r="S207" s="323" t="s">
        <v>16</v>
      </c>
      <c r="T207" s="323" t="s">
        <v>329</v>
      </c>
      <c r="U207" s="323" t="s">
        <v>249</v>
      </c>
      <c r="V207" s="323" t="s">
        <v>282</v>
      </c>
      <c r="W207" s="324" t="s">
        <v>282</v>
      </c>
      <c r="X207" s="324" t="s">
        <v>282</v>
      </c>
      <c r="Y207" s="325" t="s">
        <v>282</v>
      </c>
    </row>
    <row r="208" spans="1:25">
      <c r="A208" s="319">
        <v>4</v>
      </c>
      <c r="B208" s="320" t="str">
        <f>VLOOKUP(Tabel10[[#This Row],[Code]],Ruimtegroepen[[Code]:[Ruimte omschrijving]],2,FALSE)</f>
        <v>Vergader/spreekkamers</v>
      </c>
      <c r="C208" s="321" t="s">
        <v>454</v>
      </c>
      <c r="D208" s="320" t="s">
        <v>27</v>
      </c>
      <c r="E208" s="321" t="s">
        <v>100</v>
      </c>
      <c r="F208" s="321" t="s">
        <v>455</v>
      </c>
      <c r="G208" s="326" t="s">
        <v>282</v>
      </c>
      <c r="H208" s="322" t="s">
        <v>282</v>
      </c>
      <c r="I208" s="322" t="s">
        <v>15</v>
      </c>
      <c r="J208" s="322" t="s">
        <v>282</v>
      </c>
      <c r="K208" s="322" t="s">
        <v>282</v>
      </c>
      <c r="L208" s="322" t="s">
        <v>282</v>
      </c>
      <c r="M208" s="322" t="s">
        <v>282</v>
      </c>
      <c r="N208" s="322" t="s">
        <v>282</v>
      </c>
      <c r="O208" s="323" t="s">
        <v>15</v>
      </c>
      <c r="P208" s="323" t="s">
        <v>15</v>
      </c>
      <c r="Q208" s="323" t="s">
        <v>15</v>
      </c>
      <c r="R208" s="323" t="s">
        <v>282</v>
      </c>
      <c r="S208" s="323" t="s">
        <v>282</v>
      </c>
      <c r="T208" s="323" t="s">
        <v>282</v>
      </c>
      <c r="U208" s="323" t="s">
        <v>282</v>
      </c>
      <c r="V208" s="323" t="s">
        <v>282</v>
      </c>
      <c r="W208" s="324" t="s">
        <v>282</v>
      </c>
      <c r="X208" s="324" t="s">
        <v>282</v>
      </c>
      <c r="Y208" s="325" t="s">
        <v>282</v>
      </c>
    </row>
    <row r="209" spans="1:25">
      <c r="A209" s="319">
        <v>4</v>
      </c>
      <c r="B209" s="320" t="str">
        <f>VLOOKUP(Tabel10[[#This Row],[Code]],Ruimtegroepen[[Code]:[Ruimte omschrijving]],2,FALSE)</f>
        <v>Vergader/spreekkamers</v>
      </c>
      <c r="C209" s="321" t="s">
        <v>454</v>
      </c>
      <c r="D209" s="320" t="s">
        <v>27</v>
      </c>
      <c r="E209" s="321" t="s">
        <v>99</v>
      </c>
      <c r="F209" s="321" t="s">
        <v>456</v>
      </c>
      <c r="G209" s="326" t="s">
        <v>282</v>
      </c>
      <c r="H209" s="322" t="s">
        <v>15</v>
      </c>
      <c r="I209" s="322" t="s">
        <v>282</v>
      </c>
      <c r="J209" s="322" t="s">
        <v>282</v>
      </c>
      <c r="K209" s="322" t="s">
        <v>282</v>
      </c>
      <c r="L209" s="322" t="s">
        <v>282</v>
      </c>
      <c r="M209" s="322" t="s">
        <v>282</v>
      </c>
      <c r="N209" s="322" t="s">
        <v>282</v>
      </c>
      <c r="O209" s="323" t="s">
        <v>15</v>
      </c>
      <c r="P209" s="323" t="s">
        <v>15</v>
      </c>
      <c r="Q209" s="323" t="s">
        <v>15</v>
      </c>
      <c r="R209" s="323" t="s">
        <v>282</v>
      </c>
      <c r="S209" s="323" t="s">
        <v>282</v>
      </c>
      <c r="T209" s="323" t="s">
        <v>282</v>
      </c>
      <c r="U209" s="323" t="s">
        <v>282</v>
      </c>
      <c r="V209" s="323" t="s">
        <v>282</v>
      </c>
      <c r="W209" s="324" t="s">
        <v>282</v>
      </c>
      <c r="X209" s="324" t="s">
        <v>282</v>
      </c>
      <c r="Y209" s="325" t="s">
        <v>282</v>
      </c>
    </row>
    <row r="210" spans="1:25">
      <c r="A210" s="319">
        <v>4</v>
      </c>
      <c r="B210" s="320" t="str">
        <f>VLOOKUP(Tabel10[[#This Row],[Code]],Ruimtegroepen[[Code]:[Ruimte omschrijving]],2,FALSE)</f>
        <v>Vergader/spreekkamers</v>
      </c>
      <c r="C210" s="321" t="s">
        <v>454</v>
      </c>
      <c r="D210" s="320" t="s">
        <v>27</v>
      </c>
      <c r="E210" s="321" t="s">
        <v>101</v>
      </c>
      <c r="F210" s="321" t="s">
        <v>457</v>
      </c>
      <c r="G210" s="326" t="s">
        <v>282</v>
      </c>
      <c r="H210" s="322" t="s">
        <v>282</v>
      </c>
      <c r="I210" s="322" t="s">
        <v>15</v>
      </c>
      <c r="J210" s="322" t="s">
        <v>282</v>
      </c>
      <c r="K210" s="322" t="s">
        <v>282</v>
      </c>
      <c r="L210" s="322" t="s">
        <v>282</v>
      </c>
      <c r="M210" s="322" t="s">
        <v>282</v>
      </c>
      <c r="N210" s="322" t="s">
        <v>282</v>
      </c>
      <c r="O210" s="323" t="s">
        <v>15</v>
      </c>
      <c r="P210" s="323" t="s">
        <v>15</v>
      </c>
      <c r="Q210" s="323" t="s">
        <v>15</v>
      </c>
      <c r="R210" s="323" t="s">
        <v>282</v>
      </c>
      <c r="S210" s="323" t="s">
        <v>282</v>
      </c>
      <c r="T210" s="323" t="s">
        <v>282</v>
      </c>
      <c r="U210" s="323" t="s">
        <v>282</v>
      </c>
      <c r="V210" s="323" t="s">
        <v>282</v>
      </c>
      <c r="W210" s="324" t="s">
        <v>282</v>
      </c>
      <c r="X210" s="324" t="s">
        <v>282</v>
      </c>
      <c r="Y210" s="325" t="s">
        <v>282</v>
      </c>
    </row>
    <row r="211" spans="1:25">
      <c r="A211" s="319">
        <v>4</v>
      </c>
      <c r="B211" s="320" t="str">
        <f>VLOOKUP(Tabel10[[#This Row],[Code]],Ruimtegroepen[[Code]:[Ruimte omschrijving]],2,FALSE)</f>
        <v>Vergader/spreekkamers</v>
      </c>
      <c r="C211" s="321" t="s">
        <v>454</v>
      </c>
      <c r="D211" s="320" t="s">
        <v>27</v>
      </c>
      <c r="E211" s="321" t="s">
        <v>102</v>
      </c>
      <c r="F211" s="321" t="s">
        <v>458</v>
      </c>
      <c r="G211" s="326" t="s">
        <v>282</v>
      </c>
      <c r="H211" s="322" t="s">
        <v>282</v>
      </c>
      <c r="I211" s="322" t="s">
        <v>15</v>
      </c>
      <c r="J211" s="322" t="s">
        <v>282</v>
      </c>
      <c r="K211" s="322" t="s">
        <v>282</v>
      </c>
      <c r="L211" s="322" t="s">
        <v>282</v>
      </c>
      <c r="M211" s="322" t="s">
        <v>282</v>
      </c>
      <c r="N211" s="322" t="s">
        <v>282</v>
      </c>
      <c r="O211" s="323" t="s">
        <v>15</v>
      </c>
      <c r="P211" s="323" t="s">
        <v>15</v>
      </c>
      <c r="Q211" s="323" t="s">
        <v>15</v>
      </c>
      <c r="R211" s="323" t="s">
        <v>282</v>
      </c>
      <c r="S211" s="323" t="s">
        <v>282</v>
      </c>
      <c r="T211" s="323" t="s">
        <v>282</v>
      </c>
      <c r="U211" s="323" t="s">
        <v>282</v>
      </c>
      <c r="V211" s="323" t="s">
        <v>282</v>
      </c>
      <c r="W211" s="324" t="s">
        <v>282</v>
      </c>
      <c r="X211" s="324" t="s">
        <v>282</v>
      </c>
      <c r="Y211" s="325" t="s">
        <v>282</v>
      </c>
    </row>
    <row r="212" spans="1:25">
      <c r="A212" s="319">
        <v>4</v>
      </c>
      <c r="B212" s="320" t="str">
        <f>VLOOKUP(Tabel10[[#This Row],[Code]],Ruimtegroepen[[Code]:[Ruimte omschrijving]],2,FALSE)</f>
        <v>Vergader/spreekkamers</v>
      </c>
      <c r="C212" s="321" t="s">
        <v>454</v>
      </c>
      <c r="D212" s="320" t="s">
        <v>27</v>
      </c>
      <c r="E212" s="321" t="s">
        <v>99</v>
      </c>
      <c r="F212" s="321" t="s">
        <v>456</v>
      </c>
      <c r="G212" s="326" t="s">
        <v>282</v>
      </c>
      <c r="H212" s="322" t="s">
        <v>15</v>
      </c>
      <c r="I212" s="322" t="s">
        <v>282</v>
      </c>
      <c r="J212" s="322" t="s">
        <v>282</v>
      </c>
      <c r="K212" s="322" t="s">
        <v>282</v>
      </c>
      <c r="L212" s="322" t="s">
        <v>282</v>
      </c>
      <c r="M212" s="322" t="s">
        <v>282</v>
      </c>
      <c r="N212" s="322" t="s">
        <v>282</v>
      </c>
      <c r="O212" s="323" t="s">
        <v>15</v>
      </c>
      <c r="P212" s="323" t="s">
        <v>15</v>
      </c>
      <c r="Q212" s="323" t="s">
        <v>15</v>
      </c>
      <c r="R212" s="323" t="s">
        <v>282</v>
      </c>
      <c r="S212" s="323" t="s">
        <v>282</v>
      </c>
      <c r="T212" s="323" t="s">
        <v>282</v>
      </c>
      <c r="U212" s="323" t="s">
        <v>282</v>
      </c>
      <c r="V212" s="323" t="s">
        <v>282</v>
      </c>
      <c r="W212" s="324" t="s">
        <v>282</v>
      </c>
      <c r="X212" s="324" t="s">
        <v>282</v>
      </c>
      <c r="Y212" s="325" t="s">
        <v>282</v>
      </c>
    </row>
    <row r="213" spans="1:25">
      <c r="A213" s="319">
        <v>4</v>
      </c>
      <c r="B213" s="320" t="str">
        <f>VLOOKUP(Tabel10[[#This Row],[Code]],Ruimtegroepen[[Code]:[Ruimte omschrijving]],2,FALSE)</f>
        <v>Vergader/spreekkamers</v>
      </c>
      <c r="C213" s="321" t="s">
        <v>454</v>
      </c>
      <c r="D213" s="320" t="s">
        <v>27</v>
      </c>
      <c r="E213" s="321" t="s">
        <v>1306</v>
      </c>
      <c r="F213" s="321" t="s">
        <v>1374</v>
      </c>
      <c r="G213" s="326" t="s">
        <v>282</v>
      </c>
      <c r="H213" s="322" t="s">
        <v>282</v>
      </c>
      <c r="I213" s="322" t="s">
        <v>15</v>
      </c>
      <c r="J213" s="322" t="s">
        <v>282</v>
      </c>
      <c r="K213" s="322" t="s">
        <v>282</v>
      </c>
      <c r="L213" s="322" t="s">
        <v>282</v>
      </c>
      <c r="M213" s="322" t="s">
        <v>282</v>
      </c>
      <c r="N213" s="322" t="s">
        <v>282</v>
      </c>
      <c r="O213" s="323" t="s">
        <v>15</v>
      </c>
      <c r="P213" s="323" t="s">
        <v>15</v>
      </c>
      <c r="Q213" s="323" t="s">
        <v>15</v>
      </c>
      <c r="R213" s="323" t="s">
        <v>282</v>
      </c>
      <c r="S213" s="323" t="s">
        <v>282</v>
      </c>
      <c r="T213" s="323" t="s">
        <v>282</v>
      </c>
      <c r="U213" s="323" t="s">
        <v>282</v>
      </c>
      <c r="V213" s="323" t="s">
        <v>282</v>
      </c>
      <c r="W213" s="324" t="s">
        <v>282</v>
      </c>
      <c r="X213" s="324" t="s">
        <v>282</v>
      </c>
      <c r="Y213" s="325" t="s">
        <v>282</v>
      </c>
    </row>
    <row r="214" spans="1:25">
      <c r="A214" s="319">
        <v>4</v>
      </c>
      <c r="B214" s="320" t="str">
        <f>VLOOKUP(Tabel10[[#This Row],[Code]],Ruimtegroepen[[Code]:[Ruimte omschrijving]],2,FALSE)</f>
        <v>Vergader/spreekkamers</v>
      </c>
      <c r="C214" s="321" t="s">
        <v>459</v>
      </c>
      <c r="D214" s="320" t="s">
        <v>28</v>
      </c>
      <c r="E214" s="321" t="s">
        <v>100</v>
      </c>
      <c r="F214" s="321" t="s">
        <v>460</v>
      </c>
      <c r="G214" s="326" t="s">
        <v>282</v>
      </c>
      <c r="H214" s="322" t="s">
        <v>282</v>
      </c>
      <c r="I214" s="322" t="s">
        <v>17</v>
      </c>
      <c r="J214" s="322" t="s">
        <v>282</v>
      </c>
      <c r="K214" s="322" t="s">
        <v>282</v>
      </c>
      <c r="L214" s="322" t="s">
        <v>282</v>
      </c>
      <c r="M214" s="322" t="s">
        <v>282</v>
      </c>
      <c r="N214" s="322" t="s">
        <v>282</v>
      </c>
      <c r="O214" s="323" t="s">
        <v>17</v>
      </c>
      <c r="P214" s="323" t="s">
        <v>17</v>
      </c>
      <c r="Q214" s="323" t="s">
        <v>15</v>
      </c>
      <c r="R214" s="323" t="s">
        <v>282</v>
      </c>
      <c r="S214" s="323" t="s">
        <v>282</v>
      </c>
      <c r="T214" s="323" t="s">
        <v>282</v>
      </c>
      <c r="U214" s="323" t="s">
        <v>282</v>
      </c>
      <c r="V214" s="323" t="s">
        <v>282</v>
      </c>
      <c r="W214" s="324" t="s">
        <v>282</v>
      </c>
      <c r="X214" s="324" t="s">
        <v>282</v>
      </c>
      <c r="Y214" s="325" t="s">
        <v>282</v>
      </c>
    </row>
    <row r="215" spans="1:25">
      <c r="A215" s="319">
        <v>4</v>
      </c>
      <c r="B215" s="320" t="str">
        <f>VLOOKUP(Tabel10[[#This Row],[Code]],Ruimtegroepen[[Code]:[Ruimte omschrijving]],2,FALSE)</f>
        <v>Vergader/spreekkamers</v>
      </c>
      <c r="C215" s="321" t="s">
        <v>459</v>
      </c>
      <c r="D215" s="320" t="s">
        <v>28</v>
      </c>
      <c r="E215" s="321" t="s">
        <v>99</v>
      </c>
      <c r="F215" s="321" t="s">
        <v>461</v>
      </c>
      <c r="G215" s="326" t="s">
        <v>282</v>
      </c>
      <c r="H215" s="322" t="s">
        <v>17</v>
      </c>
      <c r="I215" s="322" t="s">
        <v>282</v>
      </c>
      <c r="J215" s="322" t="s">
        <v>282</v>
      </c>
      <c r="K215" s="322" t="s">
        <v>282</v>
      </c>
      <c r="L215" s="322" t="s">
        <v>282</v>
      </c>
      <c r="M215" s="322" t="s">
        <v>282</v>
      </c>
      <c r="N215" s="322" t="s">
        <v>282</v>
      </c>
      <c r="O215" s="323" t="s">
        <v>17</v>
      </c>
      <c r="P215" s="323" t="s">
        <v>17</v>
      </c>
      <c r="Q215" s="323" t="s">
        <v>15</v>
      </c>
      <c r="R215" s="323" t="s">
        <v>282</v>
      </c>
      <c r="S215" s="323" t="s">
        <v>282</v>
      </c>
      <c r="T215" s="323" t="s">
        <v>282</v>
      </c>
      <c r="U215" s="323" t="s">
        <v>282</v>
      </c>
      <c r="V215" s="323" t="s">
        <v>282</v>
      </c>
      <c r="W215" s="324" t="s">
        <v>282</v>
      </c>
      <c r="X215" s="324" t="s">
        <v>282</v>
      </c>
      <c r="Y215" s="325" t="s">
        <v>282</v>
      </c>
    </row>
    <row r="216" spans="1:25">
      <c r="A216" s="319">
        <v>4</v>
      </c>
      <c r="B216" s="320" t="str">
        <f>VLOOKUP(Tabel10[[#This Row],[Code]],Ruimtegroepen[[Code]:[Ruimte omschrijving]],2,FALSE)</f>
        <v>Vergader/spreekkamers</v>
      </c>
      <c r="C216" s="321" t="s">
        <v>459</v>
      </c>
      <c r="D216" s="320" t="s">
        <v>28</v>
      </c>
      <c r="E216" s="321" t="s">
        <v>101</v>
      </c>
      <c r="F216" s="321" t="s">
        <v>462</v>
      </c>
      <c r="G216" s="326" t="s">
        <v>282</v>
      </c>
      <c r="H216" s="322" t="s">
        <v>282</v>
      </c>
      <c r="I216" s="322" t="s">
        <v>17</v>
      </c>
      <c r="J216" s="322" t="s">
        <v>282</v>
      </c>
      <c r="K216" s="322" t="s">
        <v>282</v>
      </c>
      <c r="L216" s="322" t="s">
        <v>282</v>
      </c>
      <c r="M216" s="322" t="s">
        <v>282</v>
      </c>
      <c r="N216" s="322" t="s">
        <v>282</v>
      </c>
      <c r="O216" s="323" t="s">
        <v>17</v>
      </c>
      <c r="P216" s="323" t="s">
        <v>17</v>
      </c>
      <c r="Q216" s="323" t="s">
        <v>15</v>
      </c>
      <c r="R216" s="323" t="s">
        <v>282</v>
      </c>
      <c r="S216" s="323" t="s">
        <v>282</v>
      </c>
      <c r="T216" s="323" t="s">
        <v>282</v>
      </c>
      <c r="U216" s="323" t="s">
        <v>282</v>
      </c>
      <c r="V216" s="323" t="s">
        <v>282</v>
      </c>
      <c r="W216" s="324" t="s">
        <v>282</v>
      </c>
      <c r="X216" s="324" t="s">
        <v>282</v>
      </c>
      <c r="Y216" s="325" t="s">
        <v>282</v>
      </c>
    </row>
    <row r="217" spans="1:25">
      <c r="A217" s="319">
        <v>4</v>
      </c>
      <c r="B217" s="320" t="str">
        <f>VLOOKUP(Tabel10[[#This Row],[Code]],Ruimtegroepen[[Code]:[Ruimte omschrijving]],2,FALSE)</f>
        <v>Vergader/spreekkamers</v>
      </c>
      <c r="C217" s="321" t="s">
        <v>459</v>
      </c>
      <c r="D217" s="320" t="s">
        <v>28</v>
      </c>
      <c r="E217" s="321" t="s">
        <v>102</v>
      </c>
      <c r="F217" s="321" t="s">
        <v>463</v>
      </c>
      <c r="G217" s="326" t="s">
        <v>282</v>
      </c>
      <c r="H217" s="322" t="s">
        <v>282</v>
      </c>
      <c r="I217" s="322" t="s">
        <v>17</v>
      </c>
      <c r="J217" s="322" t="s">
        <v>282</v>
      </c>
      <c r="K217" s="322" t="s">
        <v>282</v>
      </c>
      <c r="L217" s="322" t="s">
        <v>282</v>
      </c>
      <c r="M217" s="322" t="s">
        <v>282</v>
      </c>
      <c r="N217" s="322" t="s">
        <v>282</v>
      </c>
      <c r="O217" s="323" t="s">
        <v>17</v>
      </c>
      <c r="P217" s="323" t="s">
        <v>17</v>
      </c>
      <c r="Q217" s="323" t="s">
        <v>15</v>
      </c>
      <c r="R217" s="323" t="s">
        <v>282</v>
      </c>
      <c r="S217" s="323" t="s">
        <v>282</v>
      </c>
      <c r="T217" s="323" t="s">
        <v>282</v>
      </c>
      <c r="U217" s="323" t="s">
        <v>282</v>
      </c>
      <c r="V217" s="323" t="s">
        <v>282</v>
      </c>
      <c r="W217" s="324" t="s">
        <v>282</v>
      </c>
      <c r="X217" s="324" t="s">
        <v>282</v>
      </c>
      <c r="Y217" s="325" t="s">
        <v>282</v>
      </c>
    </row>
    <row r="218" spans="1:25">
      <c r="A218" s="319">
        <v>4</v>
      </c>
      <c r="B218" s="320" t="str">
        <f>VLOOKUP(Tabel10[[#This Row],[Code]],Ruimtegroepen[[Code]:[Ruimte omschrijving]],2,FALSE)</f>
        <v>Vergader/spreekkamers</v>
      </c>
      <c r="C218" s="321" t="s">
        <v>459</v>
      </c>
      <c r="D218" s="320" t="s">
        <v>28</v>
      </c>
      <c r="E218" s="321" t="s">
        <v>99</v>
      </c>
      <c r="F218" s="321" t="s">
        <v>461</v>
      </c>
      <c r="G218" s="326" t="s">
        <v>282</v>
      </c>
      <c r="H218" s="322" t="s">
        <v>17</v>
      </c>
      <c r="I218" s="322" t="s">
        <v>282</v>
      </c>
      <c r="J218" s="322" t="s">
        <v>282</v>
      </c>
      <c r="K218" s="322" t="s">
        <v>282</v>
      </c>
      <c r="L218" s="322" t="s">
        <v>282</v>
      </c>
      <c r="M218" s="322" t="s">
        <v>282</v>
      </c>
      <c r="N218" s="322" t="s">
        <v>282</v>
      </c>
      <c r="O218" s="323" t="s">
        <v>17</v>
      </c>
      <c r="P218" s="323" t="s">
        <v>17</v>
      </c>
      <c r="Q218" s="323" t="s">
        <v>15</v>
      </c>
      <c r="R218" s="323" t="s">
        <v>282</v>
      </c>
      <c r="S218" s="323" t="s">
        <v>282</v>
      </c>
      <c r="T218" s="323" t="s">
        <v>282</v>
      </c>
      <c r="U218" s="323" t="s">
        <v>282</v>
      </c>
      <c r="V218" s="323" t="s">
        <v>282</v>
      </c>
      <c r="W218" s="324" t="s">
        <v>282</v>
      </c>
      <c r="X218" s="324" t="s">
        <v>282</v>
      </c>
      <c r="Y218" s="325" t="s">
        <v>282</v>
      </c>
    </row>
    <row r="219" spans="1:25">
      <c r="A219" s="319">
        <v>4</v>
      </c>
      <c r="B219" s="320" t="str">
        <f>VLOOKUP(Tabel10[[#This Row],[Code]],Ruimtegroepen[[Code]:[Ruimte omschrijving]],2,FALSE)</f>
        <v>Vergader/spreekkamers</v>
      </c>
      <c r="C219" s="321" t="s">
        <v>459</v>
      </c>
      <c r="D219" s="320" t="s">
        <v>28</v>
      </c>
      <c r="E219" s="321" t="s">
        <v>1306</v>
      </c>
      <c r="F219" s="321" t="s">
        <v>1407</v>
      </c>
      <c r="G219" s="326" t="s">
        <v>282</v>
      </c>
      <c r="H219" s="322" t="s">
        <v>282</v>
      </c>
      <c r="I219" s="322" t="s">
        <v>17</v>
      </c>
      <c r="J219" s="322" t="s">
        <v>282</v>
      </c>
      <c r="K219" s="322" t="s">
        <v>282</v>
      </c>
      <c r="L219" s="322" t="s">
        <v>282</v>
      </c>
      <c r="M219" s="322" t="s">
        <v>282</v>
      </c>
      <c r="N219" s="322" t="s">
        <v>282</v>
      </c>
      <c r="O219" s="323" t="s">
        <v>17</v>
      </c>
      <c r="P219" s="323" t="s">
        <v>17</v>
      </c>
      <c r="Q219" s="323" t="s">
        <v>15</v>
      </c>
      <c r="R219" s="323" t="s">
        <v>282</v>
      </c>
      <c r="S219" s="323" t="s">
        <v>282</v>
      </c>
      <c r="T219" s="323" t="s">
        <v>282</v>
      </c>
      <c r="U219" s="323" t="s">
        <v>282</v>
      </c>
      <c r="V219" s="323" t="s">
        <v>282</v>
      </c>
      <c r="W219" s="324" t="s">
        <v>282</v>
      </c>
      <c r="X219" s="324" t="s">
        <v>282</v>
      </c>
      <c r="Y219" s="325" t="s">
        <v>282</v>
      </c>
    </row>
    <row r="220" spans="1:25">
      <c r="A220" s="319">
        <v>5</v>
      </c>
      <c r="B220" s="320" t="str">
        <f>VLOOKUP(Tabel10[[#This Row],[Code]],Ruimtegroepen[[Code]:[Ruimte omschrijving]],2,FALSE)</f>
        <v>Sanitair</v>
      </c>
      <c r="C220" s="321" t="s">
        <v>464</v>
      </c>
      <c r="D220" s="320" t="s">
        <v>29</v>
      </c>
      <c r="E220" s="321" t="s">
        <v>100</v>
      </c>
      <c r="F220" s="321" t="s">
        <v>465</v>
      </c>
      <c r="G220" s="326" t="s">
        <v>282</v>
      </c>
      <c r="H220" s="322" t="s">
        <v>282</v>
      </c>
      <c r="I220" s="322" t="s">
        <v>282</v>
      </c>
      <c r="J220" s="322" t="s">
        <v>20</v>
      </c>
      <c r="K220" s="322" t="s">
        <v>15</v>
      </c>
      <c r="L220" s="322" t="s">
        <v>282</v>
      </c>
      <c r="M220" s="322" t="s">
        <v>282</v>
      </c>
      <c r="N220" s="322" t="s">
        <v>2</v>
      </c>
      <c r="O220" s="323" t="s">
        <v>282</v>
      </c>
      <c r="P220" s="323" t="s">
        <v>282</v>
      </c>
      <c r="Q220" s="323" t="s">
        <v>282</v>
      </c>
      <c r="R220" s="323" t="s">
        <v>282</v>
      </c>
      <c r="S220" s="323" t="s">
        <v>282</v>
      </c>
      <c r="T220" s="323" t="s">
        <v>282</v>
      </c>
      <c r="U220" s="323" t="s">
        <v>282</v>
      </c>
      <c r="V220" s="323" t="s">
        <v>282</v>
      </c>
      <c r="W220" s="324" t="s">
        <v>20</v>
      </c>
      <c r="X220" s="324" t="s">
        <v>15</v>
      </c>
      <c r="Y220" s="325" t="s">
        <v>2</v>
      </c>
    </row>
    <row r="221" spans="1:25">
      <c r="A221" s="319">
        <v>5</v>
      </c>
      <c r="B221" s="320" t="str">
        <f>VLOOKUP(Tabel10[[#This Row],[Code]],Ruimtegroepen[[Code]:[Ruimte omschrijving]],2,FALSE)</f>
        <v>Sanitair</v>
      </c>
      <c r="C221" s="321" t="s">
        <v>464</v>
      </c>
      <c r="D221" s="320" t="s">
        <v>29</v>
      </c>
      <c r="E221" s="321" t="s">
        <v>99</v>
      </c>
      <c r="F221" s="321" t="s">
        <v>466</v>
      </c>
      <c r="G221" s="326" t="s">
        <v>282</v>
      </c>
      <c r="H221" s="322" t="s">
        <v>282</v>
      </c>
      <c r="I221" s="322" t="s">
        <v>282</v>
      </c>
      <c r="J221" s="322" t="s">
        <v>282</v>
      </c>
      <c r="K221" s="322" t="s">
        <v>282</v>
      </c>
      <c r="L221" s="322" t="s">
        <v>282</v>
      </c>
      <c r="M221" s="322" t="s">
        <v>282</v>
      </c>
      <c r="N221" s="322" t="s">
        <v>282</v>
      </c>
      <c r="O221" s="323" t="s">
        <v>282</v>
      </c>
      <c r="P221" s="323" t="s">
        <v>282</v>
      </c>
      <c r="Q221" s="323" t="s">
        <v>282</v>
      </c>
      <c r="R221" s="323" t="s">
        <v>282</v>
      </c>
      <c r="S221" s="323" t="s">
        <v>282</v>
      </c>
      <c r="T221" s="323" t="s">
        <v>282</v>
      </c>
      <c r="U221" s="323" t="s">
        <v>282</v>
      </c>
      <c r="V221" s="323" t="s">
        <v>282</v>
      </c>
      <c r="W221" s="324" t="s">
        <v>282</v>
      </c>
      <c r="X221" s="324" t="s">
        <v>282</v>
      </c>
      <c r="Y221" s="325" t="s">
        <v>282</v>
      </c>
    </row>
    <row r="222" spans="1:25">
      <c r="A222" s="319">
        <v>5</v>
      </c>
      <c r="B222" s="320" t="str">
        <f>VLOOKUP(Tabel10[[#This Row],[Code]],Ruimtegroepen[[Code]:[Ruimte omschrijving]],2,FALSE)</f>
        <v>Sanitair</v>
      </c>
      <c r="C222" s="321" t="s">
        <v>464</v>
      </c>
      <c r="D222" s="320" t="s">
        <v>29</v>
      </c>
      <c r="E222" s="321" t="s">
        <v>101</v>
      </c>
      <c r="F222" s="321" t="s">
        <v>467</v>
      </c>
      <c r="G222" s="326" t="s">
        <v>282</v>
      </c>
      <c r="H222" s="322" t="s">
        <v>282</v>
      </c>
      <c r="I222" s="322" t="s">
        <v>282</v>
      </c>
      <c r="J222" s="322" t="s">
        <v>20</v>
      </c>
      <c r="K222" s="322" t="s">
        <v>15</v>
      </c>
      <c r="L222" s="322" t="s">
        <v>282</v>
      </c>
      <c r="M222" s="322" t="s">
        <v>282</v>
      </c>
      <c r="N222" s="322" t="s">
        <v>2</v>
      </c>
      <c r="O222" s="323" t="s">
        <v>282</v>
      </c>
      <c r="P222" s="323" t="s">
        <v>282</v>
      </c>
      <c r="Q222" s="323" t="s">
        <v>282</v>
      </c>
      <c r="R222" s="323" t="s">
        <v>282</v>
      </c>
      <c r="S222" s="323" t="s">
        <v>282</v>
      </c>
      <c r="T222" s="323" t="s">
        <v>282</v>
      </c>
      <c r="U222" s="323" t="s">
        <v>282</v>
      </c>
      <c r="V222" s="323" t="s">
        <v>282</v>
      </c>
      <c r="W222" s="324" t="s">
        <v>20</v>
      </c>
      <c r="X222" s="324" t="s">
        <v>15</v>
      </c>
      <c r="Y222" s="325" t="s">
        <v>2</v>
      </c>
    </row>
    <row r="223" spans="1:25">
      <c r="A223" s="319">
        <v>5</v>
      </c>
      <c r="B223" s="320" t="str">
        <f>VLOOKUP(Tabel10[[#This Row],[Code]],Ruimtegroepen[[Code]:[Ruimte omschrijving]],2,FALSE)</f>
        <v>Sanitair</v>
      </c>
      <c r="C223" s="321" t="s">
        <v>464</v>
      </c>
      <c r="D223" s="320" t="s">
        <v>29</v>
      </c>
      <c r="E223" s="321" t="s">
        <v>102</v>
      </c>
      <c r="F223" s="321" t="s">
        <v>468</v>
      </c>
      <c r="G223" s="326" t="s">
        <v>282</v>
      </c>
      <c r="H223" s="322" t="s">
        <v>282</v>
      </c>
      <c r="I223" s="322" t="s">
        <v>282</v>
      </c>
      <c r="J223" s="322" t="s">
        <v>20</v>
      </c>
      <c r="K223" s="322" t="s">
        <v>15</v>
      </c>
      <c r="L223" s="322" t="s">
        <v>282</v>
      </c>
      <c r="M223" s="322" t="s">
        <v>282</v>
      </c>
      <c r="N223" s="322" t="s">
        <v>2</v>
      </c>
      <c r="O223" s="323" t="s">
        <v>282</v>
      </c>
      <c r="P223" s="323" t="s">
        <v>282</v>
      </c>
      <c r="Q223" s="323" t="s">
        <v>282</v>
      </c>
      <c r="R223" s="323" t="s">
        <v>282</v>
      </c>
      <c r="S223" s="323" t="s">
        <v>282</v>
      </c>
      <c r="T223" s="323" t="s">
        <v>282</v>
      </c>
      <c r="U223" s="323" t="s">
        <v>282</v>
      </c>
      <c r="V223" s="323" t="s">
        <v>282</v>
      </c>
      <c r="W223" s="324" t="s">
        <v>20</v>
      </c>
      <c r="X223" s="324" t="s">
        <v>15</v>
      </c>
      <c r="Y223" s="325" t="s">
        <v>2</v>
      </c>
    </row>
    <row r="224" spans="1:25">
      <c r="A224" s="319">
        <v>5</v>
      </c>
      <c r="B224" s="320" t="str">
        <f>VLOOKUP(Tabel10[[#This Row],[Code]],Ruimtegroepen[[Code]:[Ruimte omschrijving]],2,FALSE)</f>
        <v>Sanitair</v>
      </c>
      <c r="C224" s="321" t="s">
        <v>464</v>
      </c>
      <c r="D224" s="320" t="s">
        <v>29</v>
      </c>
      <c r="E224" s="321" t="s">
        <v>99</v>
      </c>
      <c r="F224" s="321" t="s">
        <v>466</v>
      </c>
      <c r="G224" s="326" t="s">
        <v>282</v>
      </c>
      <c r="H224" s="322" t="s">
        <v>282</v>
      </c>
      <c r="I224" s="322" t="s">
        <v>282</v>
      </c>
      <c r="J224" s="322" t="s">
        <v>282</v>
      </c>
      <c r="K224" s="322" t="s">
        <v>282</v>
      </c>
      <c r="L224" s="322" t="s">
        <v>282</v>
      </c>
      <c r="M224" s="322" t="s">
        <v>282</v>
      </c>
      <c r="N224" s="322" t="s">
        <v>282</v>
      </c>
      <c r="O224" s="323" t="s">
        <v>282</v>
      </c>
      <c r="P224" s="323" t="s">
        <v>282</v>
      </c>
      <c r="Q224" s="323" t="s">
        <v>282</v>
      </c>
      <c r="R224" s="323" t="s">
        <v>282</v>
      </c>
      <c r="S224" s="323" t="s">
        <v>282</v>
      </c>
      <c r="T224" s="323" t="s">
        <v>282</v>
      </c>
      <c r="U224" s="323" t="s">
        <v>282</v>
      </c>
      <c r="V224" s="323" t="s">
        <v>282</v>
      </c>
      <c r="W224" s="324" t="s">
        <v>282</v>
      </c>
      <c r="X224" s="324" t="s">
        <v>282</v>
      </c>
      <c r="Y224" s="325" t="s">
        <v>282</v>
      </c>
    </row>
    <row r="225" spans="1:25">
      <c r="A225" s="319">
        <v>5</v>
      </c>
      <c r="B225" s="320" t="str">
        <f>VLOOKUP(Tabel10[[#This Row],[Code]],Ruimtegroepen[[Code]:[Ruimte omschrijving]],2,FALSE)</f>
        <v>Sanitair</v>
      </c>
      <c r="C225" s="321" t="s">
        <v>464</v>
      </c>
      <c r="D225" s="320" t="s">
        <v>29</v>
      </c>
      <c r="E225" s="321" t="s">
        <v>1306</v>
      </c>
      <c r="F225" s="321" t="s">
        <v>1475</v>
      </c>
      <c r="G225" s="326" t="s">
        <v>282</v>
      </c>
      <c r="H225" s="322" t="s">
        <v>282</v>
      </c>
      <c r="I225" s="322" t="s">
        <v>282</v>
      </c>
      <c r="J225" s="322" t="s">
        <v>20</v>
      </c>
      <c r="K225" s="322" t="s">
        <v>15</v>
      </c>
      <c r="L225" s="322" t="s">
        <v>282</v>
      </c>
      <c r="M225" s="322" t="s">
        <v>282</v>
      </c>
      <c r="N225" s="322" t="s">
        <v>2</v>
      </c>
      <c r="O225" s="323" t="s">
        <v>282</v>
      </c>
      <c r="P225" s="323" t="s">
        <v>282</v>
      </c>
      <c r="Q225" s="323" t="s">
        <v>282</v>
      </c>
      <c r="R225" s="323" t="s">
        <v>282</v>
      </c>
      <c r="S225" s="323" t="s">
        <v>282</v>
      </c>
      <c r="T225" s="323" t="s">
        <v>282</v>
      </c>
      <c r="U225" s="323" t="s">
        <v>282</v>
      </c>
      <c r="V225" s="323" t="s">
        <v>282</v>
      </c>
      <c r="W225" s="324" t="s">
        <v>20</v>
      </c>
      <c r="X225" s="324" t="s">
        <v>15</v>
      </c>
      <c r="Y225" s="325" t="s">
        <v>2</v>
      </c>
    </row>
    <row r="226" spans="1:25">
      <c r="A226" s="319">
        <v>5</v>
      </c>
      <c r="B226" s="320" t="str">
        <f>VLOOKUP(Tabel10[[#This Row],[Code]],Ruimtegroepen[[Code]:[Ruimte omschrijving]],2,FALSE)</f>
        <v>Sanitair</v>
      </c>
      <c r="C226" s="321" t="s">
        <v>469</v>
      </c>
      <c r="D226" s="320" t="s">
        <v>1</v>
      </c>
      <c r="E226" s="321" t="s">
        <v>100</v>
      </c>
      <c r="F226" s="321" t="s">
        <v>470</v>
      </c>
      <c r="G226" s="326" t="s">
        <v>282</v>
      </c>
      <c r="H226" s="322" t="s">
        <v>282</v>
      </c>
      <c r="I226" s="322" t="s">
        <v>282</v>
      </c>
      <c r="J226" s="322" t="s">
        <v>20</v>
      </c>
      <c r="K226" s="322" t="s">
        <v>15</v>
      </c>
      <c r="L226" s="322" t="s">
        <v>282</v>
      </c>
      <c r="M226" s="322" t="s">
        <v>282</v>
      </c>
      <c r="N226" s="322" t="s">
        <v>282</v>
      </c>
      <c r="O226" s="323" t="s">
        <v>282</v>
      </c>
      <c r="P226" s="323" t="s">
        <v>282</v>
      </c>
      <c r="Q226" s="323" t="s">
        <v>282</v>
      </c>
      <c r="R226" s="323" t="s">
        <v>282</v>
      </c>
      <c r="S226" s="323" t="s">
        <v>282</v>
      </c>
      <c r="T226" s="323" t="s">
        <v>282</v>
      </c>
      <c r="U226" s="323" t="s">
        <v>282</v>
      </c>
      <c r="V226" s="323" t="s">
        <v>282</v>
      </c>
      <c r="W226" s="324" t="s">
        <v>20</v>
      </c>
      <c r="X226" s="324" t="s">
        <v>15</v>
      </c>
      <c r="Y226" s="325" t="s">
        <v>282</v>
      </c>
    </row>
    <row r="227" spans="1:25">
      <c r="A227" s="319">
        <v>5</v>
      </c>
      <c r="B227" s="320" t="str">
        <f>VLOOKUP(Tabel10[[#This Row],[Code]],Ruimtegroepen[[Code]:[Ruimte omschrijving]],2,FALSE)</f>
        <v>Sanitair</v>
      </c>
      <c r="C227" s="321" t="s">
        <v>469</v>
      </c>
      <c r="D227" s="320" t="s">
        <v>1</v>
      </c>
      <c r="E227" s="321" t="s">
        <v>99</v>
      </c>
      <c r="F227" s="321" t="s">
        <v>471</v>
      </c>
      <c r="G227" s="326" t="s">
        <v>282</v>
      </c>
      <c r="H227" s="322" t="s">
        <v>282</v>
      </c>
      <c r="I227" s="322" t="s">
        <v>282</v>
      </c>
      <c r="J227" s="322" t="s">
        <v>282</v>
      </c>
      <c r="K227" s="322" t="s">
        <v>282</v>
      </c>
      <c r="L227" s="322" t="s">
        <v>282</v>
      </c>
      <c r="M227" s="322" t="s">
        <v>282</v>
      </c>
      <c r="N227" s="322" t="s">
        <v>282</v>
      </c>
      <c r="O227" s="323" t="s">
        <v>282</v>
      </c>
      <c r="P227" s="323" t="s">
        <v>282</v>
      </c>
      <c r="Q227" s="323" t="s">
        <v>282</v>
      </c>
      <c r="R227" s="323" t="s">
        <v>282</v>
      </c>
      <c r="S227" s="323" t="s">
        <v>282</v>
      </c>
      <c r="T227" s="323" t="s">
        <v>282</v>
      </c>
      <c r="U227" s="323" t="s">
        <v>282</v>
      </c>
      <c r="V227" s="323" t="s">
        <v>282</v>
      </c>
      <c r="W227" s="324" t="s">
        <v>282</v>
      </c>
      <c r="X227" s="324" t="s">
        <v>282</v>
      </c>
      <c r="Y227" s="325" t="s">
        <v>282</v>
      </c>
    </row>
    <row r="228" spans="1:25">
      <c r="A228" s="319">
        <v>5</v>
      </c>
      <c r="B228" s="320" t="str">
        <f>VLOOKUP(Tabel10[[#This Row],[Code]],Ruimtegroepen[[Code]:[Ruimte omschrijving]],2,FALSE)</f>
        <v>Sanitair</v>
      </c>
      <c r="C228" s="321" t="s">
        <v>469</v>
      </c>
      <c r="D228" s="320" t="s">
        <v>1</v>
      </c>
      <c r="E228" s="321" t="s">
        <v>101</v>
      </c>
      <c r="F228" s="321" t="s">
        <v>472</v>
      </c>
      <c r="G228" s="326" t="s">
        <v>282</v>
      </c>
      <c r="H228" s="322" t="s">
        <v>282</v>
      </c>
      <c r="I228" s="322" t="s">
        <v>282</v>
      </c>
      <c r="J228" s="322" t="s">
        <v>20</v>
      </c>
      <c r="K228" s="322" t="s">
        <v>15</v>
      </c>
      <c r="L228" s="322" t="s">
        <v>282</v>
      </c>
      <c r="M228" s="322" t="s">
        <v>282</v>
      </c>
      <c r="N228" s="322" t="s">
        <v>282</v>
      </c>
      <c r="O228" s="323" t="s">
        <v>282</v>
      </c>
      <c r="P228" s="323" t="s">
        <v>282</v>
      </c>
      <c r="Q228" s="323" t="s">
        <v>282</v>
      </c>
      <c r="R228" s="323" t="s">
        <v>282</v>
      </c>
      <c r="S228" s="323" t="s">
        <v>282</v>
      </c>
      <c r="T228" s="323" t="s">
        <v>282</v>
      </c>
      <c r="U228" s="323" t="s">
        <v>282</v>
      </c>
      <c r="V228" s="323" t="s">
        <v>282</v>
      </c>
      <c r="W228" s="324" t="s">
        <v>20</v>
      </c>
      <c r="X228" s="324" t="s">
        <v>15</v>
      </c>
      <c r="Y228" s="325" t="s">
        <v>282</v>
      </c>
    </row>
    <row r="229" spans="1:25">
      <c r="A229" s="319">
        <v>5</v>
      </c>
      <c r="B229" s="320" t="str">
        <f>VLOOKUP(Tabel10[[#This Row],[Code]],Ruimtegroepen[[Code]:[Ruimte omschrijving]],2,FALSE)</f>
        <v>Sanitair</v>
      </c>
      <c r="C229" s="321" t="s">
        <v>469</v>
      </c>
      <c r="D229" s="320" t="s">
        <v>1</v>
      </c>
      <c r="E229" s="321" t="s">
        <v>102</v>
      </c>
      <c r="F229" s="321" t="s">
        <v>473</v>
      </c>
      <c r="G229" s="326" t="s">
        <v>282</v>
      </c>
      <c r="H229" s="322" t="s">
        <v>282</v>
      </c>
      <c r="I229" s="322" t="s">
        <v>282</v>
      </c>
      <c r="J229" s="322" t="s">
        <v>20</v>
      </c>
      <c r="K229" s="322" t="s">
        <v>15</v>
      </c>
      <c r="L229" s="322" t="s">
        <v>282</v>
      </c>
      <c r="M229" s="322" t="s">
        <v>282</v>
      </c>
      <c r="N229" s="322" t="s">
        <v>282</v>
      </c>
      <c r="O229" s="323" t="s">
        <v>282</v>
      </c>
      <c r="P229" s="323" t="s">
        <v>282</v>
      </c>
      <c r="Q229" s="323" t="s">
        <v>282</v>
      </c>
      <c r="R229" s="323" t="s">
        <v>282</v>
      </c>
      <c r="S229" s="323" t="s">
        <v>282</v>
      </c>
      <c r="T229" s="323" t="s">
        <v>282</v>
      </c>
      <c r="U229" s="323" t="s">
        <v>282</v>
      </c>
      <c r="V229" s="323" t="s">
        <v>282</v>
      </c>
      <c r="W229" s="324" t="s">
        <v>20</v>
      </c>
      <c r="X229" s="324" t="s">
        <v>15</v>
      </c>
      <c r="Y229" s="325" t="s">
        <v>282</v>
      </c>
    </row>
    <row r="230" spans="1:25">
      <c r="A230" s="319">
        <v>5</v>
      </c>
      <c r="B230" s="320" t="str">
        <f>VLOOKUP(Tabel10[[#This Row],[Code]],Ruimtegroepen[[Code]:[Ruimte omschrijving]],2,FALSE)</f>
        <v>Sanitair</v>
      </c>
      <c r="C230" s="321" t="s">
        <v>469</v>
      </c>
      <c r="D230" s="320" t="s">
        <v>1</v>
      </c>
      <c r="E230" s="321" t="s">
        <v>99</v>
      </c>
      <c r="F230" s="321" t="s">
        <v>471</v>
      </c>
      <c r="G230" s="326" t="s">
        <v>282</v>
      </c>
      <c r="H230" s="322" t="s">
        <v>282</v>
      </c>
      <c r="I230" s="322" t="s">
        <v>282</v>
      </c>
      <c r="J230" s="322" t="s">
        <v>282</v>
      </c>
      <c r="K230" s="322" t="s">
        <v>282</v>
      </c>
      <c r="L230" s="322" t="s">
        <v>282</v>
      </c>
      <c r="M230" s="322" t="s">
        <v>282</v>
      </c>
      <c r="N230" s="322" t="s">
        <v>282</v>
      </c>
      <c r="O230" s="323" t="s">
        <v>282</v>
      </c>
      <c r="P230" s="323" t="s">
        <v>282</v>
      </c>
      <c r="Q230" s="323" t="s">
        <v>282</v>
      </c>
      <c r="R230" s="323" t="s">
        <v>282</v>
      </c>
      <c r="S230" s="323" t="s">
        <v>282</v>
      </c>
      <c r="T230" s="323" t="s">
        <v>282</v>
      </c>
      <c r="U230" s="323" t="s">
        <v>282</v>
      </c>
      <c r="V230" s="323" t="s">
        <v>282</v>
      </c>
      <c r="W230" s="324" t="s">
        <v>282</v>
      </c>
      <c r="X230" s="324" t="s">
        <v>282</v>
      </c>
      <c r="Y230" s="325" t="s">
        <v>282</v>
      </c>
    </row>
    <row r="231" spans="1:25">
      <c r="A231" s="319">
        <v>5</v>
      </c>
      <c r="B231" s="320" t="str">
        <f>VLOOKUP(Tabel10[[#This Row],[Code]],Ruimtegroepen[[Code]:[Ruimte omschrijving]],2,FALSE)</f>
        <v>Sanitair</v>
      </c>
      <c r="C231" s="321" t="s">
        <v>469</v>
      </c>
      <c r="D231" s="320" t="s">
        <v>1</v>
      </c>
      <c r="E231" s="321" t="s">
        <v>1306</v>
      </c>
      <c r="F231" s="321" t="s">
        <v>1441</v>
      </c>
      <c r="G231" s="326" t="s">
        <v>282</v>
      </c>
      <c r="H231" s="322" t="s">
        <v>282</v>
      </c>
      <c r="I231" s="322" t="s">
        <v>282</v>
      </c>
      <c r="J231" s="322" t="s">
        <v>20</v>
      </c>
      <c r="K231" s="322" t="s">
        <v>15</v>
      </c>
      <c r="L231" s="322" t="s">
        <v>282</v>
      </c>
      <c r="M231" s="322" t="s">
        <v>282</v>
      </c>
      <c r="N231" s="322" t="s">
        <v>282</v>
      </c>
      <c r="O231" s="323" t="s">
        <v>282</v>
      </c>
      <c r="P231" s="323" t="s">
        <v>282</v>
      </c>
      <c r="Q231" s="323" t="s">
        <v>282</v>
      </c>
      <c r="R231" s="323" t="s">
        <v>282</v>
      </c>
      <c r="S231" s="323" t="s">
        <v>282</v>
      </c>
      <c r="T231" s="323" t="s">
        <v>282</v>
      </c>
      <c r="U231" s="323" t="s">
        <v>282</v>
      </c>
      <c r="V231" s="323" t="s">
        <v>282</v>
      </c>
      <c r="W231" s="324" t="s">
        <v>20</v>
      </c>
      <c r="X231" s="324" t="s">
        <v>15</v>
      </c>
      <c r="Y231" s="325" t="s">
        <v>282</v>
      </c>
    </row>
    <row r="232" spans="1:25">
      <c r="A232" s="319">
        <v>5</v>
      </c>
      <c r="B232" s="320" t="str">
        <f>VLOOKUP(Tabel10[[#This Row],[Code]],Ruimtegroepen[[Code]:[Ruimte omschrijving]],2,FALSE)</f>
        <v>Sanitair</v>
      </c>
      <c r="C232" s="321" t="s">
        <v>474</v>
      </c>
      <c r="D232" s="320" t="s">
        <v>475</v>
      </c>
      <c r="E232" s="321" t="s">
        <v>100</v>
      </c>
      <c r="F232" s="321" t="s">
        <v>476</v>
      </c>
      <c r="G232" s="326" t="s">
        <v>282</v>
      </c>
      <c r="H232" s="322" t="s">
        <v>282</v>
      </c>
      <c r="I232" s="322" t="s">
        <v>282</v>
      </c>
      <c r="J232" s="322" t="s">
        <v>477</v>
      </c>
      <c r="K232" s="322" t="s">
        <v>15</v>
      </c>
      <c r="L232" s="322" t="s">
        <v>282</v>
      </c>
      <c r="M232" s="322" t="s">
        <v>282</v>
      </c>
      <c r="N232" s="322" t="s">
        <v>282</v>
      </c>
      <c r="O232" s="323" t="s">
        <v>282</v>
      </c>
      <c r="P232" s="323" t="s">
        <v>282</v>
      </c>
      <c r="Q232" s="323" t="s">
        <v>282</v>
      </c>
      <c r="R232" s="323" t="s">
        <v>282</v>
      </c>
      <c r="S232" s="323" t="s">
        <v>282</v>
      </c>
      <c r="T232" s="323" t="s">
        <v>282</v>
      </c>
      <c r="U232" s="323" t="s">
        <v>282</v>
      </c>
      <c r="V232" s="323" t="s">
        <v>282</v>
      </c>
      <c r="W232" s="324" t="s">
        <v>477</v>
      </c>
      <c r="X232" s="324" t="s">
        <v>15</v>
      </c>
      <c r="Y232" s="325" t="s">
        <v>282</v>
      </c>
    </row>
    <row r="233" spans="1:25">
      <c r="A233" s="319">
        <v>5</v>
      </c>
      <c r="B233" s="320" t="str">
        <f>VLOOKUP(Tabel10[[#This Row],[Code]],Ruimtegroepen[[Code]:[Ruimte omschrijving]],2,FALSE)</f>
        <v>Sanitair</v>
      </c>
      <c r="C233" s="321" t="s">
        <v>474</v>
      </c>
      <c r="D233" s="320" t="s">
        <v>475</v>
      </c>
      <c r="E233" s="321" t="s">
        <v>99</v>
      </c>
      <c r="F233" s="321" t="s">
        <v>478</v>
      </c>
      <c r="G233" s="326" t="s">
        <v>282</v>
      </c>
      <c r="H233" s="322" t="s">
        <v>282</v>
      </c>
      <c r="I233" s="322" t="s">
        <v>282</v>
      </c>
      <c r="J233" s="322" t="s">
        <v>282</v>
      </c>
      <c r="K233" s="322" t="s">
        <v>282</v>
      </c>
      <c r="L233" s="322" t="s">
        <v>282</v>
      </c>
      <c r="M233" s="322" t="s">
        <v>282</v>
      </c>
      <c r="N233" s="322" t="s">
        <v>282</v>
      </c>
      <c r="O233" s="323" t="s">
        <v>282</v>
      </c>
      <c r="P233" s="323" t="s">
        <v>282</v>
      </c>
      <c r="Q233" s="323" t="s">
        <v>282</v>
      </c>
      <c r="R233" s="323" t="s">
        <v>282</v>
      </c>
      <c r="S233" s="323" t="s">
        <v>282</v>
      </c>
      <c r="T233" s="323" t="s">
        <v>282</v>
      </c>
      <c r="U233" s="323" t="s">
        <v>282</v>
      </c>
      <c r="V233" s="323" t="s">
        <v>282</v>
      </c>
      <c r="W233" s="324" t="s">
        <v>282</v>
      </c>
      <c r="X233" s="324" t="s">
        <v>282</v>
      </c>
      <c r="Y233" s="325" t="s">
        <v>282</v>
      </c>
    </row>
    <row r="234" spans="1:25">
      <c r="A234" s="319">
        <v>5</v>
      </c>
      <c r="B234" s="320" t="str">
        <f>VLOOKUP(Tabel10[[#This Row],[Code]],Ruimtegroepen[[Code]:[Ruimte omschrijving]],2,FALSE)</f>
        <v>Sanitair</v>
      </c>
      <c r="C234" s="321" t="s">
        <v>474</v>
      </c>
      <c r="D234" s="320" t="s">
        <v>475</v>
      </c>
      <c r="E234" s="321" t="s">
        <v>101</v>
      </c>
      <c r="F234" s="321" t="s">
        <v>479</v>
      </c>
      <c r="G234" s="326" t="s">
        <v>282</v>
      </c>
      <c r="H234" s="322" t="s">
        <v>282</v>
      </c>
      <c r="I234" s="322" t="s">
        <v>282</v>
      </c>
      <c r="J234" s="322" t="s">
        <v>477</v>
      </c>
      <c r="K234" s="322" t="s">
        <v>15</v>
      </c>
      <c r="L234" s="322" t="s">
        <v>282</v>
      </c>
      <c r="M234" s="322" t="s">
        <v>282</v>
      </c>
      <c r="N234" s="322" t="s">
        <v>282</v>
      </c>
      <c r="O234" s="323" t="s">
        <v>282</v>
      </c>
      <c r="P234" s="323" t="s">
        <v>282</v>
      </c>
      <c r="Q234" s="323" t="s">
        <v>282</v>
      </c>
      <c r="R234" s="323" t="s">
        <v>282</v>
      </c>
      <c r="S234" s="323" t="s">
        <v>282</v>
      </c>
      <c r="T234" s="323" t="s">
        <v>282</v>
      </c>
      <c r="U234" s="323" t="s">
        <v>282</v>
      </c>
      <c r="V234" s="323" t="s">
        <v>282</v>
      </c>
      <c r="W234" s="324" t="s">
        <v>477</v>
      </c>
      <c r="X234" s="324" t="s">
        <v>15</v>
      </c>
      <c r="Y234" s="325" t="s">
        <v>282</v>
      </c>
    </row>
    <row r="235" spans="1:25">
      <c r="A235" s="319">
        <v>5</v>
      </c>
      <c r="B235" s="320" t="str">
        <f>VLOOKUP(Tabel10[[#This Row],[Code]],Ruimtegroepen[[Code]:[Ruimte omschrijving]],2,FALSE)</f>
        <v>Sanitair</v>
      </c>
      <c r="C235" s="321" t="s">
        <v>474</v>
      </c>
      <c r="D235" s="320" t="s">
        <v>475</v>
      </c>
      <c r="E235" s="321" t="s">
        <v>102</v>
      </c>
      <c r="F235" s="321" t="s">
        <v>480</v>
      </c>
      <c r="G235" s="326" t="s">
        <v>282</v>
      </c>
      <c r="H235" s="322" t="s">
        <v>282</v>
      </c>
      <c r="I235" s="322" t="s">
        <v>282</v>
      </c>
      <c r="J235" s="322" t="s">
        <v>477</v>
      </c>
      <c r="K235" s="322" t="s">
        <v>15</v>
      </c>
      <c r="L235" s="322" t="s">
        <v>282</v>
      </c>
      <c r="M235" s="322" t="s">
        <v>282</v>
      </c>
      <c r="N235" s="322" t="s">
        <v>282</v>
      </c>
      <c r="O235" s="323" t="s">
        <v>282</v>
      </c>
      <c r="P235" s="323" t="s">
        <v>282</v>
      </c>
      <c r="Q235" s="323" t="s">
        <v>282</v>
      </c>
      <c r="R235" s="323" t="s">
        <v>282</v>
      </c>
      <c r="S235" s="323" t="s">
        <v>282</v>
      </c>
      <c r="T235" s="323" t="s">
        <v>282</v>
      </c>
      <c r="U235" s="323" t="s">
        <v>282</v>
      </c>
      <c r="V235" s="323" t="s">
        <v>282</v>
      </c>
      <c r="W235" s="324" t="s">
        <v>477</v>
      </c>
      <c r="X235" s="324" t="s">
        <v>15</v>
      </c>
      <c r="Y235" s="325" t="s">
        <v>282</v>
      </c>
    </row>
    <row r="236" spans="1:25">
      <c r="A236" s="319">
        <v>5</v>
      </c>
      <c r="B236" s="320" t="str">
        <f>VLOOKUP(Tabel10[[#This Row],[Code]],Ruimtegroepen[[Code]:[Ruimte omschrijving]],2,FALSE)</f>
        <v>Sanitair</v>
      </c>
      <c r="C236" s="321" t="s">
        <v>474</v>
      </c>
      <c r="D236" s="320" t="s">
        <v>475</v>
      </c>
      <c r="E236" s="321" t="s">
        <v>99</v>
      </c>
      <c r="F236" s="321" t="s">
        <v>478</v>
      </c>
      <c r="G236" s="326" t="s">
        <v>282</v>
      </c>
      <c r="H236" s="322" t="s">
        <v>282</v>
      </c>
      <c r="I236" s="322" t="s">
        <v>282</v>
      </c>
      <c r="J236" s="322" t="s">
        <v>282</v>
      </c>
      <c r="K236" s="322" t="s">
        <v>282</v>
      </c>
      <c r="L236" s="322" t="s">
        <v>282</v>
      </c>
      <c r="M236" s="322" t="s">
        <v>282</v>
      </c>
      <c r="N236" s="322" t="s">
        <v>282</v>
      </c>
      <c r="O236" s="323" t="s">
        <v>282</v>
      </c>
      <c r="P236" s="323" t="s">
        <v>282</v>
      </c>
      <c r="Q236" s="323" t="s">
        <v>282</v>
      </c>
      <c r="R236" s="323" t="s">
        <v>282</v>
      </c>
      <c r="S236" s="323" t="s">
        <v>282</v>
      </c>
      <c r="T236" s="323" t="s">
        <v>282</v>
      </c>
      <c r="U236" s="323" t="s">
        <v>282</v>
      </c>
      <c r="V236" s="323" t="s">
        <v>282</v>
      </c>
      <c r="W236" s="324" t="s">
        <v>282</v>
      </c>
      <c r="X236" s="324" t="s">
        <v>282</v>
      </c>
      <c r="Y236" s="325" t="s">
        <v>282</v>
      </c>
    </row>
    <row r="237" spans="1:25">
      <c r="A237" s="319">
        <v>5</v>
      </c>
      <c r="B237" s="320" t="str">
        <f>VLOOKUP(Tabel10[[#This Row],[Code]],Ruimtegroepen[[Code]:[Ruimte omschrijving]],2,FALSE)</f>
        <v>Sanitair</v>
      </c>
      <c r="C237" s="321" t="s">
        <v>474</v>
      </c>
      <c r="D237" s="320" t="s">
        <v>475</v>
      </c>
      <c r="E237" s="321" t="s">
        <v>1306</v>
      </c>
      <c r="F237" s="321" t="s">
        <v>1458</v>
      </c>
      <c r="G237" s="326" t="s">
        <v>282</v>
      </c>
      <c r="H237" s="322" t="s">
        <v>282</v>
      </c>
      <c r="I237" s="322" t="s">
        <v>282</v>
      </c>
      <c r="J237" s="322" t="s">
        <v>477</v>
      </c>
      <c r="K237" s="322" t="s">
        <v>15</v>
      </c>
      <c r="L237" s="322" t="s">
        <v>282</v>
      </c>
      <c r="M237" s="322" t="s">
        <v>282</v>
      </c>
      <c r="N237" s="322" t="s">
        <v>282</v>
      </c>
      <c r="O237" s="323" t="s">
        <v>282</v>
      </c>
      <c r="P237" s="323" t="s">
        <v>282</v>
      </c>
      <c r="Q237" s="323" t="s">
        <v>282</v>
      </c>
      <c r="R237" s="323" t="s">
        <v>282</v>
      </c>
      <c r="S237" s="323" t="s">
        <v>282</v>
      </c>
      <c r="T237" s="323" t="s">
        <v>282</v>
      </c>
      <c r="U237" s="323" t="s">
        <v>282</v>
      </c>
      <c r="V237" s="323" t="s">
        <v>282</v>
      </c>
      <c r="W237" s="324" t="s">
        <v>477</v>
      </c>
      <c r="X237" s="324" t="s">
        <v>15</v>
      </c>
      <c r="Y237" s="325" t="s">
        <v>282</v>
      </c>
    </row>
    <row r="238" spans="1:25">
      <c r="A238" s="319">
        <v>5</v>
      </c>
      <c r="B238" s="320" t="str">
        <f>VLOOKUP(Tabel10[[#This Row],[Code]],Ruimtegroepen[[Code]:[Ruimte omschrijving]],2,FALSE)</f>
        <v>Sanitair</v>
      </c>
      <c r="C238" s="321" t="s">
        <v>1264</v>
      </c>
      <c r="D238" s="320" t="s">
        <v>481</v>
      </c>
      <c r="E238" s="321" t="s">
        <v>100</v>
      </c>
      <c r="F238" s="321" t="s">
        <v>482</v>
      </c>
      <c r="G238" s="326" t="s">
        <v>282</v>
      </c>
      <c r="H238" s="322" t="s">
        <v>282</v>
      </c>
      <c r="I238" s="322" t="s">
        <v>282</v>
      </c>
      <c r="J238" s="322" t="s">
        <v>477</v>
      </c>
      <c r="K238" s="322" t="s">
        <v>15</v>
      </c>
      <c r="L238" s="322" t="s">
        <v>282</v>
      </c>
      <c r="M238" s="322" t="s">
        <v>282</v>
      </c>
      <c r="N238" s="322" t="s">
        <v>1263</v>
      </c>
      <c r="O238" s="323" t="s">
        <v>282</v>
      </c>
      <c r="P238" s="323" t="s">
        <v>282</v>
      </c>
      <c r="Q238" s="323" t="s">
        <v>282</v>
      </c>
      <c r="R238" s="323" t="s">
        <v>282</v>
      </c>
      <c r="S238" s="323" t="s">
        <v>282</v>
      </c>
      <c r="T238" s="323" t="s">
        <v>282</v>
      </c>
      <c r="U238" s="323" t="s">
        <v>282</v>
      </c>
      <c r="V238" s="323" t="s">
        <v>282</v>
      </c>
      <c r="W238" s="324" t="s">
        <v>477</v>
      </c>
      <c r="X238" s="324" t="s">
        <v>15</v>
      </c>
      <c r="Y238" s="325" t="s">
        <v>1263</v>
      </c>
    </row>
    <row r="239" spans="1:25">
      <c r="A239" s="319">
        <v>5</v>
      </c>
      <c r="B239" s="320" t="str">
        <f>VLOOKUP(Tabel10[[#This Row],[Code]],Ruimtegroepen[[Code]:[Ruimte omschrijving]],2,FALSE)</f>
        <v>Sanitair</v>
      </c>
      <c r="C239" s="321" t="s">
        <v>1264</v>
      </c>
      <c r="D239" s="320" t="s">
        <v>481</v>
      </c>
      <c r="E239" s="321" t="s">
        <v>99</v>
      </c>
      <c r="F239" s="321" t="s">
        <v>483</v>
      </c>
      <c r="G239" s="326" t="s">
        <v>282</v>
      </c>
      <c r="H239" s="322" t="s">
        <v>282</v>
      </c>
      <c r="I239" s="322" t="s">
        <v>282</v>
      </c>
      <c r="J239" s="322" t="s">
        <v>282</v>
      </c>
      <c r="K239" s="322" t="s">
        <v>282</v>
      </c>
      <c r="L239" s="322" t="s">
        <v>282</v>
      </c>
      <c r="M239" s="322" t="s">
        <v>282</v>
      </c>
      <c r="N239" s="322" t="s">
        <v>282</v>
      </c>
      <c r="O239" s="323" t="s">
        <v>282</v>
      </c>
      <c r="P239" s="323" t="s">
        <v>282</v>
      </c>
      <c r="Q239" s="323" t="s">
        <v>282</v>
      </c>
      <c r="R239" s="323" t="s">
        <v>282</v>
      </c>
      <c r="S239" s="323" t="s">
        <v>282</v>
      </c>
      <c r="T239" s="323" t="s">
        <v>282</v>
      </c>
      <c r="U239" s="323" t="s">
        <v>282</v>
      </c>
      <c r="V239" s="323" t="s">
        <v>282</v>
      </c>
      <c r="W239" s="324" t="s">
        <v>282</v>
      </c>
      <c r="X239" s="324" t="s">
        <v>282</v>
      </c>
      <c r="Y239" s="325" t="s">
        <v>282</v>
      </c>
    </row>
    <row r="240" spans="1:25">
      <c r="A240" s="319">
        <v>5</v>
      </c>
      <c r="B240" s="320" t="str">
        <f>VLOOKUP(Tabel10[[#This Row],[Code]],Ruimtegroepen[[Code]:[Ruimte omschrijving]],2,FALSE)</f>
        <v>Sanitair</v>
      </c>
      <c r="C240" s="321" t="s">
        <v>1264</v>
      </c>
      <c r="D240" s="320" t="s">
        <v>481</v>
      </c>
      <c r="E240" s="321" t="s">
        <v>101</v>
      </c>
      <c r="F240" s="321" t="s">
        <v>484</v>
      </c>
      <c r="G240" s="326" t="s">
        <v>282</v>
      </c>
      <c r="H240" s="322" t="s">
        <v>282</v>
      </c>
      <c r="I240" s="322" t="s">
        <v>282</v>
      </c>
      <c r="J240" s="322" t="s">
        <v>477</v>
      </c>
      <c r="K240" s="322" t="s">
        <v>15</v>
      </c>
      <c r="L240" s="322" t="s">
        <v>282</v>
      </c>
      <c r="M240" s="322" t="s">
        <v>282</v>
      </c>
      <c r="N240" s="322" t="s">
        <v>1263</v>
      </c>
      <c r="O240" s="323" t="s">
        <v>282</v>
      </c>
      <c r="P240" s="323" t="s">
        <v>282</v>
      </c>
      <c r="Q240" s="323" t="s">
        <v>282</v>
      </c>
      <c r="R240" s="323" t="s">
        <v>282</v>
      </c>
      <c r="S240" s="323" t="s">
        <v>282</v>
      </c>
      <c r="T240" s="323" t="s">
        <v>282</v>
      </c>
      <c r="U240" s="323" t="s">
        <v>282</v>
      </c>
      <c r="V240" s="323" t="s">
        <v>282</v>
      </c>
      <c r="W240" s="324" t="s">
        <v>477</v>
      </c>
      <c r="X240" s="324" t="s">
        <v>15</v>
      </c>
      <c r="Y240" s="325" t="s">
        <v>1263</v>
      </c>
    </row>
    <row r="241" spans="1:25">
      <c r="A241" s="319">
        <v>5</v>
      </c>
      <c r="B241" s="320" t="str">
        <f>VLOOKUP(Tabel10[[#This Row],[Code]],Ruimtegroepen[[Code]:[Ruimte omschrijving]],2,FALSE)</f>
        <v>Sanitair</v>
      </c>
      <c r="C241" s="321" t="s">
        <v>1264</v>
      </c>
      <c r="D241" s="320" t="s">
        <v>481</v>
      </c>
      <c r="E241" s="321" t="s">
        <v>102</v>
      </c>
      <c r="F241" s="321" t="s">
        <v>485</v>
      </c>
      <c r="G241" s="326" t="s">
        <v>282</v>
      </c>
      <c r="H241" s="322" t="s">
        <v>282</v>
      </c>
      <c r="I241" s="322" t="s">
        <v>282</v>
      </c>
      <c r="J241" s="322" t="s">
        <v>477</v>
      </c>
      <c r="K241" s="322" t="s">
        <v>15</v>
      </c>
      <c r="L241" s="322" t="s">
        <v>282</v>
      </c>
      <c r="M241" s="322" t="s">
        <v>282</v>
      </c>
      <c r="N241" s="322" t="s">
        <v>1263</v>
      </c>
      <c r="O241" s="323" t="s">
        <v>282</v>
      </c>
      <c r="P241" s="323" t="s">
        <v>282</v>
      </c>
      <c r="Q241" s="323" t="s">
        <v>282</v>
      </c>
      <c r="R241" s="323" t="s">
        <v>282</v>
      </c>
      <c r="S241" s="323" t="s">
        <v>282</v>
      </c>
      <c r="T241" s="323" t="s">
        <v>282</v>
      </c>
      <c r="U241" s="323" t="s">
        <v>282</v>
      </c>
      <c r="V241" s="323" t="s">
        <v>282</v>
      </c>
      <c r="W241" s="324" t="s">
        <v>477</v>
      </c>
      <c r="X241" s="324" t="s">
        <v>15</v>
      </c>
      <c r="Y241" s="325" t="s">
        <v>1263</v>
      </c>
    </row>
    <row r="242" spans="1:25">
      <c r="A242" s="319">
        <v>5</v>
      </c>
      <c r="B242" s="320" t="str">
        <f>VLOOKUP(Tabel10[[#This Row],[Code]],Ruimtegroepen[[Code]:[Ruimte omschrijving]],2,FALSE)</f>
        <v>Sanitair</v>
      </c>
      <c r="C242" s="321" t="s">
        <v>1264</v>
      </c>
      <c r="D242" s="320" t="s">
        <v>481</v>
      </c>
      <c r="E242" s="321" t="s">
        <v>99</v>
      </c>
      <c r="F242" s="321" t="s">
        <v>483</v>
      </c>
      <c r="G242" s="326" t="s">
        <v>282</v>
      </c>
      <c r="H242" s="322" t="s">
        <v>282</v>
      </c>
      <c r="I242" s="322" t="s">
        <v>282</v>
      </c>
      <c r="J242" s="322" t="s">
        <v>282</v>
      </c>
      <c r="K242" s="322" t="s">
        <v>282</v>
      </c>
      <c r="L242" s="322" t="s">
        <v>282</v>
      </c>
      <c r="M242" s="322" t="s">
        <v>282</v>
      </c>
      <c r="N242" s="322" t="s">
        <v>282</v>
      </c>
      <c r="O242" s="323" t="s">
        <v>282</v>
      </c>
      <c r="P242" s="323" t="s">
        <v>282</v>
      </c>
      <c r="Q242" s="323" t="s">
        <v>282</v>
      </c>
      <c r="R242" s="323" t="s">
        <v>282</v>
      </c>
      <c r="S242" s="323" t="s">
        <v>282</v>
      </c>
      <c r="T242" s="323" t="s">
        <v>282</v>
      </c>
      <c r="U242" s="323" t="s">
        <v>282</v>
      </c>
      <c r="V242" s="323" t="s">
        <v>282</v>
      </c>
      <c r="W242" s="324" t="s">
        <v>282</v>
      </c>
      <c r="X242" s="324" t="s">
        <v>282</v>
      </c>
      <c r="Y242" s="325" t="s">
        <v>282</v>
      </c>
    </row>
    <row r="243" spans="1:25">
      <c r="A243" s="319">
        <v>5</v>
      </c>
      <c r="B243" s="320" t="str">
        <f>VLOOKUP(Tabel10[[#This Row],[Code]],Ruimtegroepen[[Code]:[Ruimte omschrijving]],2,FALSE)</f>
        <v>Sanitair</v>
      </c>
      <c r="C243" s="321" t="s">
        <v>1264</v>
      </c>
      <c r="D243" s="320" t="s">
        <v>481</v>
      </c>
      <c r="E243" s="321" t="s">
        <v>1306</v>
      </c>
      <c r="F243" s="321" t="s">
        <v>1439</v>
      </c>
      <c r="G243" s="326" t="s">
        <v>282</v>
      </c>
      <c r="H243" s="322" t="s">
        <v>282</v>
      </c>
      <c r="I243" s="322" t="s">
        <v>282</v>
      </c>
      <c r="J243" s="322" t="s">
        <v>477</v>
      </c>
      <c r="K243" s="322" t="s">
        <v>15</v>
      </c>
      <c r="L243" s="322" t="s">
        <v>282</v>
      </c>
      <c r="M243" s="322" t="s">
        <v>282</v>
      </c>
      <c r="N243" s="322" t="s">
        <v>1263</v>
      </c>
      <c r="O243" s="323" t="s">
        <v>282</v>
      </c>
      <c r="P243" s="323" t="s">
        <v>282</v>
      </c>
      <c r="Q243" s="323" t="s">
        <v>282</v>
      </c>
      <c r="R243" s="323" t="s">
        <v>282</v>
      </c>
      <c r="S243" s="323" t="s">
        <v>282</v>
      </c>
      <c r="T243" s="323" t="s">
        <v>282</v>
      </c>
      <c r="U243" s="323" t="s">
        <v>282</v>
      </c>
      <c r="V243" s="323" t="s">
        <v>282</v>
      </c>
      <c r="W243" s="324" t="s">
        <v>477</v>
      </c>
      <c r="X243" s="324" t="s">
        <v>15</v>
      </c>
      <c r="Y243" s="325" t="s">
        <v>1263</v>
      </c>
    </row>
    <row r="244" spans="1:25">
      <c r="A244" s="319">
        <v>5</v>
      </c>
      <c r="B244" s="320" t="str">
        <f>VLOOKUP(Tabel10[[#This Row],[Code]],Ruimtegroepen[[Code]:[Ruimte omschrijving]],2,FALSE)</f>
        <v>Sanitair</v>
      </c>
      <c r="C244" s="321" t="s">
        <v>486</v>
      </c>
      <c r="D244" s="320" t="s">
        <v>21</v>
      </c>
      <c r="E244" s="321" t="s">
        <v>100</v>
      </c>
      <c r="F244" s="321" t="s">
        <v>487</v>
      </c>
      <c r="G244" s="326" t="s">
        <v>282</v>
      </c>
      <c r="H244" s="322" t="s">
        <v>282</v>
      </c>
      <c r="I244" s="322" t="s">
        <v>282</v>
      </c>
      <c r="J244" s="322" t="s">
        <v>18</v>
      </c>
      <c r="K244" s="322" t="s">
        <v>15</v>
      </c>
      <c r="L244" s="322" t="s">
        <v>282</v>
      </c>
      <c r="M244" s="322" t="s">
        <v>282</v>
      </c>
      <c r="N244" s="322" t="s">
        <v>282</v>
      </c>
      <c r="O244" s="323" t="s">
        <v>282</v>
      </c>
      <c r="P244" s="323" t="s">
        <v>282</v>
      </c>
      <c r="Q244" s="323" t="s">
        <v>282</v>
      </c>
      <c r="R244" s="323" t="s">
        <v>282</v>
      </c>
      <c r="S244" s="323" t="s">
        <v>282</v>
      </c>
      <c r="T244" s="323" t="s">
        <v>282</v>
      </c>
      <c r="U244" s="323" t="s">
        <v>282</v>
      </c>
      <c r="V244" s="323" t="s">
        <v>282</v>
      </c>
      <c r="W244" s="324" t="s">
        <v>18</v>
      </c>
      <c r="X244" s="324" t="s">
        <v>15</v>
      </c>
      <c r="Y244" s="325" t="s">
        <v>282</v>
      </c>
    </row>
    <row r="245" spans="1:25">
      <c r="A245" s="319">
        <v>5</v>
      </c>
      <c r="B245" s="320" t="str">
        <f>VLOOKUP(Tabel10[[#This Row],[Code]],Ruimtegroepen[[Code]:[Ruimte omschrijving]],2,FALSE)</f>
        <v>Sanitair</v>
      </c>
      <c r="C245" s="321" t="s">
        <v>486</v>
      </c>
      <c r="D245" s="320" t="s">
        <v>21</v>
      </c>
      <c r="E245" s="321" t="s">
        <v>99</v>
      </c>
      <c r="F245" s="321" t="s">
        <v>488</v>
      </c>
      <c r="G245" s="326" t="s">
        <v>282</v>
      </c>
      <c r="H245" s="322" t="s">
        <v>282</v>
      </c>
      <c r="I245" s="322" t="s">
        <v>282</v>
      </c>
      <c r="J245" s="322" t="s">
        <v>282</v>
      </c>
      <c r="K245" s="322" t="s">
        <v>282</v>
      </c>
      <c r="L245" s="322" t="s">
        <v>282</v>
      </c>
      <c r="M245" s="322" t="s">
        <v>282</v>
      </c>
      <c r="N245" s="322" t="s">
        <v>282</v>
      </c>
      <c r="O245" s="323" t="s">
        <v>282</v>
      </c>
      <c r="P245" s="323" t="s">
        <v>282</v>
      </c>
      <c r="Q245" s="323" t="s">
        <v>282</v>
      </c>
      <c r="R245" s="323" t="s">
        <v>282</v>
      </c>
      <c r="S245" s="323" t="s">
        <v>282</v>
      </c>
      <c r="T245" s="323" t="s">
        <v>282</v>
      </c>
      <c r="U245" s="323" t="s">
        <v>282</v>
      </c>
      <c r="V245" s="323" t="s">
        <v>282</v>
      </c>
      <c r="W245" s="324" t="s">
        <v>282</v>
      </c>
      <c r="X245" s="324" t="s">
        <v>282</v>
      </c>
      <c r="Y245" s="325" t="s">
        <v>282</v>
      </c>
    </row>
    <row r="246" spans="1:25">
      <c r="A246" s="319">
        <v>5</v>
      </c>
      <c r="B246" s="320" t="str">
        <f>VLOOKUP(Tabel10[[#This Row],[Code]],Ruimtegroepen[[Code]:[Ruimte omschrijving]],2,FALSE)</f>
        <v>Sanitair</v>
      </c>
      <c r="C246" s="321" t="s">
        <v>486</v>
      </c>
      <c r="D246" s="320" t="s">
        <v>21</v>
      </c>
      <c r="E246" s="321" t="s">
        <v>101</v>
      </c>
      <c r="F246" s="321" t="s">
        <v>489</v>
      </c>
      <c r="G246" s="326" t="s">
        <v>282</v>
      </c>
      <c r="H246" s="322" t="s">
        <v>282</v>
      </c>
      <c r="I246" s="322" t="s">
        <v>282</v>
      </c>
      <c r="J246" s="322" t="s">
        <v>18</v>
      </c>
      <c r="K246" s="322" t="s">
        <v>15</v>
      </c>
      <c r="L246" s="322" t="s">
        <v>282</v>
      </c>
      <c r="M246" s="322" t="s">
        <v>282</v>
      </c>
      <c r="N246" s="322" t="s">
        <v>282</v>
      </c>
      <c r="O246" s="323" t="s">
        <v>282</v>
      </c>
      <c r="P246" s="323" t="s">
        <v>282</v>
      </c>
      <c r="Q246" s="323" t="s">
        <v>282</v>
      </c>
      <c r="R246" s="323" t="s">
        <v>282</v>
      </c>
      <c r="S246" s="323" t="s">
        <v>282</v>
      </c>
      <c r="T246" s="323" t="s">
        <v>282</v>
      </c>
      <c r="U246" s="323" t="s">
        <v>282</v>
      </c>
      <c r="V246" s="323" t="s">
        <v>282</v>
      </c>
      <c r="W246" s="324" t="s">
        <v>18</v>
      </c>
      <c r="X246" s="324" t="s">
        <v>15</v>
      </c>
      <c r="Y246" s="325" t="s">
        <v>282</v>
      </c>
    </row>
    <row r="247" spans="1:25">
      <c r="A247" s="319">
        <v>5</v>
      </c>
      <c r="B247" s="320" t="str">
        <f>VLOOKUP(Tabel10[[#This Row],[Code]],Ruimtegroepen[[Code]:[Ruimte omschrijving]],2,FALSE)</f>
        <v>Sanitair</v>
      </c>
      <c r="C247" s="321" t="s">
        <v>486</v>
      </c>
      <c r="D247" s="320" t="s">
        <v>21</v>
      </c>
      <c r="E247" s="321" t="s">
        <v>102</v>
      </c>
      <c r="F247" s="321" t="s">
        <v>490</v>
      </c>
      <c r="G247" s="326" t="s">
        <v>282</v>
      </c>
      <c r="H247" s="322" t="s">
        <v>282</v>
      </c>
      <c r="I247" s="322" t="s">
        <v>282</v>
      </c>
      <c r="J247" s="322" t="s">
        <v>18</v>
      </c>
      <c r="K247" s="322" t="s">
        <v>15</v>
      </c>
      <c r="L247" s="322" t="s">
        <v>282</v>
      </c>
      <c r="M247" s="322" t="s">
        <v>282</v>
      </c>
      <c r="N247" s="322" t="s">
        <v>282</v>
      </c>
      <c r="O247" s="323" t="s">
        <v>282</v>
      </c>
      <c r="P247" s="323" t="s">
        <v>282</v>
      </c>
      <c r="Q247" s="323" t="s">
        <v>282</v>
      </c>
      <c r="R247" s="323" t="s">
        <v>282</v>
      </c>
      <c r="S247" s="323" t="s">
        <v>282</v>
      </c>
      <c r="T247" s="323" t="s">
        <v>282</v>
      </c>
      <c r="U247" s="323" t="s">
        <v>282</v>
      </c>
      <c r="V247" s="323" t="s">
        <v>282</v>
      </c>
      <c r="W247" s="324" t="s">
        <v>18</v>
      </c>
      <c r="X247" s="324" t="s">
        <v>15</v>
      </c>
      <c r="Y247" s="325" t="s">
        <v>282</v>
      </c>
    </row>
    <row r="248" spans="1:25">
      <c r="A248" s="319">
        <v>5</v>
      </c>
      <c r="B248" s="320" t="str">
        <f>VLOOKUP(Tabel10[[#This Row],[Code]],Ruimtegroepen[[Code]:[Ruimte omschrijving]],2,FALSE)</f>
        <v>Sanitair</v>
      </c>
      <c r="C248" s="321" t="s">
        <v>486</v>
      </c>
      <c r="D248" s="320" t="s">
        <v>21</v>
      </c>
      <c r="E248" s="321" t="s">
        <v>99</v>
      </c>
      <c r="F248" s="321" t="s">
        <v>488</v>
      </c>
      <c r="G248" s="326" t="s">
        <v>282</v>
      </c>
      <c r="H248" s="322" t="s">
        <v>282</v>
      </c>
      <c r="I248" s="322" t="s">
        <v>282</v>
      </c>
      <c r="J248" s="322" t="s">
        <v>282</v>
      </c>
      <c r="K248" s="322" t="s">
        <v>282</v>
      </c>
      <c r="L248" s="322" t="s">
        <v>282</v>
      </c>
      <c r="M248" s="322" t="s">
        <v>282</v>
      </c>
      <c r="N248" s="322" t="s">
        <v>282</v>
      </c>
      <c r="O248" s="323" t="s">
        <v>282</v>
      </c>
      <c r="P248" s="323" t="s">
        <v>282</v>
      </c>
      <c r="Q248" s="323" t="s">
        <v>282</v>
      </c>
      <c r="R248" s="323" t="s">
        <v>282</v>
      </c>
      <c r="S248" s="323" t="s">
        <v>282</v>
      </c>
      <c r="T248" s="323" t="s">
        <v>282</v>
      </c>
      <c r="U248" s="323" t="s">
        <v>282</v>
      </c>
      <c r="V248" s="323" t="s">
        <v>282</v>
      </c>
      <c r="W248" s="324" t="s">
        <v>282</v>
      </c>
      <c r="X248" s="324" t="s">
        <v>282</v>
      </c>
      <c r="Y248" s="325" t="s">
        <v>282</v>
      </c>
    </row>
    <row r="249" spans="1:25">
      <c r="A249" s="319">
        <v>5</v>
      </c>
      <c r="B249" s="320" t="str">
        <f>VLOOKUP(Tabel10[[#This Row],[Code]],Ruimtegroepen[[Code]:[Ruimte omschrijving]],2,FALSE)</f>
        <v>Sanitair</v>
      </c>
      <c r="C249" s="321" t="s">
        <v>486</v>
      </c>
      <c r="D249" s="320" t="s">
        <v>21</v>
      </c>
      <c r="E249" s="321" t="s">
        <v>1306</v>
      </c>
      <c r="F249" s="321" t="s">
        <v>1442</v>
      </c>
      <c r="G249" s="326" t="s">
        <v>282</v>
      </c>
      <c r="H249" s="322" t="s">
        <v>282</v>
      </c>
      <c r="I249" s="322" t="s">
        <v>282</v>
      </c>
      <c r="J249" s="322" t="s">
        <v>18</v>
      </c>
      <c r="K249" s="322" t="s">
        <v>15</v>
      </c>
      <c r="L249" s="322" t="s">
        <v>282</v>
      </c>
      <c r="M249" s="322" t="s">
        <v>282</v>
      </c>
      <c r="N249" s="322" t="s">
        <v>282</v>
      </c>
      <c r="O249" s="323" t="s">
        <v>282</v>
      </c>
      <c r="P249" s="323" t="s">
        <v>282</v>
      </c>
      <c r="Q249" s="323" t="s">
        <v>282</v>
      </c>
      <c r="R249" s="323" t="s">
        <v>282</v>
      </c>
      <c r="S249" s="323" t="s">
        <v>282</v>
      </c>
      <c r="T249" s="323" t="s">
        <v>282</v>
      </c>
      <c r="U249" s="323" t="s">
        <v>282</v>
      </c>
      <c r="V249" s="323" t="s">
        <v>282</v>
      </c>
      <c r="W249" s="324" t="s">
        <v>18</v>
      </c>
      <c r="X249" s="324" t="s">
        <v>15</v>
      </c>
      <c r="Y249" s="325" t="s">
        <v>282</v>
      </c>
    </row>
    <row r="250" spans="1:25">
      <c r="A250" s="319">
        <v>5</v>
      </c>
      <c r="B250" s="320" t="str">
        <f>VLOOKUP(Tabel10[[#This Row],[Code]],Ruimtegroepen[[Code]:[Ruimte omschrijving]],2,FALSE)</f>
        <v>Sanitair</v>
      </c>
      <c r="C250" s="321" t="s">
        <v>491</v>
      </c>
      <c r="D250" s="320" t="s">
        <v>12</v>
      </c>
      <c r="E250" s="321" t="s">
        <v>100</v>
      </c>
      <c r="F250" s="321" t="s">
        <v>492</v>
      </c>
      <c r="G250" s="326" t="s">
        <v>282</v>
      </c>
      <c r="H250" s="322" t="s">
        <v>282</v>
      </c>
      <c r="I250" s="322" t="s">
        <v>282</v>
      </c>
      <c r="J250" s="322" t="s">
        <v>17</v>
      </c>
      <c r="K250" s="322" t="s">
        <v>15</v>
      </c>
      <c r="L250" s="322" t="s">
        <v>282</v>
      </c>
      <c r="M250" s="322" t="s">
        <v>282</v>
      </c>
      <c r="N250" s="322" t="s">
        <v>282</v>
      </c>
      <c r="O250" s="323" t="s">
        <v>282</v>
      </c>
      <c r="P250" s="323" t="s">
        <v>282</v>
      </c>
      <c r="Q250" s="323" t="s">
        <v>282</v>
      </c>
      <c r="R250" s="323" t="s">
        <v>282</v>
      </c>
      <c r="S250" s="323" t="s">
        <v>282</v>
      </c>
      <c r="T250" s="323" t="s">
        <v>282</v>
      </c>
      <c r="U250" s="323" t="s">
        <v>282</v>
      </c>
      <c r="V250" s="323" t="s">
        <v>282</v>
      </c>
      <c r="W250" s="324" t="s">
        <v>17</v>
      </c>
      <c r="X250" s="324" t="s">
        <v>15</v>
      </c>
      <c r="Y250" s="325" t="s">
        <v>282</v>
      </c>
    </row>
    <row r="251" spans="1:25">
      <c r="A251" s="319">
        <v>5</v>
      </c>
      <c r="B251" s="320" t="str">
        <f>VLOOKUP(Tabel10[[#This Row],[Code]],Ruimtegroepen[[Code]:[Ruimte omschrijving]],2,FALSE)</f>
        <v>Sanitair</v>
      </c>
      <c r="C251" s="321" t="s">
        <v>491</v>
      </c>
      <c r="D251" s="320" t="s">
        <v>12</v>
      </c>
      <c r="E251" s="321" t="s">
        <v>99</v>
      </c>
      <c r="F251" s="321" t="s">
        <v>493</v>
      </c>
      <c r="G251" s="326" t="s">
        <v>282</v>
      </c>
      <c r="H251" s="322" t="s">
        <v>282</v>
      </c>
      <c r="I251" s="322" t="s">
        <v>282</v>
      </c>
      <c r="J251" s="322" t="s">
        <v>282</v>
      </c>
      <c r="K251" s="322" t="s">
        <v>282</v>
      </c>
      <c r="L251" s="322" t="s">
        <v>282</v>
      </c>
      <c r="M251" s="322" t="s">
        <v>282</v>
      </c>
      <c r="N251" s="322" t="s">
        <v>282</v>
      </c>
      <c r="O251" s="323" t="s">
        <v>282</v>
      </c>
      <c r="P251" s="323" t="s">
        <v>282</v>
      </c>
      <c r="Q251" s="323" t="s">
        <v>282</v>
      </c>
      <c r="R251" s="323" t="s">
        <v>282</v>
      </c>
      <c r="S251" s="323" t="s">
        <v>282</v>
      </c>
      <c r="T251" s="323" t="s">
        <v>282</v>
      </c>
      <c r="U251" s="323" t="s">
        <v>282</v>
      </c>
      <c r="V251" s="323" t="s">
        <v>282</v>
      </c>
      <c r="W251" s="324" t="s">
        <v>282</v>
      </c>
      <c r="X251" s="324" t="s">
        <v>282</v>
      </c>
      <c r="Y251" s="325" t="s">
        <v>282</v>
      </c>
    </row>
    <row r="252" spans="1:25">
      <c r="A252" s="319">
        <v>5</v>
      </c>
      <c r="B252" s="320" t="str">
        <f>VLOOKUP(Tabel10[[#This Row],[Code]],Ruimtegroepen[[Code]:[Ruimte omschrijving]],2,FALSE)</f>
        <v>Sanitair</v>
      </c>
      <c r="C252" s="321" t="s">
        <v>491</v>
      </c>
      <c r="D252" s="320" t="s">
        <v>12</v>
      </c>
      <c r="E252" s="321" t="s">
        <v>101</v>
      </c>
      <c r="F252" s="321" t="s">
        <v>494</v>
      </c>
      <c r="G252" s="326" t="s">
        <v>282</v>
      </c>
      <c r="H252" s="322" t="s">
        <v>282</v>
      </c>
      <c r="I252" s="322" t="s">
        <v>282</v>
      </c>
      <c r="J252" s="322" t="s">
        <v>17</v>
      </c>
      <c r="K252" s="322" t="s">
        <v>15</v>
      </c>
      <c r="L252" s="322" t="s">
        <v>282</v>
      </c>
      <c r="M252" s="322" t="s">
        <v>282</v>
      </c>
      <c r="N252" s="322" t="s">
        <v>282</v>
      </c>
      <c r="O252" s="323" t="s">
        <v>282</v>
      </c>
      <c r="P252" s="323" t="s">
        <v>282</v>
      </c>
      <c r="Q252" s="323" t="s">
        <v>282</v>
      </c>
      <c r="R252" s="323" t="s">
        <v>282</v>
      </c>
      <c r="S252" s="323" t="s">
        <v>282</v>
      </c>
      <c r="T252" s="323" t="s">
        <v>282</v>
      </c>
      <c r="U252" s="323" t="s">
        <v>282</v>
      </c>
      <c r="V252" s="323" t="s">
        <v>282</v>
      </c>
      <c r="W252" s="324" t="s">
        <v>17</v>
      </c>
      <c r="X252" s="324" t="s">
        <v>15</v>
      </c>
      <c r="Y252" s="325" t="s">
        <v>282</v>
      </c>
    </row>
    <row r="253" spans="1:25">
      <c r="A253" s="319">
        <v>5</v>
      </c>
      <c r="B253" s="320" t="str">
        <f>VLOOKUP(Tabel10[[#This Row],[Code]],Ruimtegroepen[[Code]:[Ruimte omschrijving]],2,FALSE)</f>
        <v>Sanitair</v>
      </c>
      <c r="C253" s="321" t="s">
        <v>491</v>
      </c>
      <c r="D253" s="320" t="s">
        <v>12</v>
      </c>
      <c r="E253" s="321" t="s">
        <v>102</v>
      </c>
      <c r="F253" s="321" t="s">
        <v>495</v>
      </c>
      <c r="G253" s="326" t="s">
        <v>282</v>
      </c>
      <c r="H253" s="322" t="s">
        <v>282</v>
      </c>
      <c r="I253" s="322" t="s">
        <v>282</v>
      </c>
      <c r="J253" s="322" t="s">
        <v>17</v>
      </c>
      <c r="K253" s="322" t="s">
        <v>15</v>
      </c>
      <c r="L253" s="322" t="s">
        <v>282</v>
      </c>
      <c r="M253" s="322" t="s">
        <v>282</v>
      </c>
      <c r="N253" s="322" t="s">
        <v>282</v>
      </c>
      <c r="O253" s="323" t="s">
        <v>282</v>
      </c>
      <c r="P253" s="323" t="s">
        <v>282</v>
      </c>
      <c r="Q253" s="323" t="s">
        <v>282</v>
      </c>
      <c r="R253" s="323" t="s">
        <v>282</v>
      </c>
      <c r="S253" s="323" t="s">
        <v>282</v>
      </c>
      <c r="T253" s="323" t="s">
        <v>282</v>
      </c>
      <c r="U253" s="323" t="s">
        <v>282</v>
      </c>
      <c r="V253" s="323" t="s">
        <v>282</v>
      </c>
      <c r="W253" s="324" t="s">
        <v>17</v>
      </c>
      <c r="X253" s="324" t="s">
        <v>15</v>
      </c>
      <c r="Y253" s="325" t="s">
        <v>282</v>
      </c>
    </row>
    <row r="254" spans="1:25">
      <c r="A254" s="319">
        <v>5</v>
      </c>
      <c r="B254" s="320" t="str">
        <f>VLOOKUP(Tabel10[[#This Row],[Code]],Ruimtegroepen[[Code]:[Ruimte omschrijving]],2,FALSE)</f>
        <v>Sanitair</v>
      </c>
      <c r="C254" s="321" t="s">
        <v>491</v>
      </c>
      <c r="D254" s="320" t="s">
        <v>12</v>
      </c>
      <c r="E254" s="321" t="s">
        <v>99</v>
      </c>
      <c r="F254" s="321" t="s">
        <v>493</v>
      </c>
      <c r="G254" s="326" t="s">
        <v>282</v>
      </c>
      <c r="H254" s="322" t="s">
        <v>282</v>
      </c>
      <c r="I254" s="322" t="s">
        <v>282</v>
      </c>
      <c r="J254" s="322" t="s">
        <v>282</v>
      </c>
      <c r="K254" s="322" t="s">
        <v>282</v>
      </c>
      <c r="L254" s="322" t="s">
        <v>282</v>
      </c>
      <c r="M254" s="322" t="s">
        <v>282</v>
      </c>
      <c r="N254" s="322" t="s">
        <v>282</v>
      </c>
      <c r="O254" s="323" t="s">
        <v>282</v>
      </c>
      <c r="P254" s="323" t="s">
        <v>282</v>
      </c>
      <c r="Q254" s="323" t="s">
        <v>282</v>
      </c>
      <c r="R254" s="323" t="s">
        <v>282</v>
      </c>
      <c r="S254" s="323" t="s">
        <v>282</v>
      </c>
      <c r="T254" s="323" t="s">
        <v>282</v>
      </c>
      <c r="U254" s="323" t="s">
        <v>282</v>
      </c>
      <c r="V254" s="323" t="s">
        <v>282</v>
      </c>
      <c r="W254" s="324" t="s">
        <v>282</v>
      </c>
      <c r="X254" s="324" t="s">
        <v>282</v>
      </c>
      <c r="Y254" s="325" t="s">
        <v>282</v>
      </c>
    </row>
    <row r="255" spans="1:25">
      <c r="A255" s="319">
        <v>5</v>
      </c>
      <c r="B255" s="320" t="str">
        <f>VLOOKUP(Tabel10[[#This Row],[Code]],Ruimtegroepen[[Code]:[Ruimte omschrijving]],2,FALSE)</f>
        <v>Sanitair</v>
      </c>
      <c r="C255" s="321" t="s">
        <v>491</v>
      </c>
      <c r="D255" s="320" t="s">
        <v>12</v>
      </c>
      <c r="E255" s="321" t="s">
        <v>1306</v>
      </c>
      <c r="F255" s="321" t="s">
        <v>1424</v>
      </c>
      <c r="G255" s="326" t="s">
        <v>282</v>
      </c>
      <c r="H255" s="322" t="s">
        <v>282</v>
      </c>
      <c r="I255" s="322" t="s">
        <v>282</v>
      </c>
      <c r="J255" s="322" t="s">
        <v>17</v>
      </c>
      <c r="K255" s="322" t="s">
        <v>15</v>
      </c>
      <c r="L255" s="322" t="s">
        <v>282</v>
      </c>
      <c r="M255" s="322" t="s">
        <v>282</v>
      </c>
      <c r="N255" s="322" t="s">
        <v>282</v>
      </c>
      <c r="O255" s="323" t="s">
        <v>282</v>
      </c>
      <c r="P255" s="323" t="s">
        <v>282</v>
      </c>
      <c r="Q255" s="323" t="s">
        <v>282</v>
      </c>
      <c r="R255" s="323" t="s">
        <v>282</v>
      </c>
      <c r="S255" s="323" t="s">
        <v>282</v>
      </c>
      <c r="T255" s="323" t="s">
        <v>282</v>
      </c>
      <c r="U255" s="323" t="s">
        <v>282</v>
      </c>
      <c r="V255" s="323" t="s">
        <v>282</v>
      </c>
      <c r="W255" s="324" t="s">
        <v>17</v>
      </c>
      <c r="X255" s="324" t="s">
        <v>15</v>
      </c>
      <c r="Y255" s="325" t="s">
        <v>282</v>
      </c>
    </row>
    <row r="256" spans="1:25">
      <c r="A256" s="319">
        <v>5</v>
      </c>
      <c r="B256" s="320" t="str">
        <f>VLOOKUP(Tabel10[[#This Row],[Code]],Ruimtegroepen[[Code]:[Ruimte omschrijving]],2,FALSE)</f>
        <v>Sanitair</v>
      </c>
      <c r="C256" s="321" t="s">
        <v>496</v>
      </c>
      <c r="D256" s="320" t="s">
        <v>14</v>
      </c>
      <c r="E256" s="321" t="s">
        <v>100</v>
      </c>
      <c r="F256" s="321" t="s">
        <v>497</v>
      </c>
      <c r="G256" s="326" t="s">
        <v>282</v>
      </c>
      <c r="H256" s="322" t="s">
        <v>282</v>
      </c>
      <c r="I256" s="322" t="s">
        <v>282</v>
      </c>
      <c r="J256" s="322" t="s">
        <v>15</v>
      </c>
      <c r="K256" s="322" t="s">
        <v>15</v>
      </c>
      <c r="L256" s="322" t="s">
        <v>282</v>
      </c>
      <c r="M256" s="322" t="s">
        <v>282</v>
      </c>
      <c r="N256" s="322" t="s">
        <v>282</v>
      </c>
      <c r="O256" s="323" t="s">
        <v>282</v>
      </c>
      <c r="P256" s="323" t="s">
        <v>282</v>
      </c>
      <c r="Q256" s="323" t="s">
        <v>282</v>
      </c>
      <c r="R256" s="323" t="s">
        <v>282</v>
      </c>
      <c r="S256" s="323" t="s">
        <v>282</v>
      </c>
      <c r="T256" s="323" t="s">
        <v>282</v>
      </c>
      <c r="U256" s="323" t="s">
        <v>282</v>
      </c>
      <c r="V256" s="323" t="s">
        <v>282</v>
      </c>
      <c r="W256" s="324" t="s">
        <v>15</v>
      </c>
      <c r="X256" s="324" t="s">
        <v>15</v>
      </c>
      <c r="Y256" s="325" t="s">
        <v>282</v>
      </c>
    </row>
    <row r="257" spans="1:25">
      <c r="A257" s="319">
        <v>5</v>
      </c>
      <c r="B257" s="320" t="str">
        <f>VLOOKUP(Tabel10[[#This Row],[Code]],Ruimtegroepen[[Code]:[Ruimte omschrijving]],2,FALSE)</f>
        <v>Sanitair</v>
      </c>
      <c r="C257" s="321" t="s">
        <v>496</v>
      </c>
      <c r="D257" s="320" t="s">
        <v>14</v>
      </c>
      <c r="E257" s="321" t="s">
        <v>99</v>
      </c>
      <c r="F257" s="321" t="s">
        <v>498</v>
      </c>
      <c r="G257" s="326" t="s">
        <v>282</v>
      </c>
      <c r="H257" s="322" t="s">
        <v>282</v>
      </c>
      <c r="I257" s="322" t="s">
        <v>282</v>
      </c>
      <c r="J257" s="322" t="s">
        <v>282</v>
      </c>
      <c r="K257" s="322" t="s">
        <v>282</v>
      </c>
      <c r="L257" s="322" t="s">
        <v>282</v>
      </c>
      <c r="M257" s="322" t="s">
        <v>282</v>
      </c>
      <c r="N257" s="322" t="s">
        <v>282</v>
      </c>
      <c r="O257" s="323" t="s">
        <v>282</v>
      </c>
      <c r="P257" s="323" t="s">
        <v>282</v>
      </c>
      <c r="Q257" s="323" t="s">
        <v>282</v>
      </c>
      <c r="R257" s="323" t="s">
        <v>282</v>
      </c>
      <c r="S257" s="323" t="s">
        <v>282</v>
      </c>
      <c r="T257" s="323" t="s">
        <v>282</v>
      </c>
      <c r="U257" s="323" t="s">
        <v>282</v>
      </c>
      <c r="V257" s="323" t="s">
        <v>282</v>
      </c>
      <c r="W257" s="324" t="s">
        <v>282</v>
      </c>
      <c r="X257" s="324" t="s">
        <v>282</v>
      </c>
      <c r="Y257" s="325" t="s">
        <v>282</v>
      </c>
    </row>
    <row r="258" spans="1:25">
      <c r="A258" s="319">
        <v>5</v>
      </c>
      <c r="B258" s="320" t="str">
        <f>VLOOKUP(Tabel10[[#This Row],[Code]],Ruimtegroepen[[Code]:[Ruimte omschrijving]],2,FALSE)</f>
        <v>Sanitair</v>
      </c>
      <c r="C258" s="321" t="s">
        <v>496</v>
      </c>
      <c r="D258" s="320" t="s">
        <v>14</v>
      </c>
      <c r="E258" s="321" t="s">
        <v>101</v>
      </c>
      <c r="F258" s="321" t="s">
        <v>499</v>
      </c>
      <c r="G258" s="326" t="s">
        <v>282</v>
      </c>
      <c r="H258" s="322" t="s">
        <v>282</v>
      </c>
      <c r="I258" s="322" t="s">
        <v>282</v>
      </c>
      <c r="J258" s="322" t="s">
        <v>15</v>
      </c>
      <c r="K258" s="322" t="s">
        <v>15</v>
      </c>
      <c r="L258" s="322" t="s">
        <v>282</v>
      </c>
      <c r="M258" s="322" t="s">
        <v>282</v>
      </c>
      <c r="N258" s="322" t="s">
        <v>282</v>
      </c>
      <c r="O258" s="323" t="s">
        <v>282</v>
      </c>
      <c r="P258" s="323" t="s">
        <v>282</v>
      </c>
      <c r="Q258" s="323" t="s">
        <v>282</v>
      </c>
      <c r="R258" s="323" t="s">
        <v>282</v>
      </c>
      <c r="S258" s="323" t="s">
        <v>282</v>
      </c>
      <c r="T258" s="323" t="s">
        <v>282</v>
      </c>
      <c r="U258" s="323" t="s">
        <v>282</v>
      </c>
      <c r="V258" s="323" t="s">
        <v>282</v>
      </c>
      <c r="W258" s="324" t="s">
        <v>15</v>
      </c>
      <c r="X258" s="324" t="s">
        <v>15</v>
      </c>
      <c r="Y258" s="325" t="s">
        <v>282</v>
      </c>
    </row>
    <row r="259" spans="1:25">
      <c r="A259" s="319">
        <v>5</v>
      </c>
      <c r="B259" s="320" t="str">
        <f>VLOOKUP(Tabel10[[#This Row],[Code]],Ruimtegroepen[[Code]:[Ruimte omschrijving]],2,FALSE)</f>
        <v>Sanitair</v>
      </c>
      <c r="C259" s="321" t="s">
        <v>496</v>
      </c>
      <c r="D259" s="320" t="s">
        <v>14</v>
      </c>
      <c r="E259" s="321" t="s">
        <v>102</v>
      </c>
      <c r="F259" s="321" t="s">
        <v>500</v>
      </c>
      <c r="G259" s="326" t="s">
        <v>282</v>
      </c>
      <c r="H259" s="322" t="s">
        <v>282</v>
      </c>
      <c r="I259" s="322" t="s">
        <v>282</v>
      </c>
      <c r="J259" s="322" t="s">
        <v>15</v>
      </c>
      <c r="K259" s="322" t="s">
        <v>15</v>
      </c>
      <c r="L259" s="322" t="s">
        <v>282</v>
      </c>
      <c r="M259" s="322" t="s">
        <v>282</v>
      </c>
      <c r="N259" s="322" t="s">
        <v>282</v>
      </c>
      <c r="O259" s="323" t="s">
        <v>282</v>
      </c>
      <c r="P259" s="323" t="s">
        <v>282</v>
      </c>
      <c r="Q259" s="323" t="s">
        <v>282</v>
      </c>
      <c r="R259" s="323" t="s">
        <v>282</v>
      </c>
      <c r="S259" s="323" t="s">
        <v>282</v>
      </c>
      <c r="T259" s="323" t="s">
        <v>282</v>
      </c>
      <c r="U259" s="323" t="s">
        <v>282</v>
      </c>
      <c r="V259" s="323" t="s">
        <v>282</v>
      </c>
      <c r="W259" s="324" t="s">
        <v>15</v>
      </c>
      <c r="X259" s="324" t="s">
        <v>15</v>
      </c>
      <c r="Y259" s="325" t="s">
        <v>282</v>
      </c>
    </row>
    <row r="260" spans="1:25">
      <c r="A260" s="319">
        <v>5</v>
      </c>
      <c r="B260" s="320" t="str">
        <f>VLOOKUP(Tabel10[[#This Row],[Code]],Ruimtegroepen[[Code]:[Ruimte omschrijving]],2,FALSE)</f>
        <v>Sanitair</v>
      </c>
      <c r="C260" s="321" t="s">
        <v>496</v>
      </c>
      <c r="D260" s="320" t="s">
        <v>14</v>
      </c>
      <c r="E260" s="321" t="s">
        <v>99</v>
      </c>
      <c r="F260" s="321" t="s">
        <v>498</v>
      </c>
      <c r="G260" s="326" t="s">
        <v>282</v>
      </c>
      <c r="H260" s="322" t="s">
        <v>282</v>
      </c>
      <c r="I260" s="322" t="s">
        <v>282</v>
      </c>
      <c r="J260" s="322" t="s">
        <v>282</v>
      </c>
      <c r="K260" s="322" t="s">
        <v>282</v>
      </c>
      <c r="L260" s="322" t="s">
        <v>282</v>
      </c>
      <c r="M260" s="322" t="s">
        <v>282</v>
      </c>
      <c r="N260" s="322" t="s">
        <v>282</v>
      </c>
      <c r="O260" s="323" t="s">
        <v>282</v>
      </c>
      <c r="P260" s="323" t="s">
        <v>282</v>
      </c>
      <c r="Q260" s="323" t="s">
        <v>282</v>
      </c>
      <c r="R260" s="323" t="s">
        <v>282</v>
      </c>
      <c r="S260" s="323" t="s">
        <v>282</v>
      </c>
      <c r="T260" s="323" t="s">
        <v>282</v>
      </c>
      <c r="U260" s="323" t="s">
        <v>282</v>
      </c>
      <c r="V260" s="323" t="s">
        <v>282</v>
      </c>
      <c r="W260" s="324" t="s">
        <v>282</v>
      </c>
      <c r="X260" s="324" t="s">
        <v>282</v>
      </c>
      <c r="Y260" s="325" t="s">
        <v>282</v>
      </c>
    </row>
    <row r="261" spans="1:25">
      <c r="A261" s="319">
        <v>5</v>
      </c>
      <c r="B261" s="320" t="str">
        <f>VLOOKUP(Tabel10[[#This Row],[Code]],Ruimtegroepen[[Code]:[Ruimte omschrijving]],2,FALSE)</f>
        <v>Sanitair</v>
      </c>
      <c r="C261" s="321" t="s">
        <v>496</v>
      </c>
      <c r="D261" s="320" t="s">
        <v>14</v>
      </c>
      <c r="E261" s="321" t="s">
        <v>1306</v>
      </c>
      <c r="F261" s="321" t="s">
        <v>1391</v>
      </c>
      <c r="G261" s="326" t="s">
        <v>282</v>
      </c>
      <c r="H261" s="322" t="s">
        <v>282</v>
      </c>
      <c r="I261" s="322" t="s">
        <v>282</v>
      </c>
      <c r="J261" s="322" t="s">
        <v>15</v>
      </c>
      <c r="K261" s="322" t="s">
        <v>15</v>
      </c>
      <c r="L261" s="322" t="s">
        <v>282</v>
      </c>
      <c r="M261" s="322" t="s">
        <v>282</v>
      </c>
      <c r="N261" s="322" t="s">
        <v>282</v>
      </c>
      <c r="O261" s="323" t="s">
        <v>282</v>
      </c>
      <c r="P261" s="323" t="s">
        <v>282</v>
      </c>
      <c r="Q261" s="323" t="s">
        <v>282</v>
      </c>
      <c r="R261" s="323" t="s">
        <v>282</v>
      </c>
      <c r="S261" s="323" t="s">
        <v>282</v>
      </c>
      <c r="T261" s="323" t="s">
        <v>282</v>
      </c>
      <c r="U261" s="323" t="s">
        <v>282</v>
      </c>
      <c r="V261" s="323" t="s">
        <v>282</v>
      </c>
      <c r="W261" s="324" t="s">
        <v>15</v>
      </c>
      <c r="X261" s="324" t="s">
        <v>15</v>
      </c>
      <c r="Y261" s="325" t="s">
        <v>282</v>
      </c>
    </row>
    <row r="262" spans="1:25">
      <c r="A262" s="319">
        <v>5</v>
      </c>
      <c r="B262" s="320" t="str">
        <f>VLOOKUP(Tabel10[[#This Row],[Code]],Ruimtegroepen[[Code]:[Ruimte omschrijving]],2,FALSE)</f>
        <v>Sanitair</v>
      </c>
      <c r="C262" s="321" t="s">
        <v>501</v>
      </c>
      <c r="D262" s="320" t="s">
        <v>13</v>
      </c>
      <c r="E262" s="321" t="s">
        <v>100</v>
      </c>
      <c r="F262" s="321" t="s">
        <v>502</v>
      </c>
      <c r="G262" s="326" t="s">
        <v>282</v>
      </c>
      <c r="H262" s="322" t="s">
        <v>282</v>
      </c>
      <c r="I262" s="322" t="s">
        <v>282</v>
      </c>
      <c r="J262" s="322" t="s">
        <v>282</v>
      </c>
      <c r="K262" s="322" t="s">
        <v>15</v>
      </c>
      <c r="L262" s="322" t="s">
        <v>282</v>
      </c>
      <c r="M262" s="322" t="s">
        <v>282</v>
      </c>
      <c r="N262" s="322" t="s">
        <v>282</v>
      </c>
      <c r="O262" s="323" t="s">
        <v>282</v>
      </c>
      <c r="P262" s="323" t="s">
        <v>282</v>
      </c>
      <c r="Q262" s="323" t="s">
        <v>282</v>
      </c>
      <c r="R262" s="323" t="s">
        <v>282</v>
      </c>
      <c r="S262" s="323" t="s">
        <v>282</v>
      </c>
      <c r="T262" s="323" t="s">
        <v>282</v>
      </c>
      <c r="U262" s="323" t="s">
        <v>282</v>
      </c>
      <c r="V262" s="323" t="s">
        <v>282</v>
      </c>
      <c r="W262" s="324" t="s">
        <v>282</v>
      </c>
      <c r="X262" s="324" t="s">
        <v>15</v>
      </c>
      <c r="Y262" s="325" t="s">
        <v>282</v>
      </c>
    </row>
    <row r="263" spans="1:25">
      <c r="A263" s="319">
        <v>5</v>
      </c>
      <c r="B263" s="320" t="str">
        <f>VLOOKUP(Tabel10[[#This Row],[Code]],Ruimtegroepen[[Code]:[Ruimte omschrijving]],2,FALSE)</f>
        <v>Sanitair</v>
      </c>
      <c r="C263" s="321" t="s">
        <v>501</v>
      </c>
      <c r="D263" s="320" t="s">
        <v>13</v>
      </c>
      <c r="E263" s="321" t="s">
        <v>99</v>
      </c>
      <c r="F263" s="321" t="s">
        <v>503</v>
      </c>
      <c r="G263" s="326" t="s">
        <v>282</v>
      </c>
      <c r="H263" s="322" t="s">
        <v>282</v>
      </c>
      <c r="I263" s="322" t="s">
        <v>282</v>
      </c>
      <c r="J263" s="322" t="s">
        <v>282</v>
      </c>
      <c r="K263" s="322" t="s">
        <v>282</v>
      </c>
      <c r="L263" s="322" t="s">
        <v>282</v>
      </c>
      <c r="M263" s="322" t="s">
        <v>282</v>
      </c>
      <c r="N263" s="322" t="s">
        <v>282</v>
      </c>
      <c r="O263" s="323" t="s">
        <v>282</v>
      </c>
      <c r="P263" s="323" t="s">
        <v>282</v>
      </c>
      <c r="Q263" s="323" t="s">
        <v>282</v>
      </c>
      <c r="R263" s="323" t="s">
        <v>282</v>
      </c>
      <c r="S263" s="323" t="s">
        <v>282</v>
      </c>
      <c r="T263" s="323" t="s">
        <v>282</v>
      </c>
      <c r="U263" s="323" t="s">
        <v>282</v>
      </c>
      <c r="V263" s="323" t="s">
        <v>282</v>
      </c>
      <c r="W263" s="324" t="s">
        <v>282</v>
      </c>
      <c r="X263" s="324" t="s">
        <v>282</v>
      </c>
      <c r="Y263" s="325" t="s">
        <v>282</v>
      </c>
    </row>
    <row r="264" spans="1:25">
      <c r="A264" s="319">
        <v>5</v>
      </c>
      <c r="B264" s="320" t="str">
        <f>VLOOKUP(Tabel10[[#This Row],[Code]],Ruimtegroepen[[Code]:[Ruimte omschrijving]],2,FALSE)</f>
        <v>Sanitair</v>
      </c>
      <c r="C264" s="321" t="s">
        <v>501</v>
      </c>
      <c r="D264" s="320" t="s">
        <v>13</v>
      </c>
      <c r="E264" s="321" t="s">
        <v>101</v>
      </c>
      <c r="F264" s="321" t="s">
        <v>504</v>
      </c>
      <c r="G264" s="326" t="s">
        <v>282</v>
      </c>
      <c r="H264" s="322" t="s">
        <v>282</v>
      </c>
      <c r="I264" s="322" t="s">
        <v>282</v>
      </c>
      <c r="J264" s="322" t="s">
        <v>282</v>
      </c>
      <c r="K264" s="322" t="s">
        <v>15</v>
      </c>
      <c r="L264" s="322" t="s">
        <v>282</v>
      </c>
      <c r="M264" s="322" t="s">
        <v>282</v>
      </c>
      <c r="N264" s="322" t="s">
        <v>282</v>
      </c>
      <c r="O264" s="323" t="s">
        <v>282</v>
      </c>
      <c r="P264" s="323" t="s">
        <v>282</v>
      </c>
      <c r="Q264" s="323" t="s">
        <v>282</v>
      </c>
      <c r="R264" s="323" t="s">
        <v>282</v>
      </c>
      <c r="S264" s="323" t="s">
        <v>282</v>
      </c>
      <c r="T264" s="323" t="s">
        <v>282</v>
      </c>
      <c r="U264" s="323" t="s">
        <v>282</v>
      </c>
      <c r="V264" s="323" t="s">
        <v>282</v>
      </c>
      <c r="W264" s="324" t="s">
        <v>282</v>
      </c>
      <c r="X264" s="324" t="s">
        <v>15</v>
      </c>
      <c r="Y264" s="325" t="s">
        <v>282</v>
      </c>
    </row>
    <row r="265" spans="1:25">
      <c r="A265" s="319">
        <v>5</v>
      </c>
      <c r="B265" s="320" t="str">
        <f>VLOOKUP(Tabel10[[#This Row],[Code]],Ruimtegroepen[[Code]:[Ruimte omschrijving]],2,FALSE)</f>
        <v>Sanitair</v>
      </c>
      <c r="C265" s="321" t="s">
        <v>501</v>
      </c>
      <c r="D265" s="320" t="s">
        <v>13</v>
      </c>
      <c r="E265" s="321" t="s">
        <v>102</v>
      </c>
      <c r="F265" s="321" t="s">
        <v>505</v>
      </c>
      <c r="G265" s="326" t="s">
        <v>282</v>
      </c>
      <c r="H265" s="322" t="s">
        <v>282</v>
      </c>
      <c r="I265" s="322" t="s">
        <v>282</v>
      </c>
      <c r="J265" s="322" t="s">
        <v>282</v>
      </c>
      <c r="K265" s="322" t="s">
        <v>15</v>
      </c>
      <c r="L265" s="322" t="s">
        <v>282</v>
      </c>
      <c r="M265" s="322" t="s">
        <v>282</v>
      </c>
      <c r="N265" s="322" t="s">
        <v>282</v>
      </c>
      <c r="O265" s="323" t="s">
        <v>282</v>
      </c>
      <c r="P265" s="323" t="s">
        <v>282</v>
      </c>
      <c r="Q265" s="323" t="s">
        <v>282</v>
      </c>
      <c r="R265" s="323" t="s">
        <v>282</v>
      </c>
      <c r="S265" s="323" t="s">
        <v>282</v>
      </c>
      <c r="T265" s="323" t="s">
        <v>282</v>
      </c>
      <c r="U265" s="323" t="s">
        <v>282</v>
      </c>
      <c r="V265" s="323" t="s">
        <v>282</v>
      </c>
      <c r="W265" s="324" t="s">
        <v>282</v>
      </c>
      <c r="X265" s="324" t="s">
        <v>15</v>
      </c>
      <c r="Y265" s="325" t="s">
        <v>282</v>
      </c>
    </row>
    <row r="266" spans="1:25">
      <c r="A266" s="319">
        <v>5</v>
      </c>
      <c r="B266" s="320" t="str">
        <f>VLOOKUP(Tabel10[[#This Row],[Code]],Ruimtegroepen[[Code]:[Ruimte omschrijving]],2,FALSE)</f>
        <v>Sanitair</v>
      </c>
      <c r="C266" s="321" t="s">
        <v>501</v>
      </c>
      <c r="D266" s="320" t="s">
        <v>13</v>
      </c>
      <c r="E266" s="321" t="s">
        <v>99</v>
      </c>
      <c r="F266" s="321" t="s">
        <v>503</v>
      </c>
      <c r="G266" s="326" t="s">
        <v>282</v>
      </c>
      <c r="H266" s="322" t="s">
        <v>282</v>
      </c>
      <c r="I266" s="322" t="s">
        <v>282</v>
      </c>
      <c r="J266" s="322" t="s">
        <v>282</v>
      </c>
      <c r="K266" s="322" t="s">
        <v>282</v>
      </c>
      <c r="L266" s="322" t="s">
        <v>282</v>
      </c>
      <c r="M266" s="322" t="s">
        <v>282</v>
      </c>
      <c r="N266" s="322" t="s">
        <v>282</v>
      </c>
      <c r="O266" s="323" t="s">
        <v>282</v>
      </c>
      <c r="P266" s="323" t="s">
        <v>282</v>
      </c>
      <c r="Q266" s="323" t="s">
        <v>282</v>
      </c>
      <c r="R266" s="323" t="s">
        <v>282</v>
      </c>
      <c r="S266" s="323" t="s">
        <v>282</v>
      </c>
      <c r="T266" s="323" t="s">
        <v>282</v>
      </c>
      <c r="U266" s="323" t="s">
        <v>282</v>
      </c>
      <c r="V266" s="323" t="s">
        <v>282</v>
      </c>
      <c r="W266" s="324" t="s">
        <v>282</v>
      </c>
      <c r="X266" s="324" t="s">
        <v>282</v>
      </c>
      <c r="Y266" s="325" t="s">
        <v>282</v>
      </c>
    </row>
    <row r="267" spans="1:25">
      <c r="A267" s="319">
        <v>5</v>
      </c>
      <c r="B267" s="320" t="str">
        <f>VLOOKUP(Tabel10[[#This Row],[Code]],Ruimtegroepen[[Code]:[Ruimte omschrijving]],2,FALSE)</f>
        <v>Sanitair</v>
      </c>
      <c r="C267" s="321" t="s">
        <v>501</v>
      </c>
      <c r="D267" s="320" t="s">
        <v>13</v>
      </c>
      <c r="E267" s="321" t="s">
        <v>1306</v>
      </c>
      <c r="F267" s="321" t="s">
        <v>1358</v>
      </c>
      <c r="G267" s="326" t="s">
        <v>282</v>
      </c>
      <c r="H267" s="322" t="s">
        <v>282</v>
      </c>
      <c r="I267" s="322" t="s">
        <v>282</v>
      </c>
      <c r="J267" s="322" t="s">
        <v>282</v>
      </c>
      <c r="K267" s="322" t="s">
        <v>15</v>
      </c>
      <c r="L267" s="322" t="s">
        <v>282</v>
      </c>
      <c r="M267" s="322" t="s">
        <v>282</v>
      </c>
      <c r="N267" s="322" t="s">
        <v>282</v>
      </c>
      <c r="O267" s="323" t="s">
        <v>282</v>
      </c>
      <c r="P267" s="323" t="s">
        <v>282</v>
      </c>
      <c r="Q267" s="323" t="s">
        <v>282</v>
      </c>
      <c r="R267" s="323" t="s">
        <v>282</v>
      </c>
      <c r="S267" s="323" t="s">
        <v>282</v>
      </c>
      <c r="T267" s="323" t="s">
        <v>282</v>
      </c>
      <c r="U267" s="323" t="s">
        <v>282</v>
      </c>
      <c r="V267" s="323" t="s">
        <v>282</v>
      </c>
      <c r="W267" s="324" t="s">
        <v>282</v>
      </c>
      <c r="X267" s="324" t="s">
        <v>15</v>
      </c>
      <c r="Y267" s="325" t="s">
        <v>282</v>
      </c>
    </row>
    <row r="268" spans="1:25">
      <c r="A268" s="319">
        <v>5</v>
      </c>
      <c r="B268" s="320" t="str">
        <f>VLOOKUP(Tabel10[[#This Row],[Code]],Ruimtegroepen[[Code]:[Ruimte omschrijving]],2,FALSE)</f>
        <v>Sanitair</v>
      </c>
      <c r="C268" s="321" t="s">
        <v>506</v>
      </c>
      <c r="D268" s="320" t="s">
        <v>0</v>
      </c>
      <c r="E268" s="321" t="s">
        <v>100</v>
      </c>
      <c r="F268" s="321" t="s">
        <v>507</v>
      </c>
      <c r="G268" s="326" t="s">
        <v>282</v>
      </c>
      <c r="H268" s="322" t="s">
        <v>282</v>
      </c>
      <c r="I268" s="322" t="s">
        <v>282</v>
      </c>
      <c r="J268" s="322" t="s">
        <v>282</v>
      </c>
      <c r="K268" s="322" t="s">
        <v>16</v>
      </c>
      <c r="L268" s="322" t="s">
        <v>282</v>
      </c>
      <c r="M268" s="322" t="s">
        <v>282</v>
      </c>
      <c r="N268" s="322" t="s">
        <v>282</v>
      </c>
      <c r="O268" s="323" t="s">
        <v>282</v>
      </c>
      <c r="P268" s="323" t="s">
        <v>282</v>
      </c>
      <c r="Q268" s="323" t="s">
        <v>282</v>
      </c>
      <c r="R268" s="323" t="s">
        <v>282</v>
      </c>
      <c r="S268" s="323" t="s">
        <v>282</v>
      </c>
      <c r="T268" s="323" t="s">
        <v>282</v>
      </c>
      <c r="U268" s="323" t="s">
        <v>282</v>
      </c>
      <c r="V268" s="323" t="s">
        <v>282</v>
      </c>
      <c r="W268" s="324" t="s">
        <v>282</v>
      </c>
      <c r="X268" s="324" t="s">
        <v>16</v>
      </c>
      <c r="Y268" s="325" t="s">
        <v>282</v>
      </c>
    </row>
    <row r="269" spans="1:25">
      <c r="A269" s="319">
        <v>5</v>
      </c>
      <c r="B269" s="320" t="str">
        <f>VLOOKUP(Tabel10[[#This Row],[Code]],Ruimtegroepen[[Code]:[Ruimte omschrijving]],2,FALSE)</f>
        <v>Sanitair</v>
      </c>
      <c r="C269" s="321" t="s">
        <v>506</v>
      </c>
      <c r="D269" s="320" t="s">
        <v>0</v>
      </c>
      <c r="E269" s="321" t="s">
        <v>99</v>
      </c>
      <c r="F269" s="321" t="s">
        <v>508</v>
      </c>
      <c r="G269" s="326" t="s">
        <v>282</v>
      </c>
      <c r="H269" s="322" t="s">
        <v>282</v>
      </c>
      <c r="I269" s="322" t="s">
        <v>282</v>
      </c>
      <c r="J269" s="322" t="s">
        <v>282</v>
      </c>
      <c r="K269" s="322" t="s">
        <v>282</v>
      </c>
      <c r="L269" s="322" t="s">
        <v>282</v>
      </c>
      <c r="M269" s="322" t="s">
        <v>282</v>
      </c>
      <c r="N269" s="322" t="s">
        <v>282</v>
      </c>
      <c r="O269" s="323" t="s">
        <v>282</v>
      </c>
      <c r="P269" s="323" t="s">
        <v>282</v>
      </c>
      <c r="Q269" s="323" t="s">
        <v>282</v>
      </c>
      <c r="R269" s="323" t="s">
        <v>282</v>
      </c>
      <c r="S269" s="323" t="s">
        <v>282</v>
      </c>
      <c r="T269" s="323" t="s">
        <v>282</v>
      </c>
      <c r="U269" s="323" t="s">
        <v>282</v>
      </c>
      <c r="V269" s="323" t="s">
        <v>282</v>
      </c>
      <c r="W269" s="324" t="s">
        <v>282</v>
      </c>
      <c r="X269" s="324" t="s">
        <v>282</v>
      </c>
      <c r="Y269" s="325" t="s">
        <v>282</v>
      </c>
    </row>
    <row r="270" spans="1:25">
      <c r="A270" s="319">
        <v>5</v>
      </c>
      <c r="B270" s="320" t="str">
        <f>VLOOKUP(Tabel10[[#This Row],[Code]],Ruimtegroepen[[Code]:[Ruimte omschrijving]],2,FALSE)</f>
        <v>Sanitair</v>
      </c>
      <c r="C270" s="321" t="s">
        <v>506</v>
      </c>
      <c r="D270" s="320" t="s">
        <v>0</v>
      </c>
      <c r="E270" s="321" t="s">
        <v>101</v>
      </c>
      <c r="F270" s="321" t="s">
        <v>509</v>
      </c>
      <c r="G270" s="326" t="s">
        <v>282</v>
      </c>
      <c r="H270" s="322" t="s">
        <v>282</v>
      </c>
      <c r="I270" s="322" t="s">
        <v>282</v>
      </c>
      <c r="J270" s="322" t="s">
        <v>282</v>
      </c>
      <c r="K270" s="322" t="s">
        <v>16</v>
      </c>
      <c r="L270" s="322" t="s">
        <v>282</v>
      </c>
      <c r="M270" s="322" t="s">
        <v>282</v>
      </c>
      <c r="N270" s="322" t="s">
        <v>282</v>
      </c>
      <c r="O270" s="323" t="s">
        <v>282</v>
      </c>
      <c r="P270" s="323" t="s">
        <v>282</v>
      </c>
      <c r="Q270" s="323" t="s">
        <v>282</v>
      </c>
      <c r="R270" s="323" t="s">
        <v>282</v>
      </c>
      <c r="S270" s="323" t="s">
        <v>282</v>
      </c>
      <c r="T270" s="323" t="s">
        <v>282</v>
      </c>
      <c r="U270" s="323" t="s">
        <v>282</v>
      </c>
      <c r="V270" s="323" t="s">
        <v>282</v>
      </c>
      <c r="W270" s="324" t="s">
        <v>282</v>
      </c>
      <c r="X270" s="324" t="s">
        <v>16</v>
      </c>
      <c r="Y270" s="325" t="s">
        <v>282</v>
      </c>
    </row>
    <row r="271" spans="1:25">
      <c r="A271" s="319">
        <v>5</v>
      </c>
      <c r="B271" s="320" t="str">
        <f>VLOOKUP(Tabel10[[#This Row],[Code]],Ruimtegroepen[[Code]:[Ruimte omschrijving]],2,FALSE)</f>
        <v>Sanitair</v>
      </c>
      <c r="C271" s="321" t="s">
        <v>506</v>
      </c>
      <c r="D271" s="320" t="s">
        <v>0</v>
      </c>
      <c r="E271" s="321" t="s">
        <v>102</v>
      </c>
      <c r="F271" s="321" t="s">
        <v>510</v>
      </c>
      <c r="G271" s="326" t="s">
        <v>282</v>
      </c>
      <c r="H271" s="322" t="s">
        <v>282</v>
      </c>
      <c r="I271" s="322" t="s">
        <v>282</v>
      </c>
      <c r="J271" s="322" t="s">
        <v>282</v>
      </c>
      <c r="K271" s="322" t="s">
        <v>16</v>
      </c>
      <c r="L271" s="322" t="s">
        <v>282</v>
      </c>
      <c r="M271" s="322" t="s">
        <v>282</v>
      </c>
      <c r="N271" s="322" t="s">
        <v>282</v>
      </c>
      <c r="O271" s="323" t="s">
        <v>282</v>
      </c>
      <c r="P271" s="323" t="s">
        <v>282</v>
      </c>
      <c r="Q271" s="323" t="s">
        <v>282</v>
      </c>
      <c r="R271" s="323" t="s">
        <v>282</v>
      </c>
      <c r="S271" s="323" t="s">
        <v>282</v>
      </c>
      <c r="T271" s="323" t="s">
        <v>282</v>
      </c>
      <c r="U271" s="323" t="s">
        <v>282</v>
      </c>
      <c r="V271" s="323" t="s">
        <v>282</v>
      </c>
      <c r="W271" s="324" t="s">
        <v>282</v>
      </c>
      <c r="X271" s="324" t="s">
        <v>16</v>
      </c>
      <c r="Y271" s="325" t="s">
        <v>282</v>
      </c>
    </row>
    <row r="272" spans="1:25">
      <c r="A272" s="319">
        <v>5</v>
      </c>
      <c r="B272" s="320" t="str">
        <f>VLOOKUP(Tabel10[[#This Row],[Code]],Ruimtegroepen[[Code]:[Ruimte omschrijving]],2,FALSE)</f>
        <v>Sanitair</v>
      </c>
      <c r="C272" s="321" t="s">
        <v>506</v>
      </c>
      <c r="D272" s="320" t="s">
        <v>0</v>
      </c>
      <c r="E272" s="321" t="s">
        <v>99</v>
      </c>
      <c r="F272" s="321" t="s">
        <v>508</v>
      </c>
      <c r="G272" s="326" t="s">
        <v>282</v>
      </c>
      <c r="H272" s="322" t="s">
        <v>282</v>
      </c>
      <c r="I272" s="322" t="s">
        <v>282</v>
      </c>
      <c r="J272" s="322" t="s">
        <v>282</v>
      </c>
      <c r="K272" s="322" t="s">
        <v>282</v>
      </c>
      <c r="L272" s="322" t="s">
        <v>282</v>
      </c>
      <c r="M272" s="322" t="s">
        <v>282</v>
      </c>
      <c r="N272" s="322" t="s">
        <v>282</v>
      </c>
      <c r="O272" s="323" t="s">
        <v>282</v>
      </c>
      <c r="P272" s="323" t="s">
        <v>282</v>
      </c>
      <c r="Q272" s="323" t="s">
        <v>282</v>
      </c>
      <c r="R272" s="323" t="s">
        <v>282</v>
      </c>
      <c r="S272" s="323" t="s">
        <v>282</v>
      </c>
      <c r="T272" s="323" t="s">
        <v>282</v>
      </c>
      <c r="U272" s="323" t="s">
        <v>282</v>
      </c>
      <c r="V272" s="323" t="s">
        <v>282</v>
      </c>
      <c r="W272" s="324" t="s">
        <v>282</v>
      </c>
      <c r="X272" s="324" t="s">
        <v>282</v>
      </c>
      <c r="Y272" s="325" t="s">
        <v>282</v>
      </c>
    </row>
    <row r="273" spans="1:25">
      <c r="A273" s="319">
        <v>5</v>
      </c>
      <c r="B273" s="320" t="str">
        <f>VLOOKUP(Tabel10[[#This Row],[Code]],Ruimtegroepen[[Code]:[Ruimte omschrijving]],2,FALSE)</f>
        <v>Sanitair</v>
      </c>
      <c r="C273" s="321" t="s">
        <v>506</v>
      </c>
      <c r="D273" s="320" t="s">
        <v>0</v>
      </c>
      <c r="E273" s="321" t="s">
        <v>1306</v>
      </c>
      <c r="F273" s="321" t="s">
        <v>1342</v>
      </c>
      <c r="G273" s="326" t="s">
        <v>282</v>
      </c>
      <c r="H273" s="322" t="s">
        <v>282</v>
      </c>
      <c r="I273" s="322" t="s">
        <v>282</v>
      </c>
      <c r="J273" s="322" t="s">
        <v>282</v>
      </c>
      <c r="K273" s="322" t="s">
        <v>16</v>
      </c>
      <c r="L273" s="322" t="s">
        <v>282</v>
      </c>
      <c r="M273" s="322" t="s">
        <v>282</v>
      </c>
      <c r="N273" s="322" t="s">
        <v>282</v>
      </c>
      <c r="O273" s="323" t="s">
        <v>282</v>
      </c>
      <c r="P273" s="323" t="s">
        <v>282</v>
      </c>
      <c r="Q273" s="323" t="s">
        <v>282</v>
      </c>
      <c r="R273" s="323" t="s">
        <v>282</v>
      </c>
      <c r="S273" s="323" t="s">
        <v>282</v>
      </c>
      <c r="T273" s="323" t="s">
        <v>282</v>
      </c>
      <c r="U273" s="323" t="s">
        <v>282</v>
      </c>
      <c r="V273" s="323" t="s">
        <v>282</v>
      </c>
      <c r="W273" s="324" t="s">
        <v>282</v>
      </c>
      <c r="X273" s="324" t="s">
        <v>16</v>
      </c>
      <c r="Y273" s="325" t="s">
        <v>282</v>
      </c>
    </row>
    <row r="274" spans="1:25">
      <c r="A274" s="319">
        <v>5</v>
      </c>
      <c r="B274" s="320" t="str">
        <f>VLOOKUP(Tabel10[[#This Row],[Code]],Ruimtegroepen[[Code]:[Ruimte omschrijving]],2,FALSE)</f>
        <v>Sanitair</v>
      </c>
      <c r="C274" s="321" t="s">
        <v>511</v>
      </c>
      <c r="D274" s="320" t="s">
        <v>27</v>
      </c>
      <c r="E274" s="321" t="s">
        <v>100</v>
      </c>
      <c r="F274" s="321" t="s">
        <v>512</v>
      </c>
      <c r="G274" s="326" t="s">
        <v>282</v>
      </c>
      <c r="H274" s="322" t="s">
        <v>282</v>
      </c>
      <c r="I274" s="322" t="s">
        <v>282</v>
      </c>
      <c r="J274" s="322" t="s">
        <v>15</v>
      </c>
      <c r="K274" s="322" t="s">
        <v>282</v>
      </c>
      <c r="L274" s="322" t="s">
        <v>282</v>
      </c>
      <c r="M274" s="322" t="s">
        <v>282</v>
      </c>
      <c r="N274" s="322" t="s">
        <v>282</v>
      </c>
      <c r="O274" s="323" t="s">
        <v>282</v>
      </c>
      <c r="P274" s="323" t="s">
        <v>282</v>
      </c>
      <c r="Q274" s="323" t="s">
        <v>282</v>
      </c>
      <c r="R274" s="323" t="s">
        <v>282</v>
      </c>
      <c r="S274" s="323" t="s">
        <v>282</v>
      </c>
      <c r="T274" s="323" t="s">
        <v>282</v>
      </c>
      <c r="U274" s="323" t="s">
        <v>282</v>
      </c>
      <c r="V274" s="323" t="s">
        <v>282</v>
      </c>
      <c r="W274" s="324" t="s">
        <v>15</v>
      </c>
      <c r="X274" s="324" t="s">
        <v>15</v>
      </c>
      <c r="Y274" s="325" t="s">
        <v>282</v>
      </c>
    </row>
    <row r="275" spans="1:25">
      <c r="A275" s="319">
        <v>5</v>
      </c>
      <c r="B275" s="320" t="str">
        <f>VLOOKUP(Tabel10[[#This Row],[Code]],Ruimtegroepen[[Code]:[Ruimte omschrijving]],2,FALSE)</f>
        <v>Sanitair</v>
      </c>
      <c r="C275" s="321" t="s">
        <v>511</v>
      </c>
      <c r="D275" s="320" t="s">
        <v>27</v>
      </c>
      <c r="E275" s="321" t="s">
        <v>99</v>
      </c>
      <c r="F275" s="321" t="s">
        <v>513</v>
      </c>
      <c r="G275" s="326" t="s">
        <v>282</v>
      </c>
      <c r="H275" s="322" t="s">
        <v>282</v>
      </c>
      <c r="I275" s="322" t="s">
        <v>282</v>
      </c>
      <c r="J275" s="322" t="s">
        <v>282</v>
      </c>
      <c r="K275" s="322" t="s">
        <v>282</v>
      </c>
      <c r="L275" s="322" t="s">
        <v>282</v>
      </c>
      <c r="M275" s="322" t="s">
        <v>282</v>
      </c>
      <c r="N275" s="322" t="s">
        <v>282</v>
      </c>
      <c r="O275" s="323" t="s">
        <v>282</v>
      </c>
      <c r="P275" s="323" t="s">
        <v>282</v>
      </c>
      <c r="Q275" s="323" t="s">
        <v>282</v>
      </c>
      <c r="R275" s="323" t="s">
        <v>282</v>
      </c>
      <c r="S275" s="323" t="s">
        <v>282</v>
      </c>
      <c r="T275" s="323" t="s">
        <v>282</v>
      </c>
      <c r="U275" s="323" t="s">
        <v>282</v>
      </c>
      <c r="V275" s="323" t="s">
        <v>282</v>
      </c>
      <c r="W275" s="324" t="s">
        <v>282</v>
      </c>
      <c r="X275" s="324" t="s">
        <v>282</v>
      </c>
      <c r="Y275" s="325" t="s">
        <v>282</v>
      </c>
    </row>
    <row r="276" spans="1:25">
      <c r="A276" s="319">
        <v>5</v>
      </c>
      <c r="B276" s="320" t="str">
        <f>VLOOKUP(Tabel10[[#This Row],[Code]],Ruimtegroepen[[Code]:[Ruimte omschrijving]],2,FALSE)</f>
        <v>Sanitair</v>
      </c>
      <c r="C276" s="321" t="s">
        <v>511</v>
      </c>
      <c r="D276" s="320" t="s">
        <v>27</v>
      </c>
      <c r="E276" s="321" t="s">
        <v>101</v>
      </c>
      <c r="F276" s="321" t="s">
        <v>514</v>
      </c>
      <c r="G276" s="326" t="s">
        <v>282</v>
      </c>
      <c r="H276" s="322" t="s">
        <v>282</v>
      </c>
      <c r="I276" s="322" t="s">
        <v>282</v>
      </c>
      <c r="J276" s="322" t="s">
        <v>15</v>
      </c>
      <c r="K276" s="322" t="s">
        <v>282</v>
      </c>
      <c r="L276" s="322" t="s">
        <v>282</v>
      </c>
      <c r="M276" s="322" t="s">
        <v>282</v>
      </c>
      <c r="N276" s="322" t="s">
        <v>282</v>
      </c>
      <c r="O276" s="323" t="s">
        <v>282</v>
      </c>
      <c r="P276" s="323" t="s">
        <v>282</v>
      </c>
      <c r="Q276" s="323" t="s">
        <v>282</v>
      </c>
      <c r="R276" s="323" t="s">
        <v>282</v>
      </c>
      <c r="S276" s="323" t="s">
        <v>282</v>
      </c>
      <c r="T276" s="323" t="s">
        <v>282</v>
      </c>
      <c r="U276" s="323" t="s">
        <v>282</v>
      </c>
      <c r="V276" s="323" t="s">
        <v>282</v>
      </c>
      <c r="W276" s="324" t="s">
        <v>15</v>
      </c>
      <c r="X276" s="324" t="s">
        <v>15</v>
      </c>
      <c r="Y276" s="325" t="s">
        <v>282</v>
      </c>
    </row>
    <row r="277" spans="1:25">
      <c r="A277" s="319">
        <v>5</v>
      </c>
      <c r="B277" s="320" t="str">
        <f>VLOOKUP(Tabel10[[#This Row],[Code]],Ruimtegroepen[[Code]:[Ruimte omschrijving]],2,FALSE)</f>
        <v>Sanitair</v>
      </c>
      <c r="C277" s="321" t="s">
        <v>511</v>
      </c>
      <c r="D277" s="320" t="s">
        <v>27</v>
      </c>
      <c r="E277" s="321" t="s">
        <v>102</v>
      </c>
      <c r="F277" s="321" t="s">
        <v>515</v>
      </c>
      <c r="G277" s="326" t="s">
        <v>282</v>
      </c>
      <c r="H277" s="322" t="s">
        <v>282</v>
      </c>
      <c r="I277" s="322" t="s">
        <v>282</v>
      </c>
      <c r="J277" s="322" t="s">
        <v>15</v>
      </c>
      <c r="K277" s="322" t="s">
        <v>282</v>
      </c>
      <c r="L277" s="322" t="s">
        <v>282</v>
      </c>
      <c r="M277" s="322" t="s">
        <v>282</v>
      </c>
      <c r="N277" s="322" t="s">
        <v>282</v>
      </c>
      <c r="O277" s="323" t="s">
        <v>282</v>
      </c>
      <c r="P277" s="323" t="s">
        <v>282</v>
      </c>
      <c r="Q277" s="323" t="s">
        <v>282</v>
      </c>
      <c r="R277" s="323" t="s">
        <v>282</v>
      </c>
      <c r="S277" s="323" t="s">
        <v>282</v>
      </c>
      <c r="T277" s="323" t="s">
        <v>282</v>
      </c>
      <c r="U277" s="323" t="s">
        <v>282</v>
      </c>
      <c r="V277" s="323" t="s">
        <v>282</v>
      </c>
      <c r="W277" s="324" t="s">
        <v>15</v>
      </c>
      <c r="X277" s="324" t="s">
        <v>15</v>
      </c>
      <c r="Y277" s="325" t="s">
        <v>282</v>
      </c>
    </row>
    <row r="278" spans="1:25">
      <c r="A278" s="319">
        <v>5</v>
      </c>
      <c r="B278" s="320" t="str">
        <f>VLOOKUP(Tabel10[[#This Row],[Code]],Ruimtegroepen[[Code]:[Ruimte omschrijving]],2,FALSE)</f>
        <v>Sanitair</v>
      </c>
      <c r="C278" s="321" t="s">
        <v>511</v>
      </c>
      <c r="D278" s="320" t="s">
        <v>27</v>
      </c>
      <c r="E278" s="321" t="s">
        <v>99</v>
      </c>
      <c r="F278" s="321" t="s">
        <v>513</v>
      </c>
      <c r="G278" s="326" t="s">
        <v>282</v>
      </c>
      <c r="H278" s="322" t="s">
        <v>282</v>
      </c>
      <c r="I278" s="322" t="s">
        <v>282</v>
      </c>
      <c r="J278" s="322" t="s">
        <v>282</v>
      </c>
      <c r="K278" s="322" t="s">
        <v>282</v>
      </c>
      <c r="L278" s="322" t="s">
        <v>282</v>
      </c>
      <c r="M278" s="322" t="s">
        <v>282</v>
      </c>
      <c r="N278" s="322" t="s">
        <v>282</v>
      </c>
      <c r="O278" s="323" t="s">
        <v>282</v>
      </c>
      <c r="P278" s="323" t="s">
        <v>282</v>
      </c>
      <c r="Q278" s="323" t="s">
        <v>282</v>
      </c>
      <c r="R278" s="323" t="s">
        <v>282</v>
      </c>
      <c r="S278" s="323" t="s">
        <v>282</v>
      </c>
      <c r="T278" s="323" t="s">
        <v>282</v>
      </c>
      <c r="U278" s="323" t="s">
        <v>282</v>
      </c>
      <c r="V278" s="323" t="s">
        <v>282</v>
      </c>
      <c r="W278" s="324" t="s">
        <v>282</v>
      </c>
      <c r="X278" s="324" t="s">
        <v>282</v>
      </c>
      <c r="Y278" s="325" t="s">
        <v>282</v>
      </c>
    </row>
    <row r="279" spans="1:25">
      <c r="A279" s="319">
        <v>5</v>
      </c>
      <c r="B279" s="320" t="str">
        <f>VLOOKUP(Tabel10[[#This Row],[Code]],Ruimtegroepen[[Code]:[Ruimte omschrijving]],2,FALSE)</f>
        <v>Sanitair</v>
      </c>
      <c r="C279" s="321" t="s">
        <v>511</v>
      </c>
      <c r="D279" s="320" t="s">
        <v>27</v>
      </c>
      <c r="E279" s="321" t="s">
        <v>1306</v>
      </c>
      <c r="F279" s="321" t="s">
        <v>1375</v>
      </c>
      <c r="G279" s="326" t="s">
        <v>282</v>
      </c>
      <c r="H279" s="322" t="s">
        <v>282</v>
      </c>
      <c r="I279" s="322" t="s">
        <v>282</v>
      </c>
      <c r="J279" s="322" t="s">
        <v>15</v>
      </c>
      <c r="K279" s="322" t="s">
        <v>282</v>
      </c>
      <c r="L279" s="322" t="s">
        <v>282</v>
      </c>
      <c r="M279" s="322" t="s">
        <v>282</v>
      </c>
      <c r="N279" s="322" t="s">
        <v>282</v>
      </c>
      <c r="O279" s="323" t="s">
        <v>282</v>
      </c>
      <c r="P279" s="323" t="s">
        <v>282</v>
      </c>
      <c r="Q279" s="323" t="s">
        <v>282</v>
      </c>
      <c r="R279" s="323" t="s">
        <v>282</v>
      </c>
      <c r="S279" s="323" t="s">
        <v>282</v>
      </c>
      <c r="T279" s="323" t="s">
        <v>282</v>
      </c>
      <c r="U279" s="323" t="s">
        <v>282</v>
      </c>
      <c r="V279" s="323" t="s">
        <v>282</v>
      </c>
      <c r="W279" s="324" t="s">
        <v>15</v>
      </c>
      <c r="X279" s="324" t="s">
        <v>15</v>
      </c>
      <c r="Y279" s="325" t="s">
        <v>282</v>
      </c>
    </row>
    <row r="280" spans="1:25">
      <c r="A280" s="319">
        <v>5</v>
      </c>
      <c r="B280" s="320" t="str">
        <f>VLOOKUP(Tabel10[[#This Row],[Code]],Ruimtegroepen[[Code]:[Ruimte omschrijving]],2,FALSE)</f>
        <v>Sanitair</v>
      </c>
      <c r="C280" s="321" t="s">
        <v>516</v>
      </c>
      <c r="D280" s="320" t="s">
        <v>28</v>
      </c>
      <c r="E280" s="321" t="s">
        <v>100</v>
      </c>
      <c r="F280" s="321" t="s">
        <v>517</v>
      </c>
      <c r="G280" s="326" t="s">
        <v>282</v>
      </c>
      <c r="H280" s="322" t="s">
        <v>282</v>
      </c>
      <c r="I280" s="322" t="s">
        <v>282</v>
      </c>
      <c r="J280" s="322" t="s">
        <v>17</v>
      </c>
      <c r="K280" s="322" t="s">
        <v>282</v>
      </c>
      <c r="L280" s="322" t="s">
        <v>282</v>
      </c>
      <c r="M280" s="322" t="s">
        <v>282</v>
      </c>
      <c r="N280" s="322" t="s">
        <v>282</v>
      </c>
      <c r="O280" s="323" t="s">
        <v>282</v>
      </c>
      <c r="P280" s="323" t="s">
        <v>282</v>
      </c>
      <c r="Q280" s="323" t="s">
        <v>282</v>
      </c>
      <c r="R280" s="323" t="s">
        <v>282</v>
      </c>
      <c r="S280" s="323" t="s">
        <v>282</v>
      </c>
      <c r="T280" s="323" t="s">
        <v>282</v>
      </c>
      <c r="U280" s="323" t="s">
        <v>282</v>
      </c>
      <c r="V280" s="323" t="s">
        <v>282</v>
      </c>
      <c r="W280" s="324" t="s">
        <v>17</v>
      </c>
      <c r="X280" s="324" t="s">
        <v>17</v>
      </c>
      <c r="Y280" s="325" t="s">
        <v>282</v>
      </c>
    </row>
    <row r="281" spans="1:25">
      <c r="A281" s="319">
        <v>5</v>
      </c>
      <c r="B281" s="320" t="str">
        <f>VLOOKUP(Tabel10[[#This Row],[Code]],Ruimtegroepen[[Code]:[Ruimte omschrijving]],2,FALSE)</f>
        <v>Sanitair</v>
      </c>
      <c r="C281" s="321" t="s">
        <v>516</v>
      </c>
      <c r="D281" s="320" t="s">
        <v>28</v>
      </c>
      <c r="E281" s="321" t="s">
        <v>99</v>
      </c>
      <c r="F281" s="321" t="s">
        <v>518</v>
      </c>
      <c r="G281" s="326" t="s">
        <v>282</v>
      </c>
      <c r="H281" s="322" t="s">
        <v>282</v>
      </c>
      <c r="I281" s="322" t="s">
        <v>282</v>
      </c>
      <c r="J281" s="322" t="s">
        <v>282</v>
      </c>
      <c r="K281" s="322" t="s">
        <v>282</v>
      </c>
      <c r="L281" s="322" t="s">
        <v>282</v>
      </c>
      <c r="M281" s="322" t="s">
        <v>282</v>
      </c>
      <c r="N281" s="322" t="s">
        <v>282</v>
      </c>
      <c r="O281" s="323" t="s">
        <v>282</v>
      </c>
      <c r="P281" s="323" t="s">
        <v>282</v>
      </c>
      <c r="Q281" s="323" t="s">
        <v>282</v>
      </c>
      <c r="R281" s="323" t="s">
        <v>282</v>
      </c>
      <c r="S281" s="323" t="s">
        <v>282</v>
      </c>
      <c r="T281" s="323" t="s">
        <v>282</v>
      </c>
      <c r="U281" s="323" t="s">
        <v>282</v>
      </c>
      <c r="V281" s="323" t="s">
        <v>282</v>
      </c>
      <c r="W281" s="324" t="s">
        <v>282</v>
      </c>
      <c r="X281" s="324" t="s">
        <v>282</v>
      </c>
      <c r="Y281" s="325" t="s">
        <v>282</v>
      </c>
    </row>
    <row r="282" spans="1:25">
      <c r="A282" s="319">
        <v>5</v>
      </c>
      <c r="B282" s="320" t="str">
        <f>VLOOKUP(Tabel10[[#This Row],[Code]],Ruimtegroepen[[Code]:[Ruimte omschrijving]],2,FALSE)</f>
        <v>Sanitair</v>
      </c>
      <c r="C282" s="321" t="s">
        <v>516</v>
      </c>
      <c r="D282" s="320" t="s">
        <v>28</v>
      </c>
      <c r="E282" s="321" t="s">
        <v>101</v>
      </c>
      <c r="F282" s="321" t="s">
        <v>519</v>
      </c>
      <c r="G282" s="326" t="s">
        <v>282</v>
      </c>
      <c r="H282" s="322" t="s">
        <v>282</v>
      </c>
      <c r="I282" s="322" t="s">
        <v>282</v>
      </c>
      <c r="J282" s="322" t="s">
        <v>17</v>
      </c>
      <c r="K282" s="322" t="s">
        <v>282</v>
      </c>
      <c r="L282" s="322" t="s">
        <v>282</v>
      </c>
      <c r="M282" s="322" t="s">
        <v>282</v>
      </c>
      <c r="N282" s="322" t="s">
        <v>282</v>
      </c>
      <c r="O282" s="323" t="s">
        <v>282</v>
      </c>
      <c r="P282" s="323" t="s">
        <v>282</v>
      </c>
      <c r="Q282" s="323" t="s">
        <v>282</v>
      </c>
      <c r="R282" s="323" t="s">
        <v>282</v>
      </c>
      <c r="S282" s="323" t="s">
        <v>282</v>
      </c>
      <c r="T282" s="323" t="s">
        <v>282</v>
      </c>
      <c r="U282" s="323" t="s">
        <v>282</v>
      </c>
      <c r="V282" s="323" t="s">
        <v>282</v>
      </c>
      <c r="W282" s="324" t="s">
        <v>17</v>
      </c>
      <c r="X282" s="324" t="s">
        <v>17</v>
      </c>
      <c r="Y282" s="325" t="s">
        <v>282</v>
      </c>
    </row>
    <row r="283" spans="1:25">
      <c r="A283" s="319">
        <v>5</v>
      </c>
      <c r="B283" s="320" t="str">
        <f>VLOOKUP(Tabel10[[#This Row],[Code]],Ruimtegroepen[[Code]:[Ruimte omschrijving]],2,FALSE)</f>
        <v>Sanitair</v>
      </c>
      <c r="C283" s="321" t="s">
        <v>516</v>
      </c>
      <c r="D283" s="320" t="s">
        <v>28</v>
      </c>
      <c r="E283" s="321" t="s">
        <v>102</v>
      </c>
      <c r="F283" s="321" t="s">
        <v>520</v>
      </c>
      <c r="G283" s="326" t="s">
        <v>282</v>
      </c>
      <c r="H283" s="322" t="s">
        <v>282</v>
      </c>
      <c r="I283" s="322" t="s">
        <v>282</v>
      </c>
      <c r="J283" s="322" t="s">
        <v>17</v>
      </c>
      <c r="K283" s="322" t="s">
        <v>282</v>
      </c>
      <c r="L283" s="322" t="s">
        <v>282</v>
      </c>
      <c r="M283" s="322" t="s">
        <v>282</v>
      </c>
      <c r="N283" s="322" t="s">
        <v>282</v>
      </c>
      <c r="O283" s="323" t="s">
        <v>282</v>
      </c>
      <c r="P283" s="323" t="s">
        <v>282</v>
      </c>
      <c r="Q283" s="323" t="s">
        <v>282</v>
      </c>
      <c r="R283" s="323" t="s">
        <v>282</v>
      </c>
      <c r="S283" s="323" t="s">
        <v>282</v>
      </c>
      <c r="T283" s="323" t="s">
        <v>282</v>
      </c>
      <c r="U283" s="323" t="s">
        <v>282</v>
      </c>
      <c r="V283" s="323" t="s">
        <v>282</v>
      </c>
      <c r="W283" s="324" t="s">
        <v>17</v>
      </c>
      <c r="X283" s="324" t="s">
        <v>17</v>
      </c>
      <c r="Y283" s="325" t="s">
        <v>282</v>
      </c>
    </row>
    <row r="284" spans="1:25">
      <c r="A284" s="319">
        <v>5</v>
      </c>
      <c r="B284" s="320" t="str">
        <f>VLOOKUP(Tabel10[[#This Row],[Code]],Ruimtegroepen[[Code]:[Ruimte omschrijving]],2,FALSE)</f>
        <v>Sanitair</v>
      </c>
      <c r="C284" s="321" t="s">
        <v>516</v>
      </c>
      <c r="D284" s="320" t="s">
        <v>28</v>
      </c>
      <c r="E284" s="321" t="s">
        <v>99</v>
      </c>
      <c r="F284" s="321" t="s">
        <v>518</v>
      </c>
      <c r="G284" s="326" t="s">
        <v>282</v>
      </c>
      <c r="H284" s="322" t="s">
        <v>282</v>
      </c>
      <c r="I284" s="322" t="s">
        <v>282</v>
      </c>
      <c r="J284" s="322" t="s">
        <v>282</v>
      </c>
      <c r="K284" s="322" t="s">
        <v>282</v>
      </c>
      <c r="L284" s="322" t="s">
        <v>282</v>
      </c>
      <c r="M284" s="322" t="s">
        <v>282</v>
      </c>
      <c r="N284" s="322" t="s">
        <v>282</v>
      </c>
      <c r="O284" s="323" t="s">
        <v>282</v>
      </c>
      <c r="P284" s="323" t="s">
        <v>282</v>
      </c>
      <c r="Q284" s="323" t="s">
        <v>282</v>
      </c>
      <c r="R284" s="323" t="s">
        <v>282</v>
      </c>
      <c r="S284" s="323" t="s">
        <v>282</v>
      </c>
      <c r="T284" s="323" t="s">
        <v>282</v>
      </c>
      <c r="U284" s="323" t="s">
        <v>282</v>
      </c>
      <c r="V284" s="323" t="s">
        <v>282</v>
      </c>
      <c r="W284" s="324" t="s">
        <v>282</v>
      </c>
      <c r="X284" s="324" t="s">
        <v>282</v>
      </c>
      <c r="Y284" s="325" t="s">
        <v>282</v>
      </c>
    </row>
    <row r="285" spans="1:25">
      <c r="A285" s="319">
        <v>5</v>
      </c>
      <c r="B285" s="320" t="str">
        <f>VLOOKUP(Tabel10[[#This Row],[Code]],Ruimtegroepen[[Code]:[Ruimte omschrijving]],2,FALSE)</f>
        <v>Sanitair</v>
      </c>
      <c r="C285" s="321" t="s">
        <v>516</v>
      </c>
      <c r="D285" s="320" t="s">
        <v>28</v>
      </c>
      <c r="E285" s="321" t="s">
        <v>1306</v>
      </c>
      <c r="F285" s="321" t="s">
        <v>1408</v>
      </c>
      <c r="G285" s="326" t="s">
        <v>282</v>
      </c>
      <c r="H285" s="322" t="s">
        <v>282</v>
      </c>
      <c r="I285" s="322" t="s">
        <v>282</v>
      </c>
      <c r="J285" s="322" t="s">
        <v>17</v>
      </c>
      <c r="K285" s="322" t="s">
        <v>282</v>
      </c>
      <c r="L285" s="322" t="s">
        <v>282</v>
      </c>
      <c r="M285" s="322" t="s">
        <v>282</v>
      </c>
      <c r="N285" s="322" t="s">
        <v>282</v>
      </c>
      <c r="O285" s="323" t="s">
        <v>282</v>
      </c>
      <c r="P285" s="323" t="s">
        <v>282</v>
      </c>
      <c r="Q285" s="323" t="s">
        <v>282</v>
      </c>
      <c r="R285" s="323" t="s">
        <v>282</v>
      </c>
      <c r="S285" s="323" t="s">
        <v>282</v>
      </c>
      <c r="T285" s="323" t="s">
        <v>282</v>
      </c>
      <c r="U285" s="323" t="s">
        <v>282</v>
      </c>
      <c r="V285" s="323" t="s">
        <v>282</v>
      </c>
      <c r="W285" s="324" t="s">
        <v>17</v>
      </c>
      <c r="X285" s="324" t="s">
        <v>17</v>
      </c>
      <c r="Y285" s="325" t="s">
        <v>282</v>
      </c>
    </row>
    <row r="286" spans="1:25">
      <c r="A286" s="319">
        <v>5</v>
      </c>
      <c r="B286" s="320" t="str">
        <f>VLOOKUP(Tabel10[[#This Row],[Code]],Ruimtegroepen[[Code]:[Ruimte omschrijving]],2,FALSE)</f>
        <v>Sanitair</v>
      </c>
      <c r="C286" s="321" t="s">
        <v>521</v>
      </c>
      <c r="D286" s="320" t="s">
        <v>522</v>
      </c>
      <c r="E286" s="321" t="s">
        <v>100</v>
      </c>
      <c r="F286" s="321" t="s">
        <v>523</v>
      </c>
      <c r="G286" s="326" t="s">
        <v>282</v>
      </c>
      <c r="H286" s="322" t="s">
        <v>282</v>
      </c>
      <c r="I286" s="322" t="s">
        <v>282</v>
      </c>
      <c r="J286" s="322" t="s">
        <v>20</v>
      </c>
      <c r="K286" s="322" t="s">
        <v>282</v>
      </c>
      <c r="L286" s="322" t="s">
        <v>282</v>
      </c>
      <c r="M286" s="322" t="s">
        <v>282</v>
      </c>
      <c r="N286" s="322" t="s">
        <v>282</v>
      </c>
      <c r="O286" s="323" t="s">
        <v>282</v>
      </c>
      <c r="P286" s="323" t="s">
        <v>282</v>
      </c>
      <c r="Q286" s="323" t="s">
        <v>282</v>
      </c>
      <c r="R286" s="323" t="s">
        <v>282</v>
      </c>
      <c r="S286" s="323" t="s">
        <v>282</v>
      </c>
      <c r="T286" s="323" t="s">
        <v>282</v>
      </c>
      <c r="U286" s="323" t="s">
        <v>282</v>
      </c>
      <c r="V286" s="323" t="s">
        <v>282</v>
      </c>
      <c r="W286" s="324" t="s">
        <v>18</v>
      </c>
      <c r="X286" s="324" t="s">
        <v>15</v>
      </c>
      <c r="Y286" s="325" t="s">
        <v>282</v>
      </c>
    </row>
    <row r="287" spans="1:25">
      <c r="A287" s="319">
        <v>5</v>
      </c>
      <c r="B287" s="320" t="str">
        <f>VLOOKUP(Tabel10[[#This Row],[Code]],Ruimtegroepen[[Code]:[Ruimte omschrijving]],2,FALSE)</f>
        <v>Sanitair</v>
      </c>
      <c r="C287" s="321" t="s">
        <v>521</v>
      </c>
      <c r="D287" s="320" t="s">
        <v>522</v>
      </c>
      <c r="E287" s="321" t="s">
        <v>99</v>
      </c>
      <c r="F287" s="321" t="s">
        <v>524</v>
      </c>
      <c r="G287" s="326" t="s">
        <v>282</v>
      </c>
      <c r="H287" s="322" t="s">
        <v>282</v>
      </c>
      <c r="I287" s="322" t="s">
        <v>282</v>
      </c>
      <c r="J287" s="322" t="s">
        <v>282</v>
      </c>
      <c r="K287" s="322" t="s">
        <v>282</v>
      </c>
      <c r="L287" s="322" t="s">
        <v>282</v>
      </c>
      <c r="M287" s="322" t="s">
        <v>282</v>
      </c>
      <c r="N287" s="322" t="s">
        <v>282</v>
      </c>
      <c r="O287" s="323" t="s">
        <v>282</v>
      </c>
      <c r="P287" s="323" t="s">
        <v>282</v>
      </c>
      <c r="Q287" s="323" t="s">
        <v>282</v>
      </c>
      <c r="R287" s="323" t="s">
        <v>282</v>
      </c>
      <c r="S287" s="323" t="s">
        <v>282</v>
      </c>
      <c r="T287" s="323" t="s">
        <v>282</v>
      </c>
      <c r="U287" s="323" t="s">
        <v>282</v>
      </c>
      <c r="V287" s="323" t="s">
        <v>282</v>
      </c>
      <c r="W287" s="324" t="s">
        <v>282</v>
      </c>
      <c r="X287" s="324" t="s">
        <v>282</v>
      </c>
      <c r="Y287" s="325" t="s">
        <v>282</v>
      </c>
    </row>
    <row r="288" spans="1:25">
      <c r="A288" s="319">
        <v>5</v>
      </c>
      <c r="B288" s="320" t="str">
        <f>VLOOKUP(Tabel10[[#This Row],[Code]],Ruimtegroepen[[Code]:[Ruimte omschrijving]],2,FALSE)</f>
        <v>Sanitair</v>
      </c>
      <c r="C288" s="321" t="s">
        <v>521</v>
      </c>
      <c r="D288" s="320" t="s">
        <v>522</v>
      </c>
      <c r="E288" s="321" t="s">
        <v>101</v>
      </c>
      <c r="F288" s="321" t="s">
        <v>525</v>
      </c>
      <c r="G288" s="326" t="s">
        <v>282</v>
      </c>
      <c r="H288" s="322" t="s">
        <v>282</v>
      </c>
      <c r="I288" s="322" t="s">
        <v>282</v>
      </c>
      <c r="J288" s="322" t="s">
        <v>20</v>
      </c>
      <c r="K288" s="322" t="s">
        <v>282</v>
      </c>
      <c r="L288" s="322" t="s">
        <v>282</v>
      </c>
      <c r="M288" s="322" t="s">
        <v>282</v>
      </c>
      <c r="N288" s="322" t="s">
        <v>282</v>
      </c>
      <c r="O288" s="323" t="s">
        <v>282</v>
      </c>
      <c r="P288" s="323" t="s">
        <v>282</v>
      </c>
      <c r="Q288" s="323" t="s">
        <v>282</v>
      </c>
      <c r="R288" s="323" t="s">
        <v>282</v>
      </c>
      <c r="S288" s="323" t="s">
        <v>282</v>
      </c>
      <c r="T288" s="323" t="s">
        <v>282</v>
      </c>
      <c r="U288" s="323" t="s">
        <v>282</v>
      </c>
      <c r="V288" s="323" t="s">
        <v>282</v>
      </c>
      <c r="W288" s="324" t="s">
        <v>18</v>
      </c>
      <c r="X288" s="324" t="s">
        <v>15</v>
      </c>
      <c r="Y288" s="325" t="s">
        <v>282</v>
      </c>
    </row>
    <row r="289" spans="1:25">
      <c r="A289" s="319">
        <v>5</v>
      </c>
      <c r="B289" s="320" t="str">
        <f>VLOOKUP(Tabel10[[#This Row],[Code]],Ruimtegroepen[[Code]:[Ruimte omschrijving]],2,FALSE)</f>
        <v>Sanitair</v>
      </c>
      <c r="C289" s="321" t="s">
        <v>521</v>
      </c>
      <c r="D289" s="320" t="s">
        <v>522</v>
      </c>
      <c r="E289" s="321" t="s">
        <v>102</v>
      </c>
      <c r="F289" s="321" t="s">
        <v>526</v>
      </c>
      <c r="G289" s="326" t="s">
        <v>282</v>
      </c>
      <c r="H289" s="322" t="s">
        <v>282</v>
      </c>
      <c r="I289" s="322" t="s">
        <v>282</v>
      </c>
      <c r="J289" s="322" t="s">
        <v>20</v>
      </c>
      <c r="K289" s="322" t="s">
        <v>282</v>
      </c>
      <c r="L289" s="322" t="s">
        <v>282</v>
      </c>
      <c r="M289" s="322" t="s">
        <v>282</v>
      </c>
      <c r="N289" s="322" t="s">
        <v>282</v>
      </c>
      <c r="O289" s="323" t="s">
        <v>282</v>
      </c>
      <c r="P289" s="323" t="s">
        <v>282</v>
      </c>
      <c r="Q289" s="323" t="s">
        <v>282</v>
      </c>
      <c r="R289" s="323" t="s">
        <v>282</v>
      </c>
      <c r="S289" s="323" t="s">
        <v>282</v>
      </c>
      <c r="T289" s="323" t="s">
        <v>282</v>
      </c>
      <c r="U289" s="323" t="s">
        <v>282</v>
      </c>
      <c r="V289" s="323" t="s">
        <v>282</v>
      </c>
      <c r="W289" s="324" t="s">
        <v>18</v>
      </c>
      <c r="X289" s="324" t="s">
        <v>15</v>
      </c>
      <c r="Y289" s="325" t="s">
        <v>282</v>
      </c>
    </row>
    <row r="290" spans="1:25">
      <c r="A290" s="319">
        <v>5</v>
      </c>
      <c r="B290" s="320" t="str">
        <f>VLOOKUP(Tabel10[[#This Row],[Code]],Ruimtegroepen[[Code]:[Ruimte omschrijving]],2,FALSE)</f>
        <v>Sanitair</v>
      </c>
      <c r="C290" s="321" t="s">
        <v>521</v>
      </c>
      <c r="D290" s="320" t="s">
        <v>522</v>
      </c>
      <c r="E290" s="321" t="s">
        <v>99</v>
      </c>
      <c r="F290" s="321" t="s">
        <v>524</v>
      </c>
      <c r="G290" s="326" t="s">
        <v>282</v>
      </c>
      <c r="H290" s="322" t="s">
        <v>282</v>
      </c>
      <c r="I290" s="322" t="s">
        <v>282</v>
      </c>
      <c r="J290" s="322" t="s">
        <v>282</v>
      </c>
      <c r="K290" s="322" t="s">
        <v>282</v>
      </c>
      <c r="L290" s="322" t="s">
        <v>282</v>
      </c>
      <c r="M290" s="322" t="s">
        <v>282</v>
      </c>
      <c r="N290" s="322" t="s">
        <v>282</v>
      </c>
      <c r="O290" s="323" t="s">
        <v>282</v>
      </c>
      <c r="P290" s="323" t="s">
        <v>282</v>
      </c>
      <c r="Q290" s="323" t="s">
        <v>282</v>
      </c>
      <c r="R290" s="323" t="s">
        <v>282</v>
      </c>
      <c r="S290" s="323" t="s">
        <v>282</v>
      </c>
      <c r="T290" s="323" t="s">
        <v>282</v>
      </c>
      <c r="U290" s="323" t="s">
        <v>282</v>
      </c>
      <c r="V290" s="323" t="s">
        <v>282</v>
      </c>
      <c r="W290" s="324" t="s">
        <v>282</v>
      </c>
      <c r="X290" s="324" t="s">
        <v>282</v>
      </c>
      <c r="Y290" s="325" t="s">
        <v>282</v>
      </c>
    </row>
    <row r="291" spans="1:25">
      <c r="A291" s="319">
        <v>5</v>
      </c>
      <c r="B291" s="320" t="str">
        <f>VLOOKUP(Tabel10[[#This Row],[Code]],Ruimtegroepen[[Code]:[Ruimte omschrijving]],2,FALSE)</f>
        <v>Sanitair</v>
      </c>
      <c r="C291" s="321" t="s">
        <v>521</v>
      </c>
      <c r="D291" s="320" t="s">
        <v>522</v>
      </c>
      <c r="E291" s="321" t="s">
        <v>1306</v>
      </c>
      <c r="F291" s="321" t="s">
        <v>1457</v>
      </c>
      <c r="G291" s="326" t="s">
        <v>282</v>
      </c>
      <c r="H291" s="322" t="s">
        <v>282</v>
      </c>
      <c r="I291" s="322" t="s">
        <v>282</v>
      </c>
      <c r="J291" s="322" t="s">
        <v>20</v>
      </c>
      <c r="K291" s="322" t="s">
        <v>282</v>
      </c>
      <c r="L291" s="322" t="s">
        <v>282</v>
      </c>
      <c r="M291" s="322" t="s">
        <v>282</v>
      </c>
      <c r="N291" s="322" t="s">
        <v>282</v>
      </c>
      <c r="O291" s="323" t="s">
        <v>282</v>
      </c>
      <c r="P291" s="323" t="s">
        <v>282</v>
      </c>
      <c r="Q291" s="323" t="s">
        <v>282</v>
      </c>
      <c r="R291" s="323" t="s">
        <v>282</v>
      </c>
      <c r="S291" s="323" t="s">
        <v>282</v>
      </c>
      <c r="T291" s="323" t="s">
        <v>282</v>
      </c>
      <c r="U291" s="323" t="s">
        <v>282</v>
      </c>
      <c r="V291" s="323" t="s">
        <v>282</v>
      </c>
      <c r="W291" s="324" t="s">
        <v>18</v>
      </c>
      <c r="X291" s="324" t="s">
        <v>15</v>
      </c>
      <c r="Y291" s="325" t="s">
        <v>282</v>
      </c>
    </row>
    <row r="292" spans="1:25">
      <c r="A292" s="319">
        <v>6</v>
      </c>
      <c r="B292" s="320" t="str">
        <f>VLOOKUP(Tabel10[[#This Row],[Code]],Ruimtegroepen[[Code]:[Ruimte omschrijving]],2,FALSE)</f>
        <v>Gangen/hallen</v>
      </c>
      <c r="C292" s="321" t="s">
        <v>527</v>
      </c>
      <c r="D292" s="320" t="s">
        <v>29</v>
      </c>
      <c r="E292" s="321" t="s">
        <v>100</v>
      </c>
      <c r="F292" s="321" t="s">
        <v>528</v>
      </c>
      <c r="G292" s="326" t="s">
        <v>282</v>
      </c>
      <c r="H292" s="322" t="s">
        <v>282</v>
      </c>
      <c r="I292" s="322" t="s">
        <v>282</v>
      </c>
      <c r="J292" s="322" t="s">
        <v>2</v>
      </c>
      <c r="K292" s="322" t="s">
        <v>282</v>
      </c>
      <c r="L292" s="322" t="s">
        <v>282</v>
      </c>
      <c r="M292" s="322" t="s">
        <v>282</v>
      </c>
      <c r="N292" s="322" t="s">
        <v>2</v>
      </c>
      <c r="O292" s="323" t="s">
        <v>2</v>
      </c>
      <c r="P292" s="323" t="s">
        <v>2</v>
      </c>
      <c r="Q292" s="323" t="s">
        <v>15</v>
      </c>
      <c r="R292" s="323" t="s">
        <v>15</v>
      </c>
      <c r="S292" s="323" t="s">
        <v>16</v>
      </c>
      <c r="T292" s="323" t="s">
        <v>329</v>
      </c>
      <c r="U292" s="323" t="s">
        <v>249</v>
      </c>
      <c r="V292" s="323" t="s">
        <v>2</v>
      </c>
      <c r="W292" s="324" t="s">
        <v>282</v>
      </c>
      <c r="X292" s="324" t="s">
        <v>282</v>
      </c>
      <c r="Y292" s="325" t="s">
        <v>282</v>
      </c>
    </row>
    <row r="293" spans="1:25">
      <c r="A293" s="319">
        <v>6</v>
      </c>
      <c r="B293" s="320" t="str">
        <f>VLOOKUP(Tabel10[[#This Row],[Code]],Ruimtegroepen[[Code]:[Ruimte omschrijving]],2,FALSE)</f>
        <v>Gangen/hallen</v>
      </c>
      <c r="C293" s="321" t="s">
        <v>527</v>
      </c>
      <c r="D293" s="320" t="s">
        <v>29</v>
      </c>
      <c r="E293" s="321" t="s">
        <v>99</v>
      </c>
      <c r="F293" s="321" t="s">
        <v>529</v>
      </c>
      <c r="G293" s="326" t="s">
        <v>282</v>
      </c>
      <c r="H293" s="322" t="s">
        <v>2</v>
      </c>
      <c r="I293" s="322" t="s">
        <v>282</v>
      </c>
      <c r="J293" s="322" t="s">
        <v>282</v>
      </c>
      <c r="K293" s="322" t="s">
        <v>282</v>
      </c>
      <c r="L293" s="322" t="s">
        <v>282</v>
      </c>
      <c r="M293" s="322" t="s">
        <v>282</v>
      </c>
      <c r="N293" s="322" t="s">
        <v>2</v>
      </c>
      <c r="O293" s="323" t="s">
        <v>2</v>
      </c>
      <c r="P293" s="323" t="s">
        <v>2</v>
      </c>
      <c r="Q293" s="323" t="s">
        <v>15</v>
      </c>
      <c r="R293" s="323" t="s">
        <v>15</v>
      </c>
      <c r="S293" s="323" t="s">
        <v>16</v>
      </c>
      <c r="T293" s="323" t="s">
        <v>329</v>
      </c>
      <c r="U293" s="323" t="s">
        <v>249</v>
      </c>
      <c r="V293" s="323" t="s">
        <v>2</v>
      </c>
      <c r="W293" s="324" t="s">
        <v>282</v>
      </c>
      <c r="X293" s="324" t="s">
        <v>282</v>
      </c>
      <c r="Y293" s="325" t="s">
        <v>282</v>
      </c>
    </row>
    <row r="294" spans="1:25">
      <c r="A294" s="319">
        <v>6</v>
      </c>
      <c r="B294" s="320" t="str">
        <f>VLOOKUP(Tabel10[[#This Row],[Code]],Ruimtegroepen[[Code]:[Ruimte omschrijving]],2,FALSE)</f>
        <v>Gangen/hallen</v>
      </c>
      <c r="C294" s="321" t="s">
        <v>527</v>
      </c>
      <c r="D294" s="320" t="s">
        <v>29</v>
      </c>
      <c r="E294" s="321" t="s">
        <v>101</v>
      </c>
      <c r="F294" s="321" t="s">
        <v>530</v>
      </c>
      <c r="G294" s="326" t="s">
        <v>282</v>
      </c>
      <c r="H294" s="322" t="s">
        <v>282</v>
      </c>
      <c r="I294" s="322" t="s">
        <v>2</v>
      </c>
      <c r="J294" s="322" t="s">
        <v>282</v>
      </c>
      <c r="K294" s="322" t="s">
        <v>2</v>
      </c>
      <c r="L294" s="322" t="s">
        <v>282</v>
      </c>
      <c r="M294" s="322" t="s">
        <v>282</v>
      </c>
      <c r="N294" s="322" t="s">
        <v>2</v>
      </c>
      <c r="O294" s="323" t="s">
        <v>2</v>
      </c>
      <c r="P294" s="323" t="s">
        <v>2</v>
      </c>
      <c r="Q294" s="323" t="s">
        <v>15</v>
      </c>
      <c r="R294" s="323" t="s">
        <v>15</v>
      </c>
      <c r="S294" s="323" t="s">
        <v>16</v>
      </c>
      <c r="T294" s="323" t="s">
        <v>329</v>
      </c>
      <c r="U294" s="323" t="s">
        <v>249</v>
      </c>
      <c r="V294" s="323" t="s">
        <v>2</v>
      </c>
      <c r="W294" s="324" t="s">
        <v>282</v>
      </c>
      <c r="X294" s="324" t="s">
        <v>282</v>
      </c>
      <c r="Y294" s="325" t="s">
        <v>282</v>
      </c>
    </row>
    <row r="295" spans="1:25">
      <c r="A295" s="319">
        <v>6</v>
      </c>
      <c r="B295" s="320" t="str">
        <f>VLOOKUP(Tabel10[[#This Row],[Code]],Ruimtegroepen[[Code]:[Ruimte omschrijving]],2,FALSE)</f>
        <v>Gangen/hallen</v>
      </c>
      <c r="C295" s="321" t="s">
        <v>527</v>
      </c>
      <c r="D295" s="320" t="s">
        <v>29</v>
      </c>
      <c r="E295" s="321" t="s">
        <v>102</v>
      </c>
      <c r="F295" s="321" t="s">
        <v>531</v>
      </c>
      <c r="G295" s="326" t="s">
        <v>282</v>
      </c>
      <c r="H295" s="322" t="s">
        <v>282</v>
      </c>
      <c r="I295" s="322" t="s">
        <v>2</v>
      </c>
      <c r="J295" s="322" t="s">
        <v>282</v>
      </c>
      <c r="K295" s="322" t="s">
        <v>2</v>
      </c>
      <c r="L295" s="322" t="s">
        <v>282</v>
      </c>
      <c r="M295" s="322" t="s">
        <v>282</v>
      </c>
      <c r="N295" s="322" t="s">
        <v>2</v>
      </c>
      <c r="O295" s="323" t="s">
        <v>2</v>
      </c>
      <c r="P295" s="323" t="s">
        <v>2</v>
      </c>
      <c r="Q295" s="323" t="s">
        <v>15</v>
      </c>
      <c r="R295" s="323" t="s">
        <v>15</v>
      </c>
      <c r="S295" s="323" t="s">
        <v>16</v>
      </c>
      <c r="T295" s="323" t="s">
        <v>329</v>
      </c>
      <c r="U295" s="323" t="s">
        <v>249</v>
      </c>
      <c r="V295" s="323" t="s">
        <v>2</v>
      </c>
      <c r="W295" s="324" t="s">
        <v>282</v>
      </c>
      <c r="X295" s="324" t="s">
        <v>282</v>
      </c>
      <c r="Y295" s="325" t="s">
        <v>282</v>
      </c>
    </row>
    <row r="296" spans="1:25">
      <c r="A296" s="319">
        <v>6</v>
      </c>
      <c r="B296" s="320" t="str">
        <f>VLOOKUP(Tabel10[[#This Row],[Code]],Ruimtegroepen[[Code]:[Ruimte omschrijving]],2,FALSE)</f>
        <v>Gangen/hallen</v>
      </c>
      <c r="C296" s="321" t="s">
        <v>527</v>
      </c>
      <c r="D296" s="320" t="s">
        <v>29</v>
      </c>
      <c r="E296" s="321" t="s">
        <v>99</v>
      </c>
      <c r="F296" s="321" t="s">
        <v>529</v>
      </c>
      <c r="G296" s="326" t="s">
        <v>282</v>
      </c>
      <c r="H296" s="322" t="s">
        <v>2</v>
      </c>
      <c r="I296" s="322" t="s">
        <v>282</v>
      </c>
      <c r="J296" s="322" t="s">
        <v>282</v>
      </c>
      <c r="K296" s="322" t="s">
        <v>282</v>
      </c>
      <c r="L296" s="322" t="s">
        <v>282</v>
      </c>
      <c r="M296" s="322" t="s">
        <v>282</v>
      </c>
      <c r="N296" s="322" t="s">
        <v>2</v>
      </c>
      <c r="O296" s="323" t="s">
        <v>2</v>
      </c>
      <c r="P296" s="323" t="s">
        <v>2</v>
      </c>
      <c r="Q296" s="323" t="s">
        <v>15</v>
      </c>
      <c r="R296" s="323" t="s">
        <v>15</v>
      </c>
      <c r="S296" s="323" t="s">
        <v>16</v>
      </c>
      <c r="T296" s="323" t="s">
        <v>329</v>
      </c>
      <c r="U296" s="323" t="s">
        <v>249</v>
      </c>
      <c r="V296" s="323" t="s">
        <v>2</v>
      </c>
      <c r="W296" s="324" t="s">
        <v>282</v>
      </c>
      <c r="X296" s="324" t="s">
        <v>282</v>
      </c>
      <c r="Y296" s="325" t="s">
        <v>282</v>
      </c>
    </row>
    <row r="297" spans="1:25">
      <c r="A297" s="319">
        <v>6</v>
      </c>
      <c r="B297" s="320" t="str">
        <f>VLOOKUP(Tabel10[[#This Row],[Code]],Ruimtegroepen[[Code]:[Ruimte omschrijving]],2,FALSE)</f>
        <v>Gangen/hallen</v>
      </c>
      <c r="C297" s="321" t="s">
        <v>527</v>
      </c>
      <c r="D297" s="320" t="s">
        <v>29</v>
      </c>
      <c r="E297" s="321" t="s">
        <v>1306</v>
      </c>
      <c r="F297" s="321" t="s">
        <v>1476</v>
      </c>
      <c r="G297" s="326" t="s">
        <v>282</v>
      </c>
      <c r="H297" s="322" t="s">
        <v>282</v>
      </c>
      <c r="I297" s="322" t="s">
        <v>2</v>
      </c>
      <c r="J297" s="322" t="s">
        <v>282</v>
      </c>
      <c r="K297" s="322" t="s">
        <v>2</v>
      </c>
      <c r="L297" s="322" t="s">
        <v>282</v>
      </c>
      <c r="M297" s="322" t="s">
        <v>282</v>
      </c>
      <c r="N297" s="322" t="s">
        <v>2</v>
      </c>
      <c r="O297" s="323" t="s">
        <v>2</v>
      </c>
      <c r="P297" s="323" t="s">
        <v>2</v>
      </c>
      <c r="Q297" s="323" t="s">
        <v>15</v>
      </c>
      <c r="R297" s="323" t="s">
        <v>15</v>
      </c>
      <c r="S297" s="323" t="s">
        <v>16</v>
      </c>
      <c r="T297" s="323" t="s">
        <v>329</v>
      </c>
      <c r="U297" s="323" t="s">
        <v>249</v>
      </c>
      <c r="V297" s="323" t="s">
        <v>2</v>
      </c>
      <c r="W297" s="324" t="s">
        <v>282</v>
      </c>
      <c r="X297" s="324" t="s">
        <v>282</v>
      </c>
      <c r="Y297" s="325" t="s">
        <v>282</v>
      </c>
    </row>
    <row r="298" spans="1:25">
      <c r="A298" s="319">
        <v>6</v>
      </c>
      <c r="B298" s="320" t="str">
        <f>VLOOKUP(Tabel10[[#This Row],[Code]],Ruimtegroepen[[Code]:[Ruimte omschrijving]],2,FALSE)</f>
        <v>Gangen/hallen</v>
      </c>
      <c r="C298" s="321" t="s">
        <v>532</v>
      </c>
      <c r="D298" s="320" t="s">
        <v>1</v>
      </c>
      <c r="E298" s="321" t="s">
        <v>100</v>
      </c>
      <c r="F298" s="321" t="s">
        <v>533</v>
      </c>
      <c r="G298" s="326" t="s">
        <v>282</v>
      </c>
      <c r="H298" s="322" t="s">
        <v>282</v>
      </c>
      <c r="I298" s="322" t="s">
        <v>282</v>
      </c>
      <c r="J298" s="322" t="s">
        <v>2</v>
      </c>
      <c r="K298" s="322" t="s">
        <v>282</v>
      </c>
      <c r="L298" s="322" t="s">
        <v>282</v>
      </c>
      <c r="M298" s="322" t="s">
        <v>282</v>
      </c>
      <c r="N298" s="322" t="s">
        <v>282</v>
      </c>
      <c r="O298" s="323" t="s">
        <v>2</v>
      </c>
      <c r="P298" s="323" t="s">
        <v>2</v>
      </c>
      <c r="Q298" s="323" t="s">
        <v>15</v>
      </c>
      <c r="R298" s="323" t="s">
        <v>15</v>
      </c>
      <c r="S298" s="323" t="s">
        <v>16</v>
      </c>
      <c r="T298" s="323" t="s">
        <v>329</v>
      </c>
      <c r="U298" s="323" t="s">
        <v>249</v>
      </c>
      <c r="V298" s="323" t="s">
        <v>282</v>
      </c>
      <c r="W298" s="324" t="s">
        <v>282</v>
      </c>
      <c r="X298" s="324" t="s">
        <v>282</v>
      </c>
      <c r="Y298" s="325" t="s">
        <v>282</v>
      </c>
    </row>
    <row r="299" spans="1:25">
      <c r="A299" s="319">
        <v>6</v>
      </c>
      <c r="B299" s="320" t="str">
        <f>VLOOKUP(Tabel10[[#This Row],[Code]],Ruimtegroepen[[Code]:[Ruimte omschrijving]],2,FALSE)</f>
        <v>Gangen/hallen</v>
      </c>
      <c r="C299" s="321" t="s">
        <v>532</v>
      </c>
      <c r="D299" s="320" t="s">
        <v>1</v>
      </c>
      <c r="E299" s="321" t="s">
        <v>99</v>
      </c>
      <c r="F299" s="321" t="s">
        <v>534</v>
      </c>
      <c r="G299" s="326" t="s">
        <v>282</v>
      </c>
      <c r="H299" s="322" t="s">
        <v>2</v>
      </c>
      <c r="I299" s="322" t="s">
        <v>282</v>
      </c>
      <c r="J299" s="322" t="s">
        <v>282</v>
      </c>
      <c r="K299" s="322" t="s">
        <v>282</v>
      </c>
      <c r="L299" s="322" t="s">
        <v>282</v>
      </c>
      <c r="M299" s="322" t="s">
        <v>282</v>
      </c>
      <c r="N299" s="322" t="s">
        <v>282</v>
      </c>
      <c r="O299" s="323" t="s">
        <v>2</v>
      </c>
      <c r="P299" s="323" t="s">
        <v>2</v>
      </c>
      <c r="Q299" s="323" t="s">
        <v>15</v>
      </c>
      <c r="R299" s="323" t="s">
        <v>15</v>
      </c>
      <c r="S299" s="323" t="s">
        <v>16</v>
      </c>
      <c r="T299" s="323" t="s">
        <v>329</v>
      </c>
      <c r="U299" s="323" t="s">
        <v>249</v>
      </c>
      <c r="V299" s="323" t="s">
        <v>282</v>
      </c>
      <c r="W299" s="324" t="s">
        <v>282</v>
      </c>
      <c r="X299" s="324" t="s">
        <v>282</v>
      </c>
      <c r="Y299" s="325" t="s">
        <v>282</v>
      </c>
    </row>
    <row r="300" spans="1:25">
      <c r="A300" s="319">
        <v>6</v>
      </c>
      <c r="B300" s="320" t="str">
        <f>VLOOKUP(Tabel10[[#This Row],[Code]],Ruimtegroepen[[Code]:[Ruimte omschrijving]],2,FALSE)</f>
        <v>Gangen/hallen</v>
      </c>
      <c r="C300" s="321" t="s">
        <v>532</v>
      </c>
      <c r="D300" s="320" t="s">
        <v>1</v>
      </c>
      <c r="E300" s="321" t="s">
        <v>101</v>
      </c>
      <c r="F300" s="321" t="s">
        <v>535</v>
      </c>
      <c r="G300" s="326" t="s">
        <v>282</v>
      </c>
      <c r="H300" s="322" t="s">
        <v>282</v>
      </c>
      <c r="I300" s="322" t="s">
        <v>2</v>
      </c>
      <c r="J300" s="322" t="s">
        <v>282</v>
      </c>
      <c r="K300" s="322" t="s">
        <v>2</v>
      </c>
      <c r="L300" s="322" t="s">
        <v>282</v>
      </c>
      <c r="M300" s="322" t="s">
        <v>282</v>
      </c>
      <c r="N300" s="322" t="s">
        <v>282</v>
      </c>
      <c r="O300" s="323" t="s">
        <v>2</v>
      </c>
      <c r="P300" s="323" t="s">
        <v>2</v>
      </c>
      <c r="Q300" s="323" t="s">
        <v>15</v>
      </c>
      <c r="R300" s="323" t="s">
        <v>15</v>
      </c>
      <c r="S300" s="323" t="s">
        <v>16</v>
      </c>
      <c r="T300" s="323" t="s">
        <v>329</v>
      </c>
      <c r="U300" s="323" t="s">
        <v>249</v>
      </c>
      <c r="V300" s="323" t="s">
        <v>282</v>
      </c>
      <c r="W300" s="324" t="s">
        <v>282</v>
      </c>
      <c r="X300" s="324" t="s">
        <v>282</v>
      </c>
      <c r="Y300" s="325" t="s">
        <v>282</v>
      </c>
    </row>
    <row r="301" spans="1:25">
      <c r="A301" s="319">
        <v>6</v>
      </c>
      <c r="B301" s="320" t="str">
        <f>VLOOKUP(Tabel10[[#This Row],[Code]],Ruimtegroepen[[Code]:[Ruimte omschrijving]],2,FALSE)</f>
        <v>Gangen/hallen</v>
      </c>
      <c r="C301" s="321" t="s">
        <v>532</v>
      </c>
      <c r="D301" s="320" t="s">
        <v>1</v>
      </c>
      <c r="E301" s="321" t="s">
        <v>102</v>
      </c>
      <c r="F301" s="321" t="s">
        <v>536</v>
      </c>
      <c r="G301" s="326" t="s">
        <v>282</v>
      </c>
      <c r="H301" s="322" t="s">
        <v>282</v>
      </c>
      <c r="I301" s="322" t="s">
        <v>2</v>
      </c>
      <c r="J301" s="322" t="s">
        <v>282</v>
      </c>
      <c r="K301" s="322" t="s">
        <v>2</v>
      </c>
      <c r="L301" s="322" t="s">
        <v>282</v>
      </c>
      <c r="M301" s="322" t="s">
        <v>282</v>
      </c>
      <c r="N301" s="322" t="s">
        <v>282</v>
      </c>
      <c r="O301" s="323" t="s">
        <v>2</v>
      </c>
      <c r="P301" s="323" t="s">
        <v>2</v>
      </c>
      <c r="Q301" s="323" t="s">
        <v>15</v>
      </c>
      <c r="R301" s="323" t="s">
        <v>15</v>
      </c>
      <c r="S301" s="323" t="s">
        <v>16</v>
      </c>
      <c r="T301" s="323" t="s">
        <v>329</v>
      </c>
      <c r="U301" s="323" t="s">
        <v>249</v>
      </c>
      <c r="V301" s="323" t="s">
        <v>282</v>
      </c>
      <c r="W301" s="324" t="s">
        <v>282</v>
      </c>
      <c r="X301" s="324" t="s">
        <v>282</v>
      </c>
      <c r="Y301" s="325" t="s">
        <v>282</v>
      </c>
    </row>
    <row r="302" spans="1:25">
      <c r="A302" s="319">
        <v>6</v>
      </c>
      <c r="B302" s="320" t="str">
        <f>VLOOKUP(Tabel10[[#This Row],[Code]],Ruimtegroepen[[Code]:[Ruimte omschrijving]],2,FALSE)</f>
        <v>Gangen/hallen</v>
      </c>
      <c r="C302" s="321" t="s">
        <v>532</v>
      </c>
      <c r="D302" s="320" t="s">
        <v>1</v>
      </c>
      <c r="E302" s="321" t="s">
        <v>99</v>
      </c>
      <c r="F302" s="321" t="s">
        <v>534</v>
      </c>
      <c r="G302" s="326" t="s">
        <v>282</v>
      </c>
      <c r="H302" s="322" t="s">
        <v>2</v>
      </c>
      <c r="I302" s="322" t="s">
        <v>282</v>
      </c>
      <c r="J302" s="322" t="s">
        <v>282</v>
      </c>
      <c r="K302" s="322" t="s">
        <v>282</v>
      </c>
      <c r="L302" s="322" t="s">
        <v>282</v>
      </c>
      <c r="M302" s="322" t="s">
        <v>282</v>
      </c>
      <c r="N302" s="322" t="s">
        <v>282</v>
      </c>
      <c r="O302" s="323" t="s">
        <v>2</v>
      </c>
      <c r="P302" s="323" t="s">
        <v>2</v>
      </c>
      <c r="Q302" s="323" t="s">
        <v>15</v>
      </c>
      <c r="R302" s="323" t="s">
        <v>15</v>
      </c>
      <c r="S302" s="323" t="s">
        <v>16</v>
      </c>
      <c r="T302" s="323" t="s">
        <v>329</v>
      </c>
      <c r="U302" s="323" t="s">
        <v>249</v>
      </c>
      <c r="V302" s="323" t="s">
        <v>282</v>
      </c>
      <c r="W302" s="324" t="s">
        <v>282</v>
      </c>
      <c r="X302" s="324" t="s">
        <v>282</v>
      </c>
      <c r="Y302" s="325" t="s">
        <v>282</v>
      </c>
    </row>
    <row r="303" spans="1:25">
      <c r="A303" s="319">
        <v>6</v>
      </c>
      <c r="B303" s="320" t="str">
        <f>VLOOKUP(Tabel10[[#This Row],[Code]],Ruimtegroepen[[Code]:[Ruimte omschrijving]],2,FALSE)</f>
        <v>Gangen/hallen</v>
      </c>
      <c r="C303" s="321" t="s">
        <v>532</v>
      </c>
      <c r="D303" s="320" t="s">
        <v>1</v>
      </c>
      <c r="E303" s="321" t="s">
        <v>1306</v>
      </c>
      <c r="F303" s="321" t="s">
        <v>1460</v>
      </c>
      <c r="G303" s="326" t="s">
        <v>282</v>
      </c>
      <c r="H303" s="322" t="s">
        <v>282</v>
      </c>
      <c r="I303" s="322" t="s">
        <v>2</v>
      </c>
      <c r="J303" s="322" t="s">
        <v>282</v>
      </c>
      <c r="K303" s="322" t="s">
        <v>2</v>
      </c>
      <c r="L303" s="322" t="s">
        <v>282</v>
      </c>
      <c r="M303" s="322" t="s">
        <v>282</v>
      </c>
      <c r="N303" s="322" t="s">
        <v>282</v>
      </c>
      <c r="O303" s="323" t="s">
        <v>2</v>
      </c>
      <c r="P303" s="323" t="s">
        <v>2</v>
      </c>
      <c r="Q303" s="323" t="s">
        <v>15</v>
      </c>
      <c r="R303" s="323" t="s">
        <v>15</v>
      </c>
      <c r="S303" s="323" t="s">
        <v>16</v>
      </c>
      <c r="T303" s="323" t="s">
        <v>329</v>
      </c>
      <c r="U303" s="323" t="s">
        <v>249</v>
      </c>
      <c r="V303" s="323" t="s">
        <v>282</v>
      </c>
      <c r="W303" s="324" t="s">
        <v>282</v>
      </c>
      <c r="X303" s="324" t="s">
        <v>282</v>
      </c>
      <c r="Y303" s="325" t="s">
        <v>282</v>
      </c>
    </row>
    <row r="304" spans="1:25">
      <c r="A304" s="319">
        <v>6</v>
      </c>
      <c r="B304" s="320" t="str">
        <f>VLOOKUP(Tabel10[[#This Row],[Code]],Ruimtegroepen[[Code]:[Ruimte omschrijving]],2,FALSE)</f>
        <v>Gangen/hallen</v>
      </c>
      <c r="C304" s="321" t="s">
        <v>537</v>
      </c>
      <c r="D304" s="320" t="s">
        <v>21</v>
      </c>
      <c r="E304" s="321" t="s">
        <v>100</v>
      </c>
      <c r="F304" s="321" t="s">
        <v>538</v>
      </c>
      <c r="G304" s="326" t="s">
        <v>282</v>
      </c>
      <c r="H304" s="322" t="s">
        <v>282</v>
      </c>
      <c r="I304" s="322" t="s">
        <v>282</v>
      </c>
      <c r="J304" s="322" t="s">
        <v>20</v>
      </c>
      <c r="K304" s="322" t="s">
        <v>282</v>
      </c>
      <c r="L304" s="322" t="s">
        <v>282</v>
      </c>
      <c r="M304" s="322" t="s">
        <v>282</v>
      </c>
      <c r="N304" s="322" t="s">
        <v>282</v>
      </c>
      <c r="O304" s="323" t="s">
        <v>20</v>
      </c>
      <c r="P304" s="323" t="s">
        <v>20</v>
      </c>
      <c r="Q304" s="323" t="s">
        <v>15</v>
      </c>
      <c r="R304" s="323" t="s">
        <v>15</v>
      </c>
      <c r="S304" s="323" t="s">
        <v>16</v>
      </c>
      <c r="T304" s="323" t="s">
        <v>329</v>
      </c>
      <c r="U304" s="323" t="s">
        <v>249</v>
      </c>
      <c r="V304" s="323" t="s">
        <v>282</v>
      </c>
      <c r="W304" s="324" t="s">
        <v>282</v>
      </c>
      <c r="X304" s="324" t="s">
        <v>282</v>
      </c>
      <c r="Y304" s="325" t="s">
        <v>282</v>
      </c>
    </row>
    <row r="305" spans="1:25">
      <c r="A305" s="319">
        <v>6</v>
      </c>
      <c r="B305" s="320" t="str">
        <f>VLOOKUP(Tabel10[[#This Row],[Code]],Ruimtegroepen[[Code]:[Ruimte omschrijving]],2,FALSE)</f>
        <v>Gangen/hallen</v>
      </c>
      <c r="C305" s="321" t="s">
        <v>537</v>
      </c>
      <c r="D305" s="320" t="s">
        <v>21</v>
      </c>
      <c r="E305" s="321" t="s">
        <v>99</v>
      </c>
      <c r="F305" s="321" t="s">
        <v>539</v>
      </c>
      <c r="G305" s="326" t="s">
        <v>282</v>
      </c>
      <c r="H305" s="322" t="s">
        <v>20</v>
      </c>
      <c r="I305" s="322" t="s">
        <v>282</v>
      </c>
      <c r="J305" s="322" t="s">
        <v>282</v>
      </c>
      <c r="K305" s="322" t="s">
        <v>282</v>
      </c>
      <c r="L305" s="322" t="s">
        <v>282</v>
      </c>
      <c r="M305" s="322" t="s">
        <v>282</v>
      </c>
      <c r="N305" s="322" t="s">
        <v>282</v>
      </c>
      <c r="O305" s="323" t="s">
        <v>20</v>
      </c>
      <c r="P305" s="323" t="s">
        <v>20</v>
      </c>
      <c r="Q305" s="323" t="s">
        <v>15</v>
      </c>
      <c r="R305" s="323" t="s">
        <v>15</v>
      </c>
      <c r="S305" s="323" t="s">
        <v>16</v>
      </c>
      <c r="T305" s="323" t="s">
        <v>329</v>
      </c>
      <c r="U305" s="323" t="s">
        <v>249</v>
      </c>
      <c r="V305" s="323" t="s">
        <v>282</v>
      </c>
      <c r="W305" s="324" t="s">
        <v>282</v>
      </c>
      <c r="X305" s="324" t="s">
        <v>282</v>
      </c>
      <c r="Y305" s="325" t="s">
        <v>282</v>
      </c>
    </row>
    <row r="306" spans="1:25">
      <c r="A306" s="319">
        <v>6</v>
      </c>
      <c r="B306" s="320" t="str">
        <f>VLOOKUP(Tabel10[[#This Row],[Code]],Ruimtegroepen[[Code]:[Ruimte omschrijving]],2,FALSE)</f>
        <v>Gangen/hallen</v>
      </c>
      <c r="C306" s="321" t="s">
        <v>537</v>
      </c>
      <c r="D306" s="320" t="s">
        <v>21</v>
      </c>
      <c r="E306" s="321" t="s">
        <v>101</v>
      </c>
      <c r="F306" s="321" t="s">
        <v>540</v>
      </c>
      <c r="G306" s="326" t="s">
        <v>282</v>
      </c>
      <c r="H306" s="322" t="s">
        <v>282</v>
      </c>
      <c r="I306" s="322" t="s">
        <v>20</v>
      </c>
      <c r="J306" s="322" t="s">
        <v>282</v>
      </c>
      <c r="K306" s="322" t="s">
        <v>20</v>
      </c>
      <c r="L306" s="322" t="s">
        <v>282</v>
      </c>
      <c r="M306" s="322" t="s">
        <v>282</v>
      </c>
      <c r="N306" s="322" t="s">
        <v>282</v>
      </c>
      <c r="O306" s="323" t="s">
        <v>20</v>
      </c>
      <c r="P306" s="323" t="s">
        <v>20</v>
      </c>
      <c r="Q306" s="323" t="s">
        <v>15</v>
      </c>
      <c r="R306" s="323" t="s">
        <v>15</v>
      </c>
      <c r="S306" s="323" t="s">
        <v>16</v>
      </c>
      <c r="T306" s="323" t="s">
        <v>329</v>
      </c>
      <c r="U306" s="323" t="s">
        <v>249</v>
      </c>
      <c r="V306" s="323" t="s">
        <v>282</v>
      </c>
      <c r="W306" s="324" t="s">
        <v>282</v>
      </c>
      <c r="X306" s="324" t="s">
        <v>282</v>
      </c>
      <c r="Y306" s="325" t="s">
        <v>282</v>
      </c>
    </row>
    <row r="307" spans="1:25">
      <c r="A307" s="319">
        <v>6</v>
      </c>
      <c r="B307" s="320" t="str">
        <f>VLOOKUP(Tabel10[[#This Row],[Code]],Ruimtegroepen[[Code]:[Ruimte omschrijving]],2,FALSE)</f>
        <v>Gangen/hallen</v>
      </c>
      <c r="C307" s="321" t="s">
        <v>537</v>
      </c>
      <c r="D307" s="320" t="s">
        <v>21</v>
      </c>
      <c r="E307" s="321" t="s">
        <v>102</v>
      </c>
      <c r="F307" s="321" t="s">
        <v>541</v>
      </c>
      <c r="G307" s="326" t="s">
        <v>282</v>
      </c>
      <c r="H307" s="322" t="s">
        <v>282</v>
      </c>
      <c r="I307" s="322" t="s">
        <v>20</v>
      </c>
      <c r="J307" s="322" t="s">
        <v>282</v>
      </c>
      <c r="K307" s="322" t="s">
        <v>20</v>
      </c>
      <c r="L307" s="322" t="s">
        <v>282</v>
      </c>
      <c r="M307" s="322" t="s">
        <v>282</v>
      </c>
      <c r="N307" s="322" t="s">
        <v>282</v>
      </c>
      <c r="O307" s="323" t="s">
        <v>20</v>
      </c>
      <c r="P307" s="323" t="s">
        <v>20</v>
      </c>
      <c r="Q307" s="323" t="s">
        <v>15</v>
      </c>
      <c r="R307" s="323" t="s">
        <v>15</v>
      </c>
      <c r="S307" s="323" t="s">
        <v>16</v>
      </c>
      <c r="T307" s="323" t="s">
        <v>329</v>
      </c>
      <c r="U307" s="323" t="s">
        <v>249</v>
      </c>
      <c r="V307" s="323" t="s">
        <v>282</v>
      </c>
      <c r="W307" s="324" t="s">
        <v>282</v>
      </c>
      <c r="X307" s="324" t="s">
        <v>282</v>
      </c>
      <c r="Y307" s="325" t="s">
        <v>282</v>
      </c>
    </row>
    <row r="308" spans="1:25">
      <c r="A308" s="319">
        <v>6</v>
      </c>
      <c r="B308" s="320" t="str">
        <f>VLOOKUP(Tabel10[[#This Row],[Code]],Ruimtegroepen[[Code]:[Ruimte omschrijving]],2,FALSE)</f>
        <v>Gangen/hallen</v>
      </c>
      <c r="C308" s="321" t="s">
        <v>537</v>
      </c>
      <c r="D308" s="320" t="s">
        <v>21</v>
      </c>
      <c r="E308" s="321" t="s">
        <v>99</v>
      </c>
      <c r="F308" s="321" t="s">
        <v>539</v>
      </c>
      <c r="G308" s="326" t="s">
        <v>282</v>
      </c>
      <c r="H308" s="322" t="s">
        <v>20</v>
      </c>
      <c r="I308" s="322" t="s">
        <v>282</v>
      </c>
      <c r="J308" s="322" t="s">
        <v>282</v>
      </c>
      <c r="K308" s="322" t="s">
        <v>282</v>
      </c>
      <c r="L308" s="322" t="s">
        <v>282</v>
      </c>
      <c r="M308" s="322" t="s">
        <v>282</v>
      </c>
      <c r="N308" s="322" t="s">
        <v>282</v>
      </c>
      <c r="O308" s="323" t="s">
        <v>20</v>
      </c>
      <c r="P308" s="323" t="s">
        <v>20</v>
      </c>
      <c r="Q308" s="323" t="s">
        <v>15</v>
      </c>
      <c r="R308" s="323" t="s">
        <v>15</v>
      </c>
      <c r="S308" s="323" t="s">
        <v>16</v>
      </c>
      <c r="T308" s="323" t="s">
        <v>329</v>
      </c>
      <c r="U308" s="323" t="s">
        <v>249</v>
      </c>
      <c r="V308" s="323" t="s">
        <v>282</v>
      </c>
      <c r="W308" s="324" t="s">
        <v>282</v>
      </c>
      <c r="X308" s="324" t="s">
        <v>282</v>
      </c>
      <c r="Y308" s="325" t="s">
        <v>282</v>
      </c>
    </row>
    <row r="309" spans="1:25">
      <c r="A309" s="319">
        <v>6</v>
      </c>
      <c r="B309" s="320" t="str">
        <f>VLOOKUP(Tabel10[[#This Row],[Code]],Ruimtegroepen[[Code]:[Ruimte omschrijving]],2,FALSE)</f>
        <v>Gangen/hallen</v>
      </c>
      <c r="C309" s="321" t="s">
        <v>537</v>
      </c>
      <c r="D309" s="320" t="s">
        <v>21</v>
      </c>
      <c r="E309" s="321" t="s">
        <v>1306</v>
      </c>
      <c r="F309" s="321" t="s">
        <v>1443</v>
      </c>
      <c r="G309" s="326" t="s">
        <v>282</v>
      </c>
      <c r="H309" s="322" t="s">
        <v>282</v>
      </c>
      <c r="I309" s="322" t="s">
        <v>20</v>
      </c>
      <c r="J309" s="322" t="s">
        <v>282</v>
      </c>
      <c r="K309" s="322" t="s">
        <v>20</v>
      </c>
      <c r="L309" s="322" t="s">
        <v>282</v>
      </c>
      <c r="M309" s="322" t="s">
        <v>282</v>
      </c>
      <c r="N309" s="322" t="s">
        <v>282</v>
      </c>
      <c r="O309" s="323" t="s">
        <v>20</v>
      </c>
      <c r="P309" s="323" t="s">
        <v>20</v>
      </c>
      <c r="Q309" s="323" t="s">
        <v>15</v>
      </c>
      <c r="R309" s="323" t="s">
        <v>15</v>
      </c>
      <c r="S309" s="323" t="s">
        <v>16</v>
      </c>
      <c r="T309" s="323" t="s">
        <v>329</v>
      </c>
      <c r="U309" s="323" t="s">
        <v>249</v>
      </c>
      <c r="V309" s="323" t="s">
        <v>282</v>
      </c>
      <c r="W309" s="324" t="s">
        <v>282</v>
      </c>
      <c r="X309" s="324" t="s">
        <v>282</v>
      </c>
      <c r="Y309" s="325" t="s">
        <v>282</v>
      </c>
    </row>
    <row r="310" spans="1:25">
      <c r="A310" s="319">
        <v>6</v>
      </c>
      <c r="B310" s="320" t="str">
        <f>VLOOKUP(Tabel10[[#This Row],[Code]],Ruimtegroepen[[Code]:[Ruimte omschrijving]],2,FALSE)</f>
        <v>Gangen/hallen</v>
      </c>
      <c r="C310" s="321" t="s">
        <v>542</v>
      </c>
      <c r="D310" s="320" t="s">
        <v>12</v>
      </c>
      <c r="E310" s="321" t="s">
        <v>100</v>
      </c>
      <c r="F310" s="321" t="s">
        <v>543</v>
      </c>
      <c r="G310" s="326" t="s">
        <v>282</v>
      </c>
      <c r="H310" s="322" t="s">
        <v>282</v>
      </c>
      <c r="I310" s="322" t="s">
        <v>282</v>
      </c>
      <c r="J310" s="322" t="s">
        <v>18</v>
      </c>
      <c r="K310" s="322" t="s">
        <v>282</v>
      </c>
      <c r="L310" s="322" t="s">
        <v>282</v>
      </c>
      <c r="M310" s="322" t="s">
        <v>282</v>
      </c>
      <c r="N310" s="322" t="s">
        <v>282</v>
      </c>
      <c r="O310" s="323" t="s">
        <v>18</v>
      </c>
      <c r="P310" s="323" t="s">
        <v>18</v>
      </c>
      <c r="Q310" s="323" t="s">
        <v>15</v>
      </c>
      <c r="R310" s="323" t="s">
        <v>15</v>
      </c>
      <c r="S310" s="323" t="s">
        <v>16</v>
      </c>
      <c r="T310" s="323" t="s">
        <v>329</v>
      </c>
      <c r="U310" s="323" t="s">
        <v>249</v>
      </c>
      <c r="V310" s="323" t="s">
        <v>282</v>
      </c>
      <c r="W310" s="324" t="s">
        <v>282</v>
      </c>
      <c r="X310" s="324" t="s">
        <v>282</v>
      </c>
      <c r="Y310" s="325" t="s">
        <v>282</v>
      </c>
    </row>
    <row r="311" spans="1:25">
      <c r="A311" s="319">
        <v>6</v>
      </c>
      <c r="B311" s="320" t="str">
        <f>VLOOKUP(Tabel10[[#This Row],[Code]],Ruimtegroepen[[Code]:[Ruimte omschrijving]],2,FALSE)</f>
        <v>Gangen/hallen</v>
      </c>
      <c r="C311" s="321" t="s">
        <v>542</v>
      </c>
      <c r="D311" s="320" t="s">
        <v>12</v>
      </c>
      <c r="E311" s="321" t="s">
        <v>99</v>
      </c>
      <c r="F311" s="321" t="s">
        <v>544</v>
      </c>
      <c r="G311" s="326" t="s">
        <v>282</v>
      </c>
      <c r="H311" s="322" t="s">
        <v>18</v>
      </c>
      <c r="I311" s="322" t="s">
        <v>282</v>
      </c>
      <c r="J311" s="322" t="s">
        <v>282</v>
      </c>
      <c r="K311" s="322" t="s">
        <v>282</v>
      </c>
      <c r="L311" s="322" t="s">
        <v>282</v>
      </c>
      <c r="M311" s="322" t="s">
        <v>282</v>
      </c>
      <c r="N311" s="322" t="s">
        <v>282</v>
      </c>
      <c r="O311" s="323" t="s">
        <v>18</v>
      </c>
      <c r="P311" s="323" t="s">
        <v>18</v>
      </c>
      <c r="Q311" s="323" t="s">
        <v>15</v>
      </c>
      <c r="R311" s="323" t="s">
        <v>15</v>
      </c>
      <c r="S311" s="323" t="s">
        <v>16</v>
      </c>
      <c r="T311" s="323" t="s">
        <v>329</v>
      </c>
      <c r="U311" s="323" t="s">
        <v>249</v>
      </c>
      <c r="V311" s="323" t="s">
        <v>282</v>
      </c>
      <c r="W311" s="324" t="s">
        <v>282</v>
      </c>
      <c r="X311" s="324" t="s">
        <v>282</v>
      </c>
      <c r="Y311" s="325" t="s">
        <v>282</v>
      </c>
    </row>
    <row r="312" spans="1:25">
      <c r="A312" s="319">
        <v>6</v>
      </c>
      <c r="B312" s="320" t="str">
        <f>VLOOKUP(Tabel10[[#This Row],[Code]],Ruimtegroepen[[Code]:[Ruimte omschrijving]],2,FALSE)</f>
        <v>Gangen/hallen</v>
      </c>
      <c r="C312" s="321" t="s">
        <v>542</v>
      </c>
      <c r="D312" s="320" t="s">
        <v>12</v>
      </c>
      <c r="E312" s="321" t="s">
        <v>101</v>
      </c>
      <c r="F312" s="321" t="s">
        <v>545</v>
      </c>
      <c r="G312" s="326" t="s">
        <v>282</v>
      </c>
      <c r="H312" s="322" t="s">
        <v>282</v>
      </c>
      <c r="I312" s="322" t="s">
        <v>18</v>
      </c>
      <c r="J312" s="322" t="s">
        <v>282</v>
      </c>
      <c r="K312" s="322" t="s">
        <v>18</v>
      </c>
      <c r="L312" s="322" t="s">
        <v>282</v>
      </c>
      <c r="M312" s="322" t="s">
        <v>282</v>
      </c>
      <c r="N312" s="322" t="s">
        <v>282</v>
      </c>
      <c r="O312" s="323" t="s">
        <v>18</v>
      </c>
      <c r="P312" s="323" t="s">
        <v>18</v>
      </c>
      <c r="Q312" s="323" t="s">
        <v>15</v>
      </c>
      <c r="R312" s="323" t="s">
        <v>15</v>
      </c>
      <c r="S312" s="323" t="s">
        <v>16</v>
      </c>
      <c r="T312" s="323" t="s">
        <v>329</v>
      </c>
      <c r="U312" s="323" t="s">
        <v>249</v>
      </c>
      <c r="V312" s="323" t="s">
        <v>282</v>
      </c>
      <c r="W312" s="324" t="s">
        <v>282</v>
      </c>
      <c r="X312" s="324" t="s">
        <v>282</v>
      </c>
      <c r="Y312" s="325" t="s">
        <v>282</v>
      </c>
    </row>
    <row r="313" spans="1:25">
      <c r="A313" s="319">
        <v>6</v>
      </c>
      <c r="B313" s="320" t="str">
        <f>VLOOKUP(Tabel10[[#This Row],[Code]],Ruimtegroepen[[Code]:[Ruimte omschrijving]],2,FALSE)</f>
        <v>Gangen/hallen</v>
      </c>
      <c r="C313" s="321" t="s">
        <v>542</v>
      </c>
      <c r="D313" s="320" t="s">
        <v>12</v>
      </c>
      <c r="E313" s="321" t="s">
        <v>102</v>
      </c>
      <c r="F313" s="321" t="s">
        <v>546</v>
      </c>
      <c r="G313" s="326" t="s">
        <v>282</v>
      </c>
      <c r="H313" s="322" t="s">
        <v>282</v>
      </c>
      <c r="I313" s="322" t="s">
        <v>18</v>
      </c>
      <c r="J313" s="322" t="s">
        <v>282</v>
      </c>
      <c r="K313" s="322" t="s">
        <v>18</v>
      </c>
      <c r="L313" s="322" t="s">
        <v>282</v>
      </c>
      <c r="M313" s="322" t="s">
        <v>282</v>
      </c>
      <c r="N313" s="322" t="s">
        <v>282</v>
      </c>
      <c r="O313" s="323" t="s">
        <v>18</v>
      </c>
      <c r="P313" s="323" t="s">
        <v>18</v>
      </c>
      <c r="Q313" s="323" t="s">
        <v>15</v>
      </c>
      <c r="R313" s="323" t="s">
        <v>15</v>
      </c>
      <c r="S313" s="323" t="s">
        <v>16</v>
      </c>
      <c r="T313" s="323" t="s">
        <v>329</v>
      </c>
      <c r="U313" s="323" t="s">
        <v>249</v>
      </c>
      <c r="V313" s="323" t="s">
        <v>282</v>
      </c>
      <c r="W313" s="324" t="s">
        <v>282</v>
      </c>
      <c r="X313" s="324" t="s">
        <v>282</v>
      </c>
      <c r="Y313" s="325" t="s">
        <v>282</v>
      </c>
    </row>
    <row r="314" spans="1:25">
      <c r="A314" s="319">
        <v>6</v>
      </c>
      <c r="B314" s="320" t="str">
        <f>VLOOKUP(Tabel10[[#This Row],[Code]],Ruimtegroepen[[Code]:[Ruimte omschrijving]],2,FALSE)</f>
        <v>Gangen/hallen</v>
      </c>
      <c r="C314" s="321" t="s">
        <v>542</v>
      </c>
      <c r="D314" s="320" t="s">
        <v>12</v>
      </c>
      <c r="E314" s="321" t="s">
        <v>99</v>
      </c>
      <c r="F314" s="321" t="s">
        <v>544</v>
      </c>
      <c r="G314" s="326" t="s">
        <v>282</v>
      </c>
      <c r="H314" s="322" t="s">
        <v>18</v>
      </c>
      <c r="I314" s="322" t="s">
        <v>282</v>
      </c>
      <c r="J314" s="322" t="s">
        <v>282</v>
      </c>
      <c r="K314" s="322" t="s">
        <v>282</v>
      </c>
      <c r="L314" s="322" t="s">
        <v>282</v>
      </c>
      <c r="M314" s="322" t="s">
        <v>282</v>
      </c>
      <c r="N314" s="322" t="s">
        <v>282</v>
      </c>
      <c r="O314" s="323" t="s">
        <v>18</v>
      </c>
      <c r="P314" s="323" t="s">
        <v>18</v>
      </c>
      <c r="Q314" s="323" t="s">
        <v>15</v>
      </c>
      <c r="R314" s="323" t="s">
        <v>15</v>
      </c>
      <c r="S314" s="323" t="s">
        <v>16</v>
      </c>
      <c r="T314" s="323" t="s">
        <v>329</v>
      </c>
      <c r="U314" s="323" t="s">
        <v>249</v>
      </c>
      <c r="V314" s="323" t="s">
        <v>282</v>
      </c>
      <c r="W314" s="324" t="s">
        <v>282</v>
      </c>
      <c r="X314" s="324" t="s">
        <v>282</v>
      </c>
      <c r="Y314" s="325" t="s">
        <v>282</v>
      </c>
    </row>
    <row r="315" spans="1:25">
      <c r="A315" s="319">
        <v>6</v>
      </c>
      <c r="B315" s="320" t="str">
        <f>VLOOKUP(Tabel10[[#This Row],[Code]],Ruimtegroepen[[Code]:[Ruimte omschrijving]],2,FALSE)</f>
        <v>Gangen/hallen</v>
      </c>
      <c r="C315" s="321" t="s">
        <v>542</v>
      </c>
      <c r="D315" s="320" t="s">
        <v>12</v>
      </c>
      <c r="E315" s="321" t="s">
        <v>1306</v>
      </c>
      <c r="F315" s="321" t="s">
        <v>1425</v>
      </c>
      <c r="G315" s="326" t="s">
        <v>282</v>
      </c>
      <c r="H315" s="322" t="s">
        <v>282</v>
      </c>
      <c r="I315" s="322" t="s">
        <v>18</v>
      </c>
      <c r="J315" s="322" t="s">
        <v>282</v>
      </c>
      <c r="K315" s="322" t="s">
        <v>18</v>
      </c>
      <c r="L315" s="322" t="s">
        <v>282</v>
      </c>
      <c r="M315" s="322" t="s">
        <v>282</v>
      </c>
      <c r="N315" s="322" t="s">
        <v>282</v>
      </c>
      <c r="O315" s="323" t="s">
        <v>18</v>
      </c>
      <c r="P315" s="323" t="s">
        <v>18</v>
      </c>
      <c r="Q315" s="323" t="s">
        <v>15</v>
      </c>
      <c r="R315" s="323" t="s">
        <v>15</v>
      </c>
      <c r="S315" s="323" t="s">
        <v>16</v>
      </c>
      <c r="T315" s="323" t="s">
        <v>329</v>
      </c>
      <c r="U315" s="323" t="s">
        <v>249</v>
      </c>
      <c r="V315" s="323" t="s">
        <v>282</v>
      </c>
      <c r="W315" s="324" t="s">
        <v>282</v>
      </c>
      <c r="X315" s="324" t="s">
        <v>282</v>
      </c>
      <c r="Y315" s="325" t="s">
        <v>282</v>
      </c>
    </row>
    <row r="316" spans="1:25">
      <c r="A316" s="319">
        <v>6</v>
      </c>
      <c r="B316" s="320" t="str">
        <f>VLOOKUP(Tabel10[[#This Row],[Code]],Ruimtegroepen[[Code]:[Ruimte omschrijving]],2,FALSE)</f>
        <v>Gangen/hallen</v>
      </c>
      <c r="C316" s="321" t="s">
        <v>547</v>
      </c>
      <c r="D316" s="320" t="s">
        <v>14</v>
      </c>
      <c r="E316" s="321" t="s">
        <v>100</v>
      </c>
      <c r="F316" s="321" t="s">
        <v>548</v>
      </c>
      <c r="G316" s="326" t="s">
        <v>282</v>
      </c>
      <c r="H316" s="322" t="s">
        <v>282</v>
      </c>
      <c r="I316" s="322" t="s">
        <v>282</v>
      </c>
      <c r="J316" s="322" t="s">
        <v>17</v>
      </c>
      <c r="K316" s="322" t="s">
        <v>282</v>
      </c>
      <c r="L316" s="322" t="s">
        <v>282</v>
      </c>
      <c r="M316" s="322" t="s">
        <v>282</v>
      </c>
      <c r="N316" s="322" t="s">
        <v>282</v>
      </c>
      <c r="O316" s="323" t="s">
        <v>17</v>
      </c>
      <c r="P316" s="323" t="s">
        <v>17</v>
      </c>
      <c r="Q316" s="323" t="s">
        <v>15</v>
      </c>
      <c r="R316" s="323" t="s">
        <v>15</v>
      </c>
      <c r="S316" s="323" t="s">
        <v>16</v>
      </c>
      <c r="T316" s="323" t="s">
        <v>329</v>
      </c>
      <c r="U316" s="323" t="s">
        <v>249</v>
      </c>
      <c r="V316" s="323" t="s">
        <v>282</v>
      </c>
      <c r="W316" s="324" t="s">
        <v>282</v>
      </c>
      <c r="X316" s="324" t="s">
        <v>282</v>
      </c>
      <c r="Y316" s="325" t="s">
        <v>282</v>
      </c>
    </row>
    <row r="317" spans="1:25">
      <c r="A317" s="319">
        <v>6</v>
      </c>
      <c r="B317" s="320" t="str">
        <f>VLOOKUP(Tabel10[[#This Row],[Code]],Ruimtegroepen[[Code]:[Ruimte omschrijving]],2,FALSE)</f>
        <v>Gangen/hallen</v>
      </c>
      <c r="C317" s="321" t="s">
        <v>547</v>
      </c>
      <c r="D317" s="320" t="s">
        <v>14</v>
      </c>
      <c r="E317" s="321" t="s">
        <v>99</v>
      </c>
      <c r="F317" s="321" t="s">
        <v>549</v>
      </c>
      <c r="G317" s="326" t="s">
        <v>282</v>
      </c>
      <c r="H317" s="322" t="s">
        <v>17</v>
      </c>
      <c r="I317" s="322" t="s">
        <v>282</v>
      </c>
      <c r="J317" s="322" t="s">
        <v>282</v>
      </c>
      <c r="K317" s="322" t="s">
        <v>282</v>
      </c>
      <c r="L317" s="322" t="s">
        <v>282</v>
      </c>
      <c r="M317" s="322" t="s">
        <v>282</v>
      </c>
      <c r="N317" s="322" t="s">
        <v>282</v>
      </c>
      <c r="O317" s="323" t="s">
        <v>17</v>
      </c>
      <c r="P317" s="323" t="s">
        <v>17</v>
      </c>
      <c r="Q317" s="323" t="s">
        <v>15</v>
      </c>
      <c r="R317" s="323" t="s">
        <v>15</v>
      </c>
      <c r="S317" s="323" t="s">
        <v>16</v>
      </c>
      <c r="T317" s="323" t="s">
        <v>329</v>
      </c>
      <c r="U317" s="323" t="s">
        <v>249</v>
      </c>
      <c r="V317" s="323" t="s">
        <v>282</v>
      </c>
      <c r="W317" s="324" t="s">
        <v>282</v>
      </c>
      <c r="X317" s="324" t="s">
        <v>282</v>
      </c>
      <c r="Y317" s="325" t="s">
        <v>282</v>
      </c>
    </row>
    <row r="318" spans="1:25">
      <c r="A318" s="319">
        <v>6</v>
      </c>
      <c r="B318" s="320" t="str">
        <f>VLOOKUP(Tabel10[[#This Row],[Code]],Ruimtegroepen[[Code]:[Ruimte omschrijving]],2,FALSE)</f>
        <v>Gangen/hallen</v>
      </c>
      <c r="C318" s="321" t="s">
        <v>547</v>
      </c>
      <c r="D318" s="320" t="s">
        <v>14</v>
      </c>
      <c r="E318" s="321" t="s">
        <v>101</v>
      </c>
      <c r="F318" s="321" t="s">
        <v>550</v>
      </c>
      <c r="G318" s="326" t="s">
        <v>282</v>
      </c>
      <c r="H318" s="322" t="s">
        <v>282</v>
      </c>
      <c r="I318" s="322" t="s">
        <v>17</v>
      </c>
      <c r="J318" s="322" t="s">
        <v>282</v>
      </c>
      <c r="K318" s="322" t="s">
        <v>17</v>
      </c>
      <c r="L318" s="322" t="s">
        <v>282</v>
      </c>
      <c r="M318" s="322" t="s">
        <v>282</v>
      </c>
      <c r="N318" s="322" t="s">
        <v>282</v>
      </c>
      <c r="O318" s="323" t="s">
        <v>17</v>
      </c>
      <c r="P318" s="323" t="s">
        <v>17</v>
      </c>
      <c r="Q318" s="323" t="s">
        <v>15</v>
      </c>
      <c r="R318" s="323" t="s">
        <v>15</v>
      </c>
      <c r="S318" s="323" t="s">
        <v>16</v>
      </c>
      <c r="T318" s="323" t="s">
        <v>329</v>
      </c>
      <c r="U318" s="323" t="s">
        <v>249</v>
      </c>
      <c r="V318" s="323" t="s">
        <v>282</v>
      </c>
      <c r="W318" s="324" t="s">
        <v>282</v>
      </c>
      <c r="X318" s="324" t="s">
        <v>282</v>
      </c>
      <c r="Y318" s="325" t="s">
        <v>282</v>
      </c>
    </row>
    <row r="319" spans="1:25">
      <c r="A319" s="319">
        <v>6</v>
      </c>
      <c r="B319" s="320" t="str">
        <f>VLOOKUP(Tabel10[[#This Row],[Code]],Ruimtegroepen[[Code]:[Ruimte omschrijving]],2,FALSE)</f>
        <v>Gangen/hallen</v>
      </c>
      <c r="C319" s="321" t="s">
        <v>547</v>
      </c>
      <c r="D319" s="320" t="s">
        <v>14</v>
      </c>
      <c r="E319" s="321" t="s">
        <v>102</v>
      </c>
      <c r="F319" s="321" t="s">
        <v>551</v>
      </c>
      <c r="G319" s="326" t="s">
        <v>282</v>
      </c>
      <c r="H319" s="322" t="s">
        <v>282</v>
      </c>
      <c r="I319" s="322" t="s">
        <v>17</v>
      </c>
      <c r="J319" s="322" t="s">
        <v>282</v>
      </c>
      <c r="K319" s="322" t="s">
        <v>17</v>
      </c>
      <c r="L319" s="322" t="s">
        <v>282</v>
      </c>
      <c r="M319" s="322" t="s">
        <v>282</v>
      </c>
      <c r="N319" s="322" t="s">
        <v>282</v>
      </c>
      <c r="O319" s="323" t="s">
        <v>17</v>
      </c>
      <c r="P319" s="323" t="s">
        <v>17</v>
      </c>
      <c r="Q319" s="323" t="s">
        <v>15</v>
      </c>
      <c r="R319" s="323" t="s">
        <v>15</v>
      </c>
      <c r="S319" s="323" t="s">
        <v>16</v>
      </c>
      <c r="T319" s="323" t="s">
        <v>329</v>
      </c>
      <c r="U319" s="323" t="s">
        <v>249</v>
      </c>
      <c r="V319" s="323" t="s">
        <v>282</v>
      </c>
      <c r="W319" s="324" t="s">
        <v>282</v>
      </c>
      <c r="X319" s="324" t="s">
        <v>282</v>
      </c>
      <c r="Y319" s="325" t="s">
        <v>282</v>
      </c>
    </row>
    <row r="320" spans="1:25">
      <c r="A320" s="319">
        <v>6</v>
      </c>
      <c r="B320" s="320" t="str">
        <f>VLOOKUP(Tabel10[[#This Row],[Code]],Ruimtegroepen[[Code]:[Ruimte omschrijving]],2,FALSE)</f>
        <v>Gangen/hallen</v>
      </c>
      <c r="C320" s="321" t="s">
        <v>547</v>
      </c>
      <c r="D320" s="320" t="s">
        <v>14</v>
      </c>
      <c r="E320" s="321" t="s">
        <v>99</v>
      </c>
      <c r="F320" s="321" t="s">
        <v>549</v>
      </c>
      <c r="G320" s="326" t="s">
        <v>282</v>
      </c>
      <c r="H320" s="322" t="s">
        <v>17</v>
      </c>
      <c r="I320" s="322" t="s">
        <v>282</v>
      </c>
      <c r="J320" s="322" t="s">
        <v>282</v>
      </c>
      <c r="K320" s="322" t="s">
        <v>282</v>
      </c>
      <c r="L320" s="322" t="s">
        <v>282</v>
      </c>
      <c r="M320" s="322" t="s">
        <v>282</v>
      </c>
      <c r="N320" s="322" t="s">
        <v>282</v>
      </c>
      <c r="O320" s="323" t="s">
        <v>17</v>
      </c>
      <c r="P320" s="323" t="s">
        <v>17</v>
      </c>
      <c r="Q320" s="323" t="s">
        <v>15</v>
      </c>
      <c r="R320" s="323" t="s">
        <v>15</v>
      </c>
      <c r="S320" s="323" t="s">
        <v>16</v>
      </c>
      <c r="T320" s="323" t="s">
        <v>329</v>
      </c>
      <c r="U320" s="323" t="s">
        <v>249</v>
      </c>
      <c r="V320" s="323" t="s">
        <v>282</v>
      </c>
      <c r="W320" s="324" t="s">
        <v>282</v>
      </c>
      <c r="X320" s="324" t="s">
        <v>282</v>
      </c>
      <c r="Y320" s="325" t="s">
        <v>282</v>
      </c>
    </row>
    <row r="321" spans="1:25">
      <c r="A321" s="319">
        <v>6</v>
      </c>
      <c r="B321" s="320" t="str">
        <f>VLOOKUP(Tabel10[[#This Row],[Code]],Ruimtegroepen[[Code]:[Ruimte omschrijving]],2,FALSE)</f>
        <v>Gangen/hallen</v>
      </c>
      <c r="C321" s="321" t="s">
        <v>547</v>
      </c>
      <c r="D321" s="320" t="s">
        <v>14</v>
      </c>
      <c r="E321" s="321" t="s">
        <v>1306</v>
      </c>
      <c r="F321" s="321" t="s">
        <v>1392</v>
      </c>
      <c r="G321" s="326" t="s">
        <v>282</v>
      </c>
      <c r="H321" s="322" t="s">
        <v>282</v>
      </c>
      <c r="I321" s="322" t="s">
        <v>17</v>
      </c>
      <c r="J321" s="322" t="s">
        <v>282</v>
      </c>
      <c r="K321" s="322" t="s">
        <v>17</v>
      </c>
      <c r="L321" s="322" t="s">
        <v>282</v>
      </c>
      <c r="M321" s="322" t="s">
        <v>282</v>
      </c>
      <c r="N321" s="322" t="s">
        <v>282</v>
      </c>
      <c r="O321" s="323" t="s">
        <v>17</v>
      </c>
      <c r="P321" s="323" t="s">
        <v>17</v>
      </c>
      <c r="Q321" s="323" t="s">
        <v>15</v>
      </c>
      <c r="R321" s="323" t="s">
        <v>15</v>
      </c>
      <c r="S321" s="323" t="s">
        <v>16</v>
      </c>
      <c r="T321" s="323" t="s">
        <v>329</v>
      </c>
      <c r="U321" s="323" t="s">
        <v>249</v>
      </c>
      <c r="V321" s="323" t="s">
        <v>282</v>
      </c>
      <c r="W321" s="324" t="s">
        <v>282</v>
      </c>
      <c r="X321" s="324" t="s">
        <v>282</v>
      </c>
      <c r="Y321" s="325" t="s">
        <v>282</v>
      </c>
    </row>
    <row r="322" spans="1:25">
      <c r="A322" s="319">
        <v>6</v>
      </c>
      <c r="B322" s="320" t="str">
        <f>VLOOKUP(Tabel10[[#This Row],[Code]],Ruimtegroepen[[Code]:[Ruimte omschrijving]],2,FALSE)</f>
        <v>Gangen/hallen</v>
      </c>
      <c r="C322" s="321" t="s">
        <v>552</v>
      </c>
      <c r="D322" s="320" t="s">
        <v>13</v>
      </c>
      <c r="E322" s="321" t="s">
        <v>100</v>
      </c>
      <c r="F322" s="321" t="s">
        <v>553</v>
      </c>
      <c r="G322" s="326" t="s">
        <v>282</v>
      </c>
      <c r="H322" s="322" t="s">
        <v>282</v>
      </c>
      <c r="I322" s="322" t="s">
        <v>282</v>
      </c>
      <c r="J322" s="322" t="s">
        <v>15</v>
      </c>
      <c r="K322" s="322" t="s">
        <v>282</v>
      </c>
      <c r="L322" s="322" t="s">
        <v>282</v>
      </c>
      <c r="M322" s="322" t="s">
        <v>282</v>
      </c>
      <c r="N322" s="322" t="s">
        <v>282</v>
      </c>
      <c r="O322" s="323" t="s">
        <v>15</v>
      </c>
      <c r="P322" s="323" t="s">
        <v>15</v>
      </c>
      <c r="Q322" s="323" t="s">
        <v>15</v>
      </c>
      <c r="R322" s="323" t="s">
        <v>15</v>
      </c>
      <c r="S322" s="323" t="s">
        <v>16</v>
      </c>
      <c r="T322" s="323" t="s">
        <v>329</v>
      </c>
      <c r="U322" s="323" t="s">
        <v>249</v>
      </c>
      <c r="V322" s="323" t="s">
        <v>282</v>
      </c>
      <c r="W322" s="324" t="s">
        <v>282</v>
      </c>
      <c r="X322" s="324" t="s">
        <v>282</v>
      </c>
      <c r="Y322" s="325" t="s">
        <v>282</v>
      </c>
    </row>
    <row r="323" spans="1:25">
      <c r="A323" s="319">
        <v>6</v>
      </c>
      <c r="B323" s="320" t="str">
        <f>VLOOKUP(Tabel10[[#This Row],[Code]],Ruimtegroepen[[Code]:[Ruimte omschrijving]],2,FALSE)</f>
        <v>Gangen/hallen</v>
      </c>
      <c r="C323" s="321" t="s">
        <v>552</v>
      </c>
      <c r="D323" s="320" t="s">
        <v>13</v>
      </c>
      <c r="E323" s="321" t="s">
        <v>99</v>
      </c>
      <c r="F323" s="321" t="s">
        <v>554</v>
      </c>
      <c r="G323" s="326" t="s">
        <v>282</v>
      </c>
      <c r="H323" s="322" t="s">
        <v>15</v>
      </c>
      <c r="I323" s="322" t="s">
        <v>282</v>
      </c>
      <c r="J323" s="322" t="s">
        <v>282</v>
      </c>
      <c r="K323" s="322" t="s">
        <v>282</v>
      </c>
      <c r="L323" s="322" t="s">
        <v>282</v>
      </c>
      <c r="M323" s="322" t="s">
        <v>282</v>
      </c>
      <c r="N323" s="322" t="s">
        <v>282</v>
      </c>
      <c r="O323" s="323" t="s">
        <v>15</v>
      </c>
      <c r="P323" s="323" t="s">
        <v>15</v>
      </c>
      <c r="Q323" s="323" t="s">
        <v>15</v>
      </c>
      <c r="R323" s="323" t="s">
        <v>15</v>
      </c>
      <c r="S323" s="323" t="s">
        <v>16</v>
      </c>
      <c r="T323" s="323" t="s">
        <v>329</v>
      </c>
      <c r="U323" s="323" t="s">
        <v>249</v>
      </c>
      <c r="V323" s="323" t="s">
        <v>282</v>
      </c>
      <c r="W323" s="324" t="s">
        <v>282</v>
      </c>
      <c r="X323" s="324" t="s">
        <v>282</v>
      </c>
      <c r="Y323" s="325" t="s">
        <v>282</v>
      </c>
    </row>
    <row r="324" spans="1:25">
      <c r="A324" s="319">
        <v>6</v>
      </c>
      <c r="B324" s="320" t="str">
        <f>VLOOKUP(Tabel10[[#This Row],[Code]],Ruimtegroepen[[Code]:[Ruimte omschrijving]],2,FALSE)</f>
        <v>Gangen/hallen</v>
      </c>
      <c r="C324" s="321" t="s">
        <v>552</v>
      </c>
      <c r="D324" s="320" t="s">
        <v>13</v>
      </c>
      <c r="E324" s="321" t="s">
        <v>101</v>
      </c>
      <c r="F324" s="321" t="s">
        <v>555</v>
      </c>
      <c r="G324" s="326" t="s">
        <v>282</v>
      </c>
      <c r="H324" s="322" t="s">
        <v>282</v>
      </c>
      <c r="I324" s="322" t="s">
        <v>15</v>
      </c>
      <c r="J324" s="322" t="s">
        <v>282</v>
      </c>
      <c r="K324" s="322" t="s">
        <v>15</v>
      </c>
      <c r="L324" s="322" t="s">
        <v>282</v>
      </c>
      <c r="M324" s="322" t="s">
        <v>282</v>
      </c>
      <c r="N324" s="322" t="s">
        <v>282</v>
      </c>
      <c r="O324" s="323" t="s">
        <v>15</v>
      </c>
      <c r="P324" s="323" t="s">
        <v>15</v>
      </c>
      <c r="Q324" s="323" t="s">
        <v>15</v>
      </c>
      <c r="R324" s="323" t="s">
        <v>15</v>
      </c>
      <c r="S324" s="323" t="s">
        <v>16</v>
      </c>
      <c r="T324" s="323" t="s">
        <v>329</v>
      </c>
      <c r="U324" s="323" t="s">
        <v>249</v>
      </c>
      <c r="V324" s="323" t="s">
        <v>282</v>
      </c>
      <c r="W324" s="324" t="s">
        <v>282</v>
      </c>
      <c r="X324" s="324" t="s">
        <v>282</v>
      </c>
      <c r="Y324" s="325" t="s">
        <v>282</v>
      </c>
    </row>
    <row r="325" spans="1:25">
      <c r="A325" s="319">
        <v>6</v>
      </c>
      <c r="B325" s="320" t="str">
        <f>VLOOKUP(Tabel10[[#This Row],[Code]],Ruimtegroepen[[Code]:[Ruimte omschrijving]],2,FALSE)</f>
        <v>Gangen/hallen</v>
      </c>
      <c r="C325" s="321" t="s">
        <v>552</v>
      </c>
      <c r="D325" s="320" t="s">
        <v>13</v>
      </c>
      <c r="E325" s="321" t="s">
        <v>102</v>
      </c>
      <c r="F325" s="321" t="s">
        <v>556</v>
      </c>
      <c r="G325" s="326" t="s">
        <v>282</v>
      </c>
      <c r="H325" s="322" t="s">
        <v>282</v>
      </c>
      <c r="I325" s="322" t="s">
        <v>15</v>
      </c>
      <c r="J325" s="322" t="s">
        <v>282</v>
      </c>
      <c r="K325" s="322" t="s">
        <v>15</v>
      </c>
      <c r="L325" s="322" t="s">
        <v>282</v>
      </c>
      <c r="M325" s="322" t="s">
        <v>282</v>
      </c>
      <c r="N325" s="322" t="s">
        <v>282</v>
      </c>
      <c r="O325" s="323" t="s">
        <v>15</v>
      </c>
      <c r="P325" s="323" t="s">
        <v>15</v>
      </c>
      <c r="Q325" s="323" t="s">
        <v>15</v>
      </c>
      <c r="R325" s="323" t="s">
        <v>15</v>
      </c>
      <c r="S325" s="323" t="s">
        <v>16</v>
      </c>
      <c r="T325" s="323" t="s">
        <v>329</v>
      </c>
      <c r="U325" s="323" t="s">
        <v>249</v>
      </c>
      <c r="V325" s="323" t="s">
        <v>282</v>
      </c>
      <c r="W325" s="324" t="s">
        <v>282</v>
      </c>
      <c r="X325" s="324" t="s">
        <v>282</v>
      </c>
      <c r="Y325" s="325" t="s">
        <v>282</v>
      </c>
    </row>
    <row r="326" spans="1:25">
      <c r="A326" s="319">
        <v>6</v>
      </c>
      <c r="B326" s="320" t="str">
        <f>VLOOKUP(Tabel10[[#This Row],[Code]],Ruimtegroepen[[Code]:[Ruimte omschrijving]],2,FALSE)</f>
        <v>Gangen/hallen</v>
      </c>
      <c r="C326" s="321" t="s">
        <v>552</v>
      </c>
      <c r="D326" s="320" t="s">
        <v>13</v>
      </c>
      <c r="E326" s="321" t="s">
        <v>99</v>
      </c>
      <c r="F326" s="321" t="s">
        <v>554</v>
      </c>
      <c r="G326" s="326" t="s">
        <v>282</v>
      </c>
      <c r="H326" s="322" t="s">
        <v>15</v>
      </c>
      <c r="I326" s="322" t="s">
        <v>282</v>
      </c>
      <c r="J326" s="322" t="s">
        <v>282</v>
      </c>
      <c r="K326" s="322" t="s">
        <v>282</v>
      </c>
      <c r="L326" s="322" t="s">
        <v>282</v>
      </c>
      <c r="M326" s="322" t="s">
        <v>282</v>
      </c>
      <c r="N326" s="322" t="s">
        <v>282</v>
      </c>
      <c r="O326" s="323" t="s">
        <v>15</v>
      </c>
      <c r="P326" s="323" t="s">
        <v>15</v>
      </c>
      <c r="Q326" s="323" t="s">
        <v>15</v>
      </c>
      <c r="R326" s="323" t="s">
        <v>15</v>
      </c>
      <c r="S326" s="323" t="s">
        <v>16</v>
      </c>
      <c r="T326" s="323" t="s">
        <v>329</v>
      </c>
      <c r="U326" s="323" t="s">
        <v>249</v>
      </c>
      <c r="V326" s="323" t="s">
        <v>282</v>
      </c>
      <c r="W326" s="324" t="s">
        <v>282</v>
      </c>
      <c r="X326" s="324" t="s">
        <v>282</v>
      </c>
      <c r="Y326" s="325" t="s">
        <v>282</v>
      </c>
    </row>
    <row r="327" spans="1:25">
      <c r="A327" s="319">
        <v>6</v>
      </c>
      <c r="B327" s="320" t="str">
        <f>VLOOKUP(Tabel10[[#This Row],[Code]],Ruimtegroepen[[Code]:[Ruimte omschrijving]],2,FALSE)</f>
        <v>Gangen/hallen</v>
      </c>
      <c r="C327" s="321" t="s">
        <v>552</v>
      </c>
      <c r="D327" s="320" t="s">
        <v>13</v>
      </c>
      <c r="E327" s="321" t="s">
        <v>1306</v>
      </c>
      <c r="F327" s="321" t="s">
        <v>1359</v>
      </c>
      <c r="G327" s="326" t="s">
        <v>282</v>
      </c>
      <c r="H327" s="322" t="s">
        <v>282</v>
      </c>
      <c r="I327" s="322" t="s">
        <v>15</v>
      </c>
      <c r="J327" s="322" t="s">
        <v>282</v>
      </c>
      <c r="K327" s="322" t="s">
        <v>15</v>
      </c>
      <c r="L327" s="322" t="s">
        <v>282</v>
      </c>
      <c r="M327" s="322" t="s">
        <v>282</v>
      </c>
      <c r="N327" s="322" t="s">
        <v>282</v>
      </c>
      <c r="O327" s="323" t="s">
        <v>15</v>
      </c>
      <c r="P327" s="323" t="s">
        <v>15</v>
      </c>
      <c r="Q327" s="323" t="s">
        <v>15</v>
      </c>
      <c r="R327" s="323" t="s">
        <v>15</v>
      </c>
      <c r="S327" s="323" t="s">
        <v>16</v>
      </c>
      <c r="T327" s="323" t="s">
        <v>329</v>
      </c>
      <c r="U327" s="323" t="s">
        <v>249</v>
      </c>
      <c r="V327" s="323" t="s">
        <v>282</v>
      </c>
      <c r="W327" s="324" t="s">
        <v>282</v>
      </c>
      <c r="X327" s="324" t="s">
        <v>282</v>
      </c>
      <c r="Y327" s="325" t="s">
        <v>282</v>
      </c>
    </row>
    <row r="328" spans="1:25">
      <c r="A328" s="319">
        <v>6</v>
      </c>
      <c r="B328" s="320" t="str">
        <f>VLOOKUP(Tabel10[[#This Row],[Code]],Ruimtegroepen[[Code]:[Ruimte omschrijving]],2,FALSE)</f>
        <v>Gangen/hallen</v>
      </c>
      <c r="C328" s="321" t="s">
        <v>557</v>
      </c>
      <c r="D328" s="320" t="s">
        <v>0</v>
      </c>
      <c r="E328" s="321" t="s">
        <v>100</v>
      </c>
      <c r="F328" s="321" t="s">
        <v>558</v>
      </c>
      <c r="G328" s="326" t="s">
        <v>282</v>
      </c>
      <c r="H328" s="322" t="s">
        <v>282</v>
      </c>
      <c r="I328" s="322" t="s">
        <v>282</v>
      </c>
      <c r="J328" s="322" t="s">
        <v>16</v>
      </c>
      <c r="K328" s="322" t="s">
        <v>282</v>
      </c>
      <c r="L328" s="322" t="s">
        <v>282</v>
      </c>
      <c r="M328" s="322" t="s">
        <v>282</v>
      </c>
      <c r="N328" s="322" t="s">
        <v>282</v>
      </c>
      <c r="O328" s="323" t="s">
        <v>16</v>
      </c>
      <c r="P328" s="323" t="s">
        <v>16</v>
      </c>
      <c r="Q328" s="323" t="s">
        <v>16</v>
      </c>
      <c r="R328" s="323" t="s">
        <v>16</v>
      </c>
      <c r="S328" s="323" t="s">
        <v>16</v>
      </c>
      <c r="T328" s="323" t="s">
        <v>329</v>
      </c>
      <c r="U328" s="323" t="s">
        <v>249</v>
      </c>
      <c r="V328" s="323" t="s">
        <v>282</v>
      </c>
      <c r="W328" s="324" t="s">
        <v>282</v>
      </c>
      <c r="X328" s="324" t="s">
        <v>282</v>
      </c>
      <c r="Y328" s="325" t="s">
        <v>282</v>
      </c>
    </row>
    <row r="329" spans="1:25">
      <c r="A329" s="319">
        <v>6</v>
      </c>
      <c r="B329" s="320" t="str">
        <f>VLOOKUP(Tabel10[[#This Row],[Code]],Ruimtegroepen[[Code]:[Ruimte omschrijving]],2,FALSE)</f>
        <v>Gangen/hallen</v>
      </c>
      <c r="C329" s="321" t="s">
        <v>557</v>
      </c>
      <c r="D329" s="320" t="s">
        <v>0</v>
      </c>
      <c r="E329" s="321" t="s">
        <v>99</v>
      </c>
      <c r="F329" s="321" t="s">
        <v>559</v>
      </c>
      <c r="G329" s="326" t="s">
        <v>282</v>
      </c>
      <c r="H329" s="322" t="s">
        <v>16</v>
      </c>
      <c r="I329" s="322" t="s">
        <v>282</v>
      </c>
      <c r="J329" s="322" t="s">
        <v>282</v>
      </c>
      <c r="K329" s="322" t="s">
        <v>282</v>
      </c>
      <c r="L329" s="322" t="s">
        <v>282</v>
      </c>
      <c r="M329" s="322" t="s">
        <v>282</v>
      </c>
      <c r="N329" s="322" t="s">
        <v>282</v>
      </c>
      <c r="O329" s="323" t="s">
        <v>16</v>
      </c>
      <c r="P329" s="323" t="s">
        <v>16</v>
      </c>
      <c r="Q329" s="323" t="s">
        <v>16</v>
      </c>
      <c r="R329" s="323" t="s">
        <v>16</v>
      </c>
      <c r="S329" s="323" t="s">
        <v>16</v>
      </c>
      <c r="T329" s="323" t="s">
        <v>329</v>
      </c>
      <c r="U329" s="323" t="s">
        <v>249</v>
      </c>
      <c r="V329" s="323" t="s">
        <v>282</v>
      </c>
      <c r="W329" s="324" t="s">
        <v>282</v>
      </c>
      <c r="X329" s="324" t="s">
        <v>282</v>
      </c>
      <c r="Y329" s="325" t="s">
        <v>282</v>
      </c>
    </row>
    <row r="330" spans="1:25">
      <c r="A330" s="319">
        <v>6</v>
      </c>
      <c r="B330" s="320" t="str">
        <f>VLOOKUP(Tabel10[[#This Row],[Code]],Ruimtegroepen[[Code]:[Ruimte omschrijving]],2,FALSE)</f>
        <v>Gangen/hallen</v>
      </c>
      <c r="C330" s="321" t="s">
        <v>557</v>
      </c>
      <c r="D330" s="320" t="s">
        <v>0</v>
      </c>
      <c r="E330" s="321" t="s">
        <v>101</v>
      </c>
      <c r="F330" s="321" t="s">
        <v>560</v>
      </c>
      <c r="G330" s="326" t="s">
        <v>282</v>
      </c>
      <c r="H330" s="322" t="s">
        <v>282</v>
      </c>
      <c r="I330" s="322" t="s">
        <v>16</v>
      </c>
      <c r="J330" s="322" t="s">
        <v>361</v>
      </c>
      <c r="K330" s="322" t="s">
        <v>16</v>
      </c>
      <c r="L330" s="322" t="s">
        <v>282</v>
      </c>
      <c r="M330" s="322" t="s">
        <v>282</v>
      </c>
      <c r="N330" s="322" t="s">
        <v>282</v>
      </c>
      <c r="O330" s="323" t="s">
        <v>16</v>
      </c>
      <c r="P330" s="323" t="s">
        <v>16</v>
      </c>
      <c r="Q330" s="323" t="s">
        <v>16</v>
      </c>
      <c r="R330" s="323" t="s">
        <v>16</v>
      </c>
      <c r="S330" s="323" t="s">
        <v>16</v>
      </c>
      <c r="T330" s="323" t="s">
        <v>329</v>
      </c>
      <c r="U330" s="323" t="s">
        <v>249</v>
      </c>
      <c r="V330" s="323" t="s">
        <v>282</v>
      </c>
      <c r="W330" s="324" t="s">
        <v>282</v>
      </c>
      <c r="X330" s="324" t="s">
        <v>282</v>
      </c>
      <c r="Y330" s="325" t="s">
        <v>282</v>
      </c>
    </row>
    <row r="331" spans="1:25">
      <c r="A331" s="319">
        <v>6</v>
      </c>
      <c r="B331" s="320" t="str">
        <f>VLOOKUP(Tabel10[[#This Row],[Code]],Ruimtegroepen[[Code]:[Ruimte omschrijving]],2,FALSE)</f>
        <v>Gangen/hallen</v>
      </c>
      <c r="C331" s="321" t="s">
        <v>557</v>
      </c>
      <c r="D331" s="320" t="s">
        <v>0</v>
      </c>
      <c r="E331" s="321" t="s">
        <v>102</v>
      </c>
      <c r="F331" s="321" t="s">
        <v>561</v>
      </c>
      <c r="G331" s="326" t="s">
        <v>282</v>
      </c>
      <c r="H331" s="322" t="s">
        <v>282</v>
      </c>
      <c r="I331" s="322" t="s">
        <v>16</v>
      </c>
      <c r="J331" s="322" t="s">
        <v>282</v>
      </c>
      <c r="K331" s="322" t="s">
        <v>16</v>
      </c>
      <c r="L331" s="322" t="s">
        <v>282</v>
      </c>
      <c r="M331" s="322" t="s">
        <v>282</v>
      </c>
      <c r="N331" s="322" t="s">
        <v>282</v>
      </c>
      <c r="O331" s="323" t="s">
        <v>16</v>
      </c>
      <c r="P331" s="323" t="s">
        <v>16</v>
      </c>
      <c r="Q331" s="323" t="s">
        <v>16</v>
      </c>
      <c r="R331" s="323" t="s">
        <v>16</v>
      </c>
      <c r="S331" s="323" t="s">
        <v>16</v>
      </c>
      <c r="T331" s="323" t="s">
        <v>329</v>
      </c>
      <c r="U331" s="323" t="s">
        <v>249</v>
      </c>
      <c r="V331" s="323" t="s">
        <v>282</v>
      </c>
      <c r="W331" s="324" t="s">
        <v>282</v>
      </c>
      <c r="X331" s="324" t="s">
        <v>282</v>
      </c>
      <c r="Y331" s="325" t="s">
        <v>282</v>
      </c>
    </row>
    <row r="332" spans="1:25">
      <c r="A332" s="319">
        <v>6</v>
      </c>
      <c r="B332" s="320" t="str">
        <f>VLOOKUP(Tabel10[[#This Row],[Code]],Ruimtegroepen[[Code]:[Ruimte omschrijving]],2,FALSE)</f>
        <v>Gangen/hallen</v>
      </c>
      <c r="C332" s="321" t="s">
        <v>557</v>
      </c>
      <c r="D332" s="320" t="s">
        <v>0</v>
      </c>
      <c r="E332" s="321" t="s">
        <v>99</v>
      </c>
      <c r="F332" s="321" t="s">
        <v>559</v>
      </c>
      <c r="G332" s="326" t="s">
        <v>282</v>
      </c>
      <c r="H332" s="322" t="s">
        <v>16</v>
      </c>
      <c r="I332" s="322" t="s">
        <v>282</v>
      </c>
      <c r="J332" s="322" t="s">
        <v>282</v>
      </c>
      <c r="K332" s="322" t="s">
        <v>282</v>
      </c>
      <c r="L332" s="322" t="s">
        <v>282</v>
      </c>
      <c r="M332" s="322" t="s">
        <v>282</v>
      </c>
      <c r="N332" s="322" t="s">
        <v>282</v>
      </c>
      <c r="O332" s="323" t="s">
        <v>16</v>
      </c>
      <c r="P332" s="323" t="s">
        <v>16</v>
      </c>
      <c r="Q332" s="323" t="s">
        <v>16</v>
      </c>
      <c r="R332" s="323" t="s">
        <v>16</v>
      </c>
      <c r="S332" s="323" t="s">
        <v>16</v>
      </c>
      <c r="T332" s="323" t="s">
        <v>329</v>
      </c>
      <c r="U332" s="323" t="s">
        <v>249</v>
      </c>
      <c r="V332" s="323" t="s">
        <v>282</v>
      </c>
      <c r="W332" s="324" t="s">
        <v>282</v>
      </c>
      <c r="X332" s="324" t="s">
        <v>282</v>
      </c>
      <c r="Y332" s="325" t="s">
        <v>282</v>
      </c>
    </row>
    <row r="333" spans="1:25">
      <c r="A333" s="319">
        <v>6</v>
      </c>
      <c r="B333" s="320" t="str">
        <f>VLOOKUP(Tabel10[[#This Row],[Code]],Ruimtegroepen[[Code]:[Ruimte omschrijving]],2,FALSE)</f>
        <v>Gangen/hallen</v>
      </c>
      <c r="C333" s="321" t="s">
        <v>557</v>
      </c>
      <c r="D333" s="320" t="s">
        <v>0</v>
      </c>
      <c r="E333" s="321" t="s">
        <v>1306</v>
      </c>
      <c r="F333" s="321" t="s">
        <v>1343</v>
      </c>
      <c r="G333" s="326" t="s">
        <v>282</v>
      </c>
      <c r="H333" s="322" t="s">
        <v>282</v>
      </c>
      <c r="I333" s="322" t="s">
        <v>16</v>
      </c>
      <c r="J333" s="322" t="s">
        <v>282</v>
      </c>
      <c r="K333" s="322" t="s">
        <v>16</v>
      </c>
      <c r="L333" s="322" t="s">
        <v>282</v>
      </c>
      <c r="M333" s="322" t="s">
        <v>282</v>
      </c>
      <c r="N333" s="322" t="s">
        <v>282</v>
      </c>
      <c r="O333" s="323" t="s">
        <v>16</v>
      </c>
      <c r="P333" s="323" t="s">
        <v>16</v>
      </c>
      <c r="Q333" s="323" t="s">
        <v>16</v>
      </c>
      <c r="R333" s="323" t="s">
        <v>16</v>
      </c>
      <c r="S333" s="323" t="s">
        <v>16</v>
      </c>
      <c r="T333" s="323" t="s">
        <v>329</v>
      </c>
      <c r="U333" s="323" t="s">
        <v>249</v>
      </c>
      <c r="V333" s="323" t="s">
        <v>282</v>
      </c>
      <c r="W333" s="324" t="s">
        <v>282</v>
      </c>
      <c r="X333" s="324" t="s">
        <v>282</v>
      </c>
      <c r="Y333" s="325" t="s">
        <v>282</v>
      </c>
    </row>
    <row r="334" spans="1:25">
      <c r="A334" s="319">
        <v>6</v>
      </c>
      <c r="B334" s="320" t="str">
        <f>VLOOKUP(Tabel10[[#This Row],[Code]],Ruimtegroepen[[Code]:[Ruimte omschrijving]],2,FALSE)</f>
        <v>Gangen/hallen</v>
      </c>
      <c r="C334" s="321" t="s">
        <v>562</v>
      </c>
      <c r="D334" s="320" t="s">
        <v>27</v>
      </c>
      <c r="E334" s="321" t="s">
        <v>100</v>
      </c>
      <c r="F334" s="321" t="s">
        <v>563</v>
      </c>
      <c r="G334" s="326" t="s">
        <v>282</v>
      </c>
      <c r="H334" s="322" t="s">
        <v>282</v>
      </c>
      <c r="I334" s="322" t="s">
        <v>15</v>
      </c>
      <c r="J334" s="322" t="s">
        <v>282</v>
      </c>
      <c r="K334" s="322" t="s">
        <v>282</v>
      </c>
      <c r="L334" s="322" t="s">
        <v>282</v>
      </c>
      <c r="M334" s="322" t="s">
        <v>282</v>
      </c>
      <c r="N334" s="322" t="s">
        <v>282</v>
      </c>
      <c r="O334" s="323" t="s">
        <v>15</v>
      </c>
      <c r="P334" s="323" t="s">
        <v>15</v>
      </c>
      <c r="Q334" s="323" t="s">
        <v>15</v>
      </c>
      <c r="R334" s="323" t="s">
        <v>282</v>
      </c>
      <c r="S334" s="323" t="s">
        <v>282</v>
      </c>
      <c r="T334" s="323" t="s">
        <v>282</v>
      </c>
      <c r="U334" s="323" t="s">
        <v>282</v>
      </c>
      <c r="V334" s="323" t="s">
        <v>282</v>
      </c>
      <c r="W334" s="324" t="s">
        <v>282</v>
      </c>
      <c r="X334" s="324" t="s">
        <v>282</v>
      </c>
      <c r="Y334" s="325" t="s">
        <v>282</v>
      </c>
    </row>
    <row r="335" spans="1:25">
      <c r="A335" s="319">
        <v>6</v>
      </c>
      <c r="B335" s="320" t="str">
        <f>VLOOKUP(Tabel10[[#This Row],[Code]],Ruimtegroepen[[Code]:[Ruimte omschrijving]],2,FALSE)</f>
        <v>Gangen/hallen</v>
      </c>
      <c r="C335" s="321" t="s">
        <v>562</v>
      </c>
      <c r="D335" s="320" t="s">
        <v>27</v>
      </c>
      <c r="E335" s="321" t="s">
        <v>99</v>
      </c>
      <c r="F335" s="321" t="s">
        <v>564</v>
      </c>
      <c r="G335" s="326" t="s">
        <v>282</v>
      </c>
      <c r="H335" s="322" t="s">
        <v>15</v>
      </c>
      <c r="I335" s="322" t="s">
        <v>282</v>
      </c>
      <c r="J335" s="322" t="s">
        <v>282</v>
      </c>
      <c r="K335" s="322" t="s">
        <v>282</v>
      </c>
      <c r="L335" s="322" t="s">
        <v>282</v>
      </c>
      <c r="M335" s="322" t="s">
        <v>282</v>
      </c>
      <c r="N335" s="322" t="s">
        <v>282</v>
      </c>
      <c r="O335" s="323" t="s">
        <v>15</v>
      </c>
      <c r="P335" s="323" t="s">
        <v>15</v>
      </c>
      <c r="Q335" s="323" t="s">
        <v>15</v>
      </c>
      <c r="R335" s="323" t="s">
        <v>282</v>
      </c>
      <c r="S335" s="323" t="s">
        <v>282</v>
      </c>
      <c r="T335" s="323" t="s">
        <v>282</v>
      </c>
      <c r="U335" s="323" t="s">
        <v>282</v>
      </c>
      <c r="V335" s="323" t="s">
        <v>282</v>
      </c>
      <c r="W335" s="324" t="s">
        <v>282</v>
      </c>
      <c r="X335" s="324" t="s">
        <v>282</v>
      </c>
      <c r="Y335" s="325" t="s">
        <v>282</v>
      </c>
    </row>
    <row r="336" spans="1:25">
      <c r="A336" s="319">
        <v>6</v>
      </c>
      <c r="B336" s="320" t="str">
        <f>VLOOKUP(Tabel10[[#This Row],[Code]],Ruimtegroepen[[Code]:[Ruimte omschrijving]],2,FALSE)</f>
        <v>Gangen/hallen</v>
      </c>
      <c r="C336" s="321" t="s">
        <v>562</v>
      </c>
      <c r="D336" s="320" t="s">
        <v>27</v>
      </c>
      <c r="E336" s="321" t="s">
        <v>101</v>
      </c>
      <c r="F336" s="321" t="s">
        <v>565</v>
      </c>
      <c r="G336" s="326" t="s">
        <v>282</v>
      </c>
      <c r="H336" s="322" t="s">
        <v>282</v>
      </c>
      <c r="I336" s="322" t="s">
        <v>15</v>
      </c>
      <c r="J336" s="322" t="s">
        <v>282</v>
      </c>
      <c r="K336" s="322" t="s">
        <v>282</v>
      </c>
      <c r="L336" s="322" t="s">
        <v>282</v>
      </c>
      <c r="M336" s="322" t="s">
        <v>282</v>
      </c>
      <c r="N336" s="322" t="s">
        <v>282</v>
      </c>
      <c r="O336" s="323" t="s">
        <v>15</v>
      </c>
      <c r="P336" s="323" t="s">
        <v>15</v>
      </c>
      <c r="Q336" s="323" t="s">
        <v>15</v>
      </c>
      <c r="R336" s="323" t="s">
        <v>282</v>
      </c>
      <c r="S336" s="323" t="s">
        <v>282</v>
      </c>
      <c r="T336" s="323" t="s">
        <v>282</v>
      </c>
      <c r="U336" s="323" t="s">
        <v>282</v>
      </c>
      <c r="V336" s="323" t="s">
        <v>282</v>
      </c>
      <c r="W336" s="324" t="s">
        <v>282</v>
      </c>
      <c r="X336" s="324" t="s">
        <v>282</v>
      </c>
      <c r="Y336" s="325" t="s">
        <v>282</v>
      </c>
    </row>
    <row r="337" spans="1:25">
      <c r="A337" s="319">
        <v>6</v>
      </c>
      <c r="B337" s="320" t="str">
        <f>VLOOKUP(Tabel10[[#This Row],[Code]],Ruimtegroepen[[Code]:[Ruimte omschrijving]],2,FALSE)</f>
        <v>Gangen/hallen</v>
      </c>
      <c r="C337" s="321" t="s">
        <v>562</v>
      </c>
      <c r="D337" s="320" t="s">
        <v>27</v>
      </c>
      <c r="E337" s="321" t="s">
        <v>102</v>
      </c>
      <c r="F337" s="321" t="s">
        <v>566</v>
      </c>
      <c r="G337" s="326" t="s">
        <v>282</v>
      </c>
      <c r="H337" s="322" t="s">
        <v>282</v>
      </c>
      <c r="I337" s="322" t="s">
        <v>15</v>
      </c>
      <c r="J337" s="322" t="s">
        <v>282</v>
      </c>
      <c r="K337" s="322" t="s">
        <v>282</v>
      </c>
      <c r="L337" s="322" t="s">
        <v>282</v>
      </c>
      <c r="M337" s="322" t="s">
        <v>282</v>
      </c>
      <c r="N337" s="322" t="s">
        <v>282</v>
      </c>
      <c r="O337" s="323" t="s">
        <v>15</v>
      </c>
      <c r="P337" s="323" t="s">
        <v>15</v>
      </c>
      <c r="Q337" s="323" t="s">
        <v>15</v>
      </c>
      <c r="R337" s="323" t="s">
        <v>282</v>
      </c>
      <c r="S337" s="323" t="s">
        <v>282</v>
      </c>
      <c r="T337" s="323" t="s">
        <v>282</v>
      </c>
      <c r="U337" s="323" t="s">
        <v>282</v>
      </c>
      <c r="V337" s="323" t="s">
        <v>282</v>
      </c>
      <c r="W337" s="324" t="s">
        <v>282</v>
      </c>
      <c r="X337" s="324" t="s">
        <v>282</v>
      </c>
      <c r="Y337" s="325" t="s">
        <v>282</v>
      </c>
    </row>
    <row r="338" spans="1:25">
      <c r="A338" s="319">
        <v>6</v>
      </c>
      <c r="B338" s="320" t="str">
        <f>VLOOKUP(Tabel10[[#This Row],[Code]],Ruimtegroepen[[Code]:[Ruimte omschrijving]],2,FALSE)</f>
        <v>Gangen/hallen</v>
      </c>
      <c r="C338" s="321" t="s">
        <v>562</v>
      </c>
      <c r="D338" s="320" t="s">
        <v>27</v>
      </c>
      <c r="E338" s="321" t="s">
        <v>99</v>
      </c>
      <c r="F338" s="321" t="s">
        <v>564</v>
      </c>
      <c r="G338" s="326" t="s">
        <v>282</v>
      </c>
      <c r="H338" s="322" t="s">
        <v>15</v>
      </c>
      <c r="I338" s="322" t="s">
        <v>282</v>
      </c>
      <c r="J338" s="322" t="s">
        <v>282</v>
      </c>
      <c r="K338" s="322" t="s">
        <v>282</v>
      </c>
      <c r="L338" s="322" t="s">
        <v>282</v>
      </c>
      <c r="M338" s="322" t="s">
        <v>282</v>
      </c>
      <c r="N338" s="322" t="s">
        <v>282</v>
      </c>
      <c r="O338" s="323" t="s">
        <v>15</v>
      </c>
      <c r="P338" s="323" t="s">
        <v>15</v>
      </c>
      <c r="Q338" s="323" t="s">
        <v>15</v>
      </c>
      <c r="R338" s="323" t="s">
        <v>282</v>
      </c>
      <c r="S338" s="323" t="s">
        <v>282</v>
      </c>
      <c r="T338" s="323" t="s">
        <v>282</v>
      </c>
      <c r="U338" s="323" t="s">
        <v>282</v>
      </c>
      <c r="V338" s="323" t="s">
        <v>282</v>
      </c>
      <c r="W338" s="324" t="s">
        <v>282</v>
      </c>
      <c r="X338" s="324" t="s">
        <v>282</v>
      </c>
      <c r="Y338" s="325" t="s">
        <v>282</v>
      </c>
    </row>
    <row r="339" spans="1:25">
      <c r="A339" s="319">
        <v>6</v>
      </c>
      <c r="B339" s="320" t="str">
        <f>VLOOKUP(Tabel10[[#This Row],[Code]],Ruimtegroepen[[Code]:[Ruimte omschrijving]],2,FALSE)</f>
        <v>Gangen/hallen</v>
      </c>
      <c r="C339" s="321" t="s">
        <v>562</v>
      </c>
      <c r="D339" s="320" t="s">
        <v>27</v>
      </c>
      <c r="E339" s="321" t="s">
        <v>1306</v>
      </c>
      <c r="F339" s="321" t="s">
        <v>1376</v>
      </c>
      <c r="G339" s="326" t="s">
        <v>282</v>
      </c>
      <c r="H339" s="322" t="s">
        <v>282</v>
      </c>
      <c r="I339" s="322" t="s">
        <v>15</v>
      </c>
      <c r="J339" s="322" t="s">
        <v>282</v>
      </c>
      <c r="K339" s="322" t="s">
        <v>282</v>
      </c>
      <c r="L339" s="322" t="s">
        <v>282</v>
      </c>
      <c r="M339" s="322" t="s">
        <v>282</v>
      </c>
      <c r="N339" s="322" t="s">
        <v>282</v>
      </c>
      <c r="O339" s="323" t="s">
        <v>15</v>
      </c>
      <c r="P339" s="323" t="s">
        <v>15</v>
      </c>
      <c r="Q339" s="323" t="s">
        <v>15</v>
      </c>
      <c r="R339" s="323" t="s">
        <v>282</v>
      </c>
      <c r="S339" s="323" t="s">
        <v>282</v>
      </c>
      <c r="T339" s="323" t="s">
        <v>282</v>
      </c>
      <c r="U339" s="323" t="s">
        <v>282</v>
      </c>
      <c r="V339" s="323" t="s">
        <v>282</v>
      </c>
      <c r="W339" s="324" t="s">
        <v>282</v>
      </c>
      <c r="X339" s="324" t="s">
        <v>282</v>
      </c>
      <c r="Y339" s="325" t="s">
        <v>282</v>
      </c>
    </row>
    <row r="340" spans="1:25">
      <c r="A340" s="319">
        <v>6</v>
      </c>
      <c r="B340" s="320" t="str">
        <f>VLOOKUP(Tabel10[[#This Row],[Code]],Ruimtegroepen[[Code]:[Ruimte omschrijving]],2,FALSE)</f>
        <v>Gangen/hallen</v>
      </c>
      <c r="C340" s="321" t="s">
        <v>567</v>
      </c>
      <c r="D340" s="320" t="s">
        <v>28</v>
      </c>
      <c r="E340" s="321" t="s">
        <v>100</v>
      </c>
      <c r="F340" s="321" t="s">
        <v>568</v>
      </c>
      <c r="G340" s="326" t="s">
        <v>282</v>
      </c>
      <c r="H340" s="322" t="s">
        <v>282</v>
      </c>
      <c r="I340" s="322" t="s">
        <v>17</v>
      </c>
      <c r="J340" s="322" t="s">
        <v>282</v>
      </c>
      <c r="K340" s="322" t="s">
        <v>282</v>
      </c>
      <c r="L340" s="322" t="s">
        <v>282</v>
      </c>
      <c r="M340" s="322" t="s">
        <v>282</v>
      </c>
      <c r="N340" s="322" t="s">
        <v>282</v>
      </c>
      <c r="O340" s="323" t="s">
        <v>17</v>
      </c>
      <c r="P340" s="323" t="s">
        <v>17</v>
      </c>
      <c r="Q340" s="323" t="s">
        <v>15</v>
      </c>
      <c r="R340" s="323" t="s">
        <v>282</v>
      </c>
      <c r="S340" s="323" t="s">
        <v>282</v>
      </c>
      <c r="T340" s="323" t="s">
        <v>282</v>
      </c>
      <c r="U340" s="323" t="s">
        <v>282</v>
      </c>
      <c r="V340" s="323" t="s">
        <v>282</v>
      </c>
      <c r="W340" s="324" t="s">
        <v>282</v>
      </c>
      <c r="X340" s="324" t="s">
        <v>282</v>
      </c>
      <c r="Y340" s="325" t="s">
        <v>282</v>
      </c>
    </row>
    <row r="341" spans="1:25">
      <c r="A341" s="319">
        <v>6</v>
      </c>
      <c r="B341" s="320" t="str">
        <f>VLOOKUP(Tabel10[[#This Row],[Code]],Ruimtegroepen[[Code]:[Ruimte omschrijving]],2,FALSE)</f>
        <v>Gangen/hallen</v>
      </c>
      <c r="C341" s="321" t="s">
        <v>567</v>
      </c>
      <c r="D341" s="320" t="s">
        <v>28</v>
      </c>
      <c r="E341" s="321" t="s">
        <v>99</v>
      </c>
      <c r="F341" s="321" t="s">
        <v>569</v>
      </c>
      <c r="G341" s="326" t="s">
        <v>282</v>
      </c>
      <c r="H341" s="322" t="s">
        <v>17</v>
      </c>
      <c r="I341" s="322" t="s">
        <v>282</v>
      </c>
      <c r="J341" s="322" t="s">
        <v>282</v>
      </c>
      <c r="K341" s="322" t="s">
        <v>282</v>
      </c>
      <c r="L341" s="322" t="s">
        <v>282</v>
      </c>
      <c r="M341" s="322" t="s">
        <v>282</v>
      </c>
      <c r="N341" s="322" t="s">
        <v>282</v>
      </c>
      <c r="O341" s="323" t="s">
        <v>17</v>
      </c>
      <c r="P341" s="323" t="s">
        <v>17</v>
      </c>
      <c r="Q341" s="323" t="s">
        <v>15</v>
      </c>
      <c r="R341" s="323" t="s">
        <v>282</v>
      </c>
      <c r="S341" s="323" t="s">
        <v>282</v>
      </c>
      <c r="T341" s="323" t="s">
        <v>282</v>
      </c>
      <c r="U341" s="323" t="s">
        <v>282</v>
      </c>
      <c r="V341" s="323" t="s">
        <v>282</v>
      </c>
      <c r="W341" s="324" t="s">
        <v>282</v>
      </c>
      <c r="X341" s="324" t="s">
        <v>282</v>
      </c>
      <c r="Y341" s="325" t="s">
        <v>282</v>
      </c>
    </row>
    <row r="342" spans="1:25">
      <c r="A342" s="319">
        <v>6</v>
      </c>
      <c r="B342" s="320" t="str">
        <f>VLOOKUP(Tabel10[[#This Row],[Code]],Ruimtegroepen[[Code]:[Ruimte omschrijving]],2,FALSE)</f>
        <v>Gangen/hallen</v>
      </c>
      <c r="C342" s="321" t="s">
        <v>567</v>
      </c>
      <c r="D342" s="320" t="s">
        <v>28</v>
      </c>
      <c r="E342" s="321" t="s">
        <v>101</v>
      </c>
      <c r="F342" s="321" t="s">
        <v>570</v>
      </c>
      <c r="G342" s="326" t="s">
        <v>282</v>
      </c>
      <c r="H342" s="322" t="s">
        <v>282</v>
      </c>
      <c r="I342" s="322" t="s">
        <v>17</v>
      </c>
      <c r="J342" s="322" t="s">
        <v>282</v>
      </c>
      <c r="K342" s="322" t="s">
        <v>282</v>
      </c>
      <c r="L342" s="322" t="s">
        <v>282</v>
      </c>
      <c r="M342" s="322" t="s">
        <v>282</v>
      </c>
      <c r="N342" s="322" t="s">
        <v>282</v>
      </c>
      <c r="O342" s="323" t="s">
        <v>17</v>
      </c>
      <c r="P342" s="323" t="s">
        <v>17</v>
      </c>
      <c r="Q342" s="323" t="s">
        <v>15</v>
      </c>
      <c r="R342" s="323" t="s">
        <v>282</v>
      </c>
      <c r="S342" s="323" t="s">
        <v>282</v>
      </c>
      <c r="T342" s="323" t="s">
        <v>282</v>
      </c>
      <c r="U342" s="323" t="s">
        <v>282</v>
      </c>
      <c r="V342" s="323" t="s">
        <v>282</v>
      </c>
      <c r="W342" s="324" t="s">
        <v>282</v>
      </c>
      <c r="X342" s="324" t="s">
        <v>282</v>
      </c>
      <c r="Y342" s="325" t="s">
        <v>282</v>
      </c>
    </row>
    <row r="343" spans="1:25">
      <c r="A343" s="319">
        <v>6</v>
      </c>
      <c r="B343" s="320" t="str">
        <f>VLOOKUP(Tabel10[[#This Row],[Code]],Ruimtegroepen[[Code]:[Ruimte omschrijving]],2,FALSE)</f>
        <v>Gangen/hallen</v>
      </c>
      <c r="C343" s="321" t="s">
        <v>567</v>
      </c>
      <c r="D343" s="320" t="s">
        <v>28</v>
      </c>
      <c r="E343" s="321" t="s">
        <v>102</v>
      </c>
      <c r="F343" s="321" t="s">
        <v>571</v>
      </c>
      <c r="G343" s="326" t="s">
        <v>282</v>
      </c>
      <c r="H343" s="322" t="s">
        <v>282</v>
      </c>
      <c r="I343" s="322" t="s">
        <v>17</v>
      </c>
      <c r="J343" s="322" t="s">
        <v>282</v>
      </c>
      <c r="K343" s="322" t="s">
        <v>282</v>
      </c>
      <c r="L343" s="322" t="s">
        <v>282</v>
      </c>
      <c r="M343" s="322" t="s">
        <v>282</v>
      </c>
      <c r="N343" s="322" t="s">
        <v>282</v>
      </c>
      <c r="O343" s="323" t="s">
        <v>17</v>
      </c>
      <c r="P343" s="323" t="s">
        <v>17</v>
      </c>
      <c r="Q343" s="323" t="s">
        <v>15</v>
      </c>
      <c r="R343" s="323" t="s">
        <v>282</v>
      </c>
      <c r="S343" s="323" t="s">
        <v>282</v>
      </c>
      <c r="T343" s="323" t="s">
        <v>282</v>
      </c>
      <c r="U343" s="323" t="s">
        <v>282</v>
      </c>
      <c r="V343" s="323" t="s">
        <v>282</v>
      </c>
      <c r="W343" s="324" t="s">
        <v>282</v>
      </c>
      <c r="X343" s="324" t="s">
        <v>282</v>
      </c>
      <c r="Y343" s="325" t="s">
        <v>282</v>
      </c>
    </row>
    <row r="344" spans="1:25">
      <c r="A344" s="319">
        <v>6</v>
      </c>
      <c r="B344" s="320" t="str">
        <f>VLOOKUP(Tabel10[[#This Row],[Code]],Ruimtegroepen[[Code]:[Ruimte omschrijving]],2,FALSE)</f>
        <v>Gangen/hallen</v>
      </c>
      <c r="C344" s="321" t="s">
        <v>567</v>
      </c>
      <c r="D344" s="320" t="s">
        <v>28</v>
      </c>
      <c r="E344" s="321" t="s">
        <v>99</v>
      </c>
      <c r="F344" s="321" t="s">
        <v>569</v>
      </c>
      <c r="G344" s="326" t="s">
        <v>282</v>
      </c>
      <c r="H344" s="322" t="s">
        <v>17</v>
      </c>
      <c r="I344" s="322" t="s">
        <v>282</v>
      </c>
      <c r="J344" s="322" t="s">
        <v>282</v>
      </c>
      <c r="K344" s="322" t="s">
        <v>282</v>
      </c>
      <c r="L344" s="322" t="s">
        <v>282</v>
      </c>
      <c r="M344" s="322" t="s">
        <v>282</v>
      </c>
      <c r="N344" s="322" t="s">
        <v>282</v>
      </c>
      <c r="O344" s="323" t="s">
        <v>17</v>
      </c>
      <c r="P344" s="323" t="s">
        <v>17</v>
      </c>
      <c r="Q344" s="323" t="s">
        <v>15</v>
      </c>
      <c r="R344" s="323" t="s">
        <v>282</v>
      </c>
      <c r="S344" s="323" t="s">
        <v>282</v>
      </c>
      <c r="T344" s="323" t="s">
        <v>282</v>
      </c>
      <c r="U344" s="323" t="s">
        <v>282</v>
      </c>
      <c r="V344" s="323" t="s">
        <v>282</v>
      </c>
      <c r="W344" s="324" t="s">
        <v>282</v>
      </c>
      <c r="X344" s="324" t="s">
        <v>282</v>
      </c>
      <c r="Y344" s="325" t="s">
        <v>282</v>
      </c>
    </row>
    <row r="345" spans="1:25">
      <c r="A345" s="319">
        <v>6</v>
      </c>
      <c r="B345" s="320" t="str">
        <f>VLOOKUP(Tabel10[[#This Row],[Code]],Ruimtegroepen[[Code]:[Ruimte omschrijving]],2,FALSE)</f>
        <v>Gangen/hallen</v>
      </c>
      <c r="C345" s="321" t="s">
        <v>567</v>
      </c>
      <c r="D345" s="320" t="s">
        <v>28</v>
      </c>
      <c r="E345" s="321" t="s">
        <v>1306</v>
      </c>
      <c r="F345" s="321" t="s">
        <v>1409</v>
      </c>
      <c r="G345" s="326" t="s">
        <v>282</v>
      </c>
      <c r="H345" s="322" t="s">
        <v>282</v>
      </c>
      <c r="I345" s="322" t="s">
        <v>17</v>
      </c>
      <c r="J345" s="322" t="s">
        <v>282</v>
      </c>
      <c r="K345" s="322" t="s">
        <v>282</v>
      </c>
      <c r="L345" s="322" t="s">
        <v>282</v>
      </c>
      <c r="M345" s="322" t="s">
        <v>282</v>
      </c>
      <c r="N345" s="322" t="s">
        <v>282</v>
      </c>
      <c r="O345" s="323" t="s">
        <v>17</v>
      </c>
      <c r="P345" s="323" t="s">
        <v>17</v>
      </c>
      <c r="Q345" s="323" t="s">
        <v>15</v>
      </c>
      <c r="R345" s="323" t="s">
        <v>282</v>
      </c>
      <c r="S345" s="323" t="s">
        <v>282</v>
      </c>
      <c r="T345" s="323" t="s">
        <v>282</v>
      </c>
      <c r="U345" s="323" t="s">
        <v>282</v>
      </c>
      <c r="V345" s="323" t="s">
        <v>282</v>
      </c>
      <c r="W345" s="324" t="s">
        <v>282</v>
      </c>
      <c r="X345" s="324" t="s">
        <v>282</v>
      </c>
      <c r="Y345" s="325" t="s">
        <v>282</v>
      </c>
    </row>
    <row r="346" spans="1:25">
      <c r="A346" s="319">
        <v>7</v>
      </c>
      <c r="B346" s="320" t="str">
        <f>VLOOKUP(Tabel10[[#This Row],[Code]],Ruimtegroepen[[Code]:[Ruimte omschrijving]],2,FALSE)</f>
        <v>Entree</v>
      </c>
      <c r="C346" s="321" t="s">
        <v>572</v>
      </c>
      <c r="D346" s="320" t="s">
        <v>29</v>
      </c>
      <c r="E346" s="321" t="s">
        <v>100</v>
      </c>
      <c r="F346" s="321" t="s">
        <v>573</v>
      </c>
      <c r="G346" s="326" t="s">
        <v>282</v>
      </c>
      <c r="H346" s="322" t="s">
        <v>282</v>
      </c>
      <c r="I346" s="322" t="s">
        <v>282</v>
      </c>
      <c r="J346" s="322" t="s">
        <v>2</v>
      </c>
      <c r="K346" s="322" t="s">
        <v>282</v>
      </c>
      <c r="L346" s="322" t="s">
        <v>282</v>
      </c>
      <c r="M346" s="322" t="s">
        <v>282</v>
      </c>
      <c r="N346" s="322" t="s">
        <v>2</v>
      </c>
      <c r="O346" s="323" t="s">
        <v>2</v>
      </c>
      <c r="P346" s="323" t="s">
        <v>2</v>
      </c>
      <c r="Q346" s="323" t="s">
        <v>15</v>
      </c>
      <c r="R346" s="323" t="s">
        <v>15</v>
      </c>
      <c r="S346" s="323" t="s">
        <v>16</v>
      </c>
      <c r="T346" s="323" t="s">
        <v>329</v>
      </c>
      <c r="U346" s="323" t="s">
        <v>249</v>
      </c>
      <c r="V346" s="323" t="s">
        <v>2</v>
      </c>
      <c r="W346" s="324" t="s">
        <v>282</v>
      </c>
      <c r="X346" s="324" t="s">
        <v>282</v>
      </c>
      <c r="Y346" s="325" t="s">
        <v>282</v>
      </c>
    </row>
    <row r="347" spans="1:25">
      <c r="A347" s="319">
        <v>7</v>
      </c>
      <c r="B347" s="320" t="str">
        <f>VLOOKUP(Tabel10[[#This Row],[Code]],Ruimtegroepen[[Code]:[Ruimte omschrijving]],2,FALSE)</f>
        <v>Entree</v>
      </c>
      <c r="C347" s="321" t="s">
        <v>572</v>
      </c>
      <c r="D347" s="320" t="s">
        <v>29</v>
      </c>
      <c r="E347" s="321" t="s">
        <v>99</v>
      </c>
      <c r="F347" s="321" t="s">
        <v>574</v>
      </c>
      <c r="G347" s="326" t="s">
        <v>282</v>
      </c>
      <c r="H347" s="322" t="s">
        <v>2</v>
      </c>
      <c r="I347" s="322" t="s">
        <v>282</v>
      </c>
      <c r="J347" s="322" t="s">
        <v>282</v>
      </c>
      <c r="K347" s="322" t="s">
        <v>282</v>
      </c>
      <c r="L347" s="322" t="s">
        <v>282</v>
      </c>
      <c r="M347" s="322" t="s">
        <v>282</v>
      </c>
      <c r="N347" s="322" t="s">
        <v>2</v>
      </c>
      <c r="O347" s="323" t="s">
        <v>2</v>
      </c>
      <c r="P347" s="323" t="s">
        <v>2</v>
      </c>
      <c r="Q347" s="323" t="s">
        <v>15</v>
      </c>
      <c r="R347" s="323" t="s">
        <v>15</v>
      </c>
      <c r="S347" s="323" t="s">
        <v>16</v>
      </c>
      <c r="T347" s="323" t="s">
        <v>329</v>
      </c>
      <c r="U347" s="323" t="s">
        <v>249</v>
      </c>
      <c r="V347" s="323" t="s">
        <v>2</v>
      </c>
      <c r="W347" s="324" t="s">
        <v>282</v>
      </c>
      <c r="X347" s="324" t="s">
        <v>282</v>
      </c>
      <c r="Y347" s="325" t="s">
        <v>282</v>
      </c>
    </row>
    <row r="348" spans="1:25">
      <c r="A348" s="319">
        <v>7</v>
      </c>
      <c r="B348" s="320" t="str">
        <f>VLOOKUP(Tabel10[[#This Row],[Code]],Ruimtegroepen[[Code]:[Ruimte omschrijving]],2,FALSE)</f>
        <v>Entree</v>
      </c>
      <c r="C348" s="321" t="s">
        <v>572</v>
      </c>
      <c r="D348" s="320" t="s">
        <v>29</v>
      </c>
      <c r="E348" s="321" t="s">
        <v>101</v>
      </c>
      <c r="F348" s="321" t="s">
        <v>575</v>
      </c>
      <c r="G348" s="326" t="s">
        <v>282</v>
      </c>
      <c r="H348" s="322" t="s">
        <v>282</v>
      </c>
      <c r="I348" s="322" t="s">
        <v>2</v>
      </c>
      <c r="J348" s="322" t="s">
        <v>282</v>
      </c>
      <c r="K348" s="322" t="s">
        <v>2</v>
      </c>
      <c r="L348" s="322" t="s">
        <v>282</v>
      </c>
      <c r="M348" s="322" t="s">
        <v>282</v>
      </c>
      <c r="N348" s="322" t="s">
        <v>2</v>
      </c>
      <c r="O348" s="323" t="s">
        <v>2</v>
      </c>
      <c r="P348" s="323" t="s">
        <v>2</v>
      </c>
      <c r="Q348" s="323" t="s">
        <v>15</v>
      </c>
      <c r="R348" s="323" t="s">
        <v>15</v>
      </c>
      <c r="S348" s="323" t="s">
        <v>16</v>
      </c>
      <c r="T348" s="323" t="s">
        <v>329</v>
      </c>
      <c r="U348" s="323" t="s">
        <v>249</v>
      </c>
      <c r="V348" s="323" t="s">
        <v>2</v>
      </c>
      <c r="W348" s="324" t="s">
        <v>282</v>
      </c>
      <c r="X348" s="324" t="s">
        <v>282</v>
      </c>
      <c r="Y348" s="325" t="s">
        <v>282</v>
      </c>
    </row>
    <row r="349" spans="1:25">
      <c r="A349" s="319">
        <v>7</v>
      </c>
      <c r="B349" s="320" t="str">
        <f>VLOOKUP(Tabel10[[#This Row],[Code]],Ruimtegroepen[[Code]:[Ruimte omschrijving]],2,FALSE)</f>
        <v>Entree</v>
      </c>
      <c r="C349" s="321" t="s">
        <v>572</v>
      </c>
      <c r="D349" s="320" t="s">
        <v>29</v>
      </c>
      <c r="E349" s="321" t="s">
        <v>102</v>
      </c>
      <c r="F349" s="321" t="s">
        <v>576</v>
      </c>
      <c r="G349" s="326" t="s">
        <v>282</v>
      </c>
      <c r="H349" s="322" t="s">
        <v>282</v>
      </c>
      <c r="I349" s="322" t="s">
        <v>2</v>
      </c>
      <c r="J349" s="322" t="s">
        <v>282</v>
      </c>
      <c r="K349" s="322" t="s">
        <v>2</v>
      </c>
      <c r="L349" s="322" t="s">
        <v>282</v>
      </c>
      <c r="M349" s="322" t="s">
        <v>282</v>
      </c>
      <c r="N349" s="322" t="s">
        <v>2</v>
      </c>
      <c r="O349" s="323" t="s">
        <v>2</v>
      </c>
      <c r="P349" s="323" t="s">
        <v>2</v>
      </c>
      <c r="Q349" s="323" t="s">
        <v>15</v>
      </c>
      <c r="R349" s="323" t="s">
        <v>15</v>
      </c>
      <c r="S349" s="323" t="s">
        <v>16</v>
      </c>
      <c r="T349" s="323" t="s">
        <v>329</v>
      </c>
      <c r="U349" s="323" t="s">
        <v>249</v>
      </c>
      <c r="V349" s="323" t="s">
        <v>2</v>
      </c>
      <c r="W349" s="324" t="s">
        <v>282</v>
      </c>
      <c r="X349" s="324" t="s">
        <v>282</v>
      </c>
      <c r="Y349" s="325" t="s">
        <v>282</v>
      </c>
    </row>
    <row r="350" spans="1:25">
      <c r="A350" s="319">
        <v>7</v>
      </c>
      <c r="B350" s="320" t="str">
        <f>VLOOKUP(Tabel10[[#This Row],[Code]],Ruimtegroepen[[Code]:[Ruimte omschrijving]],2,FALSE)</f>
        <v>Entree</v>
      </c>
      <c r="C350" s="321" t="s">
        <v>572</v>
      </c>
      <c r="D350" s="320" t="s">
        <v>29</v>
      </c>
      <c r="E350" s="321" t="s">
        <v>99</v>
      </c>
      <c r="F350" s="321" t="s">
        <v>574</v>
      </c>
      <c r="G350" s="326" t="s">
        <v>282</v>
      </c>
      <c r="H350" s="322" t="s">
        <v>2</v>
      </c>
      <c r="I350" s="322" t="s">
        <v>282</v>
      </c>
      <c r="J350" s="322" t="s">
        <v>282</v>
      </c>
      <c r="K350" s="322" t="s">
        <v>282</v>
      </c>
      <c r="L350" s="322" t="s">
        <v>282</v>
      </c>
      <c r="M350" s="322" t="s">
        <v>282</v>
      </c>
      <c r="N350" s="322" t="s">
        <v>2</v>
      </c>
      <c r="O350" s="323" t="s">
        <v>2</v>
      </c>
      <c r="P350" s="323" t="s">
        <v>2</v>
      </c>
      <c r="Q350" s="323" t="s">
        <v>15</v>
      </c>
      <c r="R350" s="323" t="s">
        <v>15</v>
      </c>
      <c r="S350" s="323" t="s">
        <v>16</v>
      </c>
      <c r="T350" s="323" t="s">
        <v>329</v>
      </c>
      <c r="U350" s="323" t="s">
        <v>249</v>
      </c>
      <c r="V350" s="323" t="s">
        <v>2</v>
      </c>
      <c r="W350" s="324" t="s">
        <v>282</v>
      </c>
      <c r="X350" s="324" t="s">
        <v>282</v>
      </c>
      <c r="Y350" s="325" t="s">
        <v>282</v>
      </c>
    </row>
    <row r="351" spans="1:25">
      <c r="A351" s="319">
        <v>7</v>
      </c>
      <c r="B351" s="320" t="str">
        <f>VLOOKUP(Tabel10[[#This Row],[Code]],Ruimtegroepen[[Code]:[Ruimte omschrijving]],2,FALSE)</f>
        <v>Entree</v>
      </c>
      <c r="C351" s="321" t="s">
        <v>572</v>
      </c>
      <c r="D351" s="320" t="s">
        <v>29</v>
      </c>
      <c r="E351" s="321" t="s">
        <v>1306</v>
      </c>
      <c r="F351" s="321" t="s">
        <v>1477</v>
      </c>
      <c r="G351" s="326" t="s">
        <v>282</v>
      </c>
      <c r="H351" s="322" t="s">
        <v>282</v>
      </c>
      <c r="I351" s="322" t="s">
        <v>2</v>
      </c>
      <c r="J351" s="322" t="s">
        <v>282</v>
      </c>
      <c r="K351" s="322" t="s">
        <v>2</v>
      </c>
      <c r="L351" s="322" t="s">
        <v>282</v>
      </c>
      <c r="M351" s="322" t="s">
        <v>282</v>
      </c>
      <c r="N351" s="322" t="s">
        <v>2</v>
      </c>
      <c r="O351" s="323" t="s">
        <v>2</v>
      </c>
      <c r="P351" s="323" t="s">
        <v>2</v>
      </c>
      <c r="Q351" s="323" t="s">
        <v>15</v>
      </c>
      <c r="R351" s="323" t="s">
        <v>15</v>
      </c>
      <c r="S351" s="323" t="s">
        <v>16</v>
      </c>
      <c r="T351" s="323" t="s">
        <v>329</v>
      </c>
      <c r="U351" s="323" t="s">
        <v>249</v>
      </c>
      <c r="V351" s="323" t="s">
        <v>2</v>
      </c>
      <c r="W351" s="324" t="s">
        <v>282</v>
      </c>
      <c r="X351" s="324" t="s">
        <v>282</v>
      </c>
      <c r="Y351" s="325" t="s">
        <v>282</v>
      </c>
    </row>
    <row r="352" spans="1:25">
      <c r="A352" s="319">
        <v>7</v>
      </c>
      <c r="B352" s="320" t="str">
        <f>VLOOKUP(Tabel10[[#This Row],[Code]],Ruimtegroepen[[Code]:[Ruimte omschrijving]],2,FALSE)</f>
        <v>Entree</v>
      </c>
      <c r="C352" s="321" t="s">
        <v>577</v>
      </c>
      <c r="D352" s="320" t="s">
        <v>1</v>
      </c>
      <c r="E352" s="321" t="s">
        <v>100</v>
      </c>
      <c r="F352" s="321" t="s">
        <v>578</v>
      </c>
      <c r="G352" s="326" t="s">
        <v>282</v>
      </c>
      <c r="H352" s="322" t="s">
        <v>282</v>
      </c>
      <c r="I352" s="322" t="s">
        <v>282</v>
      </c>
      <c r="J352" s="322" t="s">
        <v>2</v>
      </c>
      <c r="K352" s="322" t="s">
        <v>282</v>
      </c>
      <c r="L352" s="322" t="s">
        <v>282</v>
      </c>
      <c r="M352" s="322" t="s">
        <v>282</v>
      </c>
      <c r="N352" s="322" t="s">
        <v>282</v>
      </c>
      <c r="O352" s="323" t="s">
        <v>2</v>
      </c>
      <c r="P352" s="323" t="s">
        <v>2</v>
      </c>
      <c r="Q352" s="323" t="s">
        <v>15</v>
      </c>
      <c r="R352" s="323" t="s">
        <v>15</v>
      </c>
      <c r="S352" s="323" t="s">
        <v>16</v>
      </c>
      <c r="T352" s="323" t="s">
        <v>329</v>
      </c>
      <c r="U352" s="323" t="s">
        <v>249</v>
      </c>
      <c r="V352" s="323" t="s">
        <v>282</v>
      </c>
      <c r="W352" s="324" t="s">
        <v>282</v>
      </c>
      <c r="X352" s="324" t="s">
        <v>282</v>
      </c>
      <c r="Y352" s="325" t="s">
        <v>282</v>
      </c>
    </row>
    <row r="353" spans="1:25">
      <c r="A353" s="319">
        <v>7</v>
      </c>
      <c r="B353" s="320" t="str">
        <f>VLOOKUP(Tabel10[[#This Row],[Code]],Ruimtegroepen[[Code]:[Ruimte omschrijving]],2,FALSE)</f>
        <v>Entree</v>
      </c>
      <c r="C353" s="321" t="s">
        <v>577</v>
      </c>
      <c r="D353" s="320" t="s">
        <v>1</v>
      </c>
      <c r="E353" s="321" t="s">
        <v>99</v>
      </c>
      <c r="F353" s="321" t="s">
        <v>579</v>
      </c>
      <c r="G353" s="326" t="s">
        <v>282</v>
      </c>
      <c r="H353" s="322" t="s">
        <v>2</v>
      </c>
      <c r="I353" s="322" t="s">
        <v>282</v>
      </c>
      <c r="J353" s="322" t="s">
        <v>282</v>
      </c>
      <c r="K353" s="322" t="s">
        <v>282</v>
      </c>
      <c r="L353" s="322" t="s">
        <v>282</v>
      </c>
      <c r="M353" s="322" t="s">
        <v>282</v>
      </c>
      <c r="N353" s="322" t="s">
        <v>282</v>
      </c>
      <c r="O353" s="323" t="s">
        <v>2</v>
      </c>
      <c r="P353" s="323" t="s">
        <v>2</v>
      </c>
      <c r="Q353" s="323" t="s">
        <v>15</v>
      </c>
      <c r="R353" s="323" t="s">
        <v>15</v>
      </c>
      <c r="S353" s="323" t="s">
        <v>16</v>
      </c>
      <c r="T353" s="323" t="s">
        <v>329</v>
      </c>
      <c r="U353" s="323" t="s">
        <v>249</v>
      </c>
      <c r="V353" s="323" t="s">
        <v>282</v>
      </c>
      <c r="W353" s="324" t="s">
        <v>282</v>
      </c>
      <c r="X353" s="324" t="s">
        <v>282</v>
      </c>
      <c r="Y353" s="325" t="s">
        <v>282</v>
      </c>
    </row>
    <row r="354" spans="1:25">
      <c r="A354" s="319">
        <v>7</v>
      </c>
      <c r="B354" s="320" t="str">
        <f>VLOOKUP(Tabel10[[#This Row],[Code]],Ruimtegroepen[[Code]:[Ruimte omschrijving]],2,FALSE)</f>
        <v>Entree</v>
      </c>
      <c r="C354" s="321" t="s">
        <v>577</v>
      </c>
      <c r="D354" s="320" t="s">
        <v>1</v>
      </c>
      <c r="E354" s="321" t="s">
        <v>101</v>
      </c>
      <c r="F354" s="321" t="s">
        <v>580</v>
      </c>
      <c r="G354" s="326" t="s">
        <v>282</v>
      </c>
      <c r="H354" s="322" t="s">
        <v>282</v>
      </c>
      <c r="I354" s="322" t="s">
        <v>2</v>
      </c>
      <c r="J354" s="322" t="s">
        <v>282</v>
      </c>
      <c r="K354" s="322" t="s">
        <v>2</v>
      </c>
      <c r="L354" s="322" t="s">
        <v>282</v>
      </c>
      <c r="M354" s="322" t="s">
        <v>282</v>
      </c>
      <c r="N354" s="322" t="s">
        <v>282</v>
      </c>
      <c r="O354" s="323" t="s">
        <v>2</v>
      </c>
      <c r="P354" s="323" t="s">
        <v>2</v>
      </c>
      <c r="Q354" s="323" t="s">
        <v>15</v>
      </c>
      <c r="R354" s="323" t="s">
        <v>15</v>
      </c>
      <c r="S354" s="323" t="s">
        <v>16</v>
      </c>
      <c r="T354" s="323" t="s">
        <v>329</v>
      </c>
      <c r="U354" s="323" t="s">
        <v>249</v>
      </c>
      <c r="V354" s="323" t="s">
        <v>282</v>
      </c>
      <c r="W354" s="324" t="s">
        <v>282</v>
      </c>
      <c r="X354" s="324" t="s">
        <v>282</v>
      </c>
      <c r="Y354" s="325" t="s">
        <v>282</v>
      </c>
    </row>
    <row r="355" spans="1:25">
      <c r="A355" s="319">
        <v>7</v>
      </c>
      <c r="B355" s="320" t="str">
        <f>VLOOKUP(Tabel10[[#This Row],[Code]],Ruimtegroepen[[Code]:[Ruimte omschrijving]],2,FALSE)</f>
        <v>Entree</v>
      </c>
      <c r="C355" s="321" t="s">
        <v>577</v>
      </c>
      <c r="D355" s="320" t="s">
        <v>1</v>
      </c>
      <c r="E355" s="321" t="s">
        <v>102</v>
      </c>
      <c r="F355" s="321" t="s">
        <v>581</v>
      </c>
      <c r="G355" s="326" t="s">
        <v>282</v>
      </c>
      <c r="H355" s="322" t="s">
        <v>282</v>
      </c>
      <c r="I355" s="322" t="s">
        <v>2</v>
      </c>
      <c r="J355" s="322" t="s">
        <v>282</v>
      </c>
      <c r="K355" s="322" t="s">
        <v>2</v>
      </c>
      <c r="L355" s="322" t="s">
        <v>282</v>
      </c>
      <c r="M355" s="322" t="s">
        <v>282</v>
      </c>
      <c r="N355" s="322" t="s">
        <v>282</v>
      </c>
      <c r="O355" s="323" t="s">
        <v>2</v>
      </c>
      <c r="P355" s="323" t="s">
        <v>2</v>
      </c>
      <c r="Q355" s="323" t="s">
        <v>15</v>
      </c>
      <c r="R355" s="323" t="s">
        <v>15</v>
      </c>
      <c r="S355" s="323" t="s">
        <v>16</v>
      </c>
      <c r="T355" s="323" t="s">
        <v>329</v>
      </c>
      <c r="U355" s="323" t="s">
        <v>249</v>
      </c>
      <c r="V355" s="323" t="s">
        <v>282</v>
      </c>
      <c r="W355" s="324" t="s">
        <v>282</v>
      </c>
      <c r="X355" s="324" t="s">
        <v>282</v>
      </c>
      <c r="Y355" s="325" t="s">
        <v>282</v>
      </c>
    </row>
    <row r="356" spans="1:25">
      <c r="A356" s="319">
        <v>7</v>
      </c>
      <c r="B356" s="320" t="str">
        <f>VLOOKUP(Tabel10[[#This Row],[Code]],Ruimtegroepen[[Code]:[Ruimte omschrijving]],2,FALSE)</f>
        <v>Entree</v>
      </c>
      <c r="C356" s="321" t="s">
        <v>577</v>
      </c>
      <c r="D356" s="320" t="s">
        <v>1</v>
      </c>
      <c r="E356" s="321" t="s">
        <v>99</v>
      </c>
      <c r="F356" s="321" t="s">
        <v>579</v>
      </c>
      <c r="G356" s="326" t="s">
        <v>282</v>
      </c>
      <c r="H356" s="322" t="s">
        <v>2</v>
      </c>
      <c r="I356" s="322" t="s">
        <v>282</v>
      </c>
      <c r="J356" s="322" t="s">
        <v>282</v>
      </c>
      <c r="K356" s="322" t="s">
        <v>282</v>
      </c>
      <c r="L356" s="322" t="s">
        <v>282</v>
      </c>
      <c r="M356" s="322" t="s">
        <v>282</v>
      </c>
      <c r="N356" s="322" t="s">
        <v>282</v>
      </c>
      <c r="O356" s="323" t="s">
        <v>2</v>
      </c>
      <c r="P356" s="323" t="s">
        <v>2</v>
      </c>
      <c r="Q356" s="323" t="s">
        <v>15</v>
      </c>
      <c r="R356" s="323" t="s">
        <v>15</v>
      </c>
      <c r="S356" s="323" t="s">
        <v>16</v>
      </c>
      <c r="T356" s="323" t="s">
        <v>329</v>
      </c>
      <c r="U356" s="323" t="s">
        <v>249</v>
      </c>
      <c r="V356" s="323" t="s">
        <v>282</v>
      </c>
      <c r="W356" s="324" t="s">
        <v>282</v>
      </c>
      <c r="X356" s="324" t="s">
        <v>282</v>
      </c>
      <c r="Y356" s="325" t="s">
        <v>282</v>
      </c>
    </row>
    <row r="357" spans="1:25">
      <c r="A357" s="319">
        <v>7</v>
      </c>
      <c r="B357" s="320" t="str">
        <f>VLOOKUP(Tabel10[[#This Row],[Code]],Ruimtegroepen[[Code]:[Ruimte omschrijving]],2,FALSE)</f>
        <v>Entree</v>
      </c>
      <c r="C357" s="321" t="s">
        <v>577</v>
      </c>
      <c r="D357" s="320" t="s">
        <v>1</v>
      </c>
      <c r="E357" s="321" t="s">
        <v>1306</v>
      </c>
      <c r="F357" s="321" t="s">
        <v>1461</v>
      </c>
      <c r="G357" s="326" t="s">
        <v>282</v>
      </c>
      <c r="H357" s="322" t="s">
        <v>282</v>
      </c>
      <c r="I357" s="322" t="s">
        <v>2</v>
      </c>
      <c r="J357" s="322" t="s">
        <v>282</v>
      </c>
      <c r="K357" s="322" t="s">
        <v>2</v>
      </c>
      <c r="L357" s="322" t="s">
        <v>282</v>
      </c>
      <c r="M357" s="322" t="s">
        <v>282</v>
      </c>
      <c r="N357" s="322" t="s">
        <v>282</v>
      </c>
      <c r="O357" s="323" t="s">
        <v>2</v>
      </c>
      <c r="P357" s="323" t="s">
        <v>2</v>
      </c>
      <c r="Q357" s="323" t="s">
        <v>15</v>
      </c>
      <c r="R357" s="323" t="s">
        <v>15</v>
      </c>
      <c r="S357" s="323" t="s">
        <v>16</v>
      </c>
      <c r="T357" s="323" t="s">
        <v>329</v>
      </c>
      <c r="U357" s="323" t="s">
        <v>249</v>
      </c>
      <c r="V357" s="323" t="s">
        <v>282</v>
      </c>
      <c r="W357" s="324" t="s">
        <v>282</v>
      </c>
      <c r="X357" s="324" t="s">
        <v>282</v>
      </c>
      <c r="Y357" s="325" t="s">
        <v>282</v>
      </c>
    </row>
    <row r="358" spans="1:25">
      <c r="A358" s="319">
        <v>7</v>
      </c>
      <c r="B358" s="320" t="str">
        <f>VLOOKUP(Tabel10[[#This Row],[Code]],Ruimtegroepen[[Code]:[Ruimte omschrijving]],2,FALSE)</f>
        <v>Entree</v>
      </c>
      <c r="C358" s="321" t="s">
        <v>582</v>
      </c>
      <c r="D358" s="320" t="s">
        <v>21</v>
      </c>
      <c r="E358" s="321" t="s">
        <v>100</v>
      </c>
      <c r="F358" s="321" t="s">
        <v>583</v>
      </c>
      <c r="G358" s="326" t="s">
        <v>282</v>
      </c>
      <c r="H358" s="322" t="s">
        <v>282</v>
      </c>
      <c r="I358" s="322" t="s">
        <v>282</v>
      </c>
      <c r="J358" s="322" t="s">
        <v>20</v>
      </c>
      <c r="K358" s="322" t="s">
        <v>282</v>
      </c>
      <c r="L358" s="322" t="s">
        <v>282</v>
      </c>
      <c r="M358" s="322" t="s">
        <v>282</v>
      </c>
      <c r="N358" s="322" t="s">
        <v>282</v>
      </c>
      <c r="O358" s="323" t="s">
        <v>20</v>
      </c>
      <c r="P358" s="323" t="s">
        <v>20</v>
      </c>
      <c r="Q358" s="323" t="s">
        <v>15</v>
      </c>
      <c r="R358" s="323" t="s">
        <v>15</v>
      </c>
      <c r="S358" s="323" t="s">
        <v>16</v>
      </c>
      <c r="T358" s="323" t="s">
        <v>329</v>
      </c>
      <c r="U358" s="323" t="s">
        <v>249</v>
      </c>
      <c r="V358" s="323" t="s">
        <v>282</v>
      </c>
      <c r="W358" s="324" t="s">
        <v>282</v>
      </c>
      <c r="X358" s="324" t="s">
        <v>282</v>
      </c>
      <c r="Y358" s="325" t="s">
        <v>282</v>
      </c>
    </row>
    <row r="359" spans="1:25">
      <c r="A359" s="319">
        <v>7</v>
      </c>
      <c r="B359" s="320" t="str">
        <f>VLOOKUP(Tabel10[[#This Row],[Code]],Ruimtegroepen[[Code]:[Ruimte omschrijving]],2,FALSE)</f>
        <v>Entree</v>
      </c>
      <c r="C359" s="321" t="s">
        <v>582</v>
      </c>
      <c r="D359" s="320" t="s">
        <v>21</v>
      </c>
      <c r="E359" s="321" t="s">
        <v>99</v>
      </c>
      <c r="F359" s="321" t="s">
        <v>584</v>
      </c>
      <c r="G359" s="326" t="s">
        <v>282</v>
      </c>
      <c r="H359" s="322" t="s">
        <v>20</v>
      </c>
      <c r="I359" s="322" t="s">
        <v>282</v>
      </c>
      <c r="J359" s="322" t="s">
        <v>282</v>
      </c>
      <c r="K359" s="322" t="s">
        <v>282</v>
      </c>
      <c r="L359" s="322" t="s">
        <v>282</v>
      </c>
      <c r="M359" s="322" t="s">
        <v>282</v>
      </c>
      <c r="N359" s="322" t="s">
        <v>282</v>
      </c>
      <c r="O359" s="323" t="s">
        <v>20</v>
      </c>
      <c r="P359" s="323" t="s">
        <v>20</v>
      </c>
      <c r="Q359" s="323" t="s">
        <v>15</v>
      </c>
      <c r="R359" s="323" t="s">
        <v>15</v>
      </c>
      <c r="S359" s="323" t="s">
        <v>16</v>
      </c>
      <c r="T359" s="323" t="s">
        <v>329</v>
      </c>
      <c r="U359" s="323" t="s">
        <v>249</v>
      </c>
      <c r="V359" s="323" t="s">
        <v>282</v>
      </c>
      <c r="W359" s="324" t="s">
        <v>282</v>
      </c>
      <c r="X359" s="324" t="s">
        <v>282</v>
      </c>
      <c r="Y359" s="325" t="s">
        <v>282</v>
      </c>
    </row>
    <row r="360" spans="1:25">
      <c r="A360" s="319">
        <v>7</v>
      </c>
      <c r="B360" s="320" t="str">
        <f>VLOOKUP(Tabel10[[#This Row],[Code]],Ruimtegroepen[[Code]:[Ruimte omschrijving]],2,FALSE)</f>
        <v>Entree</v>
      </c>
      <c r="C360" s="321" t="s">
        <v>582</v>
      </c>
      <c r="D360" s="320" t="s">
        <v>21</v>
      </c>
      <c r="E360" s="321" t="s">
        <v>101</v>
      </c>
      <c r="F360" s="321" t="s">
        <v>585</v>
      </c>
      <c r="G360" s="326" t="s">
        <v>282</v>
      </c>
      <c r="H360" s="322" t="s">
        <v>282</v>
      </c>
      <c r="I360" s="322" t="s">
        <v>20</v>
      </c>
      <c r="J360" s="322" t="s">
        <v>282</v>
      </c>
      <c r="K360" s="322" t="s">
        <v>20</v>
      </c>
      <c r="L360" s="322" t="s">
        <v>282</v>
      </c>
      <c r="M360" s="322" t="s">
        <v>282</v>
      </c>
      <c r="N360" s="322" t="s">
        <v>282</v>
      </c>
      <c r="O360" s="323" t="s">
        <v>20</v>
      </c>
      <c r="P360" s="323" t="s">
        <v>20</v>
      </c>
      <c r="Q360" s="323" t="s">
        <v>15</v>
      </c>
      <c r="R360" s="323" t="s">
        <v>15</v>
      </c>
      <c r="S360" s="323" t="s">
        <v>16</v>
      </c>
      <c r="T360" s="323" t="s">
        <v>329</v>
      </c>
      <c r="U360" s="323" t="s">
        <v>249</v>
      </c>
      <c r="V360" s="323" t="s">
        <v>282</v>
      </c>
      <c r="W360" s="324" t="s">
        <v>282</v>
      </c>
      <c r="X360" s="324" t="s">
        <v>282</v>
      </c>
      <c r="Y360" s="325" t="s">
        <v>282</v>
      </c>
    </row>
    <row r="361" spans="1:25">
      <c r="A361" s="319">
        <v>7</v>
      </c>
      <c r="B361" s="320" t="str">
        <f>VLOOKUP(Tabel10[[#This Row],[Code]],Ruimtegroepen[[Code]:[Ruimte omschrijving]],2,FALSE)</f>
        <v>Entree</v>
      </c>
      <c r="C361" s="321" t="s">
        <v>582</v>
      </c>
      <c r="D361" s="320" t="s">
        <v>21</v>
      </c>
      <c r="E361" s="321" t="s">
        <v>102</v>
      </c>
      <c r="F361" s="321" t="s">
        <v>586</v>
      </c>
      <c r="G361" s="326" t="s">
        <v>282</v>
      </c>
      <c r="H361" s="322" t="s">
        <v>282</v>
      </c>
      <c r="I361" s="322" t="s">
        <v>20</v>
      </c>
      <c r="J361" s="322" t="s">
        <v>282</v>
      </c>
      <c r="K361" s="322" t="s">
        <v>20</v>
      </c>
      <c r="L361" s="322" t="s">
        <v>282</v>
      </c>
      <c r="M361" s="322" t="s">
        <v>282</v>
      </c>
      <c r="N361" s="322" t="s">
        <v>282</v>
      </c>
      <c r="O361" s="323" t="s">
        <v>20</v>
      </c>
      <c r="P361" s="323" t="s">
        <v>20</v>
      </c>
      <c r="Q361" s="323" t="s">
        <v>15</v>
      </c>
      <c r="R361" s="323" t="s">
        <v>15</v>
      </c>
      <c r="S361" s="323" t="s">
        <v>16</v>
      </c>
      <c r="T361" s="323" t="s">
        <v>329</v>
      </c>
      <c r="U361" s="323" t="s">
        <v>249</v>
      </c>
      <c r="V361" s="323" t="s">
        <v>282</v>
      </c>
      <c r="W361" s="324" t="s">
        <v>282</v>
      </c>
      <c r="X361" s="324" t="s">
        <v>282</v>
      </c>
      <c r="Y361" s="325" t="s">
        <v>282</v>
      </c>
    </row>
    <row r="362" spans="1:25">
      <c r="A362" s="319">
        <v>7</v>
      </c>
      <c r="B362" s="320" t="str">
        <f>VLOOKUP(Tabel10[[#This Row],[Code]],Ruimtegroepen[[Code]:[Ruimte omschrijving]],2,FALSE)</f>
        <v>Entree</v>
      </c>
      <c r="C362" s="321" t="s">
        <v>582</v>
      </c>
      <c r="D362" s="320" t="s">
        <v>21</v>
      </c>
      <c r="E362" s="321" t="s">
        <v>99</v>
      </c>
      <c r="F362" s="321" t="s">
        <v>584</v>
      </c>
      <c r="G362" s="326" t="s">
        <v>282</v>
      </c>
      <c r="H362" s="322" t="s">
        <v>20</v>
      </c>
      <c r="I362" s="322" t="s">
        <v>282</v>
      </c>
      <c r="J362" s="322" t="s">
        <v>282</v>
      </c>
      <c r="K362" s="322" t="s">
        <v>282</v>
      </c>
      <c r="L362" s="322" t="s">
        <v>282</v>
      </c>
      <c r="M362" s="322" t="s">
        <v>282</v>
      </c>
      <c r="N362" s="322" t="s">
        <v>282</v>
      </c>
      <c r="O362" s="323" t="s">
        <v>20</v>
      </c>
      <c r="P362" s="323" t="s">
        <v>20</v>
      </c>
      <c r="Q362" s="323" t="s">
        <v>15</v>
      </c>
      <c r="R362" s="323" t="s">
        <v>15</v>
      </c>
      <c r="S362" s="323" t="s">
        <v>16</v>
      </c>
      <c r="T362" s="323" t="s">
        <v>329</v>
      </c>
      <c r="U362" s="323" t="s">
        <v>249</v>
      </c>
      <c r="V362" s="323" t="s">
        <v>282</v>
      </c>
      <c r="W362" s="324" t="s">
        <v>282</v>
      </c>
      <c r="X362" s="324" t="s">
        <v>282</v>
      </c>
      <c r="Y362" s="325" t="s">
        <v>282</v>
      </c>
    </row>
    <row r="363" spans="1:25">
      <c r="A363" s="319">
        <v>7</v>
      </c>
      <c r="B363" s="320" t="str">
        <f>VLOOKUP(Tabel10[[#This Row],[Code]],Ruimtegroepen[[Code]:[Ruimte omschrijving]],2,FALSE)</f>
        <v>Entree</v>
      </c>
      <c r="C363" s="321" t="s">
        <v>582</v>
      </c>
      <c r="D363" s="320" t="s">
        <v>21</v>
      </c>
      <c r="E363" s="321" t="s">
        <v>1306</v>
      </c>
      <c r="F363" s="321" t="s">
        <v>1444</v>
      </c>
      <c r="G363" s="326" t="s">
        <v>282</v>
      </c>
      <c r="H363" s="322" t="s">
        <v>282</v>
      </c>
      <c r="I363" s="322" t="s">
        <v>20</v>
      </c>
      <c r="J363" s="322" t="s">
        <v>282</v>
      </c>
      <c r="K363" s="322" t="s">
        <v>20</v>
      </c>
      <c r="L363" s="322" t="s">
        <v>282</v>
      </c>
      <c r="M363" s="322" t="s">
        <v>282</v>
      </c>
      <c r="N363" s="322" t="s">
        <v>282</v>
      </c>
      <c r="O363" s="323" t="s">
        <v>20</v>
      </c>
      <c r="P363" s="323" t="s">
        <v>20</v>
      </c>
      <c r="Q363" s="323" t="s">
        <v>15</v>
      </c>
      <c r="R363" s="323" t="s">
        <v>15</v>
      </c>
      <c r="S363" s="323" t="s">
        <v>16</v>
      </c>
      <c r="T363" s="323" t="s">
        <v>329</v>
      </c>
      <c r="U363" s="323" t="s">
        <v>249</v>
      </c>
      <c r="V363" s="323" t="s">
        <v>282</v>
      </c>
      <c r="W363" s="324" t="s">
        <v>282</v>
      </c>
      <c r="X363" s="324" t="s">
        <v>282</v>
      </c>
      <c r="Y363" s="325" t="s">
        <v>282</v>
      </c>
    </row>
    <row r="364" spans="1:25">
      <c r="A364" s="319">
        <v>7</v>
      </c>
      <c r="B364" s="320" t="str">
        <f>VLOOKUP(Tabel10[[#This Row],[Code]],Ruimtegroepen[[Code]:[Ruimte omschrijving]],2,FALSE)</f>
        <v>Entree</v>
      </c>
      <c r="C364" s="321" t="s">
        <v>587</v>
      </c>
      <c r="D364" s="320" t="s">
        <v>12</v>
      </c>
      <c r="E364" s="321" t="s">
        <v>100</v>
      </c>
      <c r="F364" s="321" t="s">
        <v>588</v>
      </c>
      <c r="G364" s="326" t="s">
        <v>282</v>
      </c>
      <c r="H364" s="322" t="s">
        <v>282</v>
      </c>
      <c r="I364" s="322" t="s">
        <v>282</v>
      </c>
      <c r="J364" s="322" t="s">
        <v>18</v>
      </c>
      <c r="K364" s="322" t="s">
        <v>282</v>
      </c>
      <c r="L364" s="322" t="s">
        <v>282</v>
      </c>
      <c r="M364" s="322" t="s">
        <v>282</v>
      </c>
      <c r="N364" s="322" t="s">
        <v>282</v>
      </c>
      <c r="O364" s="323" t="s">
        <v>18</v>
      </c>
      <c r="P364" s="323" t="s">
        <v>18</v>
      </c>
      <c r="Q364" s="323" t="s">
        <v>15</v>
      </c>
      <c r="R364" s="323" t="s">
        <v>15</v>
      </c>
      <c r="S364" s="323" t="s">
        <v>16</v>
      </c>
      <c r="T364" s="323" t="s">
        <v>329</v>
      </c>
      <c r="U364" s="323" t="s">
        <v>249</v>
      </c>
      <c r="V364" s="323" t="s">
        <v>282</v>
      </c>
      <c r="W364" s="324" t="s">
        <v>282</v>
      </c>
      <c r="X364" s="324" t="s">
        <v>282</v>
      </c>
      <c r="Y364" s="325" t="s">
        <v>282</v>
      </c>
    </row>
    <row r="365" spans="1:25">
      <c r="A365" s="319">
        <v>7</v>
      </c>
      <c r="B365" s="320" t="str">
        <f>VLOOKUP(Tabel10[[#This Row],[Code]],Ruimtegroepen[[Code]:[Ruimte omschrijving]],2,FALSE)</f>
        <v>Entree</v>
      </c>
      <c r="C365" s="321" t="s">
        <v>587</v>
      </c>
      <c r="D365" s="320" t="s">
        <v>12</v>
      </c>
      <c r="E365" s="321" t="s">
        <v>99</v>
      </c>
      <c r="F365" s="321" t="s">
        <v>589</v>
      </c>
      <c r="G365" s="326" t="s">
        <v>282</v>
      </c>
      <c r="H365" s="322" t="s">
        <v>18</v>
      </c>
      <c r="I365" s="322" t="s">
        <v>282</v>
      </c>
      <c r="J365" s="322" t="s">
        <v>282</v>
      </c>
      <c r="K365" s="322" t="s">
        <v>282</v>
      </c>
      <c r="L365" s="322" t="s">
        <v>282</v>
      </c>
      <c r="M365" s="322" t="s">
        <v>282</v>
      </c>
      <c r="N365" s="322" t="s">
        <v>282</v>
      </c>
      <c r="O365" s="323" t="s">
        <v>18</v>
      </c>
      <c r="P365" s="323" t="s">
        <v>18</v>
      </c>
      <c r="Q365" s="323" t="s">
        <v>15</v>
      </c>
      <c r="R365" s="323" t="s">
        <v>15</v>
      </c>
      <c r="S365" s="323" t="s">
        <v>16</v>
      </c>
      <c r="T365" s="323" t="s">
        <v>329</v>
      </c>
      <c r="U365" s="323" t="s">
        <v>249</v>
      </c>
      <c r="V365" s="323" t="s">
        <v>282</v>
      </c>
      <c r="W365" s="324" t="s">
        <v>282</v>
      </c>
      <c r="X365" s="324" t="s">
        <v>282</v>
      </c>
      <c r="Y365" s="325" t="s">
        <v>282</v>
      </c>
    </row>
    <row r="366" spans="1:25">
      <c r="A366" s="319">
        <v>7</v>
      </c>
      <c r="B366" s="320" t="str">
        <f>VLOOKUP(Tabel10[[#This Row],[Code]],Ruimtegroepen[[Code]:[Ruimte omschrijving]],2,FALSE)</f>
        <v>Entree</v>
      </c>
      <c r="C366" s="321" t="s">
        <v>587</v>
      </c>
      <c r="D366" s="320" t="s">
        <v>12</v>
      </c>
      <c r="E366" s="321" t="s">
        <v>101</v>
      </c>
      <c r="F366" s="321" t="s">
        <v>590</v>
      </c>
      <c r="G366" s="326" t="s">
        <v>282</v>
      </c>
      <c r="H366" s="322" t="s">
        <v>282</v>
      </c>
      <c r="I366" s="322" t="s">
        <v>18</v>
      </c>
      <c r="J366" s="322" t="s">
        <v>282</v>
      </c>
      <c r="K366" s="322" t="s">
        <v>18</v>
      </c>
      <c r="L366" s="322" t="s">
        <v>282</v>
      </c>
      <c r="M366" s="322" t="s">
        <v>282</v>
      </c>
      <c r="N366" s="322" t="s">
        <v>282</v>
      </c>
      <c r="O366" s="323" t="s">
        <v>18</v>
      </c>
      <c r="P366" s="323" t="s">
        <v>18</v>
      </c>
      <c r="Q366" s="323" t="s">
        <v>15</v>
      </c>
      <c r="R366" s="323" t="s">
        <v>15</v>
      </c>
      <c r="S366" s="323" t="s">
        <v>16</v>
      </c>
      <c r="T366" s="323" t="s">
        <v>329</v>
      </c>
      <c r="U366" s="323" t="s">
        <v>249</v>
      </c>
      <c r="V366" s="323" t="s">
        <v>282</v>
      </c>
      <c r="W366" s="324" t="s">
        <v>282</v>
      </c>
      <c r="X366" s="324" t="s">
        <v>282</v>
      </c>
      <c r="Y366" s="325" t="s">
        <v>282</v>
      </c>
    </row>
    <row r="367" spans="1:25">
      <c r="A367" s="319">
        <v>7</v>
      </c>
      <c r="B367" s="320" t="str">
        <f>VLOOKUP(Tabel10[[#This Row],[Code]],Ruimtegroepen[[Code]:[Ruimte omschrijving]],2,FALSE)</f>
        <v>Entree</v>
      </c>
      <c r="C367" s="321" t="s">
        <v>587</v>
      </c>
      <c r="D367" s="320" t="s">
        <v>12</v>
      </c>
      <c r="E367" s="321" t="s">
        <v>102</v>
      </c>
      <c r="F367" s="321" t="s">
        <v>591</v>
      </c>
      <c r="G367" s="326" t="s">
        <v>282</v>
      </c>
      <c r="H367" s="322" t="s">
        <v>282</v>
      </c>
      <c r="I367" s="322" t="s">
        <v>18</v>
      </c>
      <c r="J367" s="322" t="s">
        <v>282</v>
      </c>
      <c r="K367" s="322" t="s">
        <v>18</v>
      </c>
      <c r="L367" s="322" t="s">
        <v>282</v>
      </c>
      <c r="M367" s="322" t="s">
        <v>282</v>
      </c>
      <c r="N367" s="322" t="s">
        <v>282</v>
      </c>
      <c r="O367" s="323" t="s">
        <v>18</v>
      </c>
      <c r="P367" s="323" t="s">
        <v>18</v>
      </c>
      <c r="Q367" s="323" t="s">
        <v>15</v>
      </c>
      <c r="R367" s="323" t="s">
        <v>15</v>
      </c>
      <c r="S367" s="323" t="s">
        <v>16</v>
      </c>
      <c r="T367" s="323" t="s">
        <v>329</v>
      </c>
      <c r="U367" s="323" t="s">
        <v>249</v>
      </c>
      <c r="V367" s="323" t="s">
        <v>282</v>
      </c>
      <c r="W367" s="324" t="s">
        <v>282</v>
      </c>
      <c r="X367" s="324" t="s">
        <v>282</v>
      </c>
      <c r="Y367" s="325" t="s">
        <v>282</v>
      </c>
    </row>
    <row r="368" spans="1:25">
      <c r="A368" s="319">
        <v>7</v>
      </c>
      <c r="B368" s="320" t="str">
        <f>VLOOKUP(Tabel10[[#This Row],[Code]],Ruimtegroepen[[Code]:[Ruimte omschrijving]],2,FALSE)</f>
        <v>Entree</v>
      </c>
      <c r="C368" s="321" t="s">
        <v>587</v>
      </c>
      <c r="D368" s="320" t="s">
        <v>12</v>
      </c>
      <c r="E368" s="321" t="s">
        <v>99</v>
      </c>
      <c r="F368" s="321" t="s">
        <v>589</v>
      </c>
      <c r="G368" s="326" t="s">
        <v>282</v>
      </c>
      <c r="H368" s="322" t="s">
        <v>18</v>
      </c>
      <c r="I368" s="322" t="s">
        <v>282</v>
      </c>
      <c r="J368" s="322" t="s">
        <v>282</v>
      </c>
      <c r="K368" s="322" t="s">
        <v>282</v>
      </c>
      <c r="L368" s="322" t="s">
        <v>282</v>
      </c>
      <c r="M368" s="322" t="s">
        <v>282</v>
      </c>
      <c r="N368" s="322" t="s">
        <v>282</v>
      </c>
      <c r="O368" s="323" t="s">
        <v>18</v>
      </c>
      <c r="P368" s="323" t="s">
        <v>18</v>
      </c>
      <c r="Q368" s="323" t="s">
        <v>15</v>
      </c>
      <c r="R368" s="323" t="s">
        <v>15</v>
      </c>
      <c r="S368" s="323" t="s">
        <v>16</v>
      </c>
      <c r="T368" s="323" t="s">
        <v>329</v>
      </c>
      <c r="U368" s="323" t="s">
        <v>249</v>
      </c>
      <c r="V368" s="323" t="s">
        <v>282</v>
      </c>
      <c r="W368" s="324" t="s">
        <v>282</v>
      </c>
      <c r="X368" s="324" t="s">
        <v>282</v>
      </c>
      <c r="Y368" s="325" t="s">
        <v>282</v>
      </c>
    </row>
    <row r="369" spans="1:25">
      <c r="A369" s="319">
        <v>7</v>
      </c>
      <c r="B369" s="320" t="str">
        <f>VLOOKUP(Tabel10[[#This Row],[Code]],Ruimtegroepen[[Code]:[Ruimte omschrijving]],2,FALSE)</f>
        <v>Entree</v>
      </c>
      <c r="C369" s="321" t="s">
        <v>587</v>
      </c>
      <c r="D369" s="320" t="s">
        <v>12</v>
      </c>
      <c r="E369" s="321" t="s">
        <v>1306</v>
      </c>
      <c r="F369" s="321" t="s">
        <v>1426</v>
      </c>
      <c r="G369" s="326" t="s">
        <v>282</v>
      </c>
      <c r="H369" s="322" t="s">
        <v>282</v>
      </c>
      <c r="I369" s="322" t="s">
        <v>18</v>
      </c>
      <c r="J369" s="322" t="s">
        <v>282</v>
      </c>
      <c r="K369" s="322" t="s">
        <v>18</v>
      </c>
      <c r="L369" s="322" t="s">
        <v>282</v>
      </c>
      <c r="M369" s="322" t="s">
        <v>282</v>
      </c>
      <c r="N369" s="322" t="s">
        <v>282</v>
      </c>
      <c r="O369" s="323" t="s">
        <v>18</v>
      </c>
      <c r="P369" s="323" t="s">
        <v>18</v>
      </c>
      <c r="Q369" s="323" t="s">
        <v>15</v>
      </c>
      <c r="R369" s="323" t="s">
        <v>15</v>
      </c>
      <c r="S369" s="323" t="s">
        <v>16</v>
      </c>
      <c r="T369" s="323" t="s">
        <v>329</v>
      </c>
      <c r="U369" s="323" t="s">
        <v>249</v>
      </c>
      <c r="V369" s="323" t="s">
        <v>282</v>
      </c>
      <c r="W369" s="324" t="s">
        <v>282</v>
      </c>
      <c r="X369" s="324" t="s">
        <v>282</v>
      </c>
      <c r="Y369" s="325" t="s">
        <v>282</v>
      </c>
    </row>
    <row r="370" spans="1:25">
      <c r="A370" s="319">
        <v>7</v>
      </c>
      <c r="B370" s="320" t="str">
        <f>VLOOKUP(Tabel10[[#This Row],[Code]],Ruimtegroepen[[Code]:[Ruimte omschrijving]],2,FALSE)</f>
        <v>Entree</v>
      </c>
      <c r="C370" s="321" t="s">
        <v>592</v>
      </c>
      <c r="D370" s="320" t="s">
        <v>14</v>
      </c>
      <c r="E370" s="321" t="s">
        <v>100</v>
      </c>
      <c r="F370" s="321" t="s">
        <v>593</v>
      </c>
      <c r="G370" s="326" t="s">
        <v>282</v>
      </c>
      <c r="H370" s="322" t="s">
        <v>282</v>
      </c>
      <c r="I370" s="322" t="s">
        <v>17</v>
      </c>
      <c r="J370" s="322" t="s">
        <v>282</v>
      </c>
      <c r="K370" s="322" t="s">
        <v>15</v>
      </c>
      <c r="L370" s="322" t="s">
        <v>282</v>
      </c>
      <c r="M370" s="322" t="s">
        <v>282</v>
      </c>
      <c r="N370" s="322" t="s">
        <v>282</v>
      </c>
      <c r="O370" s="323" t="s">
        <v>17</v>
      </c>
      <c r="P370" s="323" t="s">
        <v>17</v>
      </c>
      <c r="Q370" s="323" t="s">
        <v>15</v>
      </c>
      <c r="R370" s="323" t="s">
        <v>15</v>
      </c>
      <c r="S370" s="323" t="s">
        <v>16</v>
      </c>
      <c r="T370" s="323" t="s">
        <v>329</v>
      </c>
      <c r="U370" s="323" t="s">
        <v>249</v>
      </c>
      <c r="V370" s="323" t="s">
        <v>282</v>
      </c>
      <c r="W370" s="324" t="s">
        <v>282</v>
      </c>
      <c r="X370" s="324" t="s">
        <v>282</v>
      </c>
      <c r="Y370" s="325" t="s">
        <v>282</v>
      </c>
    </row>
    <row r="371" spans="1:25">
      <c r="A371" s="319">
        <v>7</v>
      </c>
      <c r="B371" s="320" t="str">
        <f>VLOOKUP(Tabel10[[#This Row],[Code]],Ruimtegroepen[[Code]:[Ruimte omschrijving]],2,FALSE)</f>
        <v>Entree</v>
      </c>
      <c r="C371" s="321" t="s">
        <v>592</v>
      </c>
      <c r="D371" s="320" t="s">
        <v>14</v>
      </c>
      <c r="E371" s="321" t="s">
        <v>99</v>
      </c>
      <c r="F371" s="321" t="s">
        <v>594</v>
      </c>
      <c r="G371" s="326" t="s">
        <v>282</v>
      </c>
      <c r="H371" s="322" t="s">
        <v>17</v>
      </c>
      <c r="I371" s="322" t="s">
        <v>282</v>
      </c>
      <c r="J371" s="322" t="s">
        <v>282</v>
      </c>
      <c r="K371" s="322" t="s">
        <v>282</v>
      </c>
      <c r="L371" s="322" t="s">
        <v>282</v>
      </c>
      <c r="M371" s="322" t="s">
        <v>282</v>
      </c>
      <c r="N371" s="322" t="s">
        <v>282</v>
      </c>
      <c r="O371" s="323" t="s">
        <v>17</v>
      </c>
      <c r="P371" s="323" t="s">
        <v>17</v>
      </c>
      <c r="Q371" s="323" t="s">
        <v>15</v>
      </c>
      <c r="R371" s="323" t="s">
        <v>15</v>
      </c>
      <c r="S371" s="323" t="s">
        <v>16</v>
      </c>
      <c r="T371" s="323" t="s">
        <v>329</v>
      </c>
      <c r="U371" s="323" t="s">
        <v>249</v>
      </c>
      <c r="V371" s="323" t="s">
        <v>282</v>
      </c>
      <c r="W371" s="324" t="s">
        <v>282</v>
      </c>
      <c r="X371" s="324" t="s">
        <v>282</v>
      </c>
      <c r="Y371" s="325" t="s">
        <v>282</v>
      </c>
    </row>
    <row r="372" spans="1:25">
      <c r="A372" s="319">
        <v>7</v>
      </c>
      <c r="B372" s="320" t="str">
        <f>VLOOKUP(Tabel10[[#This Row],[Code]],Ruimtegroepen[[Code]:[Ruimte omschrijving]],2,FALSE)</f>
        <v>Entree</v>
      </c>
      <c r="C372" s="321" t="s">
        <v>592</v>
      </c>
      <c r="D372" s="320" t="s">
        <v>14</v>
      </c>
      <c r="E372" s="321" t="s">
        <v>101</v>
      </c>
      <c r="F372" s="321" t="s">
        <v>595</v>
      </c>
      <c r="G372" s="326" t="s">
        <v>282</v>
      </c>
      <c r="H372" s="322" t="s">
        <v>282</v>
      </c>
      <c r="I372" s="322" t="s">
        <v>17</v>
      </c>
      <c r="J372" s="322" t="s">
        <v>282</v>
      </c>
      <c r="K372" s="322" t="s">
        <v>17</v>
      </c>
      <c r="L372" s="322" t="s">
        <v>282</v>
      </c>
      <c r="M372" s="322" t="s">
        <v>282</v>
      </c>
      <c r="N372" s="322" t="s">
        <v>282</v>
      </c>
      <c r="O372" s="323" t="s">
        <v>17</v>
      </c>
      <c r="P372" s="323" t="s">
        <v>17</v>
      </c>
      <c r="Q372" s="323" t="s">
        <v>15</v>
      </c>
      <c r="R372" s="323" t="s">
        <v>15</v>
      </c>
      <c r="S372" s="323" t="s">
        <v>16</v>
      </c>
      <c r="T372" s="323" t="s">
        <v>329</v>
      </c>
      <c r="U372" s="323" t="s">
        <v>249</v>
      </c>
      <c r="V372" s="323" t="s">
        <v>282</v>
      </c>
      <c r="W372" s="324" t="s">
        <v>282</v>
      </c>
      <c r="X372" s="324" t="s">
        <v>282</v>
      </c>
      <c r="Y372" s="325" t="s">
        <v>282</v>
      </c>
    </row>
    <row r="373" spans="1:25">
      <c r="A373" s="319">
        <v>7</v>
      </c>
      <c r="B373" s="320" t="str">
        <f>VLOOKUP(Tabel10[[#This Row],[Code]],Ruimtegroepen[[Code]:[Ruimte omschrijving]],2,FALSE)</f>
        <v>Entree</v>
      </c>
      <c r="C373" s="321" t="s">
        <v>592</v>
      </c>
      <c r="D373" s="320" t="s">
        <v>14</v>
      </c>
      <c r="E373" s="321" t="s">
        <v>102</v>
      </c>
      <c r="F373" s="321" t="s">
        <v>596</v>
      </c>
      <c r="G373" s="326" t="s">
        <v>282</v>
      </c>
      <c r="H373" s="322" t="s">
        <v>282</v>
      </c>
      <c r="I373" s="322" t="s">
        <v>17</v>
      </c>
      <c r="J373" s="322" t="s">
        <v>282</v>
      </c>
      <c r="K373" s="322" t="s">
        <v>17</v>
      </c>
      <c r="L373" s="322" t="s">
        <v>282</v>
      </c>
      <c r="M373" s="322" t="s">
        <v>282</v>
      </c>
      <c r="N373" s="322" t="s">
        <v>282</v>
      </c>
      <c r="O373" s="323" t="s">
        <v>17</v>
      </c>
      <c r="P373" s="323" t="s">
        <v>17</v>
      </c>
      <c r="Q373" s="323" t="s">
        <v>15</v>
      </c>
      <c r="R373" s="323" t="s">
        <v>15</v>
      </c>
      <c r="S373" s="323" t="s">
        <v>16</v>
      </c>
      <c r="T373" s="323" t="s">
        <v>329</v>
      </c>
      <c r="U373" s="323" t="s">
        <v>249</v>
      </c>
      <c r="V373" s="323" t="s">
        <v>282</v>
      </c>
      <c r="W373" s="324" t="s">
        <v>282</v>
      </c>
      <c r="X373" s="324" t="s">
        <v>282</v>
      </c>
      <c r="Y373" s="325" t="s">
        <v>282</v>
      </c>
    </row>
    <row r="374" spans="1:25">
      <c r="A374" s="319">
        <v>7</v>
      </c>
      <c r="B374" s="320" t="str">
        <f>VLOOKUP(Tabel10[[#This Row],[Code]],Ruimtegroepen[[Code]:[Ruimte omschrijving]],2,FALSE)</f>
        <v>Entree</v>
      </c>
      <c r="C374" s="321" t="s">
        <v>592</v>
      </c>
      <c r="D374" s="320" t="s">
        <v>14</v>
      </c>
      <c r="E374" s="321" t="s">
        <v>99</v>
      </c>
      <c r="F374" s="321" t="s">
        <v>594</v>
      </c>
      <c r="G374" s="326" t="s">
        <v>282</v>
      </c>
      <c r="H374" s="322" t="s">
        <v>17</v>
      </c>
      <c r="I374" s="322" t="s">
        <v>282</v>
      </c>
      <c r="J374" s="322" t="s">
        <v>282</v>
      </c>
      <c r="K374" s="322" t="s">
        <v>282</v>
      </c>
      <c r="L374" s="322" t="s">
        <v>282</v>
      </c>
      <c r="M374" s="322" t="s">
        <v>282</v>
      </c>
      <c r="N374" s="322" t="s">
        <v>282</v>
      </c>
      <c r="O374" s="323" t="s">
        <v>17</v>
      </c>
      <c r="P374" s="323" t="s">
        <v>17</v>
      </c>
      <c r="Q374" s="323" t="s">
        <v>15</v>
      </c>
      <c r="R374" s="323" t="s">
        <v>15</v>
      </c>
      <c r="S374" s="323" t="s">
        <v>16</v>
      </c>
      <c r="T374" s="323" t="s">
        <v>329</v>
      </c>
      <c r="U374" s="323" t="s">
        <v>249</v>
      </c>
      <c r="V374" s="323" t="s">
        <v>282</v>
      </c>
      <c r="W374" s="324" t="s">
        <v>282</v>
      </c>
      <c r="X374" s="324" t="s">
        <v>282</v>
      </c>
      <c r="Y374" s="325" t="s">
        <v>282</v>
      </c>
    </row>
    <row r="375" spans="1:25">
      <c r="A375" s="319">
        <v>7</v>
      </c>
      <c r="B375" s="320" t="str">
        <f>VLOOKUP(Tabel10[[#This Row],[Code]],Ruimtegroepen[[Code]:[Ruimte omschrijving]],2,FALSE)</f>
        <v>Entree</v>
      </c>
      <c r="C375" s="321" t="s">
        <v>592</v>
      </c>
      <c r="D375" s="320" t="s">
        <v>14</v>
      </c>
      <c r="E375" s="321" t="s">
        <v>1306</v>
      </c>
      <c r="F375" s="321" t="s">
        <v>1393</v>
      </c>
      <c r="G375" s="326" t="s">
        <v>282</v>
      </c>
      <c r="H375" s="322" t="s">
        <v>282</v>
      </c>
      <c r="I375" s="322" t="s">
        <v>17</v>
      </c>
      <c r="J375" s="322" t="s">
        <v>282</v>
      </c>
      <c r="K375" s="322" t="s">
        <v>17</v>
      </c>
      <c r="L375" s="322" t="s">
        <v>282</v>
      </c>
      <c r="M375" s="322" t="s">
        <v>282</v>
      </c>
      <c r="N375" s="322" t="s">
        <v>282</v>
      </c>
      <c r="O375" s="323" t="s">
        <v>17</v>
      </c>
      <c r="P375" s="323" t="s">
        <v>17</v>
      </c>
      <c r="Q375" s="323" t="s">
        <v>15</v>
      </c>
      <c r="R375" s="323" t="s">
        <v>15</v>
      </c>
      <c r="S375" s="323" t="s">
        <v>16</v>
      </c>
      <c r="T375" s="323" t="s">
        <v>329</v>
      </c>
      <c r="U375" s="323" t="s">
        <v>249</v>
      </c>
      <c r="V375" s="323" t="s">
        <v>282</v>
      </c>
      <c r="W375" s="324" t="s">
        <v>282</v>
      </c>
      <c r="X375" s="324" t="s">
        <v>282</v>
      </c>
      <c r="Y375" s="325" t="s">
        <v>282</v>
      </c>
    </row>
    <row r="376" spans="1:25">
      <c r="A376" s="319">
        <v>7</v>
      </c>
      <c r="B376" s="320" t="str">
        <f>VLOOKUP(Tabel10[[#This Row],[Code]],Ruimtegroepen[[Code]:[Ruimte omschrijving]],2,FALSE)</f>
        <v>Entree</v>
      </c>
      <c r="C376" s="321" t="s">
        <v>597</v>
      </c>
      <c r="D376" s="320" t="s">
        <v>13</v>
      </c>
      <c r="E376" s="321" t="s">
        <v>100</v>
      </c>
      <c r="F376" s="321" t="s">
        <v>598</v>
      </c>
      <c r="G376" s="326" t="s">
        <v>282</v>
      </c>
      <c r="H376" s="322" t="s">
        <v>282</v>
      </c>
      <c r="I376" s="322" t="s">
        <v>282</v>
      </c>
      <c r="J376" s="322" t="s">
        <v>15</v>
      </c>
      <c r="K376" s="322" t="s">
        <v>282</v>
      </c>
      <c r="L376" s="322" t="s">
        <v>282</v>
      </c>
      <c r="M376" s="322" t="s">
        <v>282</v>
      </c>
      <c r="N376" s="322" t="s">
        <v>282</v>
      </c>
      <c r="O376" s="323" t="s">
        <v>15</v>
      </c>
      <c r="P376" s="323" t="s">
        <v>15</v>
      </c>
      <c r="Q376" s="323" t="s">
        <v>15</v>
      </c>
      <c r="R376" s="323" t="s">
        <v>15</v>
      </c>
      <c r="S376" s="323" t="s">
        <v>16</v>
      </c>
      <c r="T376" s="323" t="s">
        <v>329</v>
      </c>
      <c r="U376" s="323" t="s">
        <v>249</v>
      </c>
      <c r="V376" s="323" t="s">
        <v>282</v>
      </c>
      <c r="W376" s="324" t="s">
        <v>282</v>
      </c>
      <c r="X376" s="324" t="s">
        <v>282</v>
      </c>
      <c r="Y376" s="325" t="s">
        <v>282</v>
      </c>
    </row>
    <row r="377" spans="1:25">
      <c r="A377" s="319">
        <v>7</v>
      </c>
      <c r="B377" s="320" t="str">
        <f>VLOOKUP(Tabel10[[#This Row],[Code]],Ruimtegroepen[[Code]:[Ruimte omschrijving]],2,FALSE)</f>
        <v>Entree</v>
      </c>
      <c r="C377" s="321" t="s">
        <v>597</v>
      </c>
      <c r="D377" s="320" t="s">
        <v>13</v>
      </c>
      <c r="E377" s="321" t="s">
        <v>99</v>
      </c>
      <c r="F377" s="321" t="s">
        <v>599</v>
      </c>
      <c r="G377" s="326" t="s">
        <v>282</v>
      </c>
      <c r="H377" s="322" t="s">
        <v>15</v>
      </c>
      <c r="I377" s="322" t="s">
        <v>282</v>
      </c>
      <c r="J377" s="322" t="s">
        <v>282</v>
      </c>
      <c r="K377" s="322" t="s">
        <v>282</v>
      </c>
      <c r="L377" s="322" t="s">
        <v>282</v>
      </c>
      <c r="M377" s="322" t="s">
        <v>282</v>
      </c>
      <c r="N377" s="322" t="s">
        <v>282</v>
      </c>
      <c r="O377" s="323" t="s">
        <v>15</v>
      </c>
      <c r="P377" s="323" t="s">
        <v>15</v>
      </c>
      <c r="Q377" s="323" t="s">
        <v>15</v>
      </c>
      <c r="R377" s="323" t="s">
        <v>15</v>
      </c>
      <c r="S377" s="323" t="s">
        <v>16</v>
      </c>
      <c r="T377" s="323" t="s">
        <v>329</v>
      </c>
      <c r="U377" s="323" t="s">
        <v>249</v>
      </c>
      <c r="V377" s="323" t="s">
        <v>282</v>
      </c>
      <c r="W377" s="324" t="s">
        <v>282</v>
      </c>
      <c r="X377" s="324" t="s">
        <v>282</v>
      </c>
      <c r="Y377" s="325" t="s">
        <v>282</v>
      </c>
    </row>
    <row r="378" spans="1:25">
      <c r="A378" s="319">
        <v>7</v>
      </c>
      <c r="B378" s="320" t="str">
        <f>VLOOKUP(Tabel10[[#This Row],[Code]],Ruimtegroepen[[Code]:[Ruimte omschrijving]],2,FALSE)</f>
        <v>Entree</v>
      </c>
      <c r="C378" s="321" t="s">
        <v>597</v>
      </c>
      <c r="D378" s="320" t="s">
        <v>13</v>
      </c>
      <c r="E378" s="321" t="s">
        <v>101</v>
      </c>
      <c r="F378" s="321" t="s">
        <v>600</v>
      </c>
      <c r="G378" s="326" t="s">
        <v>282</v>
      </c>
      <c r="H378" s="322" t="s">
        <v>282</v>
      </c>
      <c r="I378" s="322" t="s">
        <v>15</v>
      </c>
      <c r="J378" s="322" t="s">
        <v>282</v>
      </c>
      <c r="K378" s="322" t="s">
        <v>15</v>
      </c>
      <c r="L378" s="322" t="s">
        <v>282</v>
      </c>
      <c r="M378" s="322" t="s">
        <v>282</v>
      </c>
      <c r="N378" s="322" t="s">
        <v>282</v>
      </c>
      <c r="O378" s="323" t="s">
        <v>15</v>
      </c>
      <c r="P378" s="323" t="s">
        <v>15</v>
      </c>
      <c r="Q378" s="323" t="s">
        <v>15</v>
      </c>
      <c r="R378" s="323" t="s">
        <v>15</v>
      </c>
      <c r="S378" s="323" t="s">
        <v>16</v>
      </c>
      <c r="T378" s="323" t="s">
        <v>329</v>
      </c>
      <c r="U378" s="323" t="s">
        <v>249</v>
      </c>
      <c r="V378" s="323" t="s">
        <v>282</v>
      </c>
      <c r="W378" s="324" t="s">
        <v>282</v>
      </c>
      <c r="X378" s="324" t="s">
        <v>282</v>
      </c>
      <c r="Y378" s="325" t="s">
        <v>282</v>
      </c>
    </row>
    <row r="379" spans="1:25">
      <c r="A379" s="319">
        <v>7</v>
      </c>
      <c r="B379" s="320" t="str">
        <f>VLOOKUP(Tabel10[[#This Row],[Code]],Ruimtegroepen[[Code]:[Ruimte omschrijving]],2,FALSE)</f>
        <v>Entree</v>
      </c>
      <c r="C379" s="321" t="s">
        <v>597</v>
      </c>
      <c r="D379" s="320" t="s">
        <v>13</v>
      </c>
      <c r="E379" s="321" t="s">
        <v>102</v>
      </c>
      <c r="F379" s="321" t="s">
        <v>601</v>
      </c>
      <c r="G379" s="326" t="s">
        <v>282</v>
      </c>
      <c r="H379" s="322" t="s">
        <v>282</v>
      </c>
      <c r="I379" s="322" t="s">
        <v>15</v>
      </c>
      <c r="J379" s="322" t="s">
        <v>282</v>
      </c>
      <c r="K379" s="322" t="s">
        <v>15</v>
      </c>
      <c r="L379" s="322" t="s">
        <v>282</v>
      </c>
      <c r="M379" s="322" t="s">
        <v>282</v>
      </c>
      <c r="N379" s="322" t="s">
        <v>282</v>
      </c>
      <c r="O379" s="323" t="s">
        <v>15</v>
      </c>
      <c r="P379" s="323" t="s">
        <v>15</v>
      </c>
      <c r="Q379" s="323" t="s">
        <v>15</v>
      </c>
      <c r="R379" s="323" t="s">
        <v>15</v>
      </c>
      <c r="S379" s="323" t="s">
        <v>16</v>
      </c>
      <c r="T379" s="323" t="s">
        <v>329</v>
      </c>
      <c r="U379" s="323" t="s">
        <v>249</v>
      </c>
      <c r="V379" s="323" t="s">
        <v>282</v>
      </c>
      <c r="W379" s="324" t="s">
        <v>282</v>
      </c>
      <c r="X379" s="324" t="s">
        <v>282</v>
      </c>
      <c r="Y379" s="325" t="s">
        <v>282</v>
      </c>
    </row>
    <row r="380" spans="1:25">
      <c r="A380" s="319">
        <v>7</v>
      </c>
      <c r="B380" s="320" t="str">
        <f>VLOOKUP(Tabel10[[#This Row],[Code]],Ruimtegroepen[[Code]:[Ruimte omschrijving]],2,FALSE)</f>
        <v>Entree</v>
      </c>
      <c r="C380" s="321" t="s">
        <v>597</v>
      </c>
      <c r="D380" s="320" t="s">
        <v>13</v>
      </c>
      <c r="E380" s="321" t="s">
        <v>99</v>
      </c>
      <c r="F380" s="321" t="s">
        <v>599</v>
      </c>
      <c r="G380" s="326" t="s">
        <v>282</v>
      </c>
      <c r="H380" s="322" t="s">
        <v>15</v>
      </c>
      <c r="I380" s="322" t="s">
        <v>282</v>
      </c>
      <c r="J380" s="322" t="s">
        <v>282</v>
      </c>
      <c r="K380" s="322" t="s">
        <v>282</v>
      </c>
      <c r="L380" s="322" t="s">
        <v>282</v>
      </c>
      <c r="M380" s="322" t="s">
        <v>282</v>
      </c>
      <c r="N380" s="322" t="s">
        <v>282</v>
      </c>
      <c r="O380" s="323" t="s">
        <v>15</v>
      </c>
      <c r="P380" s="323" t="s">
        <v>15</v>
      </c>
      <c r="Q380" s="323" t="s">
        <v>15</v>
      </c>
      <c r="R380" s="323" t="s">
        <v>15</v>
      </c>
      <c r="S380" s="323" t="s">
        <v>16</v>
      </c>
      <c r="T380" s="323" t="s">
        <v>329</v>
      </c>
      <c r="U380" s="323" t="s">
        <v>249</v>
      </c>
      <c r="V380" s="323" t="s">
        <v>282</v>
      </c>
      <c r="W380" s="324" t="s">
        <v>282</v>
      </c>
      <c r="X380" s="324" t="s">
        <v>282</v>
      </c>
      <c r="Y380" s="325" t="s">
        <v>282</v>
      </c>
    </row>
    <row r="381" spans="1:25">
      <c r="A381" s="319">
        <v>7</v>
      </c>
      <c r="B381" s="320" t="str">
        <f>VLOOKUP(Tabel10[[#This Row],[Code]],Ruimtegroepen[[Code]:[Ruimte omschrijving]],2,FALSE)</f>
        <v>Entree</v>
      </c>
      <c r="C381" s="321" t="s">
        <v>597</v>
      </c>
      <c r="D381" s="320" t="s">
        <v>13</v>
      </c>
      <c r="E381" s="321" t="s">
        <v>1306</v>
      </c>
      <c r="F381" s="321" t="s">
        <v>1360</v>
      </c>
      <c r="G381" s="326" t="s">
        <v>282</v>
      </c>
      <c r="H381" s="322" t="s">
        <v>282</v>
      </c>
      <c r="I381" s="322" t="s">
        <v>15</v>
      </c>
      <c r="J381" s="322" t="s">
        <v>282</v>
      </c>
      <c r="K381" s="322" t="s">
        <v>15</v>
      </c>
      <c r="L381" s="322" t="s">
        <v>282</v>
      </c>
      <c r="M381" s="322" t="s">
        <v>282</v>
      </c>
      <c r="N381" s="322" t="s">
        <v>282</v>
      </c>
      <c r="O381" s="323" t="s">
        <v>15</v>
      </c>
      <c r="P381" s="323" t="s">
        <v>15</v>
      </c>
      <c r="Q381" s="323" t="s">
        <v>15</v>
      </c>
      <c r="R381" s="323" t="s">
        <v>15</v>
      </c>
      <c r="S381" s="323" t="s">
        <v>16</v>
      </c>
      <c r="T381" s="323" t="s">
        <v>329</v>
      </c>
      <c r="U381" s="323" t="s">
        <v>249</v>
      </c>
      <c r="V381" s="323" t="s">
        <v>282</v>
      </c>
      <c r="W381" s="324" t="s">
        <v>282</v>
      </c>
      <c r="X381" s="324" t="s">
        <v>282</v>
      </c>
      <c r="Y381" s="325" t="s">
        <v>282</v>
      </c>
    </row>
    <row r="382" spans="1:25">
      <c r="A382" s="319">
        <v>7</v>
      </c>
      <c r="B382" s="320" t="str">
        <f>VLOOKUP(Tabel10[[#This Row],[Code]],Ruimtegroepen[[Code]:[Ruimte omschrijving]],2,FALSE)</f>
        <v>Entree</v>
      </c>
      <c r="C382" s="321" t="s">
        <v>602</v>
      </c>
      <c r="D382" s="320" t="s">
        <v>0</v>
      </c>
      <c r="E382" s="321" t="s">
        <v>100</v>
      </c>
      <c r="F382" s="321" t="s">
        <v>603</v>
      </c>
      <c r="G382" s="326" t="s">
        <v>282</v>
      </c>
      <c r="H382" s="322" t="s">
        <v>282</v>
      </c>
      <c r="I382" s="322" t="s">
        <v>282</v>
      </c>
      <c r="J382" s="322" t="s">
        <v>16</v>
      </c>
      <c r="K382" s="322" t="s">
        <v>282</v>
      </c>
      <c r="L382" s="322" t="s">
        <v>282</v>
      </c>
      <c r="M382" s="322" t="s">
        <v>282</v>
      </c>
      <c r="N382" s="322" t="s">
        <v>282</v>
      </c>
      <c r="O382" s="323" t="s">
        <v>16</v>
      </c>
      <c r="P382" s="323" t="s">
        <v>16</v>
      </c>
      <c r="Q382" s="323" t="s">
        <v>16</v>
      </c>
      <c r="R382" s="323" t="s">
        <v>16</v>
      </c>
      <c r="S382" s="323" t="s">
        <v>16</v>
      </c>
      <c r="T382" s="323" t="s">
        <v>329</v>
      </c>
      <c r="U382" s="323" t="s">
        <v>249</v>
      </c>
      <c r="V382" s="323" t="s">
        <v>282</v>
      </c>
      <c r="W382" s="324" t="s">
        <v>282</v>
      </c>
      <c r="X382" s="324" t="s">
        <v>282</v>
      </c>
      <c r="Y382" s="325" t="s">
        <v>282</v>
      </c>
    </row>
    <row r="383" spans="1:25">
      <c r="A383" s="319">
        <v>7</v>
      </c>
      <c r="B383" s="320" t="str">
        <f>VLOOKUP(Tabel10[[#This Row],[Code]],Ruimtegroepen[[Code]:[Ruimte omschrijving]],2,FALSE)</f>
        <v>Entree</v>
      </c>
      <c r="C383" s="321" t="s">
        <v>602</v>
      </c>
      <c r="D383" s="320" t="s">
        <v>0</v>
      </c>
      <c r="E383" s="321" t="s">
        <v>99</v>
      </c>
      <c r="F383" s="321" t="s">
        <v>604</v>
      </c>
      <c r="G383" s="326" t="s">
        <v>282</v>
      </c>
      <c r="H383" s="322" t="s">
        <v>16</v>
      </c>
      <c r="I383" s="322" t="s">
        <v>282</v>
      </c>
      <c r="J383" s="322" t="s">
        <v>282</v>
      </c>
      <c r="K383" s="322" t="s">
        <v>282</v>
      </c>
      <c r="L383" s="322" t="s">
        <v>282</v>
      </c>
      <c r="M383" s="322" t="s">
        <v>282</v>
      </c>
      <c r="N383" s="322" t="s">
        <v>282</v>
      </c>
      <c r="O383" s="323" t="s">
        <v>16</v>
      </c>
      <c r="P383" s="323" t="s">
        <v>16</v>
      </c>
      <c r="Q383" s="323" t="s">
        <v>16</v>
      </c>
      <c r="R383" s="323" t="s">
        <v>16</v>
      </c>
      <c r="S383" s="323" t="s">
        <v>16</v>
      </c>
      <c r="T383" s="323" t="s">
        <v>329</v>
      </c>
      <c r="U383" s="323" t="s">
        <v>249</v>
      </c>
      <c r="V383" s="323" t="s">
        <v>282</v>
      </c>
      <c r="W383" s="324" t="s">
        <v>282</v>
      </c>
      <c r="X383" s="324" t="s">
        <v>282</v>
      </c>
      <c r="Y383" s="325" t="s">
        <v>282</v>
      </c>
    </row>
    <row r="384" spans="1:25">
      <c r="A384" s="319">
        <v>7</v>
      </c>
      <c r="B384" s="320" t="str">
        <f>VLOOKUP(Tabel10[[#This Row],[Code]],Ruimtegroepen[[Code]:[Ruimte omschrijving]],2,FALSE)</f>
        <v>Entree</v>
      </c>
      <c r="C384" s="321" t="s">
        <v>602</v>
      </c>
      <c r="D384" s="320" t="s">
        <v>0</v>
      </c>
      <c r="E384" s="321" t="s">
        <v>101</v>
      </c>
      <c r="F384" s="321" t="s">
        <v>605</v>
      </c>
      <c r="G384" s="326" t="s">
        <v>282</v>
      </c>
      <c r="H384" s="322" t="s">
        <v>282</v>
      </c>
      <c r="I384" s="322" t="s">
        <v>16</v>
      </c>
      <c r="J384" s="322" t="s">
        <v>282</v>
      </c>
      <c r="K384" s="322" t="s">
        <v>16</v>
      </c>
      <c r="L384" s="322" t="s">
        <v>282</v>
      </c>
      <c r="M384" s="322" t="s">
        <v>282</v>
      </c>
      <c r="N384" s="322" t="s">
        <v>282</v>
      </c>
      <c r="O384" s="323" t="s">
        <v>16</v>
      </c>
      <c r="P384" s="323" t="s">
        <v>16</v>
      </c>
      <c r="Q384" s="323" t="s">
        <v>16</v>
      </c>
      <c r="R384" s="323" t="s">
        <v>16</v>
      </c>
      <c r="S384" s="323" t="s">
        <v>16</v>
      </c>
      <c r="T384" s="323" t="s">
        <v>329</v>
      </c>
      <c r="U384" s="323" t="s">
        <v>249</v>
      </c>
      <c r="V384" s="323" t="s">
        <v>282</v>
      </c>
      <c r="W384" s="324" t="s">
        <v>282</v>
      </c>
      <c r="X384" s="324" t="s">
        <v>282</v>
      </c>
      <c r="Y384" s="325" t="s">
        <v>282</v>
      </c>
    </row>
    <row r="385" spans="1:25">
      <c r="A385" s="319">
        <v>7</v>
      </c>
      <c r="B385" s="320" t="str">
        <f>VLOOKUP(Tabel10[[#This Row],[Code]],Ruimtegroepen[[Code]:[Ruimte omschrijving]],2,FALSE)</f>
        <v>Entree</v>
      </c>
      <c r="C385" s="321" t="s">
        <v>602</v>
      </c>
      <c r="D385" s="320" t="s">
        <v>0</v>
      </c>
      <c r="E385" s="321" t="s">
        <v>102</v>
      </c>
      <c r="F385" s="321" t="s">
        <v>606</v>
      </c>
      <c r="G385" s="326" t="s">
        <v>282</v>
      </c>
      <c r="H385" s="322" t="s">
        <v>282</v>
      </c>
      <c r="I385" s="322" t="s">
        <v>16</v>
      </c>
      <c r="J385" s="322" t="s">
        <v>282</v>
      </c>
      <c r="K385" s="322" t="s">
        <v>16</v>
      </c>
      <c r="L385" s="322" t="s">
        <v>282</v>
      </c>
      <c r="M385" s="322" t="s">
        <v>282</v>
      </c>
      <c r="N385" s="322" t="s">
        <v>282</v>
      </c>
      <c r="O385" s="323" t="s">
        <v>16</v>
      </c>
      <c r="P385" s="323" t="s">
        <v>16</v>
      </c>
      <c r="Q385" s="323" t="s">
        <v>16</v>
      </c>
      <c r="R385" s="323" t="s">
        <v>16</v>
      </c>
      <c r="S385" s="323" t="s">
        <v>16</v>
      </c>
      <c r="T385" s="323" t="s">
        <v>329</v>
      </c>
      <c r="U385" s="323" t="s">
        <v>249</v>
      </c>
      <c r="V385" s="323" t="s">
        <v>282</v>
      </c>
      <c r="W385" s="324" t="s">
        <v>282</v>
      </c>
      <c r="X385" s="324" t="s">
        <v>282</v>
      </c>
      <c r="Y385" s="325" t="s">
        <v>282</v>
      </c>
    </row>
    <row r="386" spans="1:25">
      <c r="A386" s="319">
        <v>7</v>
      </c>
      <c r="B386" s="320" t="str">
        <f>VLOOKUP(Tabel10[[#This Row],[Code]],Ruimtegroepen[[Code]:[Ruimte omschrijving]],2,FALSE)</f>
        <v>Entree</v>
      </c>
      <c r="C386" s="321" t="s">
        <v>602</v>
      </c>
      <c r="D386" s="320" t="s">
        <v>0</v>
      </c>
      <c r="E386" s="321" t="s">
        <v>99</v>
      </c>
      <c r="F386" s="321" t="s">
        <v>604</v>
      </c>
      <c r="G386" s="326" t="s">
        <v>282</v>
      </c>
      <c r="H386" s="322" t="s">
        <v>16</v>
      </c>
      <c r="I386" s="322" t="s">
        <v>282</v>
      </c>
      <c r="J386" s="322" t="s">
        <v>282</v>
      </c>
      <c r="K386" s="322" t="s">
        <v>282</v>
      </c>
      <c r="L386" s="322" t="s">
        <v>282</v>
      </c>
      <c r="M386" s="322" t="s">
        <v>282</v>
      </c>
      <c r="N386" s="322" t="s">
        <v>282</v>
      </c>
      <c r="O386" s="323" t="s">
        <v>16</v>
      </c>
      <c r="P386" s="323" t="s">
        <v>16</v>
      </c>
      <c r="Q386" s="323" t="s">
        <v>16</v>
      </c>
      <c r="R386" s="323" t="s">
        <v>16</v>
      </c>
      <c r="S386" s="323" t="s">
        <v>16</v>
      </c>
      <c r="T386" s="323" t="s">
        <v>329</v>
      </c>
      <c r="U386" s="323" t="s">
        <v>249</v>
      </c>
      <c r="V386" s="323" t="s">
        <v>282</v>
      </c>
      <c r="W386" s="324" t="s">
        <v>282</v>
      </c>
      <c r="X386" s="324" t="s">
        <v>282</v>
      </c>
      <c r="Y386" s="325" t="s">
        <v>282</v>
      </c>
    </row>
    <row r="387" spans="1:25">
      <c r="A387" s="319">
        <v>7</v>
      </c>
      <c r="B387" s="320" t="str">
        <f>VLOOKUP(Tabel10[[#This Row],[Code]],Ruimtegroepen[[Code]:[Ruimte omschrijving]],2,FALSE)</f>
        <v>Entree</v>
      </c>
      <c r="C387" s="321" t="s">
        <v>602</v>
      </c>
      <c r="D387" s="320" t="s">
        <v>0</v>
      </c>
      <c r="E387" s="321" t="s">
        <v>1306</v>
      </c>
      <c r="F387" s="321" t="s">
        <v>1344</v>
      </c>
      <c r="G387" s="326" t="s">
        <v>282</v>
      </c>
      <c r="H387" s="322" t="s">
        <v>282</v>
      </c>
      <c r="I387" s="322" t="s">
        <v>16</v>
      </c>
      <c r="J387" s="322" t="s">
        <v>282</v>
      </c>
      <c r="K387" s="322" t="s">
        <v>16</v>
      </c>
      <c r="L387" s="322" t="s">
        <v>282</v>
      </c>
      <c r="M387" s="322" t="s">
        <v>282</v>
      </c>
      <c r="N387" s="322" t="s">
        <v>282</v>
      </c>
      <c r="O387" s="323" t="s">
        <v>16</v>
      </c>
      <c r="P387" s="323" t="s">
        <v>16</v>
      </c>
      <c r="Q387" s="323" t="s">
        <v>16</v>
      </c>
      <c r="R387" s="323" t="s">
        <v>16</v>
      </c>
      <c r="S387" s="323" t="s">
        <v>16</v>
      </c>
      <c r="T387" s="323" t="s">
        <v>329</v>
      </c>
      <c r="U387" s="323" t="s">
        <v>249</v>
      </c>
      <c r="V387" s="323" t="s">
        <v>282</v>
      </c>
      <c r="W387" s="324" t="s">
        <v>282</v>
      </c>
      <c r="X387" s="324" t="s">
        <v>282</v>
      </c>
      <c r="Y387" s="325" t="s">
        <v>282</v>
      </c>
    </row>
    <row r="388" spans="1:25">
      <c r="A388" s="319">
        <v>7</v>
      </c>
      <c r="B388" s="320" t="str">
        <f>VLOOKUP(Tabel10[[#This Row],[Code]],Ruimtegroepen[[Code]:[Ruimte omschrijving]],2,FALSE)</f>
        <v>Entree</v>
      </c>
      <c r="C388" s="321" t="s">
        <v>607</v>
      </c>
      <c r="D388" s="320" t="s">
        <v>27</v>
      </c>
      <c r="E388" s="321" t="s">
        <v>100</v>
      </c>
      <c r="F388" s="321" t="s">
        <v>608</v>
      </c>
      <c r="G388" s="326" t="s">
        <v>282</v>
      </c>
      <c r="H388" s="322" t="s">
        <v>282</v>
      </c>
      <c r="I388" s="322" t="s">
        <v>15</v>
      </c>
      <c r="J388" s="322" t="s">
        <v>282</v>
      </c>
      <c r="K388" s="322" t="s">
        <v>282</v>
      </c>
      <c r="L388" s="322" t="s">
        <v>282</v>
      </c>
      <c r="M388" s="322" t="s">
        <v>282</v>
      </c>
      <c r="N388" s="322" t="s">
        <v>282</v>
      </c>
      <c r="O388" s="323" t="s">
        <v>15</v>
      </c>
      <c r="P388" s="323" t="s">
        <v>15</v>
      </c>
      <c r="Q388" s="323" t="s">
        <v>15</v>
      </c>
      <c r="R388" s="323" t="s">
        <v>282</v>
      </c>
      <c r="S388" s="323" t="s">
        <v>282</v>
      </c>
      <c r="T388" s="323" t="s">
        <v>282</v>
      </c>
      <c r="U388" s="323" t="s">
        <v>282</v>
      </c>
      <c r="V388" s="323" t="s">
        <v>282</v>
      </c>
      <c r="W388" s="324" t="s">
        <v>282</v>
      </c>
      <c r="X388" s="324" t="s">
        <v>282</v>
      </c>
      <c r="Y388" s="325" t="s">
        <v>282</v>
      </c>
    </row>
    <row r="389" spans="1:25">
      <c r="A389" s="319">
        <v>7</v>
      </c>
      <c r="B389" s="320" t="str">
        <f>VLOOKUP(Tabel10[[#This Row],[Code]],Ruimtegroepen[[Code]:[Ruimte omschrijving]],2,FALSE)</f>
        <v>Entree</v>
      </c>
      <c r="C389" s="321" t="s">
        <v>607</v>
      </c>
      <c r="D389" s="320" t="s">
        <v>27</v>
      </c>
      <c r="E389" s="321" t="s">
        <v>99</v>
      </c>
      <c r="F389" s="321" t="s">
        <v>609</v>
      </c>
      <c r="G389" s="326" t="s">
        <v>282</v>
      </c>
      <c r="H389" s="322" t="s">
        <v>15</v>
      </c>
      <c r="I389" s="322" t="s">
        <v>282</v>
      </c>
      <c r="J389" s="322" t="s">
        <v>282</v>
      </c>
      <c r="K389" s="322" t="s">
        <v>282</v>
      </c>
      <c r="L389" s="322" t="s">
        <v>282</v>
      </c>
      <c r="M389" s="322" t="s">
        <v>282</v>
      </c>
      <c r="N389" s="322" t="s">
        <v>282</v>
      </c>
      <c r="O389" s="323" t="s">
        <v>15</v>
      </c>
      <c r="P389" s="323" t="s">
        <v>15</v>
      </c>
      <c r="Q389" s="323" t="s">
        <v>15</v>
      </c>
      <c r="R389" s="323" t="s">
        <v>282</v>
      </c>
      <c r="S389" s="323" t="s">
        <v>282</v>
      </c>
      <c r="T389" s="323" t="s">
        <v>282</v>
      </c>
      <c r="U389" s="323" t="s">
        <v>282</v>
      </c>
      <c r="V389" s="323" t="s">
        <v>282</v>
      </c>
      <c r="W389" s="324" t="s">
        <v>282</v>
      </c>
      <c r="X389" s="324" t="s">
        <v>282</v>
      </c>
      <c r="Y389" s="325" t="s">
        <v>282</v>
      </c>
    </row>
    <row r="390" spans="1:25">
      <c r="A390" s="319">
        <v>7</v>
      </c>
      <c r="B390" s="320" t="str">
        <f>VLOOKUP(Tabel10[[#This Row],[Code]],Ruimtegroepen[[Code]:[Ruimte omschrijving]],2,FALSE)</f>
        <v>Entree</v>
      </c>
      <c r="C390" s="321" t="s">
        <v>607</v>
      </c>
      <c r="D390" s="320" t="s">
        <v>27</v>
      </c>
      <c r="E390" s="321" t="s">
        <v>101</v>
      </c>
      <c r="F390" s="321" t="s">
        <v>610</v>
      </c>
      <c r="G390" s="326" t="s">
        <v>282</v>
      </c>
      <c r="H390" s="322" t="s">
        <v>282</v>
      </c>
      <c r="I390" s="322" t="s">
        <v>15</v>
      </c>
      <c r="J390" s="322" t="s">
        <v>282</v>
      </c>
      <c r="K390" s="322" t="s">
        <v>282</v>
      </c>
      <c r="L390" s="322" t="s">
        <v>282</v>
      </c>
      <c r="M390" s="322" t="s">
        <v>282</v>
      </c>
      <c r="N390" s="322" t="s">
        <v>282</v>
      </c>
      <c r="O390" s="323" t="s">
        <v>15</v>
      </c>
      <c r="P390" s="323" t="s">
        <v>15</v>
      </c>
      <c r="Q390" s="323" t="s">
        <v>15</v>
      </c>
      <c r="R390" s="323" t="s">
        <v>282</v>
      </c>
      <c r="S390" s="323" t="s">
        <v>282</v>
      </c>
      <c r="T390" s="323" t="s">
        <v>282</v>
      </c>
      <c r="U390" s="323" t="s">
        <v>282</v>
      </c>
      <c r="V390" s="323" t="s">
        <v>282</v>
      </c>
      <c r="W390" s="324" t="s">
        <v>282</v>
      </c>
      <c r="X390" s="324" t="s">
        <v>282</v>
      </c>
      <c r="Y390" s="325" t="s">
        <v>282</v>
      </c>
    </row>
    <row r="391" spans="1:25">
      <c r="A391" s="319">
        <v>7</v>
      </c>
      <c r="B391" s="320" t="str">
        <f>VLOOKUP(Tabel10[[#This Row],[Code]],Ruimtegroepen[[Code]:[Ruimte omschrijving]],2,FALSE)</f>
        <v>Entree</v>
      </c>
      <c r="C391" s="321" t="s">
        <v>607</v>
      </c>
      <c r="D391" s="320" t="s">
        <v>27</v>
      </c>
      <c r="E391" s="321" t="s">
        <v>102</v>
      </c>
      <c r="F391" s="321" t="s">
        <v>611</v>
      </c>
      <c r="G391" s="326" t="s">
        <v>282</v>
      </c>
      <c r="H391" s="322" t="s">
        <v>282</v>
      </c>
      <c r="I391" s="322" t="s">
        <v>15</v>
      </c>
      <c r="J391" s="322" t="s">
        <v>282</v>
      </c>
      <c r="K391" s="322" t="s">
        <v>282</v>
      </c>
      <c r="L391" s="322" t="s">
        <v>282</v>
      </c>
      <c r="M391" s="322" t="s">
        <v>282</v>
      </c>
      <c r="N391" s="322" t="s">
        <v>282</v>
      </c>
      <c r="O391" s="323" t="s">
        <v>15</v>
      </c>
      <c r="P391" s="323" t="s">
        <v>15</v>
      </c>
      <c r="Q391" s="323" t="s">
        <v>15</v>
      </c>
      <c r="R391" s="323" t="s">
        <v>282</v>
      </c>
      <c r="S391" s="323" t="s">
        <v>282</v>
      </c>
      <c r="T391" s="323" t="s">
        <v>282</v>
      </c>
      <c r="U391" s="323" t="s">
        <v>282</v>
      </c>
      <c r="V391" s="323" t="s">
        <v>282</v>
      </c>
      <c r="W391" s="324" t="s">
        <v>282</v>
      </c>
      <c r="X391" s="324" t="s">
        <v>282</v>
      </c>
      <c r="Y391" s="325" t="s">
        <v>282</v>
      </c>
    </row>
    <row r="392" spans="1:25">
      <c r="A392" s="319">
        <v>7</v>
      </c>
      <c r="B392" s="320" t="str">
        <f>VLOOKUP(Tabel10[[#This Row],[Code]],Ruimtegroepen[[Code]:[Ruimte omschrijving]],2,FALSE)</f>
        <v>Entree</v>
      </c>
      <c r="C392" s="321" t="s">
        <v>607</v>
      </c>
      <c r="D392" s="320" t="s">
        <v>27</v>
      </c>
      <c r="E392" s="321" t="s">
        <v>99</v>
      </c>
      <c r="F392" s="321" t="s">
        <v>609</v>
      </c>
      <c r="G392" s="326" t="s">
        <v>282</v>
      </c>
      <c r="H392" s="322" t="s">
        <v>15</v>
      </c>
      <c r="I392" s="322" t="s">
        <v>282</v>
      </c>
      <c r="J392" s="322" t="s">
        <v>282</v>
      </c>
      <c r="K392" s="322" t="s">
        <v>282</v>
      </c>
      <c r="L392" s="322" t="s">
        <v>282</v>
      </c>
      <c r="M392" s="322" t="s">
        <v>282</v>
      </c>
      <c r="N392" s="322" t="s">
        <v>282</v>
      </c>
      <c r="O392" s="323" t="s">
        <v>15</v>
      </c>
      <c r="P392" s="323" t="s">
        <v>15</v>
      </c>
      <c r="Q392" s="323" t="s">
        <v>15</v>
      </c>
      <c r="R392" s="323" t="s">
        <v>282</v>
      </c>
      <c r="S392" s="323" t="s">
        <v>282</v>
      </c>
      <c r="T392" s="323" t="s">
        <v>282</v>
      </c>
      <c r="U392" s="323" t="s">
        <v>282</v>
      </c>
      <c r="V392" s="323" t="s">
        <v>282</v>
      </c>
      <c r="W392" s="324" t="s">
        <v>282</v>
      </c>
      <c r="X392" s="324" t="s">
        <v>282</v>
      </c>
      <c r="Y392" s="325" t="s">
        <v>282</v>
      </c>
    </row>
    <row r="393" spans="1:25">
      <c r="A393" s="319">
        <v>7</v>
      </c>
      <c r="B393" s="320" t="str">
        <f>VLOOKUP(Tabel10[[#This Row],[Code]],Ruimtegroepen[[Code]:[Ruimte omschrijving]],2,FALSE)</f>
        <v>Entree</v>
      </c>
      <c r="C393" s="321" t="s">
        <v>607</v>
      </c>
      <c r="D393" s="320" t="s">
        <v>27</v>
      </c>
      <c r="E393" s="321" t="s">
        <v>1306</v>
      </c>
      <c r="F393" s="321" t="s">
        <v>1377</v>
      </c>
      <c r="G393" s="326" t="s">
        <v>282</v>
      </c>
      <c r="H393" s="322" t="s">
        <v>282</v>
      </c>
      <c r="I393" s="322" t="s">
        <v>15</v>
      </c>
      <c r="J393" s="322" t="s">
        <v>282</v>
      </c>
      <c r="K393" s="322" t="s">
        <v>282</v>
      </c>
      <c r="L393" s="322" t="s">
        <v>282</v>
      </c>
      <c r="M393" s="322" t="s">
        <v>282</v>
      </c>
      <c r="N393" s="322" t="s">
        <v>282</v>
      </c>
      <c r="O393" s="323" t="s">
        <v>15</v>
      </c>
      <c r="P393" s="323" t="s">
        <v>15</v>
      </c>
      <c r="Q393" s="323" t="s">
        <v>15</v>
      </c>
      <c r="R393" s="323" t="s">
        <v>282</v>
      </c>
      <c r="S393" s="323" t="s">
        <v>282</v>
      </c>
      <c r="T393" s="323" t="s">
        <v>282</v>
      </c>
      <c r="U393" s="323" t="s">
        <v>282</v>
      </c>
      <c r="V393" s="323" t="s">
        <v>282</v>
      </c>
      <c r="W393" s="324" t="s">
        <v>282</v>
      </c>
      <c r="X393" s="324" t="s">
        <v>282</v>
      </c>
      <c r="Y393" s="325" t="s">
        <v>282</v>
      </c>
    </row>
    <row r="394" spans="1:25">
      <c r="A394" s="319">
        <v>7</v>
      </c>
      <c r="B394" s="320" t="str">
        <f>VLOOKUP(Tabel10[[#This Row],[Code]],Ruimtegroepen[[Code]:[Ruimte omschrijving]],2,FALSE)</f>
        <v>Entree</v>
      </c>
      <c r="C394" s="321" t="s">
        <v>612</v>
      </c>
      <c r="D394" s="320" t="s">
        <v>28</v>
      </c>
      <c r="E394" s="321" t="s">
        <v>100</v>
      </c>
      <c r="F394" s="321" t="s">
        <v>613</v>
      </c>
      <c r="G394" s="326" t="s">
        <v>282</v>
      </c>
      <c r="H394" s="322" t="s">
        <v>282</v>
      </c>
      <c r="I394" s="322" t="s">
        <v>17</v>
      </c>
      <c r="J394" s="322" t="s">
        <v>282</v>
      </c>
      <c r="K394" s="322" t="s">
        <v>282</v>
      </c>
      <c r="L394" s="322" t="s">
        <v>282</v>
      </c>
      <c r="M394" s="322" t="s">
        <v>282</v>
      </c>
      <c r="N394" s="322" t="s">
        <v>282</v>
      </c>
      <c r="O394" s="323" t="s">
        <v>17</v>
      </c>
      <c r="P394" s="323" t="s">
        <v>17</v>
      </c>
      <c r="Q394" s="323" t="s">
        <v>15</v>
      </c>
      <c r="R394" s="323" t="s">
        <v>282</v>
      </c>
      <c r="S394" s="323" t="s">
        <v>282</v>
      </c>
      <c r="T394" s="323" t="s">
        <v>282</v>
      </c>
      <c r="U394" s="323" t="s">
        <v>282</v>
      </c>
      <c r="V394" s="323" t="s">
        <v>282</v>
      </c>
      <c r="W394" s="324" t="s">
        <v>282</v>
      </c>
      <c r="X394" s="324" t="s">
        <v>282</v>
      </c>
      <c r="Y394" s="325" t="s">
        <v>282</v>
      </c>
    </row>
    <row r="395" spans="1:25">
      <c r="A395" s="319">
        <v>7</v>
      </c>
      <c r="B395" s="320" t="str">
        <f>VLOOKUP(Tabel10[[#This Row],[Code]],Ruimtegroepen[[Code]:[Ruimte omschrijving]],2,FALSE)</f>
        <v>Entree</v>
      </c>
      <c r="C395" s="321" t="s">
        <v>612</v>
      </c>
      <c r="D395" s="320" t="s">
        <v>28</v>
      </c>
      <c r="E395" s="321" t="s">
        <v>99</v>
      </c>
      <c r="F395" s="321" t="s">
        <v>614</v>
      </c>
      <c r="G395" s="326" t="s">
        <v>282</v>
      </c>
      <c r="H395" s="322" t="s">
        <v>17</v>
      </c>
      <c r="I395" s="322" t="s">
        <v>282</v>
      </c>
      <c r="J395" s="322" t="s">
        <v>282</v>
      </c>
      <c r="K395" s="322" t="s">
        <v>282</v>
      </c>
      <c r="L395" s="322" t="s">
        <v>282</v>
      </c>
      <c r="M395" s="322" t="s">
        <v>282</v>
      </c>
      <c r="N395" s="322" t="s">
        <v>282</v>
      </c>
      <c r="O395" s="323" t="s">
        <v>17</v>
      </c>
      <c r="P395" s="323" t="s">
        <v>17</v>
      </c>
      <c r="Q395" s="323" t="s">
        <v>15</v>
      </c>
      <c r="R395" s="323" t="s">
        <v>282</v>
      </c>
      <c r="S395" s="323" t="s">
        <v>282</v>
      </c>
      <c r="T395" s="323" t="s">
        <v>282</v>
      </c>
      <c r="U395" s="323" t="s">
        <v>282</v>
      </c>
      <c r="V395" s="323" t="s">
        <v>282</v>
      </c>
      <c r="W395" s="324" t="s">
        <v>282</v>
      </c>
      <c r="X395" s="324" t="s">
        <v>282</v>
      </c>
      <c r="Y395" s="325" t="s">
        <v>282</v>
      </c>
    </row>
    <row r="396" spans="1:25">
      <c r="A396" s="319">
        <v>7</v>
      </c>
      <c r="B396" s="320" t="str">
        <f>VLOOKUP(Tabel10[[#This Row],[Code]],Ruimtegroepen[[Code]:[Ruimte omschrijving]],2,FALSE)</f>
        <v>Entree</v>
      </c>
      <c r="C396" s="321" t="s">
        <v>612</v>
      </c>
      <c r="D396" s="320" t="s">
        <v>28</v>
      </c>
      <c r="E396" s="321" t="s">
        <v>101</v>
      </c>
      <c r="F396" s="321" t="s">
        <v>615</v>
      </c>
      <c r="G396" s="326" t="s">
        <v>282</v>
      </c>
      <c r="H396" s="322" t="s">
        <v>282</v>
      </c>
      <c r="I396" s="322" t="s">
        <v>17</v>
      </c>
      <c r="J396" s="322" t="s">
        <v>282</v>
      </c>
      <c r="K396" s="322" t="s">
        <v>282</v>
      </c>
      <c r="L396" s="322" t="s">
        <v>282</v>
      </c>
      <c r="M396" s="322" t="s">
        <v>282</v>
      </c>
      <c r="N396" s="322" t="s">
        <v>282</v>
      </c>
      <c r="O396" s="323" t="s">
        <v>17</v>
      </c>
      <c r="P396" s="323" t="s">
        <v>17</v>
      </c>
      <c r="Q396" s="323" t="s">
        <v>15</v>
      </c>
      <c r="R396" s="323" t="s">
        <v>282</v>
      </c>
      <c r="S396" s="323" t="s">
        <v>282</v>
      </c>
      <c r="T396" s="323" t="s">
        <v>282</v>
      </c>
      <c r="U396" s="323" t="s">
        <v>282</v>
      </c>
      <c r="V396" s="323" t="s">
        <v>282</v>
      </c>
      <c r="W396" s="324" t="s">
        <v>282</v>
      </c>
      <c r="X396" s="324" t="s">
        <v>282</v>
      </c>
      <c r="Y396" s="325" t="s">
        <v>282</v>
      </c>
    </row>
    <row r="397" spans="1:25">
      <c r="A397" s="319">
        <v>7</v>
      </c>
      <c r="B397" s="320" t="str">
        <f>VLOOKUP(Tabel10[[#This Row],[Code]],Ruimtegroepen[[Code]:[Ruimte omschrijving]],2,FALSE)</f>
        <v>Entree</v>
      </c>
      <c r="C397" s="321" t="s">
        <v>612</v>
      </c>
      <c r="D397" s="320" t="s">
        <v>28</v>
      </c>
      <c r="E397" s="321" t="s">
        <v>102</v>
      </c>
      <c r="F397" s="321" t="s">
        <v>616</v>
      </c>
      <c r="G397" s="326" t="s">
        <v>282</v>
      </c>
      <c r="H397" s="322" t="s">
        <v>282</v>
      </c>
      <c r="I397" s="322" t="s">
        <v>17</v>
      </c>
      <c r="J397" s="322" t="s">
        <v>282</v>
      </c>
      <c r="K397" s="322" t="s">
        <v>282</v>
      </c>
      <c r="L397" s="322" t="s">
        <v>282</v>
      </c>
      <c r="M397" s="322" t="s">
        <v>282</v>
      </c>
      <c r="N397" s="322" t="s">
        <v>282</v>
      </c>
      <c r="O397" s="323" t="s">
        <v>17</v>
      </c>
      <c r="P397" s="323" t="s">
        <v>17</v>
      </c>
      <c r="Q397" s="323" t="s">
        <v>15</v>
      </c>
      <c r="R397" s="323" t="s">
        <v>282</v>
      </c>
      <c r="S397" s="323" t="s">
        <v>282</v>
      </c>
      <c r="T397" s="323" t="s">
        <v>282</v>
      </c>
      <c r="U397" s="323" t="s">
        <v>282</v>
      </c>
      <c r="V397" s="323" t="s">
        <v>282</v>
      </c>
      <c r="W397" s="324" t="s">
        <v>282</v>
      </c>
      <c r="X397" s="324" t="s">
        <v>282</v>
      </c>
      <c r="Y397" s="325" t="s">
        <v>282</v>
      </c>
    </row>
    <row r="398" spans="1:25">
      <c r="A398" s="319">
        <v>7</v>
      </c>
      <c r="B398" s="320" t="str">
        <f>VLOOKUP(Tabel10[[#This Row],[Code]],Ruimtegroepen[[Code]:[Ruimte omschrijving]],2,FALSE)</f>
        <v>Entree</v>
      </c>
      <c r="C398" s="321" t="s">
        <v>612</v>
      </c>
      <c r="D398" s="320" t="s">
        <v>28</v>
      </c>
      <c r="E398" s="321" t="s">
        <v>99</v>
      </c>
      <c r="F398" s="321" t="s">
        <v>614</v>
      </c>
      <c r="G398" s="326" t="s">
        <v>282</v>
      </c>
      <c r="H398" s="322" t="s">
        <v>17</v>
      </c>
      <c r="I398" s="322" t="s">
        <v>282</v>
      </c>
      <c r="J398" s="322" t="s">
        <v>282</v>
      </c>
      <c r="K398" s="322" t="s">
        <v>282</v>
      </c>
      <c r="L398" s="322" t="s">
        <v>282</v>
      </c>
      <c r="M398" s="322" t="s">
        <v>282</v>
      </c>
      <c r="N398" s="322" t="s">
        <v>282</v>
      </c>
      <c r="O398" s="323" t="s">
        <v>17</v>
      </c>
      <c r="P398" s="323" t="s">
        <v>17</v>
      </c>
      <c r="Q398" s="323" t="s">
        <v>15</v>
      </c>
      <c r="R398" s="323" t="s">
        <v>282</v>
      </c>
      <c r="S398" s="323" t="s">
        <v>282</v>
      </c>
      <c r="T398" s="323" t="s">
        <v>282</v>
      </c>
      <c r="U398" s="323" t="s">
        <v>282</v>
      </c>
      <c r="V398" s="323" t="s">
        <v>282</v>
      </c>
      <c r="W398" s="324" t="s">
        <v>282</v>
      </c>
      <c r="X398" s="324" t="s">
        <v>282</v>
      </c>
      <c r="Y398" s="325" t="s">
        <v>282</v>
      </c>
    </row>
    <row r="399" spans="1:25">
      <c r="A399" s="319">
        <v>7</v>
      </c>
      <c r="B399" s="320" t="str">
        <f>VLOOKUP(Tabel10[[#This Row],[Code]],Ruimtegroepen[[Code]:[Ruimte omschrijving]],2,FALSE)</f>
        <v>Entree</v>
      </c>
      <c r="C399" s="321" t="s">
        <v>612</v>
      </c>
      <c r="D399" s="320" t="s">
        <v>28</v>
      </c>
      <c r="E399" s="321" t="s">
        <v>1306</v>
      </c>
      <c r="F399" s="321" t="s">
        <v>1410</v>
      </c>
      <c r="G399" s="326" t="s">
        <v>282</v>
      </c>
      <c r="H399" s="322" t="s">
        <v>282</v>
      </c>
      <c r="I399" s="322" t="s">
        <v>17</v>
      </c>
      <c r="J399" s="322" t="s">
        <v>282</v>
      </c>
      <c r="K399" s="322" t="s">
        <v>282</v>
      </c>
      <c r="L399" s="322" t="s">
        <v>282</v>
      </c>
      <c r="M399" s="322" t="s">
        <v>282</v>
      </c>
      <c r="N399" s="322" t="s">
        <v>282</v>
      </c>
      <c r="O399" s="323" t="s">
        <v>17</v>
      </c>
      <c r="P399" s="323" t="s">
        <v>17</v>
      </c>
      <c r="Q399" s="323" t="s">
        <v>15</v>
      </c>
      <c r="R399" s="323" t="s">
        <v>282</v>
      </c>
      <c r="S399" s="323" t="s">
        <v>282</v>
      </c>
      <c r="T399" s="323" t="s">
        <v>282</v>
      </c>
      <c r="U399" s="323" t="s">
        <v>282</v>
      </c>
      <c r="V399" s="323" t="s">
        <v>282</v>
      </c>
      <c r="W399" s="324" t="s">
        <v>282</v>
      </c>
      <c r="X399" s="324" t="s">
        <v>282</v>
      </c>
      <c r="Y399" s="325" t="s">
        <v>282</v>
      </c>
    </row>
    <row r="400" spans="1:25">
      <c r="A400" s="319">
        <v>8</v>
      </c>
      <c r="B400" s="320" t="str">
        <f>VLOOKUP(Tabel10[[#This Row],[Code]],Ruimtegroepen[[Code]:[Ruimte omschrijving]],2,FALSE)</f>
        <v>Kinderopvang</v>
      </c>
      <c r="C400" s="321" t="s">
        <v>617</v>
      </c>
      <c r="D400" s="320" t="s">
        <v>29</v>
      </c>
      <c r="E400" s="321" t="s">
        <v>100</v>
      </c>
      <c r="F400" s="321" t="s">
        <v>618</v>
      </c>
      <c r="G400" s="326" t="s">
        <v>282</v>
      </c>
      <c r="H400" s="322" t="s">
        <v>282</v>
      </c>
      <c r="I400" s="322" t="s">
        <v>20</v>
      </c>
      <c r="J400" s="322" t="s">
        <v>15</v>
      </c>
      <c r="K400" s="322" t="s">
        <v>282</v>
      </c>
      <c r="L400" s="322" t="s">
        <v>282</v>
      </c>
      <c r="M400" s="322" t="s">
        <v>282</v>
      </c>
      <c r="N400" s="322" t="s">
        <v>2</v>
      </c>
      <c r="O400" s="323" t="s">
        <v>2</v>
      </c>
      <c r="P400" s="323" t="s">
        <v>2</v>
      </c>
      <c r="Q400" s="323" t="s">
        <v>15</v>
      </c>
      <c r="R400" s="323" t="s">
        <v>15</v>
      </c>
      <c r="S400" s="323" t="s">
        <v>16</v>
      </c>
      <c r="T400" s="323" t="s">
        <v>329</v>
      </c>
      <c r="U400" s="323" t="s">
        <v>249</v>
      </c>
      <c r="V400" s="323" t="s">
        <v>2</v>
      </c>
      <c r="W400" s="324" t="s">
        <v>282</v>
      </c>
      <c r="X400" s="324" t="s">
        <v>282</v>
      </c>
      <c r="Y400" s="325" t="s">
        <v>282</v>
      </c>
    </row>
    <row r="401" spans="1:25">
      <c r="A401" s="319">
        <v>8</v>
      </c>
      <c r="B401" s="320" t="str">
        <f>VLOOKUP(Tabel10[[#This Row],[Code]],Ruimtegroepen[[Code]:[Ruimte omschrijving]],2,FALSE)</f>
        <v>Kinderopvang</v>
      </c>
      <c r="C401" s="321" t="s">
        <v>617</v>
      </c>
      <c r="D401" s="320" t="s">
        <v>29</v>
      </c>
      <c r="E401" s="321" t="s">
        <v>99</v>
      </c>
      <c r="F401" s="321" t="s">
        <v>619</v>
      </c>
      <c r="G401" s="326" t="s">
        <v>282</v>
      </c>
      <c r="H401" s="322" t="s">
        <v>2</v>
      </c>
      <c r="I401" s="322" t="s">
        <v>282</v>
      </c>
      <c r="J401" s="322" t="s">
        <v>282</v>
      </c>
      <c r="K401" s="322" t="s">
        <v>282</v>
      </c>
      <c r="L401" s="322" t="s">
        <v>282</v>
      </c>
      <c r="M401" s="322" t="s">
        <v>282</v>
      </c>
      <c r="N401" s="322" t="s">
        <v>2</v>
      </c>
      <c r="O401" s="323" t="s">
        <v>2</v>
      </c>
      <c r="P401" s="323" t="s">
        <v>2</v>
      </c>
      <c r="Q401" s="323" t="s">
        <v>15</v>
      </c>
      <c r="R401" s="323" t="s">
        <v>15</v>
      </c>
      <c r="S401" s="323" t="s">
        <v>16</v>
      </c>
      <c r="T401" s="323" t="s">
        <v>329</v>
      </c>
      <c r="U401" s="323" t="s">
        <v>249</v>
      </c>
      <c r="V401" s="323" t="s">
        <v>2</v>
      </c>
      <c r="W401" s="324" t="s">
        <v>282</v>
      </c>
      <c r="X401" s="324" t="s">
        <v>282</v>
      </c>
      <c r="Y401" s="325" t="s">
        <v>282</v>
      </c>
    </row>
    <row r="402" spans="1:25">
      <c r="A402" s="319">
        <v>8</v>
      </c>
      <c r="B402" s="320" t="str">
        <f>VLOOKUP(Tabel10[[#This Row],[Code]],Ruimtegroepen[[Code]:[Ruimte omschrijving]],2,FALSE)</f>
        <v>Kinderopvang</v>
      </c>
      <c r="C402" s="321" t="s">
        <v>617</v>
      </c>
      <c r="D402" s="320" t="s">
        <v>29</v>
      </c>
      <c r="E402" s="321" t="s">
        <v>101</v>
      </c>
      <c r="F402" s="321" t="s">
        <v>620</v>
      </c>
      <c r="G402" s="326" t="s">
        <v>282</v>
      </c>
      <c r="H402" s="322" t="s">
        <v>282</v>
      </c>
      <c r="I402" s="322" t="s">
        <v>20</v>
      </c>
      <c r="J402" s="322" t="s">
        <v>15</v>
      </c>
      <c r="K402" s="322" t="s">
        <v>283</v>
      </c>
      <c r="L402" s="322" t="s">
        <v>282</v>
      </c>
      <c r="M402" s="322" t="s">
        <v>282</v>
      </c>
      <c r="N402" s="322" t="s">
        <v>2</v>
      </c>
      <c r="O402" s="323" t="s">
        <v>2</v>
      </c>
      <c r="P402" s="323" t="s">
        <v>2</v>
      </c>
      <c r="Q402" s="323" t="s">
        <v>15</v>
      </c>
      <c r="R402" s="323" t="s">
        <v>15</v>
      </c>
      <c r="S402" s="323" t="s">
        <v>16</v>
      </c>
      <c r="T402" s="323" t="s">
        <v>329</v>
      </c>
      <c r="U402" s="323" t="s">
        <v>249</v>
      </c>
      <c r="V402" s="323" t="s">
        <v>2</v>
      </c>
      <c r="W402" s="324" t="s">
        <v>282</v>
      </c>
      <c r="X402" s="324" t="s">
        <v>282</v>
      </c>
      <c r="Y402" s="325" t="s">
        <v>282</v>
      </c>
    </row>
    <row r="403" spans="1:25">
      <c r="A403" s="319">
        <v>8</v>
      </c>
      <c r="B403" s="320" t="str">
        <f>VLOOKUP(Tabel10[[#This Row],[Code]],Ruimtegroepen[[Code]:[Ruimte omschrijving]],2,FALSE)</f>
        <v>Kinderopvang</v>
      </c>
      <c r="C403" s="321" t="s">
        <v>617</v>
      </c>
      <c r="D403" s="320" t="s">
        <v>29</v>
      </c>
      <c r="E403" s="321" t="s">
        <v>102</v>
      </c>
      <c r="F403" s="321" t="s">
        <v>621</v>
      </c>
      <c r="G403" s="326" t="s">
        <v>282</v>
      </c>
      <c r="H403" s="322" t="s">
        <v>282</v>
      </c>
      <c r="I403" s="322" t="s">
        <v>20</v>
      </c>
      <c r="J403" s="322" t="s">
        <v>15</v>
      </c>
      <c r="K403" s="322" t="s">
        <v>283</v>
      </c>
      <c r="L403" s="322" t="s">
        <v>282</v>
      </c>
      <c r="M403" s="322" t="s">
        <v>282</v>
      </c>
      <c r="N403" s="322" t="s">
        <v>2</v>
      </c>
      <c r="O403" s="323" t="s">
        <v>2</v>
      </c>
      <c r="P403" s="323" t="s">
        <v>2</v>
      </c>
      <c r="Q403" s="323" t="s">
        <v>15</v>
      </c>
      <c r="R403" s="323" t="s">
        <v>15</v>
      </c>
      <c r="S403" s="323" t="s">
        <v>16</v>
      </c>
      <c r="T403" s="323" t="s">
        <v>329</v>
      </c>
      <c r="U403" s="323" t="s">
        <v>249</v>
      </c>
      <c r="V403" s="323" t="s">
        <v>2</v>
      </c>
      <c r="W403" s="324" t="s">
        <v>282</v>
      </c>
      <c r="X403" s="324" t="s">
        <v>282</v>
      </c>
      <c r="Y403" s="325" t="s">
        <v>282</v>
      </c>
    </row>
    <row r="404" spans="1:25">
      <c r="A404" s="319">
        <v>8</v>
      </c>
      <c r="B404" s="320" t="str">
        <f>VLOOKUP(Tabel10[[#This Row],[Code]],Ruimtegroepen[[Code]:[Ruimte omschrijving]],2,FALSE)</f>
        <v>Kinderopvang</v>
      </c>
      <c r="C404" s="321" t="s">
        <v>617</v>
      </c>
      <c r="D404" s="320" t="s">
        <v>29</v>
      </c>
      <c r="E404" s="321" t="s">
        <v>99</v>
      </c>
      <c r="F404" s="321" t="s">
        <v>619</v>
      </c>
      <c r="G404" s="326" t="s">
        <v>282</v>
      </c>
      <c r="H404" s="322" t="s">
        <v>2</v>
      </c>
      <c r="I404" s="322" t="s">
        <v>282</v>
      </c>
      <c r="J404" s="322" t="s">
        <v>282</v>
      </c>
      <c r="K404" s="322" t="s">
        <v>282</v>
      </c>
      <c r="L404" s="322" t="s">
        <v>282</v>
      </c>
      <c r="M404" s="322" t="s">
        <v>282</v>
      </c>
      <c r="N404" s="322" t="s">
        <v>2</v>
      </c>
      <c r="O404" s="323" t="s">
        <v>2</v>
      </c>
      <c r="P404" s="323" t="s">
        <v>2</v>
      </c>
      <c r="Q404" s="323" t="s">
        <v>15</v>
      </c>
      <c r="R404" s="323" t="s">
        <v>15</v>
      </c>
      <c r="S404" s="323" t="s">
        <v>16</v>
      </c>
      <c r="T404" s="323" t="s">
        <v>329</v>
      </c>
      <c r="U404" s="323" t="s">
        <v>249</v>
      </c>
      <c r="V404" s="323" t="s">
        <v>2</v>
      </c>
      <c r="W404" s="324" t="s">
        <v>282</v>
      </c>
      <c r="X404" s="324" t="s">
        <v>282</v>
      </c>
      <c r="Y404" s="325" t="s">
        <v>282</v>
      </c>
    </row>
    <row r="405" spans="1:25">
      <c r="A405" s="319">
        <v>8</v>
      </c>
      <c r="B405" s="320" t="str">
        <f>VLOOKUP(Tabel10[[#This Row],[Code]],Ruimtegroepen[[Code]:[Ruimte omschrijving]],2,FALSE)</f>
        <v>Kinderopvang</v>
      </c>
      <c r="C405" s="321" t="s">
        <v>617</v>
      </c>
      <c r="D405" s="320" t="s">
        <v>29</v>
      </c>
      <c r="E405" s="321" t="s">
        <v>1306</v>
      </c>
      <c r="F405" s="321" t="s">
        <v>1478</v>
      </c>
      <c r="G405" s="326" t="s">
        <v>282</v>
      </c>
      <c r="H405" s="322" t="s">
        <v>282</v>
      </c>
      <c r="I405" s="322" t="s">
        <v>20</v>
      </c>
      <c r="J405" s="322" t="s">
        <v>15</v>
      </c>
      <c r="K405" s="322" t="s">
        <v>283</v>
      </c>
      <c r="L405" s="322" t="s">
        <v>282</v>
      </c>
      <c r="M405" s="322" t="s">
        <v>282</v>
      </c>
      <c r="N405" s="322" t="s">
        <v>2</v>
      </c>
      <c r="O405" s="323" t="s">
        <v>2</v>
      </c>
      <c r="P405" s="323" t="s">
        <v>2</v>
      </c>
      <c r="Q405" s="323" t="s">
        <v>15</v>
      </c>
      <c r="R405" s="323" t="s">
        <v>15</v>
      </c>
      <c r="S405" s="323" t="s">
        <v>16</v>
      </c>
      <c r="T405" s="323" t="s">
        <v>329</v>
      </c>
      <c r="U405" s="323" t="s">
        <v>249</v>
      </c>
      <c r="V405" s="323" t="s">
        <v>2</v>
      </c>
      <c r="W405" s="324" t="s">
        <v>282</v>
      </c>
      <c r="X405" s="324" t="s">
        <v>282</v>
      </c>
      <c r="Y405" s="325" t="s">
        <v>282</v>
      </c>
    </row>
    <row r="406" spans="1:25">
      <c r="A406" s="319">
        <v>8</v>
      </c>
      <c r="B406" s="320" t="str">
        <f>VLOOKUP(Tabel10[[#This Row],[Code]],Ruimtegroepen[[Code]:[Ruimte omschrijving]],2,FALSE)</f>
        <v>Kinderopvang</v>
      </c>
      <c r="C406" s="321" t="s">
        <v>622</v>
      </c>
      <c r="D406" s="320" t="s">
        <v>1</v>
      </c>
      <c r="E406" s="321" t="s">
        <v>100</v>
      </c>
      <c r="F406" s="321" t="s">
        <v>623</v>
      </c>
      <c r="G406" s="326" t="s">
        <v>282</v>
      </c>
      <c r="H406" s="322" t="s">
        <v>282</v>
      </c>
      <c r="I406" s="322" t="s">
        <v>20</v>
      </c>
      <c r="J406" s="322" t="s">
        <v>15</v>
      </c>
      <c r="K406" s="322" t="s">
        <v>282</v>
      </c>
      <c r="L406" s="322" t="s">
        <v>282</v>
      </c>
      <c r="M406" s="322" t="s">
        <v>282</v>
      </c>
      <c r="N406" s="322" t="s">
        <v>282</v>
      </c>
      <c r="O406" s="323" t="s">
        <v>2</v>
      </c>
      <c r="P406" s="323" t="s">
        <v>2</v>
      </c>
      <c r="Q406" s="323" t="s">
        <v>15</v>
      </c>
      <c r="R406" s="323" t="s">
        <v>15</v>
      </c>
      <c r="S406" s="323" t="s">
        <v>16</v>
      </c>
      <c r="T406" s="323" t="s">
        <v>329</v>
      </c>
      <c r="U406" s="323" t="s">
        <v>249</v>
      </c>
      <c r="V406" s="323" t="s">
        <v>282</v>
      </c>
      <c r="W406" s="324" t="s">
        <v>282</v>
      </c>
      <c r="X406" s="324" t="s">
        <v>282</v>
      </c>
      <c r="Y406" s="325" t="s">
        <v>282</v>
      </c>
    </row>
    <row r="407" spans="1:25">
      <c r="A407" s="319">
        <v>8</v>
      </c>
      <c r="B407" s="320" t="str">
        <f>VLOOKUP(Tabel10[[#This Row],[Code]],Ruimtegroepen[[Code]:[Ruimte omschrijving]],2,FALSE)</f>
        <v>Kinderopvang</v>
      </c>
      <c r="C407" s="321" t="s">
        <v>622</v>
      </c>
      <c r="D407" s="320" t="s">
        <v>1</v>
      </c>
      <c r="E407" s="321" t="s">
        <v>99</v>
      </c>
      <c r="F407" s="321" t="s">
        <v>624</v>
      </c>
      <c r="G407" s="326" t="s">
        <v>282</v>
      </c>
      <c r="H407" s="322" t="s">
        <v>2</v>
      </c>
      <c r="I407" s="322" t="s">
        <v>282</v>
      </c>
      <c r="J407" s="322" t="s">
        <v>282</v>
      </c>
      <c r="K407" s="322" t="s">
        <v>282</v>
      </c>
      <c r="L407" s="322" t="s">
        <v>282</v>
      </c>
      <c r="M407" s="322" t="s">
        <v>282</v>
      </c>
      <c r="N407" s="322" t="s">
        <v>282</v>
      </c>
      <c r="O407" s="323" t="s">
        <v>2</v>
      </c>
      <c r="P407" s="323" t="s">
        <v>2</v>
      </c>
      <c r="Q407" s="323" t="s">
        <v>15</v>
      </c>
      <c r="R407" s="323" t="s">
        <v>15</v>
      </c>
      <c r="S407" s="323" t="s">
        <v>16</v>
      </c>
      <c r="T407" s="323" t="s">
        <v>329</v>
      </c>
      <c r="U407" s="323" t="s">
        <v>249</v>
      </c>
      <c r="V407" s="323" t="s">
        <v>282</v>
      </c>
      <c r="W407" s="324" t="s">
        <v>282</v>
      </c>
      <c r="X407" s="324" t="s">
        <v>282</v>
      </c>
      <c r="Y407" s="325" t="s">
        <v>282</v>
      </c>
    </row>
    <row r="408" spans="1:25">
      <c r="A408" s="319">
        <v>8</v>
      </c>
      <c r="B408" s="320" t="str">
        <f>VLOOKUP(Tabel10[[#This Row],[Code]],Ruimtegroepen[[Code]:[Ruimte omschrijving]],2,FALSE)</f>
        <v>Kinderopvang</v>
      </c>
      <c r="C408" s="321" t="s">
        <v>622</v>
      </c>
      <c r="D408" s="320" t="s">
        <v>1</v>
      </c>
      <c r="E408" s="321" t="s">
        <v>101</v>
      </c>
      <c r="F408" s="321" t="s">
        <v>625</v>
      </c>
      <c r="G408" s="326" t="s">
        <v>282</v>
      </c>
      <c r="H408" s="322" t="s">
        <v>282</v>
      </c>
      <c r="I408" s="322" t="s">
        <v>20</v>
      </c>
      <c r="J408" s="322" t="s">
        <v>15</v>
      </c>
      <c r="K408" s="322" t="s">
        <v>283</v>
      </c>
      <c r="L408" s="322" t="s">
        <v>282</v>
      </c>
      <c r="M408" s="322" t="s">
        <v>282</v>
      </c>
      <c r="N408" s="322" t="s">
        <v>282</v>
      </c>
      <c r="O408" s="323" t="s">
        <v>2</v>
      </c>
      <c r="P408" s="323" t="s">
        <v>2</v>
      </c>
      <c r="Q408" s="323" t="s">
        <v>15</v>
      </c>
      <c r="R408" s="323" t="s">
        <v>15</v>
      </c>
      <c r="S408" s="323" t="s">
        <v>16</v>
      </c>
      <c r="T408" s="323" t="s">
        <v>329</v>
      </c>
      <c r="U408" s="323" t="s">
        <v>249</v>
      </c>
      <c r="V408" s="323" t="s">
        <v>282</v>
      </c>
      <c r="W408" s="324" t="s">
        <v>282</v>
      </c>
      <c r="X408" s="324" t="s">
        <v>282</v>
      </c>
      <c r="Y408" s="325" t="s">
        <v>282</v>
      </c>
    </row>
    <row r="409" spans="1:25">
      <c r="A409" s="319">
        <v>8</v>
      </c>
      <c r="B409" s="320" t="str">
        <f>VLOOKUP(Tabel10[[#This Row],[Code]],Ruimtegroepen[[Code]:[Ruimte omschrijving]],2,FALSE)</f>
        <v>Kinderopvang</v>
      </c>
      <c r="C409" s="321" t="s">
        <v>622</v>
      </c>
      <c r="D409" s="320" t="s">
        <v>1</v>
      </c>
      <c r="E409" s="321" t="s">
        <v>102</v>
      </c>
      <c r="F409" s="321" t="s">
        <v>626</v>
      </c>
      <c r="G409" s="326" t="s">
        <v>282</v>
      </c>
      <c r="H409" s="322" t="s">
        <v>282</v>
      </c>
      <c r="I409" s="322" t="s">
        <v>2</v>
      </c>
      <c r="J409" s="322" t="s">
        <v>282</v>
      </c>
      <c r="K409" s="322" t="s">
        <v>283</v>
      </c>
      <c r="L409" s="322" t="s">
        <v>282</v>
      </c>
      <c r="M409" s="322" t="s">
        <v>282</v>
      </c>
      <c r="N409" s="322" t="s">
        <v>282</v>
      </c>
      <c r="O409" s="323" t="s">
        <v>2</v>
      </c>
      <c r="P409" s="323" t="s">
        <v>2</v>
      </c>
      <c r="Q409" s="323" t="s">
        <v>15</v>
      </c>
      <c r="R409" s="323" t="s">
        <v>15</v>
      </c>
      <c r="S409" s="323" t="s">
        <v>16</v>
      </c>
      <c r="T409" s="323" t="s">
        <v>329</v>
      </c>
      <c r="U409" s="323" t="s">
        <v>249</v>
      </c>
      <c r="V409" s="323" t="s">
        <v>282</v>
      </c>
      <c r="W409" s="324" t="s">
        <v>282</v>
      </c>
      <c r="X409" s="324" t="s">
        <v>282</v>
      </c>
      <c r="Y409" s="325" t="s">
        <v>282</v>
      </c>
    </row>
    <row r="410" spans="1:25">
      <c r="A410" s="319">
        <v>8</v>
      </c>
      <c r="B410" s="320" t="str">
        <f>VLOOKUP(Tabel10[[#This Row],[Code]],Ruimtegroepen[[Code]:[Ruimte omschrijving]],2,FALSE)</f>
        <v>Kinderopvang</v>
      </c>
      <c r="C410" s="321" t="s">
        <v>622</v>
      </c>
      <c r="D410" s="320" t="s">
        <v>1</v>
      </c>
      <c r="E410" s="321" t="s">
        <v>99</v>
      </c>
      <c r="F410" s="321" t="s">
        <v>624</v>
      </c>
      <c r="G410" s="326" t="s">
        <v>282</v>
      </c>
      <c r="H410" s="322" t="s">
        <v>2</v>
      </c>
      <c r="I410" s="322" t="s">
        <v>282</v>
      </c>
      <c r="J410" s="322" t="s">
        <v>282</v>
      </c>
      <c r="K410" s="322" t="s">
        <v>282</v>
      </c>
      <c r="L410" s="322" t="s">
        <v>282</v>
      </c>
      <c r="M410" s="322" t="s">
        <v>282</v>
      </c>
      <c r="N410" s="322" t="s">
        <v>282</v>
      </c>
      <c r="O410" s="323" t="s">
        <v>2</v>
      </c>
      <c r="P410" s="323" t="s">
        <v>2</v>
      </c>
      <c r="Q410" s="323" t="s">
        <v>15</v>
      </c>
      <c r="R410" s="323" t="s">
        <v>15</v>
      </c>
      <c r="S410" s="323" t="s">
        <v>16</v>
      </c>
      <c r="T410" s="323" t="s">
        <v>329</v>
      </c>
      <c r="U410" s="323" t="s">
        <v>249</v>
      </c>
      <c r="V410" s="323" t="s">
        <v>282</v>
      </c>
      <c r="W410" s="324" t="s">
        <v>282</v>
      </c>
      <c r="X410" s="324" t="s">
        <v>282</v>
      </c>
      <c r="Y410" s="325" t="s">
        <v>282</v>
      </c>
    </row>
    <row r="411" spans="1:25">
      <c r="A411" s="319">
        <v>8</v>
      </c>
      <c r="B411" s="320" t="str">
        <f>VLOOKUP(Tabel10[[#This Row],[Code]],Ruimtegroepen[[Code]:[Ruimte omschrijving]],2,FALSE)</f>
        <v>Kinderopvang</v>
      </c>
      <c r="C411" s="321" t="s">
        <v>622</v>
      </c>
      <c r="D411" s="320" t="s">
        <v>1</v>
      </c>
      <c r="E411" s="321" t="s">
        <v>1306</v>
      </c>
      <c r="F411" s="321" t="s">
        <v>1462</v>
      </c>
      <c r="G411" s="326" t="s">
        <v>282</v>
      </c>
      <c r="H411" s="322" t="s">
        <v>282</v>
      </c>
      <c r="I411" s="322" t="s">
        <v>2</v>
      </c>
      <c r="J411" s="322" t="s">
        <v>282</v>
      </c>
      <c r="K411" s="322" t="s">
        <v>283</v>
      </c>
      <c r="L411" s="322" t="s">
        <v>282</v>
      </c>
      <c r="M411" s="322" t="s">
        <v>282</v>
      </c>
      <c r="N411" s="322" t="s">
        <v>282</v>
      </c>
      <c r="O411" s="323" t="s">
        <v>2</v>
      </c>
      <c r="P411" s="323" t="s">
        <v>2</v>
      </c>
      <c r="Q411" s="323" t="s">
        <v>15</v>
      </c>
      <c r="R411" s="323" t="s">
        <v>15</v>
      </c>
      <c r="S411" s="323" t="s">
        <v>16</v>
      </c>
      <c r="T411" s="323" t="s">
        <v>329</v>
      </c>
      <c r="U411" s="323" t="s">
        <v>249</v>
      </c>
      <c r="V411" s="323" t="s">
        <v>282</v>
      </c>
      <c r="W411" s="324" t="s">
        <v>282</v>
      </c>
      <c r="X411" s="324" t="s">
        <v>282</v>
      </c>
      <c r="Y411" s="325" t="s">
        <v>282</v>
      </c>
    </row>
    <row r="412" spans="1:25">
      <c r="A412" s="319">
        <v>8</v>
      </c>
      <c r="B412" s="320" t="str">
        <f>VLOOKUP(Tabel10[[#This Row],[Code]],Ruimtegroepen[[Code]:[Ruimte omschrijving]],2,FALSE)</f>
        <v>Kinderopvang</v>
      </c>
      <c r="C412" s="321" t="s">
        <v>627</v>
      </c>
      <c r="D412" s="320" t="s">
        <v>21</v>
      </c>
      <c r="E412" s="321" t="s">
        <v>100</v>
      </c>
      <c r="F412" s="321" t="s">
        <v>628</v>
      </c>
      <c r="G412" s="326" t="s">
        <v>282</v>
      </c>
      <c r="H412" s="322" t="s">
        <v>282</v>
      </c>
      <c r="I412" s="322" t="s">
        <v>18</v>
      </c>
      <c r="J412" s="322" t="s">
        <v>15</v>
      </c>
      <c r="K412" s="322" t="s">
        <v>282</v>
      </c>
      <c r="L412" s="322" t="s">
        <v>282</v>
      </c>
      <c r="M412" s="322" t="s">
        <v>282</v>
      </c>
      <c r="N412" s="322" t="s">
        <v>282</v>
      </c>
      <c r="O412" s="323" t="s">
        <v>20</v>
      </c>
      <c r="P412" s="323" t="s">
        <v>20</v>
      </c>
      <c r="Q412" s="323" t="s">
        <v>15</v>
      </c>
      <c r="R412" s="323" t="s">
        <v>15</v>
      </c>
      <c r="S412" s="323" t="s">
        <v>16</v>
      </c>
      <c r="T412" s="323" t="s">
        <v>329</v>
      </c>
      <c r="U412" s="323" t="s">
        <v>249</v>
      </c>
      <c r="V412" s="323" t="s">
        <v>282</v>
      </c>
      <c r="W412" s="324" t="s">
        <v>282</v>
      </c>
      <c r="X412" s="324" t="s">
        <v>282</v>
      </c>
      <c r="Y412" s="325" t="s">
        <v>282</v>
      </c>
    </row>
    <row r="413" spans="1:25">
      <c r="A413" s="319">
        <v>8</v>
      </c>
      <c r="B413" s="320" t="str">
        <f>VLOOKUP(Tabel10[[#This Row],[Code]],Ruimtegroepen[[Code]:[Ruimte omschrijving]],2,FALSE)</f>
        <v>Kinderopvang</v>
      </c>
      <c r="C413" s="321" t="s">
        <v>627</v>
      </c>
      <c r="D413" s="320" t="s">
        <v>21</v>
      </c>
      <c r="E413" s="321" t="s">
        <v>99</v>
      </c>
      <c r="F413" s="321" t="s">
        <v>629</v>
      </c>
      <c r="G413" s="326" t="s">
        <v>282</v>
      </c>
      <c r="H413" s="322" t="s">
        <v>20</v>
      </c>
      <c r="I413" s="322" t="s">
        <v>282</v>
      </c>
      <c r="J413" s="322" t="s">
        <v>282</v>
      </c>
      <c r="K413" s="322" t="s">
        <v>282</v>
      </c>
      <c r="L413" s="322" t="s">
        <v>282</v>
      </c>
      <c r="M413" s="322" t="s">
        <v>282</v>
      </c>
      <c r="N413" s="322" t="s">
        <v>282</v>
      </c>
      <c r="O413" s="323" t="s">
        <v>20</v>
      </c>
      <c r="P413" s="323" t="s">
        <v>20</v>
      </c>
      <c r="Q413" s="323" t="s">
        <v>15</v>
      </c>
      <c r="R413" s="323" t="s">
        <v>15</v>
      </c>
      <c r="S413" s="323" t="s">
        <v>16</v>
      </c>
      <c r="T413" s="323" t="s">
        <v>329</v>
      </c>
      <c r="U413" s="323" t="s">
        <v>249</v>
      </c>
      <c r="V413" s="323" t="s">
        <v>282</v>
      </c>
      <c r="W413" s="324" t="s">
        <v>282</v>
      </c>
      <c r="X413" s="324" t="s">
        <v>282</v>
      </c>
      <c r="Y413" s="325" t="s">
        <v>282</v>
      </c>
    </row>
    <row r="414" spans="1:25">
      <c r="A414" s="319">
        <v>8</v>
      </c>
      <c r="B414" s="320" t="str">
        <f>VLOOKUP(Tabel10[[#This Row],[Code]],Ruimtegroepen[[Code]:[Ruimte omschrijving]],2,FALSE)</f>
        <v>Kinderopvang</v>
      </c>
      <c r="C414" s="321" t="s">
        <v>627</v>
      </c>
      <c r="D414" s="320" t="s">
        <v>21</v>
      </c>
      <c r="E414" s="321" t="s">
        <v>101</v>
      </c>
      <c r="F414" s="321" t="s">
        <v>630</v>
      </c>
      <c r="G414" s="326" t="s">
        <v>282</v>
      </c>
      <c r="H414" s="322" t="s">
        <v>282</v>
      </c>
      <c r="I414" s="322" t="s">
        <v>18</v>
      </c>
      <c r="J414" s="322" t="s">
        <v>15</v>
      </c>
      <c r="K414" s="322" t="s">
        <v>283</v>
      </c>
      <c r="L414" s="322" t="s">
        <v>282</v>
      </c>
      <c r="M414" s="322" t="s">
        <v>282</v>
      </c>
      <c r="N414" s="322" t="s">
        <v>282</v>
      </c>
      <c r="O414" s="323" t="s">
        <v>20</v>
      </c>
      <c r="P414" s="323" t="s">
        <v>20</v>
      </c>
      <c r="Q414" s="323" t="s">
        <v>15</v>
      </c>
      <c r="R414" s="323" t="s">
        <v>15</v>
      </c>
      <c r="S414" s="323" t="s">
        <v>16</v>
      </c>
      <c r="T414" s="323" t="s">
        <v>329</v>
      </c>
      <c r="U414" s="323" t="s">
        <v>249</v>
      </c>
      <c r="V414" s="323" t="s">
        <v>282</v>
      </c>
      <c r="W414" s="324" t="s">
        <v>282</v>
      </c>
      <c r="X414" s="324" t="s">
        <v>282</v>
      </c>
      <c r="Y414" s="325" t="s">
        <v>282</v>
      </c>
    </row>
    <row r="415" spans="1:25">
      <c r="A415" s="319">
        <v>8</v>
      </c>
      <c r="B415" s="320" t="str">
        <f>VLOOKUP(Tabel10[[#This Row],[Code]],Ruimtegroepen[[Code]:[Ruimte omschrijving]],2,FALSE)</f>
        <v>Kinderopvang</v>
      </c>
      <c r="C415" s="321" t="s">
        <v>627</v>
      </c>
      <c r="D415" s="320" t="s">
        <v>21</v>
      </c>
      <c r="E415" s="321" t="s">
        <v>102</v>
      </c>
      <c r="F415" s="321" t="s">
        <v>631</v>
      </c>
      <c r="G415" s="326" t="s">
        <v>282</v>
      </c>
      <c r="H415" s="322" t="s">
        <v>282</v>
      </c>
      <c r="I415" s="322" t="s">
        <v>18</v>
      </c>
      <c r="J415" s="322" t="s">
        <v>15</v>
      </c>
      <c r="K415" s="322" t="s">
        <v>283</v>
      </c>
      <c r="L415" s="322" t="s">
        <v>282</v>
      </c>
      <c r="M415" s="322" t="s">
        <v>282</v>
      </c>
      <c r="N415" s="322" t="s">
        <v>282</v>
      </c>
      <c r="O415" s="323" t="s">
        <v>20</v>
      </c>
      <c r="P415" s="323" t="s">
        <v>20</v>
      </c>
      <c r="Q415" s="323" t="s">
        <v>15</v>
      </c>
      <c r="R415" s="323" t="s">
        <v>15</v>
      </c>
      <c r="S415" s="323" t="s">
        <v>16</v>
      </c>
      <c r="T415" s="323" t="s">
        <v>329</v>
      </c>
      <c r="U415" s="323" t="s">
        <v>249</v>
      </c>
      <c r="V415" s="323" t="s">
        <v>282</v>
      </c>
      <c r="W415" s="324" t="s">
        <v>282</v>
      </c>
      <c r="X415" s="324" t="s">
        <v>282</v>
      </c>
      <c r="Y415" s="325" t="s">
        <v>282</v>
      </c>
    </row>
    <row r="416" spans="1:25">
      <c r="A416" s="319">
        <v>8</v>
      </c>
      <c r="B416" s="320" t="str">
        <f>VLOOKUP(Tabel10[[#This Row],[Code]],Ruimtegroepen[[Code]:[Ruimte omschrijving]],2,FALSE)</f>
        <v>Kinderopvang</v>
      </c>
      <c r="C416" s="321" t="s">
        <v>627</v>
      </c>
      <c r="D416" s="320" t="s">
        <v>21</v>
      </c>
      <c r="E416" s="321" t="s">
        <v>99</v>
      </c>
      <c r="F416" s="321" t="s">
        <v>629</v>
      </c>
      <c r="G416" s="326" t="s">
        <v>282</v>
      </c>
      <c r="H416" s="322" t="s">
        <v>20</v>
      </c>
      <c r="I416" s="322" t="s">
        <v>282</v>
      </c>
      <c r="J416" s="322" t="s">
        <v>282</v>
      </c>
      <c r="K416" s="322" t="s">
        <v>282</v>
      </c>
      <c r="L416" s="322" t="s">
        <v>282</v>
      </c>
      <c r="M416" s="322" t="s">
        <v>282</v>
      </c>
      <c r="N416" s="322" t="s">
        <v>282</v>
      </c>
      <c r="O416" s="323" t="s">
        <v>20</v>
      </c>
      <c r="P416" s="323" t="s">
        <v>20</v>
      </c>
      <c r="Q416" s="323" t="s">
        <v>15</v>
      </c>
      <c r="R416" s="323" t="s">
        <v>15</v>
      </c>
      <c r="S416" s="323" t="s">
        <v>16</v>
      </c>
      <c r="T416" s="323" t="s">
        <v>329</v>
      </c>
      <c r="U416" s="323" t="s">
        <v>249</v>
      </c>
      <c r="V416" s="323" t="s">
        <v>282</v>
      </c>
      <c r="W416" s="324" t="s">
        <v>282</v>
      </c>
      <c r="X416" s="324" t="s">
        <v>282</v>
      </c>
      <c r="Y416" s="325" t="s">
        <v>282</v>
      </c>
    </row>
    <row r="417" spans="1:25">
      <c r="A417" s="319">
        <v>8</v>
      </c>
      <c r="B417" s="320" t="str">
        <f>VLOOKUP(Tabel10[[#This Row],[Code]],Ruimtegroepen[[Code]:[Ruimte omschrijving]],2,FALSE)</f>
        <v>Kinderopvang</v>
      </c>
      <c r="C417" s="321" t="s">
        <v>627</v>
      </c>
      <c r="D417" s="320" t="s">
        <v>21</v>
      </c>
      <c r="E417" s="321" t="s">
        <v>1306</v>
      </c>
      <c r="F417" s="321" t="s">
        <v>1445</v>
      </c>
      <c r="G417" s="326" t="s">
        <v>282</v>
      </c>
      <c r="H417" s="322" t="s">
        <v>282</v>
      </c>
      <c r="I417" s="322" t="s">
        <v>18</v>
      </c>
      <c r="J417" s="322" t="s">
        <v>15</v>
      </c>
      <c r="K417" s="322" t="s">
        <v>283</v>
      </c>
      <c r="L417" s="322" t="s">
        <v>282</v>
      </c>
      <c r="M417" s="322" t="s">
        <v>282</v>
      </c>
      <c r="N417" s="322" t="s">
        <v>282</v>
      </c>
      <c r="O417" s="323" t="s">
        <v>20</v>
      </c>
      <c r="P417" s="323" t="s">
        <v>20</v>
      </c>
      <c r="Q417" s="323" t="s">
        <v>15</v>
      </c>
      <c r="R417" s="323" t="s">
        <v>15</v>
      </c>
      <c r="S417" s="323" t="s">
        <v>16</v>
      </c>
      <c r="T417" s="323" t="s">
        <v>329</v>
      </c>
      <c r="U417" s="323" t="s">
        <v>249</v>
      </c>
      <c r="V417" s="323" t="s">
        <v>282</v>
      </c>
      <c r="W417" s="324" t="s">
        <v>282</v>
      </c>
      <c r="X417" s="324" t="s">
        <v>282</v>
      </c>
      <c r="Y417" s="325" t="s">
        <v>282</v>
      </c>
    </row>
    <row r="418" spans="1:25">
      <c r="A418" s="319">
        <v>8</v>
      </c>
      <c r="B418" s="320" t="str">
        <f>VLOOKUP(Tabel10[[#This Row],[Code]],Ruimtegroepen[[Code]:[Ruimte omschrijving]],2,FALSE)</f>
        <v>Kinderopvang</v>
      </c>
      <c r="C418" s="321" t="s">
        <v>632</v>
      </c>
      <c r="D418" s="320" t="s">
        <v>12</v>
      </c>
      <c r="E418" s="321" t="s">
        <v>100</v>
      </c>
      <c r="F418" s="321" t="s">
        <v>633</v>
      </c>
      <c r="G418" s="326" t="s">
        <v>282</v>
      </c>
      <c r="H418" s="322" t="s">
        <v>282</v>
      </c>
      <c r="I418" s="322" t="s">
        <v>17</v>
      </c>
      <c r="J418" s="322" t="s">
        <v>15</v>
      </c>
      <c r="K418" s="322" t="s">
        <v>282</v>
      </c>
      <c r="L418" s="322" t="s">
        <v>282</v>
      </c>
      <c r="M418" s="322" t="s">
        <v>282</v>
      </c>
      <c r="N418" s="322" t="s">
        <v>282</v>
      </c>
      <c r="O418" s="323" t="s">
        <v>18</v>
      </c>
      <c r="P418" s="323" t="s">
        <v>18</v>
      </c>
      <c r="Q418" s="323" t="s">
        <v>15</v>
      </c>
      <c r="R418" s="323" t="s">
        <v>15</v>
      </c>
      <c r="S418" s="323" t="s">
        <v>16</v>
      </c>
      <c r="T418" s="323" t="s">
        <v>329</v>
      </c>
      <c r="U418" s="323" t="s">
        <v>249</v>
      </c>
      <c r="V418" s="323" t="s">
        <v>282</v>
      </c>
      <c r="W418" s="324" t="s">
        <v>282</v>
      </c>
      <c r="X418" s="324" t="s">
        <v>282</v>
      </c>
      <c r="Y418" s="325" t="s">
        <v>282</v>
      </c>
    </row>
    <row r="419" spans="1:25">
      <c r="A419" s="319">
        <v>8</v>
      </c>
      <c r="B419" s="320" t="str">
        <f>VLOOKUP(Tabel10[[#This Row],[Code]],Ruimtegroepen[[Code]:[Ruimte omschrijving]],2,FALSE)</f>
        <v>Kinderopvang</v>
      </c>
      <c r="C419" s="321" t="s">
        <v>632</v>
      </c>
      <c r="D419" s="320" t="s">
        <v>12</v>
      </c>
      <c r="E419" s="321" t="s">
        <v>99</v>
      </c>
      <c r="F419" s="321" t="s">
        <v>634</v>
      </c>
      <c r="G419" s="326" t="s">
        <v>282</v>
      </c>
      <c r="H419" s="322" t="s">
        <v>18</v>
      </c>
      <c r="I419" s="322" t="s">
        <v>282</v>
      </c>
      <c r="J419" s="322" t="s">
        <v>282</v>
      </c>
      <c r="K419" s="322" t="s">
        <v>282</v>
      </c>
      <c r="L419" s="322" t="s">
        <v>282</v>
      </c>
      <c r="M419" s="322" t="s">
        <v>282</v>
      </c>
      <c r="N419" s="322" t="s">
        <v>282</v>
      </c>
      <c r="O419" s="323" t="s">
        <v>18</v>
      </c>
      <c r="P419" s="323" t="s">
        <v>18</v>
      </c>
      <c r="Q419" s="323" t="s">
        <v>15</v>
      </c>
      <c r="R419" s="323" t="s">
        <v>15</v>
      </c>
      <c r="S419" s="323" t="s">
        <v>16</v>
      </c>
      <c r="T419" s="323" t="s">
        <v>329</v>
      </c>
      <c r="U419" s="323" t="s">
        <v>249</v>
      </c>
      <c r="V419" s="323" t="s">
        <v>282</v>
      </c>
      <c r="W419" s="324" t="s">
        <v>282</v>
      </c>
      <c r="X419" s="324" t="s">
        <v>282</v>
      </c>
      <c r="Y419" s="325" t="s">
        <v>282</v>
      </c>
    </row>
    <row r="420" spans="1:25">
      <c r="A420" s="319">
        <v>8</v>
      </c>
      <c r="B420" s="320" t="str">
        <f>VLOOKUP(Tabel10[[#This Row],[Code]],Ruimtegroepen[[Code]:[Ruimte omschrijving]],2,FALSE)</f>
        <v>Kinderopvang</v>
      </c>
      <c r="C420" s="321" t="s">
        <v>632</v>
      </c>
      <c r="D420" s="320" t="s">
        <v>12</v>
      </c>
      <c r="E420" s="321" t="s">
        <v>101</v>
      </c>
      <c r="F420" s="321" t="s">
        <v>635</v>
      </c>
      <c r="G420" s="326" t="s">
        <v>282</v>
      </c>
      <c r="H420" s="322" t="s">
        <v>282</v>
      </c>
      <c r="I420" s="322" t="s">
        <v>17</v>
      </c>
      <c r="J420" s="322" t="s">
        <v>15</v>
      </c>
      <c r="K420" s="322" t="s">
        <v>283</v>
      </c>
      <c r="L420" s="322" t="s">
        <v>282</v>
      </c>
      <c r="M420" s="322" t="s">
        <v>282</v>
      </c>
      <c r="N420" s="322" t="s">
        <v>282</v>
      </c>
      <c r="O420" s="323" t="s">
        <v>18</v>
      </c>
      <c r="P420" s="323" t="s">
        <v>18</v>
      </c>
      <c r="Q420" s="323" t="s">
        <v>15</v>
      </c>
      <c r="R420" s="323" t="s">
        <v>15</v>
      </c>
      <c r="S420" s="323" t="s">
        <v>16</v>
      </c>
      <c r="T420" s="323" t="s">
        <v>329</v>
      </c>
      <c r="U420" s="323" t="s">
        <v>249</v>
      </c>
      <c r="V420" s="323" t="s">
        <v>282</v>
      </c>
      <c r="W420" s="324" t="s">
        <v>282</v>
      </c>
      <c r="X420" s="324" t="s">
        <v>282</v>
      </c>
      <c r="Y420" s="325" t="s">
        <v>282</v>
      </c>
    </row>
    <row r="421" spans="1:25">
      <c r="A421" s="319">
        <v>8</v>
      </c>
      <c r="B421" s="320" t="str">
        <f>VLOOKUP(Tabel10[[#This Row],[Code]],Ruimtegroepen[[Code]:[Ruimte omschrijving]],2,FALSE)</f>
        <v>Kinderopvang</v>
      </c>
      <c r="C421" s="321" t="s">
        <v>632</v>
      </c>
      <c r="D421" s="320" t="s">
        <v>12</v>
      </c>
      <c r="E421" s="321" t="s">
        <v>102</v>
      </c>
      <c r="F421" s="321" t="s">
        <v>636</v>
      </c>
      <c r="G421" s="326" t="s">
        <v>282</v>
      </c>
      <c r="H421" s="322" t="s">
        <v>282</v>
      </c>
      <c r="I421" s="322" t="s">
        <v>17</v>
      </c>
      <c r="J421" s="322" t="s">
        <v>15</v>
      </c>
      <c r="K421" s="322" t="s">
        <v>283</v>
      </c>
      <c r="L421" s="322" t="s">
        <v>282</v>
      </c>
      <c r="M421" s="322" t="s">
        <v>282</v>
      </c>
      <c r="N421" s="322" t="s">
        <v>282</v>
      </c>
      <c r="O421" s="323" t="s">
        <v>18</v>
      </c>
      <c r="P421" s="323" t="s">
        <v>18</v>
      </c>
      <c r="Q421" s="323" t="s">
        <v>15</v>
      </c>
      <c r="R421" s="323" t="s">
        <v>15</v>
      </c>
      <c r="S421" s="323" t="s">
        <v>16</v>
      </c>
      <c r="T421" s="323" t="s">
        <v>329</v>
      </c>
      <c r="U421" s="323" t="s">
        <v>249</v>
      </c>
      <c r="V421" s="323" t="s">
        <v>282</v>
      </c>
      <c r="W421" s="324" t="s">
        <v>282</v>
      </c>
      <c r="X421" s="324" t="s">
        <v>282</v>
      </c>
      <c r="Y421" s="325" t="s">
        <v>282</v>
      </c>
    </row>
    <row r="422" spans="1:25">
      <c r="A422" s="319">
        <v>8</v>
      </c>
      <c r="B422" s="320" t="str">
        <f>VLOOKUP(Tabel10[[#This Row],[Code]],Ruimtegroepen[[Code]:[Ruimte omschrijving]],2,FALSE)</f>
        <v>Kinderopvang</v>
      </c>
      <c r="C422" s="321" t="s">
        <v>632</v>
      </c>
      <c r="D422" s="320" t="s">
        <v>12</v>
      </c>
      <c r="E422" s="321" t="s">
        <v>99</v>
      </c>
      <c r="F422" s="321" t="s">
        <v>634</v>
      </c>
      <c r="G422" s="326" t="s">
        <v>282</v>
      </c>
      <c r="H422" s="322" t="s">
        <v>18</v>
      </c>
      <c r="I422" s="322" t="s">
        <v>282</v>
      </c>
      <c r="J422" s="322" t="s">
        <v>282</v>
      </c>
      <c r="K422" s="322" t="s">
        <v>282</v>
      </c>
      <c r="L422" s="322" t="s">
        <v>282</v>
      </c>
      <c r="M422" s="322" t="s">
        <v>282</v>
      </c>
      <c r="N422" s="322" t="s">
        <v>282</v>
      </c>
      <c r="O422" s="323" t="s">
        <v>18</v>
      </c>
      <c r="P422" s="323" t="s">
        <v>18</v>
      </c>
      <c r="Q422" s="323" t="s">
        <v>15</v>
      </c>
      <c r="R422" s="323" t="s">
        <v>15</v>
      </c>
      <c r="S422" s="323" t="s">
        <v>16</v>
      </c>
      <c r="T422" s="323" t="s">
        <v>329</v>
      </c>
      <c r="U422" s="323" t="s">
        <v>249</v>
      </c>
      <c r="V422" s="323" t="s">
        <v>282</v>
      </c>
      <c r="W422" s="324" t="s">
        <v>282</v>
      </c>
      <c r="X422" s="324" t="s">
        <v>282</v>
      </c>
      <c r="Y422" s="325" t="s">
        <v>282</v>
      </c>
    </row>
    <row r="423" spans="1:25">
      <c r="A423" s="319">
        <v>8</v>
      </c>
      <c r="B423" s="320" t="str">
        <f>VLOOKUP(Tabel10[[#This Row],[Code]],Ruimtegroepen[[Code]:[Ruimte omschrijving]],2,FALSE)</f>
        <v>Kinderopvang</v>
      </c>
      <c r="C423" s="321" t="s">
        <v>632</v>
      </c>
      <c r="D423" s="320" t="s">
        <v>12</v>
      </c>
      <c r="E423" s="321" t="s">
        <v>1306</v>
      </c>
      <c r="F423" s="321" t="s">
        <v>1427</v>
      </c>
      <c r="G423" s="326" t="s">
        <v>282</v>
      </c>
      <c r="H423" s="322" t="s">
        <v>282</v>
      </c>
      <c r="I423" s="322" t="s">
        <v>17</v>
      </c>
      <c r="J423" s="322" t="s">
        <v>15</v>
      </c>
      <c r="K423" s="322" t="s">
        <v>283</v>
      </c>
      <c r="L423" s="322" t="s">
        <v>282</v>
      </c>
      <c r="M423" s="322" t="s">
        <v>282</v>
      </c>
      <c r="N423" s="322" t="s">
        <v>282</v>
      </c>
      <c r="O423" s="323" t="s">
        <v>18</v>
      </c>
      <c r="P423" s="323" t="s">
        <v>18</v>
      </c>
      <c r="Q423" s="323" t="s">
        <v>15</v>
      </c>
      <c r="R423" s="323" t="s">
        <v>15</v>
      </c>
      <c r="S423" s="323" t="s">
        <v>16</v>
      </c>
      <c r="T423" s="323" t="s">
        <v>329</v>
      </c>
      <c r="U423" s="323" t="s">
        <v>249</v>
      </c>
      <c r="V423" s="323" t="s">
        <v>282</v>
      </c>
      <c r="W423" s="324" t="s">
        <v>282</v>
      </c>
      <c r="X423" s="324" t="s">
        <v>282</v>
      </c>
      <c r="Y423" s="325" t="s">
        <v>282</v>
      </c>
    </row>
    <row r="424" spans="1:25">
      <c r="A424" s="319">
        <v>8</v>
      </c>
      <c r="B424" s="320" t="str">
        <f>VLOOKUP(Tabel10[[#This Row],[Code]],Ruimtegroepen[[Code]:[Ruimte omschrijving]],2,FALSE)</f>
        <v>Kinderopvang</v>
      </c>
      <c r="C424" s="321" t="s">
        <v>637</v>
      </c>
      <c r="D424" s="320" t="s">
        <v>14</v>
      </c>
      <c r="E424" s="321" t="s">
        <v>100</v>
      </c>
      <c r="F424" s="321" t="s">
        <v>638</v>
      </c>
      <c r="G424" s="326" t="s">
        <v>282</v>
      </c>
      <c r="H424" s="322" t="s">
        <v>282</v>
      </c>
      <c r="I424" s="322" t="s">
        <v>15</v>
      </c>
      <c r="J424" s="322" t="s">
        <v>15</v>
      </c>
      <c r="K424" s="322" t="s">
        <v>282</v>
      </c>
      <c r="L424" s="322" t="s">
        <v>282</v>
      </c>
      <c r="M424" s="322" t="s">
        <v>282</v>
      </c>
      <c r="N424" s="322" t="s">
        <v>282</v>
      </c>
      <c r="O424" s="323" t="s">
        <v>17</v>
      </c>
      <c r="P424" s="323" t="s">
        <v>17</v>
      </c>
      <c r="Q424" s="323" t="s">
        <v>15</v>
      </c>
      <c r="R424" s="323" t="s">
        <v>15</v>
      </c>
      <c r="S424" s="323" t="s">
        <v>16</v>
      </c>
      <c r="T424" s="323" t="s">
        <v>329</v>
      </c>
      <c r="U424" s="323" t="s">
        <v>249</v>
      </c>
      <c r="V424" s="323" t="s">
        <v>282</v>
      </c>
      <c r="W424" s="324" t="s">
        <v>282</v>
      </c>
      <c r="X424" s="324" t="s">
        <v>282</v>
      </c>
      <c r="Y424" s="325" t="s">
        <v>282</v>
      </c>
    </row>
    <row r="425" spans="1:25">
      <c r="A425" s="319">
        <v>8</v>
      </c>
      <c r="B425" s="320" t="str">
        <f>VLOOKUP(Tabel10[[#This Row],[Code]],Ruimtegroepen[[Code]:[Ruimte omschrijving]],2,FALSE)</f>
        <v>Kinderopvang</v>
      </c>
      <c r="C425" s="321" t="s">
        <v>637</v>
      </c>
      <c r="D425" s="320" t="s">
        <v>14</v>
      </c>
      <c r="E425" s="321" t="s">
        <v>99</v>
      </c>
      <c r="F425" s="321" t="s">
        <v>639</v>
      </c>
      <c r="G425" s="326" t="s">
        <v>282</v>
      </c>
      <c r="H425" s="322" t="s">
        <v>17</v>
      </c>
      <c r="I425" s="322" t="s">
        <v>282</v>
      </c>
      <c r="J425" s="322" t="s">
        <v>282</v>
      </c>
      <c r="K425" s="322" t="s">
        <v>282</v>
      </c>
      <c r="L425" s="322" t="s">
        <v>282</v>
      </c>
      <c r="M425" s="322" t="s">
        <v>282</v>
      </c>
      <c r="N425" s="322" t="s">
        <v>282</v>
      </c>
      <c r="O425" s="323" t="s">
        <v>17</v>
      </c>
      <c r="P425" s="323" t="s">
        <v>17</v>
      </c>
      <c r="Q425" s="323" t="s">
        <v>15</v>
      </c>
      <c r="R425" s="323" t="s">
        <v>15</v>
      </c>
      <c r="S425" s="323" t="s">
        <v>16</v>
      </c>
      <c r="T425" s="323" t="s">
        <v>329</v>
      </c>
      <c r="U425" s="323" t="s">
        <v>249</v>
      </c>
      <c r="V425" s="323" t="s">
        <v>282</v>
      </c>
      <c r="W425" s="324" t="s">
        <v>282</v>
      </c>
      <c r="X425" s="324" t="s">
        <v>282</v>
      </c>
      <c r="Y425" s="325" t="s">
        <v>282</v>
      </c>
    </row>
    <row r="426" spans="1:25">
      <c r="A426" s="319">
        <v>8</v>
      </c>
      <c r="B426" s="320" t="str">
        <f>VLOOKUP(Tabel10[[#This Row],[Code]],Ruimtegroepen[[Code]:[Ruimte omschrijving]],2,FALSE)</f>
        <v>Kinderopvang</v>
      </c>
      <c r="C426" s="321" t="s">
        <v>637</v>
      </c>
      <c r="D426" s="320" t="s">
        <v>14</v>
      </c>
      <c r="E426" s="321" t="s">
        <v>101</v>
      </c>
      <c r="F426" s="321" t="s">
        <v>640</v>
      </c>
      <c r="G426" s="326" t="s">
        <v>282</v>
      </c>
      <c r="H426" s="322" t="s">
        <v>282</v>
      </c>
      <c r="I426" s="322" t="s">
        <v>15</v>
      </c>
      <c r="J426" s="322" t="s">
        <v>15</v>
      </c>
      <c r="K426" s="322" t="s">
        <v>283</v>
      </c>
      <c r="L426" s="322" t="s">
        <v>282</v>
      </c>
      <c r="M426" s="322" t="s">
        <v>282</v>
      </c>
      <c r="N426" s="322" t="s">
        <v>282</v>
      </c>
      <c r="O426" s="323" t="s">
        <v>17</v>
      </c>
      <c r="P426" s="323" t="s">
        <v>17</v>
      </c>
      <c r="Q426" s="323" t="s">
        <v>15</v>
      </c>
      <c r="R426" s="323" t="s">
        <v>15</v>
      </c>
      <c r="S426" s="323" t="s">
        <v>16</v>
      </c>
      <c r="T426" s="323" t="s">
        <v>329</v>
      </c>
      <c r="U426" s="323" t="s">
        <v>249</v>
      </c>
      <c r="V426" s="323" t="s">
        <v>282</v>
      </c>
      <c r="W426" s="324" t="s">
        <v>282</v>
      </c>
      <c r="X426" s="324" t="s">
        <v>282</v>
      </c>
      <c r="Y426" s="325" t="s">
        <v>282</v>
      </c>
    </row>
    <row r="427" spans="1:25">
      <c r="A427" s="319">
        <v>8</v>
      </c>
      <c r="B427" s="320" t="str">
        <f>VLOOKUP(Tabel10[[#This Row],[Code]],Ruimtegroepen[[Code]:[Ruimte omschrijving]],2,FALSE)</f>
        <v>Kinderopvang</v>
      </c>
      <c r="C427" s="321" t="s">
        <v>637</v>
      </c>
      <c r="D427" s="320" t="s">
        <v>14</v>
      </c>
      <c r="E427" s="321" t="s">
        <v>102</v>
      </c>
      <c r="F427" s="321" t="s">
        <v>641</v>
      </c>
      <c r="G427" s="326" t="s">
        <v>282</v>
      </c>
      <c r="H427" s="322" t="s">
        <v>282</v>
      </c>
      <c r="I427" s="322" t="s">
        <v>15</v>
      </c>
      <c r="J427" s="322" t="s">
        <v>15</v>
      </c>
      <c r="K427" s="322" t="s">
        <v>283</v>
      </c>
      <c r="L427" s="322" t="s">
        <v>282</v>
      </c>
      <c r="M427" s="322" t="s">
        <v>282</v>
      </c>
      <c r="N427" s="322" t="s">
        <v>282</v>
      </c>
      <c r="O427" s="323" t="s">
        <v>17</v>
      </c>
      <c r="P427" s="323" t="s">
        <v>17</v>
      </c>
      <c r="Q427" s="323" t="s">
        <v>15</v>
      </c>
      <c r="R427" s="323" t="s">
        <v>15</v>
      </c>
      <c r="S427" s="323" t="s">
        <v>16</v>
      </c>
      <c r="T427" s="323" t="s">
        <v>329</v>
      </c>
      <c r="U427" s="323" t="s">
        <v>249</v>
      </c>
      <c r="V427" s="323" t="s">
        <v>282</v>
      </c>
      <c r="W427" s="324" t="s">
        <v>282</v>
      </c>
      <c r="X427" s="324" t="s">
        <v>282</v>
      </c>
      <c r="Y427" s="325" t="s">
        <v>282</v>
      </c>
    </row>
    <row r="428" spans="1:25">
      <c r="A428" s="319">
        <v>8</v>
      </c>
      <c r="B428" s="320" t="str">
        <f>VLOOKUP(Tabel10[[#This Row],[Code]],Ruimtegroepen[[Code]:[Ruimte omschrijving]],2,FALSE)</f>
        <v>Kinderopvang</v>
      </c>
      <c r="C428" s="321" t="s">
        <v>637</v>
      </c>
      <c r="D428" s="320" t="s">
        <v>14</v>
      </c>
      <c r="E428" s="321" t="s">
        <v>99</v>
      </c>
      <c r="F428" s="321" t="s">
        <v>639</v>
      </c>
      <c r="G428" s="326" t="s">
        <v>282</v>
      </c>
      <c r="H428" s="322" t="s">
        <v>17</v>
      </c>
      <c r="I428" s="322" t="s">
        <v>282</v>
      </c>
      <c r="J428" s="322" t="s">
        <v>282</v>
      </c>
      <c r="K428" s="322" t="s">
        <v>282</v>
      </c>
      <c r="L428" s="322" t="s">
        <v>282</v>
      </c>
      <c r="M428" s="322" t="s">
        <v>282</v>
      </c>
      <c r="N428" s="322" t="s">
        <v>282</v>
      </c>
      <c r="O428" s="323" t="s">
        <v>17</v>
      </c>
      <c r="P428" s="323" t="s">
        <v>17</v>
      </c>
      <c r="Q428" s="323" t="s">
        <v>15</v>
      </c>
      <c r="R428" s="323" t="s">
        <v>15</v>
      </c>
      <c r="S428" s="323" t="s">
        <v>16</v>
      </c>
      <c r="T428" s="323" t="s">
        <v>329</v>
      </c>
      <c r="U428" s="323" t="s">
        <v>249</v>
      </c>
      <c r="V428" s="323" t="s">
        <v>282</v>
      </c>
      <c r="W428" s="324" t="s">
        <v>282</v>
      </c>
      <c r="X428" s="324" t="s">
        <v>282</v>
      </c>
      <c r="Y428" s="325" t="s">
        <v>282</v>
      </c>
    </row>
    <row r="429" spans="1:25">
      <c r="A429" s="319">
        <v>8</v>
      </c>
      <c r="B429" s="320" t="str">
        <f>VLOOKUP(Tabel10[[#This Row],[Code]],Ruimtegroepen[[Code]:[Ruimte omschrijving]],2,FALSE)</f>
        <v>Kinderopvang</v>
      </c>
      <c r="C429" s="321" t="s">
        <v>637</v>
      </c>
      <c r="D429" s="320" t="s">
        <v>14</v>
      </c>
      <c r="E429" s="321" t="s">
        <v>1306</v>
      </c>
      <c r="F429" s="321" t="s">
        <v>1394</v>
      </c>
      <c r="G429" s="326" t="s">
        <v>282</v>
      </c>
      <c r="H429" s="322" t="s">
        <v>282</v>
      </c>
      <c r="I429" s="322" t="s">
        <v>15</v>
      </c>
      <c r="J429" s="322" t="s">
        <v>15</v>
      </c>
      <c r="K429" s="322" t="s">
        <v>283</v>
      </c>
      <c r="L429" s="322" t="s">
        <v>282</v>
      </c>
      <c r="M429" s="322" t="s">
        <v>282</v>
      </c>
      <c r="N429" s="322" t="s">
        <v>282</v>
      </c>
      <c r="O429" s="323" t="s">
        <v>17</v>
      </c>
      <c r="P429" s="323" t="s">
        <v>17</v>
      </c>
      <c r="Q429" s="323" t="s">
        <v>15</v>
      </c>
      <c r="R429" s="323" t="s">
        <v>15</v>
      </c>
      <c r="S429" s="323" t="s">
        <v>16</v>
      </c>
      <c r="T429" s="323" t="s">
        <v>329</v>
      </c>
      <c r="U429" s="323" t="s">
        <v>249</v>
      </c>
      <c r="V429" s="323" t="s">
        <v>282</v>
      </c>
      <c r="W429" s="324" t="s">
        <v>282</v>
      </c>
      <c r="X429" s="324" t="s">
        <v>282</v>
      </c>
      <c r="Y429" s="325" t="s">
        <v>282</v>
      </c>
    </row>
    <row r="430" spans="1:25">
      <c r="A430" s="319">
        <v>8</v>
      </c>
      <c r="B430" s="320" t="str">
        <f>VLOOKUP(Tabel10[[#This Row],[Code]],Ruimtegroepen[[Code]:[Ruimte omschrijving]],2,FALSE)</f>
        <v>Kinderopvang</v>
      </c>
      <c r="C430" s="321" t="s">
        <v>642</v>
      </c>
      <c r="D430" s="320" t="s">
        <v>13</v>
      </c>
      <c r="E430" s="321" t="s">
        <v>100</v>
      </c>
      <c r="F430" s="321" t="s">
        <v>643</v>
      </c>
      <c r="G430" s="326" t="s">
        <v>282</v>
      </c>
      <c r="H430" s="322" t="s">
        <v>282</v>
      </c>
      <c r="I430" s="322" t="s">
        <v>282</v>
      </c>
      <c r="J430" s="322" t="s">
        <v>15</v>
      </c>
      <c r="K430" s="322" t="s">
        <v>282</v>
      </c>
      <c r="L430" s="322" t="s">
        <v>282</v>
      </c>
      <c r="M430" s="322" t="s">
        <v>282</v>
      </c>
      <c r="N430" s="322" t="s">
        <v>282</v>
      </c>
      <c r="O430" s="323" t="s">
        <v>15</v>
      </c>
      <c r="P430" s="323" t="s">
        <v>15</v>
      </c>
      <c r="Q430" s="323" t="s">
        <v>15</v>
      </c>
      <c r="R430" s="323" t="s">
        <v>15</v>
      </c>
      <c r="S430" s="323" t="s">
        <v>16</v>
      </c>
      <c r="T430" s="323" t="s">
        <v>329</v>
      </c>
      <c r="U430" s="323" t="s">
        <v>249</v>
      </c>
      <c r="V430" s="323" t="s">
        <v>282</v>
      </c>
      <c r="W430" s="324" t="s">
        <v>282</v>
      </c>
      <c r="X430" s="324" t="s">
        <v>282</v>
      </c>
      <c r="Y430" s="325" t="s">
        <v>282</v>
      </c>
    </row>
    <row r="431" spans="1:25">
      <c r="A431" s="319">
        <v>8</v>
      </c>
      <c r="B431" s="320" t="str">
        <f>VLOOKUP(Tabel10[[#This Row],[Code]],Ruimtegroepen[[Code]:[Ruimte omschrijving]],2,FALSE)</f>
        <v>Kinderopvang</v>
      </c>
      <c r="C431" s="321" t="s">
        <v>642</v>
      </c>
      <c r="D431" s="320" t="s">
        <v>13</v>
      </c>
      <c r="E431" s="321" t="s">
        <v>99</v>
      </c>
      <c r="F431" s="321" t="s">
        <v>644</v>
      </c>
      <c r="G431" s="326" t="s">
        <v>282</v>
      </c>
      <c r="H431" s="322" t="s">
        <v>15</v>
      </c>
      <c r="I431" s="322" t="s">
        <v>282</v>
      </c>
      <c r="J431" s="322" t="s">
        <v>282</v>
      </c>
      <c r="K431" s="322" t="s">
        <v>282</v>
      </c>
      <c r="L431" s="322" t="s">
        <v>282</v>
      </c>
      <c r="M431" s="322" t="s">
        <v>282</v>
      </c>
      <c r="N431" s="322" t="s">
        <v>282</v>
      </c>
      <c r="O431" s="323" t="s">
        <v>15</v>
      </c>
      <c r="P431" s="323" t="s">
        <v>15</v>
      </c>
      <c r="Q431" s="323" t="s">
        <v>15</v>
      </c>
      <c r="R431" s="323" t="s">
        <v>15</v>
      </c>
      <c r="S431" s="323" t="s">
        <v>16</v>
      </c>
      <c r="T431" s="323" t="s">
        <v>329</v>
      </c>
      <c r="U431" s="323" t="s">
        <v>249</v>
      </c>
      <c r="V431" s="323" t="s">
        <v>282</v>
      </c>
      <c r="W431" s="324" t="s">
        <v>282</v>
      </c>
      <c r="X431" s="324" t="s">
        <v>282</v>
      </c>
      <c r="Y431" s="325" t="s">
        <v>282</v>
      </c>
    </row>
    <row r="432" spans="1:25">
      <c r="A432" s="319">
        <v>8</v>
      </c>
      <c r="B432" s="320" t="str">
        <f>VLOOKUP(Tabel10[[#This Row],[Code]],Ruimtegroepen[[Code]:[Ruimte omschrijving]],2,FALSE)</f>
        <v>Kinderopvang</v>
      </c>
      <c r="C432" s="321" t="s">
        <v>642</v>
      </c>
      <c r="D432" s="320" t="s">
        <v>13</v>
      </c>
      <c r="E432" s="321" t="s">
        <v>101</v>
      </c>
      <c r="F432" s="321" t="s">
        <v>645</v>
      </c>
      <c r="G432" s="326" t="s">
        <v>282</v>
      </c>
      <c r="H432" s="322" t="s">
        <v>282</v>
      </c>
      <c r="I432" s="322" t="s">
        <v>282</v>
      </c>
      <c r="J432" s="322" t="s">
        <v>15</v>
      </c>
      <c r="K432" s="322" t="s">
        <v>283</v>
      </c>
      <c r="L432" s="322" t="s">
        <v>282</v>
      </c>
      <c r="M432" s="322" t="s">
        <v>282</v>
      </c>
      <c r="N432" s="322" t="s">
        <v>282</v>
      </c>
      <c r="O432" s="323" t="s">
        <v>15</v>
      </c>
      <c r="P432" s="323" t="s">
        <v>15</v>
      </c>
      <c r="Q432" s="323" t="s">
        <v>15</v>
      </c>
      <c r="R432" s="323" t="s">
        <v>15</v>
      </c>
      <c r="S432" s="323" t="s">
        <v>16</v>
      </c>
      <c r="T432" s="323" t="s">
        <v>329</v>
      </c>
      <c r="U432" s="323" t="s">
        <v>249</v>
      </c>
      <c r="V432" s="323" t="s">
        <v>282</v>
      </c>
      <c r="W432" s="324" t="s">
        <v>282</v>
      </c>
      <c r="X432" s="324" t="s">
        <v>282</v>
      </c>
      <c r="Y432" s="325" t="s">
        <v>282</v>
      </c>
    </row>
    <row r="433" spans="1:25">
      <c r="A433" s="319">
        <v>8</v>
      </c>
      <c r="B433" s="320" t="str">
        <f>VLOOKUP(Tabel10[[#This Row],[Code]],Ruimtegroepen[[Code]:[Ruimte omschrijving]],2,FALSE)</f>
        <v>Kinderopvang</v>
      </c>
      <c r="C433" s="321" t="s">
        <v>642</v>
      </c>
      <c r="D433" s="320" t="s">
        <v>13</v>
      </c>
      <c r="E433" s="321" t="s">
        <v>102</v>
      </c>
      <c r="F433" s="321" t="s">
        <v>646</v>
      </c>
      <c r="G433" s="326" t="s">
        <v>282</v>
      </c>
      <c r="H433" s="322" t="s">
        <v>282</v>
      </c>
      <c r="I433" s="322" t="s">
        <v>282</v>
      </c>
      <c r="J433" s="322" t="s">
        <v>15</v>
      </c>
      <c r="K433" s="322" t="s">
        <v>283</v>
      </c>
      <c r="L433" s="322" t="s">
        <v>282</v>
      </c>
      <c r="M433" s="322" t="s">
        <v>282</v>
      </c>
      <c r="N433" s="322" t="s">
        <v>282</v>
      </c>
      <c r="O433" s="323" t="s">
        <v>15</v>
      </c>
      <c r="P433" s="323" t="s">
        <v>15</v>
      </c>
      <c r="Q433" s="323" t="s">
        <v>15</v>
      </c>
      <c r="R433" s="323" t="s">
        <v>15</v>
      </c>
      <c r="S433" s="323" t="s">
        <v>16</v>
      </c>
      <c r="T433" s="323" t="s">
        <v>329</v>
      </c>
      <c r="U433" s="323" t="s">
        <v>249</v>
      </c>
      <c r="V433" s="323" t="s">
        <v>282</v>
      </c>
      <c r="W433" s="324" t="s">
        <v>282</v>
      </c>
      <c r="X433" s="324" t="s">
        <v>282</v>
      </c>
      <c r="Y433" s="325" t="s">
        <v>282</v>
      </c>
    </row>
    <row r="434" spans="1:25">
      <c r="A434" s="319">
        <v>8</v>
      </c>
      <c r="B434" s="320" t="str">
        <f>VLOOKUP(Tabel10[[#This Row],[Code]],Ruimtegroepen[[Code]:[Ruimte omschrijving]],2,FALSE)</f>
        <v>Kinderopvang</v>
      </c>
      <c r="C434" s="321" t="s">
        <v>642</v>
      </c>
      <c r="D434" s="320" t="s">
        <v>13</v>
      </c>
      <c r="E434" s="321" t="s">
        <v>99</v>
      </c>
      <c r="F434" s="321" t="s">
        <v>644</v>
      </c>
      <c r="G434" s="326" t="s">
        <v>282</v>
      </c>
      <c r="H434" s="322" t="s">
        <v>15</v>
      </c>
      <c r="I434" s="322" t="s">
        <v>282</v>
      </c>
      <c r="J434" s="322" t="s">
        <v>282</v>
      </c>
      <c r="K434" s="322" t="s">
        <v>282</v>
      </c>
      <c r="L434" s="322" t="s">
        <v>282</v>
      </c>
      <c r="M434" s="322" t="s">
        <v>282</v>
      </c>
      <c r="N434" s="322" t="s">
        <v>282</v>
      </c>
      <c r="O434" s="323" t="s">
        <v>15</v>
      </c>
      <c r="P434" s="323" t="s">
        <v>15</v>
      </c>
      <c r="Q434" s="323" t="s">
        <v>15</v>
      </c>
      <c r="R434" s="323" t="s">
        <v>15</v>
      </c>
      <c r="S434" s="323" t="s">
        <v>16</v>
      </c>
      <c r="T434" s="323" t="s">
        <v>329</v>
      </c>
      <c r="U434" s="323" t="s">
        <v>249</v>
      </c>
      <c r="V434" s="323" t="s">
        <v>282</v>
      </c>
      <c r="W434" s="324" t="s">
        <v>282</v>
      </c>
      <c r="X434" s="324" t="s">
        <v>282</v>
      </c>
      <c r="Y434" s="325" t="s">
        <v>282</v>
      </c>
    </row>
    <row r="435" spans="1:25">
      <c r="A435" s="319">
        <v>8</v>
      </c>
      <c r="B435" s="320" t="str">
        <f>VLOOKUP(Tabel10[[#This Row],[Code]],Ruimtegroepen[[Code]:[Ruimte omschrijving]],2,FALSE)</f>
        <v>Kinderopvang</v>
      </c>
      <c r="C435" s="321" t="s">
        <v>642</v>
      </c>
      <c r="D435" s="320" t="s">
        <v>13</v>
      </c>
      <c r="E435" s="321" t="s">
        <v>1306</v>
      </c>
      <c r="F435" s="321" t="s">
        <v>1361</v>
      </c>
      <c r="G435" s="326" t="s">
        <v>282</v>
      </c>
      <c r="H435" s="322" t="s">
        <v>282</v>
      </c>
      <c r="I435" s="322" t="s">
        <v>282</v>
      </c>
      <c r="J435" s="322" t="s">
        <v>15</v>
      </c>
      <c r="K435" s="322" t="s">
        <v>283</v>
      </c>
      <c r="L435" s="322" t="s">
        <v>282</v>
      </c>
      <c r="M435" s="322" t="s">
        <v>282</v>
      </c>
      <c r="N435" s="322" t="s">
        <v>282</v>
      </c>
      <c r="O435" s="323" t="s">
        <v>15</v>
      </c>
      <c r="P435" s="323" t="s">
        <v>15</v>
      </c>
      <c r="Q435" s="323" t="s">
        <v>15</v>
      </c>
      <c r="R435" s="323" t="s">
        <v>15</v>
      </c>
      <c r="S435" s="323" t="s">
        <v>16</v>
      </c>
      <c r="T435" s="323" t="s">
        <v>329</v>
      </c>
      <c r="U435" s="323" t="s">
        <v>249</v>
      </c>
      <c r="V435" s="323" t="s">
        <v>282</v>
      </c>
      <c r="W435" s="324" t="s">
        <v>282</v>
      </c>
      <c r="X435" s="324" t="s">
        <v>282</v>
      </c>
      <c r="Y435" s="325" t="s">
        <v>282</v>
      </c>
    </row>
    <row r="436" spans="1:25">
      <c r="A436" s="319">
        <v>8</v>
      </c>
      <c r="B436" s="320" t="str">
        <f>VLOOKUP(Tabel10[[#This Row],[Code]],Ruimtegroepen[[Code]:[Ruimte omschrijving]],2,FALSE)</f>
        <v>Kinderopvang</v>
      </c>
      <c r="C436" s="321" t="s">
        <v>647</v>
      </c>
      <c r="D436" s="320" t="s">
        <v>0</v>
      </c>
      <c r="E436" s="321" t="s">
        <v>100</v>
      </c>
      <c r="F436" s="321" t="s">
        <v>648</v>
      </c>
      <c r="G436" s="326" t="s">
        <v>282</v>
      </c>
      <c r="H436" s="322" t="s">
        <v>282</v>
      </c>
      <c r="I436" s="322" t="s">
        <v>282</v>
      </c>
      <c r="J436" s="322" t="s">
        <v>16</v>
      </c>
      <c r="K436" s="322" t="s">
        <v>282</v>
      </c>
      <c r="L436" s="322" t="s">
        <v>282</v>
      </c>
      <c r="M436" s="322" t="s">
        <v>282</v>
      </c>
      <c r="N436" s="322" t="s">
        <v>282</v>
      </c>
      <c r="O436" s="323" t="s">
        <v>16</v>
      </c>
      <c r="P436" s="323" t="s">
        <v>16</v>
      </c>
      <c r="Q436" s="323" t="s">
        <v>16</v>
      </c>
      <c r="R436" s="323" t="s">
        <v>16</v>
      </c>
      <c r="S436" s="323" t="s">
        <v>16</v>
      </c>
      <c r="T436" s="323" t="s">
        <v>329</v>
      </c>
      <c r="U436" s="323" t="s">
        <v>249</v>
      </c>
      <c r="V436" s="323" t="s">
        <v>282</v>
      </c>
      <c r="W436" s="324" t="s">
        <v>282</v>
      </c>
      <c r="X436" s="324" t="s">
        <v>282</v>
      </c>
      <c r="Y436" s="325" t="s">
        <v>282</v>
      </c>
    </row>
    <row r="437" spans="1:25">
      <c r="A437" s="319">
        <v>8</v>
      </c>
      <c r="B437" s="320" t="str">
        <f>VLOOKUP(Tabel10[[#This Row],[Code]],Ruimtegroepen[[Code]:[Ruimte omschrijving]],2,FALSE)</f>
        <v>Kinderopvang</v>
      </c>
      <c r="C437" s="321" t="s">
        <v>647</v>
      </c>
      <c r="D437" s="320" t="s">
        <v>0</v>
      </c>
      <c r="E437" s="321" t="s">
        <v>99</v>
      </c>
      <c r="F437" s="321" t="s">
        <v>649</v>
      </c>
      <c r="G437" s="326" t="s">
        <v>282</v>
      </c>
      <c r="H437" s="322" t="s">
        <v>16</v>
      </c>
      <c r="I437" s="322" t="s">
        <v>282</v>
      </c>
      <c r="J437" s="322" t="s">
        <v>282</v>
      </c>
      <c r="K437" s="322" t="s">
        <v>282</v>
      </c>
      <c r="L437" s="322" t="s">
        <v>282</v>
      </c>
      <c r="M437" s="322" t="s">
        <v>282</v>
      </c>
      <c r="N437" s="322" t="s">
        <v>282</v>
      </c>
      <c r="O437" s="323" t="s">
        <v>16</v>
      </c>
      <c r="P437" s="323" t="s">
        <v>16</v>
      </c>
      <c r="Q437" s="323" t="s">
        <v>16</v>
      </c>
      <c r="R437" s="323" t="s">
        <v>16</v>
      </c>
      <c r="S437" s="323" t="s">
        <v>16</v>
      </c>
      <c r="T437" s="323" t="s">
        <v>329</v>
      </c>
      <c r="U437" s="323" t="s">
        <v>249</v>
      </c>
      <c r="V437" s="323" t="s">
        <v>282</v>
      </c>
      <c r="W437" s="324" t="s">
        <v>282</v>
      </c>
      <c r="X437" s="324" t="s">
        <v>282</v>
      </c>
      <c r="Y437" s="325" t="s">
        <v>282</v>
      </c>
    </row>
    <row r="438" spans="1:25">
      <c r="A438" s="319">
        <v>8</v>
      </c>
      <c r="B438" s="320" t="str">
        <f>VLOOKUP(Tabel10[[#This Row],[Code]],Ruimtegroepen[[Code]:[Ruimte omschrijving]],2,FALSE)</f>
        <v>Kinderopvang</v>
      </c>
      <c r="C438" s="321" t="s">
        <v>647</v>
      </c>
      <c r="D438" s="320" t="s">
        <v>0</v>
      </c>
      <c r="E438" s="321" t="s">
        <v>101</v>
      </c>
      <c r="F438" s="321" t="s">
        <v>650</v>
      </c>
      <c r="G438" s="326" t="s">
        <v>282</v>
      </c>
      <c r="H438" s="322" t="s">
        <v>282</v>
      </c>
      <c r="I438" s="322" t="s">
        <v>282</v>
      </c>
      <c r="J438" s="322" t="s">
        <v>16</v>
      </c>
      <c r="K438" s="322" t="s">
        <v>283</v>
      </c>
      <c r="L438" s="322" t="s">
        <v>282</v>
      </c>
      <c r="M438" s="322" t="s">
        <v>282</v>
      </c>
      <c r="N438" s="322" t="s">
        <v>282</v>
      </c>
      <c r="O438" s="323" t="s">
        <v>16</v>
      </c>
      <c r="P438" s="323" t="s">
        <v>16</v>
      </c>
      <c r="Q438" s="323" t="s">
        <v>16</v>
      </c>
      <c r="R438" s="323" t="s">
        <v>16</v>
      </c>
      <c r="S438" s="323" t="s">
        <v>16</v>
      </c>
      <c r="T438" s="323" t="s">
        <v>329</v>
      </c>
      <c r="U438" s="323" t="s">
        <v>249</v>
      </c>
      <c r="V438" s="323" t="s">
        <v>282</v>
      </c>
      <c r="W438" s="324" t="s">
        <v>282</v>
      </c>
      <c r="X438" s="324" t="s">
        <v>282</v>
      </c>
      <c r="Y438" s="325" t="s">
        <v>282</v>
      </c>
    </row>
    <row r="439" spans="1:25">
      <c r="A439" s="319">
        <v>8</v>
      </c>
      <c r="B439" s="320" t="str">
        <f>VLOOKUP(Tabel10[[#This Row],[Code]],Ruimtegroepen[[Code]:[Ruimte omschrijving]],2,FALSE)</f>
        <v>Kinderopvang</v>
      </c>
      <c r="C439" s="321" t="s">
        <v>647</v>
      </c>
      <c r="D439" s="320" t="s">
        <v>0</v>
      </c>
      <c r="E439" s="321" t="s">
        <v>102</v>
      </c>
      <c r="F439" s="321" t="s">
        <v>651</v>
      </c>
      <c r="G439" s="326" t="s">
        <v>282</v>
      </c>
      <c r="H439" s="322" t="s">
        <v>282</v>
      </c>
      <c r="I439" s="322" t="s">
        <v>282</v>
      </c>
      <c r="J439" s="322" t="s">
        <v>16</v>
      </c>
      <c r="K439" s="322" t="s">
        <v>283</v>
      </c>
      <c r="L439" s="322" t="s">
        <v>282</v>
      </c>
      <c r="M439" s="322" t="s">
        <v>282</v>
      </c>
      <c r="N439" s="322" t="s">
        <v>282</v>
      </c>
      <c r="O439" s="323" t="s">
        <v>16</v>
      </c>
      <c r="P439" s="323" t="s">
        <v>16</v>
      </c>
      <c r="Q439" s="323" t="s">
        <v>16</v>
      </c>
      <c r="R439" s="323" t="s">
        <v>16</v>
      </c>
      <c r="S439" s="323" t="s">
        <v>16</v>
      </c>
      <c r="T439" s="323" t="s">
        <v>329</v>
      </c>
      <c r="U439" s="323" t="s">
        <v>249</v>
      </c>
      <c r="V439" s="323" t="s">
        <v>282</v>
      </c>
      <c r="W439" s="324" t="s">
        <v>282</v>
      </c>
      <c r="X439" s="324" t="s">
        <v>282</v>
      </c>
      <c r="Y439" s="325" t="s">
        <v>282</v>
      </c>
    </row>
    <row r="440" spans="1:25">
      <c r="A440" s="319">
        <v>8</v>
      </c>
      <c r="B440" s="320" t="str">
        <f>VLOOKUP(Tabel10[[#This Row],[Code]],Ruimtegroepen[[Code]:[Ruimte omschrijving]],2,FALSE)</f>
        <v>Kinderopvang</v>
      </c>
      <c r="C440" s="321" t="s">
        <v>647</v>
      </c>
      <c r="D440" s="320" t="s">
        <v>0</v>
      </c>
      <c r="E440" s="321" t="s">
        <v>99</v>
      </c>
      <c r="F440" s="321" t="s">
        <v>649</v>
      </c>
      <c r="G440" s="326" t="s">
        <v>282</v>
      </c>
      <c r="H440" s="322" t="s">
        <v>16</v>
      </c>
      <c r="I440" s="322" t="s">
        <v>282</v>
      </c>
      <c r="J440" s="322" t="s">
        <v>282</v>
      </c>
      <c r="K440" s="322" t="s">
        <v>282</v>
      </c>
      <c r="L440" s="322" t="s">
        <v>282</v>
      </c>
      <c r="M440" s="322" t="s">
        <v>282</v>
      </c>
      <c r="N440" s="322" t="s">
        <v>282</v>
      </c>
      <c r="O440" s="323" t="s">
        <v>16</v>
      </c>
      <c r="P440" s="323" t="s">
        <v>16</v>
      </c>
      <c r="Q440" s="323" t="s">
        <v>16</v>
      </c>
      <c r="R440" s="323" t="s">
        <v>16</v>
      </c>
      <c r="S440" s="323" t="s">
        <v>16</v>
      </c>
      <c r="T440" s="323" t="s">
        <v>329</v>
      </c>
      <c r="U440" s="323" t="s">
        <v>249</v>
      </c>
      <c r="V440" s="323" t="s">
        <v>282</v>
      </c>
      <c r="W440" s="324" t="s">
        <v>282</v>
      </c>
      <c r="X440" s="324" t="s">
        <v>282</v>
      </c>
      <c r="Y440" s="325" t="s">
        <v>282</v>
      </c>
    </row>
    <row r="441" spans="1:25">
      <c r="A441" s="319">
        <v>8</v>
      </c>
      <c r="B441" s="320" t="str">
        <f>VLOOKUP(Tabel10[[#This Row],[Code]],Ruimtegroepen[[Code]:[Ruimte omschrijving]],2,FALSE)</f>
        <v>Kinderopvang</v>
      </c>
      <c r="C441" s="321" t="s">
        <v>647</v>
      </c>
      <c r="D441" s="320" t="s">
        <v>0</v>
      </c>
      <c r="E441" s="321" t="s">
        <v>1306</v>
      </c>
      <c r="F441" s="321" t="s">
        <v>1345</v>
      </c>
      <c r="G441" s="326" t="s">
        <v>282</v>
      </c>
      <c r="H441" s="322" t="s">
        <v>282</v>
      </c>
      <c r="I441" s="322" t="s">
        <v>282</v>
      </c>
      <c r="J441" s="322" t="s">
        <v>16</v>
      </c>
      <c r="K441" s="322" t="s">
        <v>283</v>
      </c>
      <c r="L441" s="322" t="s">
        <v>282</v>
      </c>
      <c r="M441" s="322" t="s">
        <v>282</v>
      </c>
      <c r="N441" s="322" t="s">
        <v>282</v>
      </c>
      <c r="O441" s="323" t="s">
        <v>16</v>
      </c>
      <c r="P441" s="323" t="s">
        <v>16</v>
      </c>
      <c r="Q441" s="323" t="s">
        <v>16</v>
      </c>
      <c r="R441" s="323" t="s">
        <v>16</v>
      </c>
      <c r="S441" s="323" t="s">
        <v>16</v>
      </c>
      <c r="T441" s="323" t="s">
        <v>329</v>
      </c>
      <c r="U441" s="323" t="s">
        <v>249</v>
      </c>
      <c r="V441" s="323" t="s">
        <v>282</v>
      </c>
      <c r="W441" s="324" t="s">
        <v>282</v>
      </c>
      <c r="X441" s="324" t="s">
        <v>282</v>
      </c>
      <c r="Y441" s="325" t="s">
        <v>282</v>
      </c>
    </row>
    <row r="442" spans="1:25">
      <c r="A442" s="319">
        <v>8</v>
      </c>
      <c r="B442" s="320" t="str">
        <f>VLOOKUP(Tabel10[[#This Row],[Code]],Ruimtegroepen[[Code]:[Ruimte omschrijving]],2,FALSE)</f>
        <v>Kinderopvang</v>
      </c>
      <c r="C442" s="321" t="s">
        <v>652</v>
      </c>
      <c r="D442" s="320" t="s">
        <v>27</v>
      </c>
      <c r="E442" s="321" t="s">
        <v>100</v>
      </c>
      <c r="F442" s="321" t="s">
        <v>653</v>
      </c>
      <c r="G442" s="326" t="s">
        <v>282</v>
      </c>
      <c r="H442" s="322" t="s">
        <v>282</v>
      </c>
      <c r="I442" s="322" t="s">
        <v>15</v>
      </c>
      <c r="J442" s="322" t="s">
        <v>282</v>
      </c>
      <c r="K442" s="322" t="s">
        <v>282</v>
      </c>
      <c r="L442" s="322" t="s">
        <v>282</v>
      </c>
      <c r="M442" s="322" t="s">
        <v>282</v>
      </c>
      <c r="N442" s="322" t="s">
        <v>282</v>
      </c>
      <c r="O442" s="323" t="s">
        <v>15</v>
      </c>
      <c r="P442" s="323" t="s">
        <v>15</v>
      </c>
      <c r="Q442" s="323" t="s">
        <v>15</v>
      </c>
      <c r="R442" s="323" t="s">
        <v>282</v>
      </c>
      <c r="S442" s="323" t="s">
        <v>282</v>
      </c>
      <c r="T442" s="323" t="s">
        <v>282</v>
      </c>
      <c r="U442" s="323" t="s">
        <v>282</v>
      </c>
      <c r="V442" s="323" t="s">
        <v>282</v>
      </c>
      <c r="W442" s="324" t="s">
        <v>282</v>
      </c>
      <c r="X442" s="324" t="s">
        <v>282</v>
      </c>
      <c r="Y442" s="325" t="s">
        <v>282</v>
      </c>
    </row>
    <row r="443" spans="1:25">
      <c r="A443" s="319">
        <v>8</v>
      </c>
      <c r="B443" s="320" t="str">
        <f>VLOOKUP(Tabel10[[#This Row],[Code]],Ruimtegroepen[[Code]:[Ruimte omschrijving]],2,FALSE)</f>
        <v>Kinderopvang</v>
      </c>
      <c r="C443" s="321" t="s">
        <v>652</v>
      </c>
      <c r="D443" s="320" t="s">
        <v>27</v>
      </c>
      <c r="E443" s="321" t="s">
        <v>99</v>
      </c>
      <c r="F443" s="321" t="s">
        <v>654</v>
      </c>
      <c r="G443" s="326" t="s">
        <v>282</v>
      </c>
      <c r="H443" s="322" t="s">
        <v>15</v>
      </c>
      <c r="I443" s="322" t="s">
        <v>282</v>
      </c>
      <c r="J443" s="322" t="s">
        <v>282</v>
      </c>
      <c r="K443" s="322" t="s">
        <v>282</v>
      </c>
      <c r="L443" s="322" t="s">
        <v>282</v>
      </c>
      <c r="M443" s="322" t="s">
        <v>282</v>
      </c>
      <c r="N443" s="322" t="s">
        <v>282</v>
      </c>
      <c r="O443" s="323" t="s">
        <v>15</v>
      </c>
      <c r="P443" s="323" t="s">
        <v>15</v>
      </c>
      <c r="Q443" s="323" t="s">
        <v>15</v>
      </c>
      <c r="R443" s="323" t="s">
        <v>282</v>
      </c>
      <c r="S443" s="323" t="s">
        <v>282</v>
      </c>
      <c r="T443" s="323" t="s">
        <v>282</v>
      </c>
      <c r="U443" s="323" t="s">
        <v>282</v>
      </c>
      <c r="V443" s="323" t="s">
        <v>282</v>
      </c>
      <c r="W443" s="324" t="s">
        <v>282</v>
      </c>
      <c r="X443" s="324" t="s">
        <v>282</v>
      </c>
      <c r="Y443" s="325" t="s">
        <v>282</v>
      </c>
    </row>
    <row r="444" spans="1:25">
      <c r="A444" s="319">
        <v>8</v>
      </c>
      <c r="B444" s="320" t="str">
        <f>VLOOKUP(Tabel10[[#This Row],[Code]],Ruimtegroepen[[Code]:[Ruimte omschrijving]],2,FALSE)</f>
        <v>Kinderopvang</v>
      </c>
      <c r="C444" s="321" t="s">
        <v>652</v>
      </c>
      <c r="D444" s="320" t="s">
        <v>27</v>
      </c>
      <c r="E444" s="321" t="s">
        <v>101</v>
      </c>
      <c r="F444" s="321" t="s">
        <v>655</v>
      </c>
      <c r="G444" s="326" t="s">
        <v>282</v>
      </c>
      <c r="H444" s="322" t="s">
        <v>282</v>
      </c>
      <c r="I444" s="322" t="s">
        <v>15</v>
      </c>
      <c r="J444" s="322" t="s">
        <v>282</v>
      </c>
      <c r="K444" s="322" t="s">
        <v>282</v>
      </c>
      <c r="L444" s="322" t="s">
        <v>282</v>
      </c>
      <c r="M444" s="322" t="s">
        <v>282</v>
      </c>
      <c r="N444" s="322" t="s">
        <v>282</v>
      </c>
      <c r="O444" s="323" t="s">
        <v>15</v>
      </c>
      <c r="P444" s="323" t="s">
        <v>15</v>
      </c>
      <c r="Q444" s="323" t="s">
        <v>15</v>
      </c>
      <c r="R444" s="323" t="s">
        <v>282</v>
      </c>
      <c r="S444" s="323" t="s">
        <v>282</v>
      </c>
      <c r="T444" s="323" t="s">
        <v>282</v>
      </c>
      <c r="U444" s="323" t="s">
        <v>282</v>
      </c>
      <c r="V444" s="323" t="s">
        <v>282</v>
      </c>
      <c r="W444" s="324" t="s">
        <v>282</v>
      </c>
      <c r="X444" s="324" t="s">
        <v>282</v>
      </c>
      <c r="Y444" s="325" t="s">
        <v>282</v>
      </c>
    </row>
    <row r="445" spans="1:25">
      <c r="A445" s="319">
        <v>8</v>
      </c>
      <c r="B445" s="320" t="str">
        <f>VLOOKUP(Tabel10[[#This Row],[Code]],Ruimtegroepen[[Code]:[Ruimte omschrijving]],2,FALSE)</f>
        <v>Kinderopvang</v>
      </c>
      <c r="C445" s="321" t="s">
        <v>652</v>
      </c>
      <c r="D445" s="320" t="s">
        <v>27</v>
      </c>
      <c r="E445" s="321" t="s">
        <v>102</v>
      </c>
      <c r="F445" s="321" t="s">
        <v>656</v>
      </c>
      <c r="G445" s="326" t="s">
        <v>282</v>
      </c>
      <c r="H445" s="322" t="s">
        <v>282</v>
      </c>
      <c r="I445" s="322" t="s">
        <v>15</v>
      </c>
      <c r="J445" s="322" t="s">
        <v>282</v>
      </c>
      <c r="K445" s="322" t="s">
        <v>282</v>
      </c>
      <c r="L445" s="322" t="s">
        <v>282</v>
      </c>
      <c r="M445" s="322" t="s">
        <v>282</v>
      </c>
      <c r="N445" s="322" t="s">
        <v>282</v>
      </c>
      <c r="O445" s="323" t="s">
        <v>15</v>
      </c>
      <c r="P445" s="323" t="s">
        <v>15</v>
      </c>
      <c r="Q445" s="323" t="s">
        <v>15</v>
      </c>
      <c r="R445" s="323" t="s">
        <v>282</v>
      </c>
      <c r="S445" s="323" t="s">
        <v>282</v>
      </c>
      <c r="T445" s="323" t="s">
        <v>282</v>
      </c>
      <c r="U445" s="323" t="s">
        <v>282</v>
      </c>
      <c r="V445" s="323" t="s">
        <v>282</v>
      </c>
      <c r="W445" s="324" t="s">
        <v>282</v>
      </c>
      <c r="X445" s="324" t="s">
        <v>282</v>
      </c>
      <c r="Y445" s="325" t="s">
        <v>282</v>
      </c>
    </row>
    <row r="446" spans="1:25">
      <c r="A446" s="319">
        <v>8</v>
      </c>
      <c r="B446" s="320" t="str">
        <f>VLOOKUP(Tabel10[[#This Row],[Code]],Ruimtegroepen[[Code]:[Ruimte omschrijving]],2,FALSE)</f>
        <v>Kinderopvang</v>
      </c>
      <c r="C446" s="321" t="s">
        <v>652</v>
      </c>
      <c r="D446" s="320" t="s">
        <v>27</v>
      </c>
      <c r="E446" s="321" t="s">
        <v>99</v>
      </c>
      <c r="F446" s="321" t="s">
        <v>654</v>
      </c>
      <c r="G446" s="326" t="s">
        <v>282</v>
      </c>
      <c r="H446" s="322" t="s">
        <v>15</v>
      </c>
      <c r="I446" s="322" t="s">
        <v>282</v>
      </c>
      <c r="J446" s="322" t="s">
        <v>282</v>
      </c>
      <c r="K446" s="322" t="s">
        <v>282</v>
      </c>
      <c r="L446" s="322" t="s">
        <v>282</v>
      </c>
      <c r="M446" s="322" t="s">
        <v>282</v>
      </c>
      <c r="N446" s="322" t="s">
        <v>282</v>
      </c>
      <c r="O446" s="323" t="s">
        <v>15</v>
      </c>
      <c r="P446" s="323" t="s">
        <v>15</v>
      </c>
      <c r="Q446" s="323" t="s">
        <v>15</v>
      </c>
      <c r="R446" s="323" t="s">
        <v>282</v>
      </c>
      <c r="S446" s="323" t="s">
        <v>282</v>
      </c>
      <c r="T446" s="323" t="s">
        <v>282</v>
      </c>
      <c r="U446" s="323" t="s">
        <v>282</v>
      </c>
      <c r="V446" s="323" t="s">
        <v>282</v>
      </c>
      <c r="W446" s="324" t="s">
        <v>282</v>
      </c>
      <c r="X446" s="324" t="s">
        <v>282</v>
      </c>
      <c r="Y446" s="325" t="s">
        <v>282</v>
      </c>
    </row>
    <row r="447" spans="1:25">
      <c r="A447" s="319">
        <v>8</v>
      </c>
      <c r="B447" s="320" t="str">
        <f>VLOOKUP(Tabel10[[#This Row],[Code]],Ruimtegroepen[[Code]:[Ruimte omschrijving]],2,FALSE)</f>
        <v>Kinderopvang</v>
      </c>
      <c r="C447" s="321" t="s">
        <v>652</v>
      </c>
      <c r="D447" s="320" t="s">
        <v>27</v>
      </c>
      <c r="E447" s="321" t="s">
        <v>1306</v>
      </c>
      <c r="F447" s="321" t="s">
        <v>1378</v>
      </c>
      <c r="G447" s="326" t="s">
        <v>282</v>
      </c>
      <c r="H447" s="322" t="s">
        <v>282</v>
      </c>
      <c r="I447" s="322" t="s">
        <v>15</v>
      </c>
      <c r="J447" s="322" t="s">
        <v>282</v>
      </c>
      <c r="K447" s="322" t="s">
        <v>282</v>
      </c>
      <c r="L447" s="322" t="s">
        <v>282</v>
      </c>
      <c r="M447" s="322" t="s">
        <v>282</v>
      </c>
      <c r="N447" s="322" t="s">
        <v>282</v>
      </c>
      <c r="O447" s="323" t="s">
        <v>15</v>
      </c>
      <c r="P447" s="323" t="s">
        <v>15</v>
      </c>
      <c r="Q447" s="323" t="s">
        <v>15</v>
      </c>
      <c r="R447" s="323" t="s">
        <v>282</v>
      </c>
      <c r="S447" s="323" t="s">
        <v>282</v>
      </c>
      <c r="T447" s="323" t="s">
        <v>282</v>
      </c>
      <c r="U447" s="323" t="s">
        <v>282</v>
      </c>
      <c r="V447" s="323" t="s">
        <v>282</v>
      </c>
      <c r="W447" s="324" t="s">
        <v>282</v>
      </c>
      <c r="X447" s="324" t="s">
        <v>282</v>
      </c>
      <c r="Y447" s="325" t="s">
        <v>282</v>
      </c>
    </row>
    <row r="448" spans="1:25">
      <c r="A448" s="319">
        <v>8</v>
      </c>
      <c r="B448" s="320" t="str">
        <f>VLOOKUP(Tabel10[[#This Row],[Code]],Ruimtegroepen[[Code]:[Ruimte omschrijving]],2,FALSE)</f>
        <v>Kinderopvang</v>
      </c>
      <c r="C448" s="321" t="s">
        <v>657</v>
      </c>
      <c r="D448" s="320" t="s">
        <v>28</v>
      </c>
      <c r="E448" s="321" t="s">
        <v>100</v>
      </c>
      <c r="F448" s="321" t="s">
        <v>658</v>
      </c>
      <c r="G448" s="326" t="s">
        <v>282</v>
      </c>
      <c r="H448" s="322" t="s">
        <v>282</v>
      </c>
      <c r="I448" s="322" t="s">
        <v>17</v>
      </c>
      <c r="J448" s="322" t="s">
        <v>282</v>
      </c>
      <c r="K448" s="322" t="s">
        <v>282</v>
      </c>
      <c r="L448" s="322" t="s">
        <v>282</v>
      </c>
      <c r="M448" s="322" t="s">
        <v>282</v>
      </c>
      <c r="N448" s="322" t="s">
        <v>282</v>
      </c>
      <c r="O448" s="323" t="s">
        <v>17</v>
      </c>
      <c r="P448" s="323" t="s">
        <v>17</v>
      </c>
      <c r="Q448" s="323" t="s">
        <v>15</v>
      </c>
      <c r="R448" s="323" t="s">
        <v>282</v>
      </c>
      <c r="S448" s="323" t="s">
        <v>282</v>
      </c>
      <c r="T448" s="323" t="s">
        <v>282</v>
      </c>
      <c r="U448" s="323" t="s">
        <v>282</v>
      </c>
      <c r="V448" s="323" t="s">
        <v>282</v>
      </c>
      <c r="W448" s="324" t="s">
        <v>282</v>
      </c>
      <c r="X448" s="324" t="s">
        <v>282</v>
      </c>
      <c r="Y448" s="325" t="s">
        <v>282</v>
      </c>
    </row>
    <row r="449" spans="1:25">
      <c r="A449" s="319">
        <v>8</v>
      </c>
      <c r="B449" s="320" t="str">
        <f>VLOOKUP(Tabel10[[#This Row],[Code]],Ruimtegroepen[[Code]:[Ruimte omschrijving]],2,FALSE)</f>
        <v>Kinderopvang</v>
      </c>
      <c r="C449" s="321" t="s">
        <v>657</v>
      </c>
      <c r="D449" s="320" t="s">
        <v>28</v>
      </c>
      <c r="E449" s="321" t="s">
        <v>99</v>
      </c>
      <c r="F449" s="321" t="s">
        <v>659</v>
      </c>
      <c r="G449" s="326" t="s">
        <v>282</v>
      </c>
      <c r="H449" s="322" t="s">
        <v>17</v>
      </c>
      <c r="I449" s="322" t="s">
        <v>282</v>
      </c>
      <c r="J449" s="322" t="s">
        <v>282</v>
      </c>
      <c r="K449" s="322" t="s">
        <v>282</v>
      </c>
      <c r="L449" s="322" t="s">
        <v>282</v>
      </c>
      <c r="M449" s="322" t="s">
        <v>282</v>
      </c>
      <c r="N449" s="322" t="s">
        <v>282</v>
      </c>
      <c r="O449" s="323" t="s">
        <v>17</v>
      </c>
      <c r="P449" s="323" t="s">
        <v>17</v>
      </c>
      <c r="Q449" s="323" t="s">
        <v>15</v>
      </c>
      <c r="R449" s="323" t="s">
        <v>282</v>
      </c>
      <c r="S449" s="323" t="s">
        <v>282</v>
      </c>
      <c r="T449" s="323" t="s">
        <v>282</v>
      </c>
      <c r="U449" s="323" t="s">
        <v>282</v>
      </c>
      <c r="V449" s="323" t="s">
        <v>282</v>
      </c>
      <c r="W449" s="324" t="s">
        <v>282</v>
      </c>
      <c r="X449" s="324" t="s">
        <v>282</v>
      </c>
      <c r="Y449" s="325" t="s">
        <v>282</v>
      </c>
    </row>
    <row r="450" spans="1:25">
      <c r="A450" s="319">
        <v>8</v>
      </c>
      <c r="B450" s="320" t="str">
        <f>VLOOKUP(Tabel10[[#This Row],[Code]],Ruimtegroepen[[Code]:[Ruimte omschrijving]],2,FALSE)</f>
        <v>Kinderopvang</v>
      </c>
      <c r="C450" s="321" t="s">
        <v>657</v>
      </c>
      <c r="D450" s="320" t="s">
        <v>28</v>
      </c>
      <c r="E450" s="321" t="s">
        <v>101</v>
      </c>
      <c r="F450" s="321" t="s">
        <v>660</v>
      </c>
      <c r="G450" s="326" t="s">
        <v>282</v>
      </c>
      <c r="H450" s="322" t="s">
        <v>282</v>
      </c>
      <c r="I450" s="322" t="s">
        <v>17</v>
      </c>
      <c r="J450" s="322" t="s">
        <v>282</v>
      </c>
      <c r="K450" s="322" t="s">
        <v>282</v>
      </c>
      <c r="L450" s="322" t="s">
        <v>282</v>
      </c>
      <c r="M450" s="322" t="s">
        <v>282</v>
      </c>
      <c r="N450" s="322" t="s">
        <v>282</v>
      </c>
      <c r="O450" s="323" t="s">
        <v>17</v>
      </c>
      <c r="P450" s="323" t="s">
        <v>17</v>
      </c>
      <c r="Q450" s="323" t="s">
        <v>15</v>
      </c>
      <c r="R450" s="323" t="s">
        <v>282</v>
      </c>
      <c r="S450" s="323" t="s">
        <v>282</v>
      </c>
      <c r="T450" s="323" t="s">
        <v>282</v>
      </c>
      <c r="U450" s="323" t="s">
        <v>282</v>
      </c>
      <c r="V450" s="323" t="s">
        <v>282</v>
      </c>
      <c r="W450" s="324" t="s">
        <v>282</v>
      </c>
      <c r="X450" s="324" t="s">
        <v>282</v>
      </c>
      <c r="Y450" s="325" t="s">
        <v>282</v>
      </c>
    </row>
    <row r="451" spans="1:25">
      <c r="A451" s="319">
        <v>8</v>
      </c>
      <c r="B451" s="320" t="str">
        <f>VLOOKUP(Tabel10[[#This Row],[Code]],Ruimtegroepen[[Code]:[Ruimte omschrijving]],2,FALSE)</f>
        <v>Kinderopvang</v>
      </c>
      <c r="C451" s="321" t="s">
        <v>657</v>
      </c>
      <c r="D451" s="320" t="s">
        <v>28</v>
      </c>
      <c r="E451" s="321" t="s">
        <v>102</v>
      </c>
      <c r="F451" s="321" t="s">
        <v>661</v>
      </c>
      <c r="G451" s="326" t="s">
        <v>282</v>
      </c>
      <c r="H451" s="322" t="s">
        <v>282</v>
      </c>
      <c r="I451" s="322" t="s">
        <v>17</v>
      </c>
      <c r="J451" s="322" t="s">
        <v>282</v>
      </c>
      <c r="K451" s="322" t="s">
        <v>282</v>
      </c>
      <c r="L451" s="322" t="s">
        <v>282</v>
      </c>
      <c r="M451" s="322" t="s">
        <v>282</v>
      </c>
      <c r="N451" s="322" t="s">
        <v>282</v>
      </c>
      <c r="O451" s="323" t="s">
        <v>17</v>
      </c>
      <c r="P451" s="323" t="s">
        <v>17</v>
      </c>
      <c r="Q451" s="323" t="s">
        <v>15</v>
      </c>
      <c r="R451" s="323" t="s">
        <v>282</v>
      </c>
      <c r="S451" s="323" t="s">
        <v>282</v>
      </c>
      <c r="T451" s="323" t="s">
        <v>282</v>
      </c>
      <c r="U451" s="323" t="s">
        <v>282</v>
      </c>
      <c r="V451" s="323" t="s">
        <v>282</v>
      </c>
      <c r="W451" s="324" t="s">
        <v>282</v>
      </c>
      <c r="X451" s="324" t="s">
        <v>282</v>
      </c>
      <c r="Y451" s="325" t="s">
        <v>282</v>
      </c>
    </row>
    <row r="452" spans="1:25">
      <c r="A452" s="319">
        <v>8</v>
      </c>
      <c r="B452" s="320" t="str">
        <f>VLOOKUP(Tabel10[[#This Row],[Code]],Ruimtegroepen[[Code]:[Ruimte omschrijving]],2,FALSE)</f>
        <v>Kinderopvang</v>
      </c>
      <c r="C452" s="321" t="s">
        <v>657</v>
      </c>
      <c r="D452" s="320" t="s">
        <v>28</v>
      </c>
      <c r="E452" s="321" t="s">
        <v>99</v>
      </c>
      <c r="F452" s="321" t="s">
        <v>659</v>
      </c>
      <c r="G452" s="326" t="s">
        <v>282</v>
      </c>
      <c r="H452" s="322" t="s">
        <v>17</v>
      </c>
      <c r="I452" s="322" t="s">
        <v>282</v>
      </c>
      <c r="J452" s="322" t="s">
        <v>282</v>
      </c>
      <c r="K452" s="322" t="s">
        <v>282</v>
      </c>
      <c r="L452" s="322" t="s">
        <v>282</v>
      </c>
      <c r="M452" s="322" t="s">
        <v>282</v>
      </c>
      <c r="N452" s="322" t="s">
        <v>282</v>
      </c>
      <c r="O452" s="323" t="s">
        <v>17</v>
      </c>
      <c r="P452" s="323" t="s">
        <v>17</v>
      </c>
      <c r="Q452" s="323" t="s">
        <v>15</v>
      </c>
      <c r="R452" s="323" t="s">
        <v>282</v>
      </c>
      <c r="S452" s="323" t="s">
        <v>282</v>
      </c>
      <c r="T452" s="323" t="s">
        <v>282</v>
      </c>
      <c r="U452" s="323" t="s">
        <v>282</v>
      </c>
      <c r="V452" s="323" t="s">
        <v>282</v>
      </c>
      <c r="W452" s="324" t="s">
        <v>282</v>
      </c>
      <c r="X452" s="324" t="s">
        <v>282</v>
      </c>
      <c r="Y452" s="325" t="s">
        <v>282</v>
      </c>
    </row>
    <row r="453" spans="1:25">
      <c r="A453" s="319">
        <v>8</v>
      </c>
      <c r="B453" s="320" t="str">
        <f>VLOOKUP(Tabel10[[#This Row],[Code]],Ruimtegroepen[[Code]:[Ruimte omschrijving]],2,FALSE)</f>
        <v>Kinderopvang</v>
      </c>
      <c r="C453" s="321" t="s">
        <v>657</v>
      </c>
      <c r="D453" s="320" t="s">
        <v>28</v>
      </c>
      <c r="E453" s="321" t="s">
        <v>1306</v>
      </c>
      <c r="F453" s="321" t="s">
        <v>1411</v>
      </c>
      <c r="G453" s="326" t="s">
        <v>282</v>
      </c>
      <c r="H453" s="322" t="s">
        <v>282</v>
      </c>
      <c r="I453" s="322" t="s">
        <v>17</v>
      </c>
      <c r="J453" s="322" t="s">
        <v>282</v>
      </c>
      <c r="K453" s="322" t="s">
        <v>282</v>
      </c>
      <c r="L453" s="322" t="s">
        <v>282</v>
      </c>
      <c r="M453" s="322" t="s">
        <v>282</v>
      </c>
      <c r="N453" s="322" t="s">
        <v>282</v>
      </c>
      <c r="O453" s="323" t="s">
        <v>17</v>
      </c>
      <c r="P453" s="323" t="s">
        <v>17</v>
      </c>
      <c r="Q453" s="323" t="s">
        <v>15</v>
      </c>
      <c r="R453" s="323" t="s">
        <v>282</v>
      </c>
      <c r="S453" s="323" t="s">
        <v>282</v>
      </c>
      <c r="T453" s="323" t="s">
        <v>282</v>
      </c>
      <c r="U453" s="323" t="s">
        <v>282</v>
      </c>
      <c r="V453" s="323" t="s">
        <v>282</v>
      </c>
      <c r="W453" s="324" t="s">
        <v>282</v>
      </c>
      <c r="X453" s="324" t="s">
        <v>282</v>
      </c>
      <c r="Y453" s="325" t="s">
        <v>282</v>
      </c>
    </row>
    <row r="454" spans="1:25">
      <c r="A454" s="319">
        <v>9</v>
      </c>
      <c r="B454" s="320" t="str">
        <f>VLOOKUP(Tabel10[[#This Row],[Code]],Ruimtegroepen[[Code]:[Ruimte omschrijving]],2,FALSE)</f>
        <v>Woonruimte</v>
      </c>
      <c r="C454" s="321" t="s">
        <v>662</v>
      </c>
      <c r="D454" s="320" t="s">
        <v>29</v>
      </c>
      <c r="E454" s="321" t="s">
        <v>100</v>
      </c>
      <c r="F454" s="321" t="s">
        <v>663</v>
      </c>
      <c r="G454" s="326" t="s">
        <v>282</v>
      </c>
      <c r="H454" s="322" t="s">
        <v>282</v>
      </c>
      <c r="I454" s="322" t="s">
        <v>20</v>
      </c>
      <c r="J454" s="322" t="s">
        <v>15</v>
      </c>
      <c r="K454" s="322" t="s">
        <v>282</v>
      </c>
      <c r="L454" s="322" t="s">
        <v>282</v>
      </c>
      <c r="M454" s="322" t="s">
        <v>282</v>
      </c>
      <c r="N454" s="322" t="s">
        <v>2</v>
      </c>
      <c r="O454" s="323" t="s">
        <v>2</v>
      </c>
      <c r="P454" s="323" t="s">
        <v>2</v>
      </c>
      <c r="Q454" s="323" t="s">
        <v>15</v>
      </c>
      <c r="R454" s="323" t="s">
        <v>15</v>
      </c>
      <c r="S454" s="323" t="s">
        <v>16</v>
      </c>
      <c r="T454" s="323" t="s">
        <v>329</v>
      </c>
      <c r="U454" s="323" t="s">
        <v>249</v>
      </c>
      <c r="V454" s="323" t="s">
        <v>2</v>
      </c>
      <c r="W454" s="324" t="s">
        <v>282</v>
      </c>
      <c r="X454" s="324" t="s">
        <v>282</v>
      </c>
      <c r="Y454" s="325" t="s">
        <v>282</v>
      </c>
    </row>
    <row r="455" spans="1:25">
      <c r="A455" s="319">
        <v>9</v>
      </c>
      <c r="B455" s="320" t="str">
        <f>VLOOKUP(Tabel10[[#This Row],[Code]],Ruimtegroepen[[Code]:[Ruimte omschrijving]],2,FALSE)</f>
        <v>Woonruimte</v>
      </c>
      <c r="C455" s="321" t="s">
        <v>662</v>
      </c>
      <c r="D455" s="320" t="s">
        <v>29</v>
      </c>
      <c r="E455" s="321" t="s">
        <v>99</v>
      </c>
      <c r="F455" s="321" t="s">
        <v>664</v>
      </c>
      <c r="G455" s="326" t="s">
        <v>282</v>
      </c>
      <c r="H455" s="322" t="s">
        <v>2</v>
      </c>
      <c r="I455" s="322" t="s">
        <v>282</v>
      </c>
      <c r="J455" s="322" t="s">
        <v>282</v>
      </c>
      <c r="K455" s="322" t="s">
        <v>282</v>
      </c>
      <c r="L455" s="322" t="s">
        <v>282</v>
      </c>
      <c r="M455" s="322" t="s">
        <v>282</v>
      </c>
      <c r="N455" s="322" t="s">
        <v>2</v>
      </c>
      <c r="O455" s="323" t="s">
        <v>2</v>
      </c>
      <c r="P455" s="323" t="s">
        <v>2</v>
      </c>
      <c r="Q455" s="323" t="s">
        <v>15</v>
      </c>
      <c r="R455" s="323" t="s">
        <v>15</v>
      </c>
      <c r="S455" s="323" t="s">
        <v>16</v>
      </c>
      <c r="T455" s="323" t="s">
        <v>329</v>
      </c>
      <c r="U455" s="323" t="s">
        <v>249</v>
      </c>
      <c r="V455" s="323" t="s">
        <v>2</v>
      </c>
      <c r="W455" s="324" t="s">
        <v>282</v>
      </c>
      <c r="X455" s="324" t="s">
        <v>282</v>
      </c>
      <c r="Y455" s="325" t="s">
        <v>282</v>
      </c>
    </row>
    <row r="456" spans="1:25">
      <c r="A456" s="319">
        <v>9</v>
      </c>
      <c r="B456" s="320" t="str">
        <f>VLOOKUP(Tabel10[[#This Row],[Code]],Ruimtegroepen[[Code]:[Ruimte omschrijving]],2,FALSE)</f>
        <v>Woonruimte</v>
      </c>
      <c r="C456" s="321" t="s">
        <v>662</v>
      </c>
      <c r="D456" s="320" t="s">
        <v>29</v>
      </c>
      <c r="E456" s="321" t="s">
        <v>101</v>
      </c>
      <c r="F456" s="321" t="s">
        <v>665</v>
      </c>
      <c r="G456" s="326" t="s">
        <v>282</v>
      </c>
      <c r="H456" s="322" t="s">
        <v>282</v>
      </c>
      <c r="I456" s="322" t="s">
        <v>20</v>
      </c>
      <c r="J456" s="322" t="s">
        <v>15</v>
      </c>
      <c r="K456" s="322" t="s">
        <v>283</v>
      </c>
      <c r="L456" s="322" t="s">
        <v>282</v>
      </c>
      <c r="M456" s="322" t="s">
        <v>282</v>
      </c>
      <c r="N456" s="322" t="s">
        <v>2</v>
      </c>
      <c r="O456" s="323" t="s">
        <v>2</v>
      </c>
      <c r="P456" s="323" t="s">
        <v>2</v>
      </c>
      <c r="Q456" s="323" t="s">
        <v>15</v>
      </c>
      <c r="R456" s="323" t="s">
        <v>15</v>
      </c>
      <c r="S456" s="323" t="s">
        <v>16</v>
      </c>
      <c r="T456" s="323" t="s">
        <v>329</v>
      </c>
      <c r="U456" s="323" t="s">
        <v>249</v>
      </c>
      <c r="V456" s="323" t="s">
        <v>2</v>
      </c>
      <c r="W456" s="324" t="s">
        <v>282</v>
      </c>
      <c r="X456" s="324" t="s">
        <v>282</v>
      </c>
      <c r="Y456" s="325" t="s">
        <v>282</v>
      </c>
    </row>
    <row r="457" spans="1:25">
      <c r="A457" s="319">
        <v>9</v>
      </c>
      <c r="B457" s="320" t="str">
        <f>VLOOKUP(Tabel10[[#This Row],[Code]],Ruimtegroepen[[Code]:[Ruimte omschrijving]],2,FALSE)</f>
        <v>Woonruimte</v>
      </c>
      <c r="C457" s="321" t="s">
        <v>662</v>
      </c>
      <c r="D457" s="320" t="s">
        <v>29</v>
      </c>
      <c r="E457" s="321" t="s">
        <v>102</v>
      </c>
      <c r="F457" s="321" t="s">
        <v>666</v>
      </c>
      <c r="G457" s="326" t="s">
        <v>282</v>
      </c>
      <c r="H457" s="322" t="s">
        <v>282</v>
      </c>
      <c r="I457" s="322" t="s">
        <v>20</v>
      </c>
      <c r="J457" s="322" t="s">
        <v>15</v>
      </c>
      <c r="K457" s="322" t="s">
        <v>283</v>
      </c>
      <c r="L457" s="322" t="s">
        <v>282</v>
      </c>
      <c r="M457" s="322" t="s">
        <v>282</v>
      </c>
      <c r="N457" s="322" t="s">
        <v>2</v>
      </c>
      <c r="O457" s="323" t="s">
        <v>2</v>
      </c>
      <c r="P457" s="323" t="s">
        <v>2</v>
      </c>
      <c r="Q457" s="323" t="s">
        <v>15</v>
      </c>
      <c r="R457" s="323" t="s">
        <v>15</v>
      </c>
      <c r="S457" s="323" t="s">
        <v>16</v>
      </c>
      <c r="T457" s="323" t="s">
        <v>329</v>
      </c>
      <c r="U457" s="323" t="s">
        <v>249</v>
      </c>
      <c r="V457" s="323" t="s">
        <v>2</v>
      </c>
      <c r="W457" s="324" t="s">
        <v>282</v>
      </c>
      <c r="X457" s="324" t="s">
        <v>282</v>
      </c>
      <c r="Y457" s="325" t="s">
        <v>282</v>
      </c>
    </row>
    <row r="458" spans="1:25">
      <c r="A458" s="319">
        <v>9</v>
      </c>
      <c r="B458" s="320" t="str">
        <f>VLOOKUP(Tabel10[[#This Row],[Code]],Ruimtegroepen[[Code]:[Ruimte omschrijving]],2,FALSE)</f>
        <v>Woonruimte</v>
      </c>
      <c r="C458" s="321" t="s">
        <v>662</v>
      </c>
      <c r="D458" s="320" t="s">
        <v>29</v>
      </c>
      <c r="E458" s="321" t="s">
        <v>99</v>
      </c>
      <c r="F458" s="321" t="s">
        <v>664</v>
      </c>
      <c r="G458" s="326" t="s">
        <v>282</v>
      </c>
      <c r="H458" s="322" t="s">
        <v>2</v>
      </c>
      <c r="I458" s="322" t="s">
        <v>282</v>
      </c>
      <c r="J458" s="322" t="s">
        <v>282</v>
      </c>
      <c r="K458" s="322" t="s">
        <v>282</v>
      </c>
      <c r="L458" s="322" t="s">
        <v>282</v>
      </c>
      <c r="M458" s="322" t="s">
        <v>282</v>
      </c>
      <c r="N458" s="322" t="s">
        <v>2</v>
      </c>
      <c r="O458" s="323" t="s">
        <v>2</v>
      </c>
      <c r="P458" s="323" t="s">
        <v>2</v>
      </c>
      <c r="Q458" s="323" t="s">
        <v>15</v>
      </c>
      <c r="R458" s="323" t="s">
        <v>15</v>
      </c>
      <c r="S458" s="323" t="s">
        <v>16</v>
      </c>
      <c r="T458" s="323" t="s">
        <v>329</v>
      </c>
      <c r="U458" s="323" t="s">
        <v>249</v>
      </c>
      <c r="V458" s="323" t="s">
        <v>2</v>
      </c>
      <c r="W458" s="324" t="s">
        <v>282</v>
      </c>
      <c r="X458" s="324" t="s">
        <v>282</v>
      </c>
      <c r="Y458" s="325" t="s">
        <v>282</v>
      </c>
    </row>
    <row r="459" spans="1:25">
      <c r="A459" s="319">
        <v>9</v>
      </c>
      <c r="B459" s="320" t="str">
        <f>VLOOKUP(Tabel10[[#This Row],[Code]],Ruimtegroepen[[Code]:[Ruimte omschrijving]],2,FALSE)</f>
        <v>Woonruimte</v>
      </c>
      <c r="C459" s="321" t="s">
        <v>662</v>
      </c>
      <c r="D459" s="320" t="s">
        <v>29</v>
      </c>
      <c r="E459" s="321" t="s">
        <v>1306</v>
      </c>
      <c r="F459" s="321" t="s">
        <v>1479</v>
      </c>
      <c r="G459" s="326" t="s">
        <v>282</v>
      </c>
      <c r="H459" s="322" t="s">
        <v>282</v>
      </c>
      <c r="I459" s="322" t="s">
        <v>20</v>
      </c>
      <c r="J459" s="322" t="s">
        <v>15</v>
      </c>
      <c r="K459" s="322" t="s">
        <v>283</v>
      </c>
      <c r="L459" s="322" t="s">
        <v>282</v>
      </c>
      <c r="M459" s="322" t="s">
        <v>282</v>
      </c>
      <c r="N459" s="322" t="s">
        <v>2</v>
      </c>
      <c r="O459" s="323" t="s">
        <v>2</v>
      </c>
      <c r="P459" s="323" t="s">
        <v>2</v>
      </c>
      <c r="Q459" s="323" t="s">
        <v>15</v>
      </c>
      <c r="R459" s="323" t="s">
        <v>15</v>
      </c>
      <c r="S459" s="323" t="s">
        <v>16</v>
      </c>
      <c r="T459" s="323" t="s">
        <v>329</v>
      </c>
      <c r="U459" s="323" t="s">
        <v>249</v>
      </c>
      <c r="V459" s="323" t="s">
        <v>2</v>
      </c>
      <c r="W459" s="324" t="s">
        <v>282</v>
      </c>
      <c r="X459" s="324" t="s">
        <v>282</v>
      </c>
      <c r="Y459" s="325" t="s">
        <v>282</v>
      </c>
    </row>
    <row r="460" spans="1:25">
      <c r="A460" s="319">
        <v>9</v>
      </c>
      <c r="B460" s="320" t="str">
        <f>VLOOKUP(Tabel10[[#This Row],[Code]],Ruimtegroepen[[Code]:[Ruimte omschrijving]],2,FALSE)</f>
        <v>Woonruimte</v>
      </c>
      <c r="C460" s="321" t="s">
        <v>667</v>
      </c>
      <c r="D460" s="320" t="s">
        <v>1</v>
      </c>
      <c r="E460" s="321" t="s">
        <v>100</v>
      </c>
      <c r="F460" s="321" t="s">
        <v>668</v>
      </c>
      <c r="G460" s="326" t="s">
        <v>282</v>
      </c>
      <c r="H460" s="322" t="s">
        <v>282</v>
      </c>
      <c r="I460" s="322" t="s">
        <v>20</v>
      </c>
      <c r="J460" s="322" t="s">
        <v>15</v>
      </c>
      <c r="K460" s="322" t="s">
        <v>282</v>
      </c>
      <c r="L460" s="322" t="s">
        <v>282</v>
      </c>
      <c r="M460" s="322" t="s">
        <v>282</v>
      </c>
      <c r="N460" s="322" t="s">
        <v>282</v>
      </c>
      <c r="O460" s="323" t="s">
        <v>2</v>
      </c>
      <c r="P460" s="323" t="s">
        <v>2</v>
      </c>
      <c r="Q460" s="323" t="s">
        <v>15</v>
      </c>
      <c r="R460" s="323" t="s">
        <v>15</v>
      </c>
      <c r="S460" s="323" t="s">
        <v>16</v>
      </c>
      <c r="T460" s="323" t="s">
        <v>329</v>
      </c>
      <c r="U460" s="323" t="s">
        <v>249</v>
      </c>
      <c r="V460" s="323" t="s">
        <v>282</v>
      </c>
      <c r="W460" s="324" t="s">
        <v>282</v>
      </c>
      <c r="X460" s="324" t="s">
        <v>282</v>
      </c>
      <c r="Y460" s="325" t="s">
        <v>282</v>
      </c>
    </row>
    <row r="461" spans="1:25">
      <c r="A461" s="319">
        <v>9</v>
      </c>
      <c r="B461" s="320" t="str">
        <f>VLOOKUP(Tabel10[[#This Row],[Code]],Ruimtegroepen[[Code]:[Ruimte omschrijving]],2,FALSE)</f>
        <v>Woonruimte</v>
      </c>
      <c r="C461" s="321" t="s">
        <v>667</v>
      </c>
      <c r="D461" s="320" t="s">
        <v>1</v>
      </c>
      <c r="E461" s="321" t="s">
        <v>99</v>
      </c>
      <c r="F461" s="321" t="s">
        <v>669</v>
      </c>
      <c r="G461" s="326" t="s">
        <v>282</v>
      </c>
      <c r="H461" s="322" t="s">
        <v>2</v>
      </c>
      <c r="I461" s="322" t="s">
        <v>282</v>
      </c>
      <c r="J461" s="322" t="s">
        <v>282</v>
      </c>
      <c r="K461" s="322" t="s">
        <v>282</v>
      </c>
      <c r="L461" s="322" t="s">
        <v>282</v>
      </c>
      <c r="M461" s="322" t="s">
        <v>282</v>
      </c>
      <c r="N461" s="322" t="s">
        <v>282</v>
      </c>
      <c r="O461" s="323" t="s">
        <v>2</v>
      </c>
      <c r="P461" s="323" t="s">
        <v>2</v>
      </c>
      <c r="Q461" s="323" t="s">
        <v>15</v>
      </c>
      <c r="R461" s="323" t="s">
        <v>15</v>
      </c>
      <c r="S461" s="323" t="s">
        <v>16</v>
      </c>
      <c r="T461" s="323" t="s">
        <v>329</v>
      </c>
      <c r="U461" s="323" t="s">
        <v>249</v>
      </c>
      <c r="V461" s="323" t="s">
        <v>282</v>
      </c>
      <c r="W461" s="324" t="s">
        <v>282</v>
      </c>
      <c r="X461" s="324" t="s">
        <v>282</v>
      </c>
      <c r="Y461" s="325" t="s">
        <v>282</v>
      </c>
    </row>
    <row r="462" spans="1:25">
      <c r="A462" s="319">
        <v>9</v>
      </c>
      <c r="B462" s="320" t="str">
        <f>VLOOKUP(Tabel10[[#This Row],[Code]],Ruimtegroepen[[Code]:[Ruimte omschrijving]],2,FALSE)</f>
        <v>Woonruimte</v>
      </c>
      <c r="C462" s="321" t="s">
        <v>667</v>
      </c>
      <c r="D462" s="320" t="s">
        <v>1</v>
      </c>
      <c r="E462" s="321" t="s">
        <v>101</v>
      </c>
      <c r="F462" s="321" t="s">
        <v>670</v>
      </c>
      <c r="G462" s="326" t="s">
        <v>282</v>
      </c>
      <c r="H462" s="322" t="s">
        <v>282</v>
      </c>
      <c r="I462" s="322" t="s">
        <v>20</v>
      </c>
      <c r="J462" s="322" t="s">
        <v>15</v>
      </c>
      <c r="K462" s="322" t="s">
        <v>283</v>
      </c>
      <c r="L462" s="322" t="s">
        <v>282</v>
      </c>
      <c r="M462" s="322" t="s">
        <v>282</v>
      </c>
      <c r="N462" s="322" t="s">
        <v>282</v>
      </c>
      <c r="O462" s="323" t="s">
        <v>2</v>
      </c>
      <c r="P462" s="323" t="s">
        <v>2</v>
      </c>
      <c r="Q462" s="323" t="s">
        <v>15</v>
      </c>
      <c r="R462" s="323" t="s">
        <v>15</v>
      </c>
      <c r="S462" s="323" t="s">
        <v>16</v>
      </c>
      <c r="T462" s="323" t="s">
        <v>329</v>
      </c>
      <c r="U462" s="323" t="s">
        <v>249</v>
      </c>
      <c r="V462" s="323" t="s">
        <v>282</v>
      </c>
      <c r="W462" s="324" t="s">
        <v>282</v>
      </c>
      <c r="X462" s="324" t="s">
        <v>282</v>
      </c>
      <c r="Y462" s="325" t="s">
        <v>282</v>
      </c>
    </row>
    <row r="463" spans="1:25">
      <c r="A463" s="319">
        <v>9</v>
      </c>
      <c r="B463" s="320" t="str">
        <f>VLOOKUP(Tabel10[[#This Row],[Code]],Ruimtegroepen[[Code]:[Ruimte omschrijving]],2,FALSE)</f>
        <v>Woonruimte</v>
      </c>
      <c r="C463" s="321" t="s">
        <v>667</v>
      </c>
      <c r="D463" s="320" t="s">
        <v>1</v>
      </c>
      <c r="E463" s="321" t="s">
        <v>102</v>
      </c>
      <c r="F463" s="321" t="s">
        <v>671</v>
      </c>
      <c r="G463" s="326" t="s">
        <v>282</v>
      </c>
      <c r="H463" s="322" t="s">
        <v>282</v>
      </c>
      <c r="I463" s="322" t="s">
        <v>2</v>
      </c>
      <c r="J463" s="322" t="s">
        <v>282</v>
      </c>
      <c r="K463" s="322" t="s">
        <v>283</v>
      </c>
      <c r="L463" s="322" t="s">
        <v>282</v>
      </c>
      <c r="M463" s="322" t="s">
        <v>282</v>
      </c>
      <c r="N463" s="322" t="s">
        <v>282</v>
      </c>
      <c r="O463" s="323" t="s">
        <v>2</v>
      </c>
      <c r="P463" s="323" t="s">
        <v>2</v>
      </c>
      <c r="Q463" s="323" t="s">
        <v>15</v>
      </c>
      <c r="R463" s="323" t="s">
        <v>15</v>
      </c>
      <c r="S463" s="323" t="s">
        <v>16</v>
      </c>
      <c r="T463" s="323" t="s">
        <v>329</v>
      </c>
      <c r="U463" s="323" t="s">
        <v>249</v>
      </c>
      <c r="V463" s="323" t="s">
        <v>282</v>
      </c>
      <c r="W463" s="324" t="s">
        <v>282</v>
      </c>
      <c r="X463" s="324" t="s">
        <v>282</v>
      </c>
      <c r="Y463" s="325" t="s">
        <v>282</v>
      </c>
    </row>
    <row r="464" spans="1:25">
      <c r="A464" s="319">
        <v>9</v>
      </c>
      <c r="B464" s="320" t="str">
        <f>VLOOKUP(Tabel10[[#This Row],[Code]],Ruimtegroepen[[Code]:[Ruimte omschrijving]],2,FALSE)</f>
        <v>Woonruimte</v>
      </c>
      <c r="C464" s="321" t="s">
        <v>667</v>
      </c>
      <c r="D464" s="320" t="s">
        <v>1</v>
      </c>
      <c r="E464" s="321" t="s">
        <v>99</v>
      </c>
      <c r="F464" s="321" t="s">
        <v>669</v>
      </c>
      <c r="G464" s="326" t="s">
        <v>282</v>
      </c>
      <c r="H464" s="322" t="s">
        <v>2</v>
      </c>
      <c r="I464" s="322" t="s">
        <v>282</v>
      </c>
      <c r="J464" s="322" t="s">
        <v>282</v>
      </c>
      <c r="K464" s="322" t="s">
        <v>282</v>
      </c>
      <c r="L464" s="322" t="s">
        <v>282</v>
      </c>
      <c r="M464" s="322" t="s">
        <v>282</v>
      </c>
      <c r="N464" s="322" t="s">
        <v>282</v>
      </c>
      <c r="O464" s="323" t="s">
        <v>2</v>
      </c>
      <c r="P464" s="323" t="s">
        <v>2</v>
      </c>
      <c r="Q464" s="323" t="s">
        <v>15</v>
      </c>
      <c r="R464" s="323" t="s">
        <v>15</v>
      </c>
      <c r="S464" s="323" t="s">
        <v>16</v>
      </c>
      <c r="T464" s="323" t="s">
        <v>329</v>
      </c>
      <c r="U464" s="323" t="s">
        <v>249</v>
      </c>
      <c r="V464" s="323" t="s">
        <v>282</v>
      </c>
      <c r="W464" s="324" t="s">
        <v>282</v>
      </c>
      <c r="X464" s="324" t="s">
        <v>282</v>
      </c>
      <c r="Y464" s="325" t="s">
        <v>282</v>
      </c>
    </row>
    <row r="465" spans="1:25">
      <c r="A465" s="319">
        <v>9</v>
      </c>
      <c r="B465" s="320" t="str">
        <f>VLOOKUP(Tabel10[[#This Row],[Code]],Ruimtegroepen[[Code]:[Ruimte omschrijving]],2,FALSE)</f>
        <v>Woonruimte</v>
      </c>
      <c r="C465" s="321" t="s">
        <v>667</v>
      </c>
      <c r="D465" s="320" t="s">
        <v>1</v>
      </c>
      <c r="E465" s="321" t="s">
        <v>1306</v>
      </c>
      <c r="F465" s="321" t="s">
        <v>1463</v>
      </c>
      <c r="G465" s="326" t="s">
        <v>282</v>
      </c>
      <c r="H465" s="322" t="s">
        <v>282</v>
      </c>
      <c r="I465" s="322" t="s">
        <v>2</v>
      </c>
      <c r="J465" s="322" t="s">
        <v>282</v>
      </c>
      <c r="K465" s="322" t="s">
        <v>283</v>
      </c>
      <c r="L465" s="322" t="s">
        <v>282</v>
      </c>
      <c r="M465" s="322" t="s">
        <v>282</v>
      </c>
      <c r="N465" s="322" t="s">
        <v>282</v>
      </c>
      <c r="O465" s="323" t="s">
        <v>2</v>
      </c>
      <c r="P465" s="323" t="s">
        <v>2</v>
      </c>
      <c r="Q465" s="323" t="s">
        <v>15</v>
      </c>
      <c r="R465" s="323" t="s">
        <v>15</v>
      </c>
      <c r="S465" s="323" t="s">
        <v>16</v>
      </c>
      <c r="T465" s="323" t="s">
        <v>329</v>
      </c>
      <c r="U465" s="323" t="s">
        <v>249</v>
      </c>
      <c r="V465" s="323" t="s">
        <v>282</v>
      </c>
      <c r="W465" s="324" t="s">
        <v>282</v>
      </c>
      <c r="X465" s="324" t="s">
        <v>282</v>
      </c>
      <c r="Y465" s="325" t="s">
        <v>282</v>
      </c>
    </row>
    <row r="466" spans="1:25">
      <c r="A466" s="319">
        <v>9</v>
      </c>
      <c r="B466" s="320" t="str">
        <f>VLOOKUP(Tabel10[[#This Row],[Code]],Ruimtegroepen[[Code]:[Ruimte omschrijving]],2,FALSE)</f>
        <v>Woonruimte</v>
      </c>
      <c r="C466" s="321" t="s">
        <v>672</v>
      </c>
      <c r="D466" s="320" t="s">
        <v>21</v>
      </c>
      <c r="E466" s="321" t="s">
        <v>100</v>
      </c>
      <c r="F466" s="321" t="s">
        <v>673</v>
      </c>
      <c r="G466" s="326" t="s">
        <v>282</v>
      </c>
      <c r="H466" s="322" t="s">
        <v>282</v>
      </c>
      <c r="I466" s="322" t="s">
        <v>18</v>
      </c>
      <c r="J466" s="322" t="s">
        <v>15</v>
      </c>
      <c r="K466" s="322" t="s">
        <v>282</v>
      </c>
      <c r="L466" s="322" t="s">
        <v>282</v>
      </c>
      <c r="M466" s="322" t="s">
        <v>282</v>
      </c>
      <c r="N466" s="322" t="s">
        <v>282</v>
      </c>
      <c r="O466" s="323" t="s">
        <v>20</v>
      </c>
      <c r="P466" s="323" t="s">
        <v>20</v>
      </c>
      <c r="Q466" s="323" t="s">
        <v>15</v>
      </c>
      <c r="R466" s="323" t="s">
        <v>15</v>
      </c>
      <c r="S466" s="323" t="s">
        <v>16</v>
      </c>
      <c r="T466" s="323" t="s">
        <v>329</v>
      </c>
      <c r="U466" s="323" t="s">
        <v>249</v>
      </c>
      <c r="V466" s="323" t="s">
        <v>282</v>
      </c>
      <c r="W466" s="324" t="s">
        <v>282</v>
      </c>
      <c r="X466" s="324" t="s">
        <v>282</v>
      </c>
      <c r="Y466" s="325" t="s">
        <v>282</v>
      </c>
    </row>
    <row r="467" spans="1:25">
      <c r="A467" s="319">
        <v>9</v>
      </c>
      <c r="B467" s="320" t="str">
        <f>VLOOKUP(Tabel10[[#This Row],[Code]],Ruimtegroepen[[Code]:[Ruimte omschrijving]],2,FALSE)</f>
        <v>Woonruimte</v>
      </c>
      <c r="C467" s="321" t="s">
        <v>672</v>
      </c>
      <c r="D467" s="320" t="s">
        <v>21</v>
      </c>
      <c r="E467" s="321" t="s">
        <v>99</v>
      </c>
      <c r="F467" s="321" t="s">
        <v>674</v>
      </c>
      <c r="G467" s="326" t="s">
        <v>282</v>
      </c>
      <c r="H467" s="322" t="s">
        <v>20</v>
      </c>
      <c r="I467" s="322" t="s">
        <v>282</v>
      </c>
      <c r="J467" s="322" t="s">
        <v>282</v>
      </c>
      <c r="K467" s="322" t="s">
        <v>282</v>
      </c>
      <c r="L467" s="322" t="s">
        <v>282</v>
      </c>
      <c r="M467" s="322" t="s">
        <v>282</v>
      </c>
      <c r="N467" s="322" t="s">
        <v>282</v>
      </c>
      <c r="O467" s="323" t="s">
        <v>20</v>
      </c>
      <c r="P467" s="323" t="s">
        <v>20</v>
      </c>
      <c r="Q467" s="323" t="s">
        <v>15</v>
      </c>
      <c r="R467" s="323" t="s">
        <v>15</v>
      </c>
      <c r="S467" s="323" t="s">
        <v>16</v>
      </c>
      <c r="T467" s="323" t="s">
        <v>329</v>
      </c>
      <c r="U467" s="323" t="s">
        <v>249</v>
      </c>
      <c r="V467" s="323" t="s">
        <v>282</v>
      </c>
      <c r="W467" s="324" t="s">
        <v>282</v>
      </c>
      <c r="X467" s="324" t="s">
        <v>282</v>
      </c>
      <c r="Y467" s="325" t="s">
        <v>282</v>
      </c>
    </row>
    <row r="468" spans="1:25">
      <c r="A468" s="319">
        <v>9</v>
      </c>
      <c r="B468" s="320" t="str">
        <f>VLOOKUP(Tabel10[[#This Row],[Code]],Ruimtegroepen[[Code]:[Ruimte omschrijving]],2,FALSE)</f>
        <v>Woonruimte</v>
      </c>
      <c r="C468" s="321" t="s">
        <v>672</v>
      </c>
      <c r="D468" s="320" t="s">
        <v>21</v>
      </c>
      <c r="E468" s="321" t="s">
        <v>101</v>
      </c>
      <c r="F468" s="321" t="s">
        <v>675</v>
      </c>
      <c r="G468" s="326" t="s">
        <v>282</v>
      </c>
      <c r="H468" s="322" t="s">
        <v>282</v>
      </c>
      <c r="I468" s="322" t="s">
        <v>18</v>
      </c>
      <c r="J468" s="322" t="s">
        <v>15</v>
      </c>
      <c r="K468" s="322" t="s">
        <v>283</v>
      </c>
      <c r="L468" s="322" t="s">
        <v>282</v>
      </c>
      <c r="M468" s="322" t="s">
        <v>282</v>
      </c>
      <c r="N468" s="322" t="s">
        <v>282</v>
      </c>
      <c r="O468" s="323" t="s">
        <v>20</v>
      </c>
      <c r="P468" s="323" t="s">
        <v>20</v>
      </c>
      <c r="Q468" s="323" t="s">
        <v>15</v>
      </c>
      <c r="R468" s="323" t="s">
        <v>15</v>
      </c>
      <c r="S468" s="323" t="s">
        <v>16</v>
      </c>
      <c r="T468" s="323" t="s">
        <v>329</v>
      </c>
      <c r="U468" s="323" t="s">
        <v>249</v>
      </c>
      <c r="V468" s="323" t="s">
        <v>282</v>
      </c>
      <c r="W468" s="324" t="s">
        <v>282</v>
      </c>
      <c r="X468" s="324" t="s">
        <v>282</v>
      </c>
      <c r="Y468" s="325" t="s">
        <v>282</v>
      </c>
    </row>
    <row r="469" spans="1:25">
      <c r="A469" s="319">
        <v>9</v>
      </c>
      <c r="B469" s="320" t="str">
        <f>VLOOKUP(Tabel10[[#This Row],[Code]],Ruimtegroepen[[Code]:[Ruimte omschrijving]],2,FALSE)</f>
        <v>Woonruimte</v>
      </c>
      <c r="C469" s="321" t="s">
        <v>672</v>
      </c>
      <c r="D469" s="320" t="s">
        <v>21</v>
      </c>
      <c r="E469" s="321" t="s">
        <v>102</v>
      </c>
      <c r="F469" s="321" t="s">
        <v>676</v>
      </c>
      <c r="G469" s="326" t="s">
        <v>282</v>
      </c>
      <c r="H469" s="322" t="s">
        <v>282</v>
      </c>
      <c r="I469" s="322" t="s">
        <v>18</v>
      </c>
      <c r="J469" s="322" t="s">
        <v>15</v>
      </c>
      <c r="K469" s="322" t="s">
        <v>283</v>
      </c>
      <c r="L469" s="322" t="s">
        <v>282</v>
      </c>
      <c r="M469" s="322" t="s">
        <v>282</v>
      </c>
      <c r="N469" s="322" t="s">
        <v>282</v>
      </c>
      <c r="O469" s="323" t="s">
        <v>20</v>
      </c>
      <c r="P469" s="323" t="s">
        <v>20</v>
      </c>
      <c r="Q469" s="323" t="s">
        <v>15</v>
      </c>
      <c r="R469" s="323" t="s">
        <v>15</v>
      </c>
      <c r="S469" s="323" t="s">
        <v>16</v>
      </c>
      <c r="T469" s="323" t="s">
        <v>329</v>
      </c>
      <c r="U469" s="323" t="s">
        <v>249</v>
      </c>
      <c r="V469" s="323" t="s">
        <v>282</v>
      </c>
      <c r="W469" s="324" t="s">
        <v>282</v>
      </c>
      <c r="X469" s="324" t="s">
        <v>282</v>
      </c>
      <c r="Y469" s="325" t="s">
        <v>282</v>
      </c>
    </row>
    <row r="470" spans="1:25">
      <c r="A470" s="319">
        <v>9</v>
      </c>
      <c r="B470" s="320" t="str">
        <f>VLOOKUP(Tabel10[[#This Row],[Code]],Ruimtegroepen[[Code]:[Ruimte omschrijving]],2,FALSE)</f>
        <v>Woonruimte</v>
      </c>
      <c r="C470" s="321" t="s">
        <v>672</v>
      </c>
      <c r="D470" s="320" t="s">
        <v>21</v>
      </c>
      <c r="E470" s="321" t="s">
        <v>99</v>
      </c>
      <c r="F470" s="321" t="s">
        <v>674</v>
      </c>
      <c r="G470" s="326" t="s">
        <v>282</v>
      </c>
      <c r="H470" s="322" t="s">
        <v>20</v>
      </c>
      <c r="I470" s="322" t="s">
        <v>282</v>
      </c>
      <c r="J470" s="322" t="s">
        <v>282</v>
      </c>
      <c r="K470" s="322" t="s">
        <v>282</v>
      </c>
      <c r="L470" s="322" t="s">
        <v>282</v>
      </c>
      <c r="M470" s="322" t="s">
        <v>282</v>
      </c>
      <c r="N470" s="322" t="s">
        <v>282</v>
      </c>
      <c r="O470" s="323" t="s">
        <v>20</v>
      </c>
      <c r="P470" s="323" t="s">
        <v>20</v>
      </c>
      <c r="Q470" s="323" t="s">
        <v>15</v>
      </c>
      <c r="R470" s="323" t="s">
        <v>15</v>
      </c>
      <c r="S470" s="323" t="s">
        <v>16</v>
      </c>
      <c r="T470" s="323" t="s">
        <v>329</v>
      </c>
      <c r="U470" s="323" t="s">
        <v>249</v>
      </c>
      <c r="V470" s="323" t="s">
        <v>282</v>
      </c>
      <c r="W470" s="324" t="s">
        <v>282</v>
      </c>
      <c r="X470" s="324" t="s">
        <v>282</v>
      </c>
      <c r="Y470" s="325" t="s">
        <v>282</v>
      </c>
    </row>
    <row r="471" spans="1:25">
      <c r="A471" s="319">
        <v>9</v>
      </c>
      <c r="B471" s="320" t="str">
        <f>VLOOKUP(Tabel10[[#This Row],[Code]],Ruimtegroepen[[Code]:[Ruimte omschrijving]],2,FALSE)</f>
        <v>Woonruimte</v>
      </c>
      <c r="C471" s="321" t="s">
        <v>672</v>
      </c>
      <c r="D471" s="320" t="s">
        <v>21</v>
      </c>
      <c r="E471" s="321" t="s">
        <v>1306</v>
      </c>
      <c r="F471" s="321" t="s">
        <v>1446</v>
      </c>
      <c r="G471" s="326" t="s">
        <v>282</v>
      </c>
      <c r="H471" s="322" t="s">
        <v>282</v>
      </c>
      <c r="I471" s="322" t="s">
        <v>18</v>
      </c>
      <c r="J471" s="322" t="s">
        <v>15</v>
      </c>
      <c r="K471" s="322" t="s">
        <v>283</v>
      </c>
      <c r="L471" s="322" t="s">
        <v>282</v>
      </c>
      <c r="M471" s="322" t="s">
        <v>282</v>
      </c>
      <c r="N471" s="322" t="s">
        <v>282</v>
      </c>
      <c r="O471" s="323" t="s">
        <v>20</v>
      </c>
      <c r="P471" s="323" t="s">
        <v>20</v>
      </c>
      <c r="Q471" s="323" t="s">
        <v>15</v>
      </c>
      <c r="R471" s="323" t="s">
        <v>15</v>
      </c>
      <c r="S471" s="323" t="s">
        <v>16</v>
      </c>
      <c r="T471" s="323" t="s">
        <v>329</v>
      </c>
      <c r="U471" s="323" t="s">
        <v>249</v>
      </c>
      <c r="V471" s="323" t="s">
        <v>282</v>
      </c>
      <c r="W471" s="324" t="s">
        <v>282</v>
      </c>
      <c r="X471" s="324" t="s">
        <v>282</v>
      </c>
      <c r="Y471" s="325" t="s">
        <v>282</v>
      </c>
    </row>
    <row r="472" spans="1:25">
      <c r="A472" s="319">
        <v>9</v>
      </c>
      <c r="B472" s="320" t="str">
        <f>VLOOKUP(Tabel10[[#This Row],[Code]],Ruimtegroepen[[Code]:[Ruimte omschrijving]],2,FALSE)</f>
        <v>Woonruimte</v>
      </c>
      <c r="C472" s="321" t="s">
        <v>677</v>
      </c>
      <c r="D472" s="320" t="s">
        <v>12</v>
      </c>
      <c r="E472" s="321" t="s">
        <v>100</v>
      </c>
      <c r="F472" s="321" t="s">
        <v>678</v>
      </c>
      <c r="G472" s="326" t="s">
        <v>282</v>
      </c>
      <c r="H472" s="322" t="s">
        <v>282</v>
      </c>
      <c r="I472" s="322" t="s">
        <v>17</v>
      </c>
      <c r="J472" s="322" t="s">
        <v>15</v>
      </c>
      <c r="K472" s="322" t="s">
        <v>282</v>
      </c>
      <c r="L472" s="322" t="s">
        <v>282</v>
      </c>
      <c r="M472" s="322" t="s">
        <v>282</v>
      </c>
      <c r="N472" s="322" t="s">
        <v>282</v>
      </c>
      <c r="O472" s="323" t="s">
        <v>18</v>
      </c>
      <c r="P472" s="323" t="s">
        <v>18</v>
      </c>
      <c r="Q472" s="323" t="s">
        <v>15</v>
      </c>
      <c r="R472" s="323" t="s">
        <v>15</v>
      </c>
      <c r="S472" s="323" t="s">
        <v>16</v>
      </c>
      <c r="T472" s="323" t="s">
        <v>329</v>
      </c>
      <c r="U472" s="323" t="s">
        <v>249</v>
      </c>
      <c r="V472" s="323" t="s">
        <v>282</v>
      </c>
      <c r="W472" s="324" t="s">
        <v>282</v>
      </c>
      <c r="X472" s="324" t="s">
        <v>282</v>
      </c>
      <c r="Y472" s="325" t="s">
        <v>282</v>
      </c>
    </row>
    <row r="473" spans="1:25">
      <c r="A473" s="319">
        <v>9</v>
      </c>
      <c r="B473" s="320" t="str">
        <f>VLOOKUP(Tabel10[[#This Row],[Code]],Ruimtegroepen[[Code]:[Ruimte omschrijving]],2,FALSE)</f>
        <v>Woonruimte</v>
      </c>
      <c r="C473" s="321" t="s">
        <v>677</v>
      </c>
      <c r="D473" s="320" t="s">
        <v>12</v>
      </c>
      <c r="E473" s="321" t="s">
        <v>99</v>
      </c>
      <c r="F473" s="321" t="s">
        <v>679</v>
      </c>
      <c r="G473" s="326" t="s">
        <v>282</v>
      </c>
      <c r="H473" s="322" t="s">
        <v>18</v>
      </c>
      <c r="I473" s="322" t="s">
        <v>282</v>
      </c>
      <c r="J473" s="322" t="s">
        <v>282</v>
      </c>
      <c r="K473" s="322" t="s">
        <v>282</v>
      </c>
      <c r="L473" s="322" t="s">
        <v>282</v>
      </c>
      <c r="M473" s="322" t="s">
        <v>282</v>
      </c>
      <c r="N473" s="322" t="s">
        <v>282</v>
      </c>
      <c r="O473" s="323" t="s">
        <v>18</v>
      </c>
      <c r="P473" s="323" t="s">
        <v>18</v>
      </c>
      <c r="Q473" s="323" t="s">
        <v>15</v>
      </c>
      <c r="R473" s="323" t="s">
        <v>15</v>
      </c>
      <c r="S473" s="323" t="s">
        <v>16</v>
      </c>
      <c r="T473" s="323" t="s">
        <v>329</v>
      </c>
      <c r="U473" s="323" t="s">
        <v>249</v>
      </c>
      <c r="V473" s="323" t="s">
        <v>282</v>
      </c>
      <c r="W473" s="324" t="s">
        <v>282</v>
      </c>
      <c r="X473" s="324" t="s">
        <v>282</v>
      </c>
      <c r="Y473" s="325" t="s">
        <v>282</v>
      </c>
    </row>
    <row r="474" spans="1:25">
      <c r="A474" s="319">
        <v>9</v>
      </c>
      <c r="B474" s="320" t="str">
        <f>VLOOKUP(Tabel10[[#This Row],[Code]],Ruimtegroepen[[Code]:[Ruimte omschrijving]],2,FALSE)</f>
        <v>Woonruimte</v>
      </c>
      <c r="C474" s="321" t="s">
        <v>677</v>
      </c>
      <c r="D474" s="320" t="s">
        <v>12</v>
      </c>
      <c r="E474" s="321" t="s">
        <v>101</v>
      </c>
      <c r="F474" s="321" t="s">
        <v>680</v>
      </c>
      <c r="G474" s="326" t="s">
        <v>282</v>
      </c>
      <c r="H474" s="322" t="s">
        <v>282</v>
      </c>
      <c r="I474" s="322" t="s">
        <v>17</v>
      </c>
      <c r="J474" s="322" t="s">
        <v>15</v>
      </c>
      <c r="K474" s="322" t="s">
        <v>283</v>
      </c>
      <c r="L474" s="322" t="s">
        <v>282</v>
      </c>
      <c r="M474" s="322" t="s">
        <v>282</v>
      </c>
      <c r="N474" s="322" t="s">
        <v>282</v>
      </c>
      <c r="O474" s="323" t="s">
        <v>18</v>
      </c>
      <c r="P474" s="323" t="s">
        <v>18</v>
      </c>
      <c r="Q474" s="323" t="s">
        <v>15</v>
      </c>
      <c r="R474" s="323" t="s">
        <v>15</v>
      </c>
      <c r="S474" s="323" t="s">
        <v>16</v>
      </c>
      <c r="T474" s="323" t="s">
        <v>329</v>
      </c>
      <c r="U474" s="323" t="s">
        <v>249</v>
      </c>
      <c r="V474" s="323" t="s">
        <v>282</v>
      </c>
      <c r="W474" s="324" t="s">
        <v>282</v>
      </c>
      <c r="X474" s="324" t="s">
        <v>282</v>
      </c>
      <c r="Y474" s="325" t="s">
        <v>282</v>
      </c>
    </row>
    <row r="475" spans="1:25">
      <c r="A475" s="319">
        <v>9</v>
      </c>
      <c r="B475" s="320" t="str">
        <f>VLOOKUP(Tabel10[[#This Row],[Code]],Ruimtegroepen[[Code]:[Ruimte omschrijving]],2,FALSE)</f>
        <v>Woonruimte</v>
      </c>
      <c r="C475" s="321" t="s">
        <v>677</v>
      </c>
      <c r="D475" s="320" t="s">
        <v>12</v>
      </c>
      <c r="E475" s="321" t="s">
        <v>102</v>
      </c>
      <c r="F475" s="321" t="s">
        <v>681</v>
      </c>
      <c r="G475" s="326" t="s">
        <v>282</v>
      </c>
      <c r="H475" s="322" t="s">
        <v>282</v>
      </c>
      <c r="I475" s="322" t="s">
        <v>17</v>
      </c>
      <c r="J475" s="322" t="s">
        <v>15</v>
      </c>
      <c r="K475" s="322" t="s">
        <v>283</v>
      </c>
      <c r="L475" s="322" t="s">
        <v>282</v>
      </c>
      <c r="M475" s="322" t="s">
        <v>282</v>
      </c>
      <c r="N475" s="322" t="s">
        <v>282</v>
      </c>
      <c r="O475" s="323" t="s">
        <v>18</v>
      </c>
      <c r="P475" s="323" t="s">
        <v>18</v>
      </c>
      <c r="Q475" s="323" t="s">
        <v>15</v>
      </c>
      <c r="R475" s="323" t="s">
        <v>15</v>
      </c>
      <c r="S475" s="323" t="s">
        <v>16</v>
      </c>
      <c r="T475" s="323" t="s">
        <v>329</v>
      </c>
      <c r="U475" s="323" t="s">
        <v>249</v>
      </c>
      <c r="V475" s="323" t="s">
        <v>282</v>
      </c>
      <c r="W475" s="324" t="s">
        <v>282</v>
      </c>
      <c r="X475" s="324" t="s">
        <v>282</v>
      </c>
      <c r="Y475" s="325" t="s">
        <v>282</v>
      </c>
    </row>
    <row r="476" spans="1:25">
      <c r="A476" s="319">
        <v>9</v>
      </c>
      <c r="B476" s="320" t="str">
        <f>VLOOKUP(Tabel10[[#This Row],[Code]],Ruimtegroepen[[Code]:[Ruimte omschrijving]],2,FALSE)</f>
        <v>Woonruimte</v>
      </c>
      <c r="C476" s="321" t="s">
        <v>677</v>
      </c>
      <c r="D476" s="320" t="s">
        <v>12</v>
      </c>
      <c r="E476" s="321" t="s">
        <v>99</v>
      </c>
      <c r="F476" s="321" t="s">
        <v>679</v>
      </c>
      <c r="G476" s="326" t="s">
        <v>282</v>
      </c>
      <c r="H476" s="322" t="s">
        <v>18</v>
      </c>
      <c r="I476" s="322" t="s">
        <v>282</v>
      </c>
      <c r="J476" s="322" t="s">
        <v>282</v>
      </c>
      <c r="K476" s="322" t="s">
        <v>282</v>
      </c>
      <c r="L476" s="322" t="s">
        <v>282</v>
      </c>
      <c r="M476" s="322" t="s">
        <v>282</v>
      </c>
      <c r="N476" s="322" t="s">
        <v>282</v>
      </c>
      <c r="O476" s="323" t="s">
        <v>18</v>
      </c>
      <c r="P476" s="323" t="s">
        <v>18</v>
      </c>
      <c r="Q476" s="323" t="s">
        <v>15</v>
      </c>
      <c r="R476" s="323" t="s">
        <v>15</v>
      </c>
      <c r="S476" s="323" t="s">
        <v>16</v>
      </c>
      <c r="T476" s="323" t="s">
        <v>329</v>
      </c>
      <c r="U476" s="323" t="s">
        <v>249</v>
      </c>
      <c r="V476" s="323" t="s">
        <v>282</v>
      </c>
      <c r="W476" s="324" t="s">
        <v>282</v>
      </c>
      <c r="X476" s="324" t="s">
        <v>282</v>
      </c>
      <c r="Y476" s="325" t="s">
        <v>282</v>
      </c>
    </row>
    <row r="477" spans="1:25">
      <c r="A477" s="319">
        <v>9</v>
      </c>
      <c r="B477" s="320" t="str">
        <f>VLOOKUP(Tabel10[[#This Row],[Code]],Ruimtegroepen[[Code]:[Ruimte omschrijving]],2,FALSE)</f>
        <v>Woonruimte</v>
      </c>
      <c r="C477" s="321" t="s">
        <v>677</v>
      </c>
      <c r="D477" s="320" t="s">
        <v>12</v>
      </c>
      <c r="E477" s="321" t="s">
        <v>1306</v>
      </c>
      <c r="F477" s="321" t="s">
        <v>1428</v>
      </c>
      <c r="G477" s="326" t="s">
        <v>282</v>
      </c>
      <c r="H477" s="322" t="s">
        <v>282</v>
      </c>
      <c r="I477" s="322" t="s">
        <v>17</v>
      </c>
      <c r="J477" s="322" t="s">
        <v>15</v>
      </c>
      <c r="K477" s="322" t="s">
        <v>283</v>
      </c>
      <c r="L477" s="322" t="s">
        <v>282</v>
      </c>
      <c r="M477" s="322" t="s">
        <v>282</v>
      </c>
      <c r="N477" s="322" t="s">
        <v>282</v>
      </c>
      <c r="O477" s="323" t="s">
        <v>18</v>
      </c>
      <c r="P477" s="323" t="s">
        <v>18</v>
      </c>
      <c r="Q477" s="323" t="s">
        <v>15</v>
      </c>
      <c r="R477" s="323" t="s">
        <v>15</v>
      </c>
      <c r="S477" s="323" t="s">
        <v>16</v>
      </c>
      <c r="T477" s="323" t="s">
        <v>329</v>
      </c>
      <c r="U477" s="323" t="s">
        <v>249</v>
      </c>
      <c r="V477" s="323" t="s">
        <v>282</v>
      </c>
      <c r="W477" s="324" t="s">
        <v>282</v>
      </c>
      <c r="X477" s="324" t="s">
        <v>282</v>
      </c>
      <c r="Y477" s="325" t="s">
        <v>282</v>
      </c>
    </row>
    <row r="478" spans="1:25">
      <c r="A478" s="319">
        <v>9</v>
      </c>
      <c r="B478" s="320" t="str">
        <f>VLOOKUP(Tabel10[[#This Row],[Code]],Ruimtegroepen[[Code]:[Ruimte omschrijving]],2,FALSE)</f>
        <v>Woonruimte</v>
      </c>
      <c r="C478" s="321" t="s">
        <v>682</v>
      </c>
      <c r="D478" s="320" t="s">
        <v>14</v>
      </c>
      <c r="E478" s="321" t="s">
        <v>100</v>
      </c>
      <c r="F478" s="321" t="s">
        <v>683</v>
      </c>
      <c r="G478" s="326" t="s">
        <v>282</v>
      </c>
      <c r="H478" s="322" t="s">
        <v>282</v>
      </c>
      <c r="I478" s="322" t="s">
        <v>15</v>
      </c>
      <c r="J478" s="322" t="s">
        <v>15</v>
      </c>
      <c r="K478" s="322" t="s">
        <v>282</v>
      </c>
      <c r="L478" s="322" t="s">
        <v>282</v>
      </c>
      <c r="M478" s="322" t="s">
        <v>282</v>
      </c>
      <c r="N478" s="322" t="s">
        <v>282</v>
      </c>
      <c r="O478" s="323" t="s">
        <v>17</v>
      </c>
      <c r="P478" s="323" t="s">
        <v>17</v>
      </c>
      <c r="Q478" s="323" t="s">
        <v>15</v>
      </c>
      <c r="R478" s="323" t="s">
        <v>15</v>
      </c>
      <c r="S478" s="323" t="s">
        <v>16</v>
      </c>
      <c r="T478" s="323" t="s">
        <v>329</v>
      </c>
      <c r="U478" s="323" t="s">
        <v>249</v>
      </c>
      <c r="V478" s="323" t="s">
        <v>282</v>
      </c>
      <c r="W478" s="324" t="s">
        <v>282</v>
      </c>
      <c r="X478" s="324" t="s">
        <v>282</v>
      </c>
      <c r="Y478" s="325" t="s">
        <v>282</v>
      </c>
    </row>
    <row r="479" spans="1:25">
      <c r="A479" s="319">
        <v>9</v>
      </c>
      <c r="B479" s="320" t="str">
        <f>VLOOKUP(Tabel10[[#This Row],[Code]],Ruimtegroepen[[Code]:[Ruimte omschrijving]],2,FALSE)</f>
        <v>Woonruimte</v>
      </c>
      <c r="C479" s="321" t="s">
        <v>682</v>
      </c>
      <c r="D479" s="320" t="s">
        <v>14</v>
      </c>
      <c r="E479" s="321" t="s">
        <v>99</v>
      </c>
      <c r="F479" s="321" t="s">
        <v>684</v>
      </c>
      <c r="G479" s="326" t="s">
        <v>282</v>
      </c>
      <c r="H479" s="322" t="s">
        <v>17</v>
      </c>
      <c r="I479" s="322" t="s">
        <v>282</v>
      </c>
      <c r="J479" s="322" t="s">
        <v>282</v>
      </c>
      <c r="K479" s="322" t="s">
        <v>282</v>
      </c>
      <c r="L479" s="322" t="s">
        <v>282</v>
      </c>
      <c r="M479" s="322" t="s">
        <v>282</v>
      </c>
      <c r="N479" s="322" t="s">
        <v>282</v>
      </c>
      <c r="O479" s="323" t="s">
        <v>17</v>
      </c>
      <c r="P479" s="323" t="s">
        <v>17</v>
      </c>
      <c r="Q479" s="323" t="s">
        <v>15</v>
      </c>
      <c r="R479" s="323" t="s">
        <v>15</v>
      </c>
      <c r="S479" s="323" t="s">
        <v>16</v>
      </c>
      <c r="T479" s="323" t="s">
        <v>329</v>
      </c>
      <c r="U479" s="323" t="s">
        <v>249</v>
      </c>
      <c r="V479" s="323" t="s">
        <v>282</v>
      </c>
      <c r="W479" s="324" t="s">
        <v>282</v>
      </c>
      <c r="X479" s="324" t="s">
        <v>282</v>
      </c>
      <c r="Y479" s="325" t="s">
        <v>282</v>
      </c>
    </row>
    <row r="480" spans="1:25">
      <c r="A480" s="319">
        <v>9</v>
      </c>
      <c r="B480" s="320" t="str">
        <f>VLOOKUP(Tabel10[[#This Row],[Code]],Ruimtegroepen[[Code]:[Ruimte omschrijving]],2,FALSE)</f>
        <v>Woonruimte</v>
      </c>
      <c r="C480" s="321" t="s">
        <v>682</v>
      </c>
      <c r="D480" s="320" t="s">
        <v>14</v>
      </c>
      <c r="E480" s="321" t="s">
        <v>101</v>
      </c>
      <c r="F480" s="321" t="s">
        <v>685</v>
      </c>
      <c r="G480" s="326" t="s">
        <v>282</v>
      </c>
      <c r="H480" s="322" t="s">
        <v>282</v>
      </c>
      <c r="I480" s="322" t="s">
        <v>15</v>
      </c>
      <c r="J480" s="322" t="s">
        <v>15</v>
      </c>
      <c r="K480" s="322" t="s">
        <v>283</v>
      </c>
      <c r="L480" s="322" t="s">
        <v>282</v>
      </c>
      <c r="M480" s="322" t="s">
        <v>282</v>
      </c>
      <c r="N480" s="322" t="s">
        <v>282</v>
      </c>
      <c r="O480" s="323" t="s">
        <v>17</v>
      </c>
      <c r="P480" s="323" t="s">
        <v>17</v>
      </c>
      <c r="Q480" s="323" t="s">
        <v>15</v>
      </c>
      <c r="R480" s="323" t="s">
        <v>15</v>
      </c>
      <c r="S480" s="323" t="s">
        <v>16</v>
      </c>
      <c r="T480" s="323" t="s">
        <v>329</v>
      </c>
      <c r="U480" s="323" t="s">
        <v>249</v>
      </c>
      <c r="V480" s="323" t="s">
        <v>282</v>
      </c>
      <c r="W480" s="324" t="s">
        <v>282</v>
      </c>
      <c r="X480" s="324" t="s">
        <v>282</v>
      </c>
      <c r="Y480" s="325" t="s">
        <v>282</v>
      </c>
    </row>
    <row r="481" spans="1:25">
      <c r="A481" s="319">
        <v>9</v>
      </c>
      <c r="B481" s="320" t="str">
        <f>VLOOKUP(Tabel10[[#This Row],[Code]],Ruimtegroepen[[Code]:[Ruimte omschrijving]],2,FALSE)</f>
        <v>Woonruimte</v>
      </c>
      <c r="C481" s="321" t="s">
        <v>682</v>
      </c>
      <c r="D481" s="320" t="s">
        <v>14</v>
      </c>
      <c r="E481" s="321" t="s">
        <v>102</v>
      </c>
      <c r="F481" s="321" t="s">
        <v>686</v>
      </c>
      <c r="G481" s="326" t="s">
        <v>282</v>
      </c>
      <c r="H481" s="322" t="s">
        <v>282</v>
      </c>
      <c r="I481" s="322" t="s">
        <v>15</v>
      </c>
      <c r="J481" s="322" t="s">
        <v>15</v>
      </c>
      <c r="K481" s="322" t="s">
        <v>283</v>
      </c>
      <c r="L481" s="322" t="s">
        <v>282</v>
      </c>
      <c r="M481" s="322" t="s">
        <v>282</v>
      </c>
      <c r="N481" s="322" t="s">
        <v>282</v>
      </c>
      <c r="O481" s="323" t="s">
        <v>17</v>
      </c>
      <c r="P481" s="323" t="s">
        <v>17</v>
      </c>
      <c r="Q481" s="323" t="s">
        <v>15</v>
      </c>
      <c r="R481" s="323" t="s">
        <v>15</v>
      </c>
      <c r="S481" s="323" t="s">
        <v>16</v>
      </c>
      <c r="T481" s="323" t="s">
        <v>329</v>
      </c>
      <c r="U481" s="323" t="s">
        <v>249</v>
      </c>
      <c r="V481" s="323" t="s">
        <v>282</v>
      </c>
      <c r="W481" s="324" t="s">
        <v>282</v>
      </c>
      <c r="X481" s="324" t="s">
        <v>282</v>
      </c>
      <c r="Y481" s="325" t="s">
        <v>282</v>
      </c>
    </row>
    <row r="482" spans="1:25">
      <c r="A482" s="319">
        <v>9</v>
      </c>
      <c r="B482" s="320" t="str">
        <f>VLOOKUP(Tabel10[[#This Row],[Code]],Ruimtegroepen[[Code]:[Ruimte omschrijving]],2,FALSE)</f>
        <v>Woonruimte</v>
      </c>
      <c r="C482" s="321" t="s">
        <v>682</v>
      </c>
      <c r="D482" s="320" t="s">
        <v>14</v>
      </c>
      <c r="E482" s="321" t="s">
        <v>99</v>
      </c>
      <c r="F482" s="321" t="s">
        <v>684</v>
      </c>
      <c r="G482" s="326" t="s">
        <v>282</v>
      </c>
      <c r="H482" s="322" t="s">
        <v>17</v>
      </c>
      <c r="I482" s="322" t="s">
        <v>282</v>
      </c>
      <c r="J482" s="322" t="s">
        <v>282</v>
      </c>
      <c r="K482" s="322" t="s">
        <v>282</v>
      </c>
      <c r="L482" s="322" t="s">
        <v>282</v>
      </c>
      <c r="M482" s="322" t="s">
        <v>282</v>
      </c>
      <c r="N482" s="322" t="s">
        <v>282</v>
      </c>
      <c r="O482" s="323" t="s">
        <v>17</v>
      </c>
      <c r="P482" s="323" t="s">
        <v>17</v>
      </c>
      <c r="Q482" s="323" t="s">
        <v>15</v>
      </c>
      <c r="R482" s="323" t="s">
        <v>15</v>
      </c>
      <c r="S482" s="323" t="s">
        <v>16</v>
      </c>
      <c r="T482" s="323" t="s">
        <v>329</v>
      </c>
      <c r="U482" s="323" t="s">
        <v>249</v>
      </c>
      <c r="V482" s="323" t="s">
        <v>282</v>
      </c>
      <c r="W482" s="324" t="s">
        <v>282</v>
      </c>
      <c r="X482" s="324" t="s">
        <v>282</v>
      </c>
      <c r="Y482" s="325" t="s">
        <v>282</v>
      </c>
    </row>
    <row r="483" spans="1:25">
      <c r="A483" s="319">
        <v>9</v>
      </c>
      <c r="B483" s="320" t="str">
        <f>VLOOKUP(Tabel10[[#This Row],[Code]],Ruimtegroepen[[Code]:[Ruimte omschrijving]],2,FALSE)</f>
        <v>Woonruimte</v>
      </c>
      <c r="C483" s="321" t="s">
        <v>682</v>
      </c>
      <c r="D483" s="320" t="s">
        <v>14</v>
      </c>
      <c r="E483" s="321" t="s">
        <v>1306</v>
      </c>
      <c r="F483" s="321" t="s">
        <v>1395</v>
      </c>
      <c r="G483" s="326" t="s">
        <v>282</v>
      </c>
      <c r="H483" s="322" t="s">
        <v>282</v>
      </c>
      <c r="I483" s="322" t="s">
        <v>15</v>
      </c>
      <c r="J483" s="322" t="s">
        <v>15</v>
      </c>
      <c r="K483" s="322" t="s">
        <v>283</v>
      </c>
      <c r="L483" s="322" t="s">
        <v>282</v>
      </c>
      <c r="M483" s="322" t="s">
        <v>282</v>
      </c>
      <c r="N483" s="322" t="s">
        <v>282</v>
      </c>
      <c r="O483" s="323" t="s">
        <v>17</v>
      </c>
      <c r="P483" s="323" t="s">
        <v>17</v>
      </c>
      <c r="Q483" s="323" t="s">
        <v>15</v>
      </c>
      <c r="R483" s="323" t="s">
        <v>15</v>
      </c>
      <c r="S483" s="323" t="s">
        <v>16</v>
      </c>
      <c r="T483" s="323" t="s">
        <v>329</v>
      </c>
      <c r="U483" s="323" t="s">
        <v>249</v>
      </c>
      <c r="V483" s="323" t="s">
        <v>282</v>
      </c>
      <c r="W483" s="324" t="s">
        <v>282</v>
      </c>
      <c r="X483" s="324" t="s">
        <v>282</v>
      </c>
      <c r="Y483" s="325" t="s">
        <v>282</v>
      </c>
    </row>
    <row r="484" spans="1:25">
      <c r="A484" s="319">
        <v>9</v>
      </c>
      <c r="B484" s="320" t="str">
        <f>VLOOKUP(Tabel10[[#This Row],[Code]],Ruimtegroepen[[Code]:[Ruimte omschrijving]],2,FALSE)</f>
        <v>Woonruimte</v>
      </c>
      <c r="C484" s="321" t="s">
        <v>687</v>
      </c>
      <c r="D484" s="320" t="s">
        <v>13</v>
      </c>
      <c r="E484" s="321" t="s">
        <v>100</v>
      </c>
      <c r="F484" s="321" t="s">
        <v>688</v>
      </c>
      <c r="G484" s="326" t="s">
        <v>282</v>
      </c>
      <c r="H484" s="322" t="s">
        <v>282</v>
      </c>
      <c r="I484" s="322" t="s">
        <v>282</v>
      </c>
      <c r="J484" s="322" t="s">
        <v>15</v>
      </c>
      <c r="K484" s="322" t="s">
        <v>282</v>
      </c>
      <c r="L484" s="322" t="s">
        <v>282</v>
      </c>
      <c r="M484" s="322" t="s">
        <v>282</v>
      </c>
      <c r="N484" s="322" t="s">
        <v>282</v>
      </c>
      <c r="O484" s="323" t="s">
        <v>15</v>
      </c>
      <c r="P484" s="323" t="s">
        <v>15</v>
      </c>
      <c r="Q484" s="323" t="s">
        <v>15</v>
      </c>
      <c r="R484" s="323" t="s">
        <v>15</v>
      </c>
      <c r="S484" s="323" t="s">
        <v>16</v>
      </c>
      <c r="T484" s="323" t="s">
        <v>329</v>
      </c>
      <c r="U484" s="323" t="s">
        <v>249</v>
      </c>
      <c r="V484" s="323" t="s">
        <v>282</v>
      </c>
      <c r="W484" s="324" t="s">
        <v>282</v>
      </c>
      <c r="X484" s="324" t="s">
        <v>282</v>
      </c>
      <c r="Y484" s="325" t="s">
        <v>282</v>
      </c>
    </row>
    <row r="485" spans="1:25">
      <c r="A485" s="319">
        <v>9</v>
      </c>
      <c r="B485" s="320" t="str">
        <f>VLOOKUP(Tabel10[[#This Row],[Code]],Ruimtegroepen[[Code]:[Ruimte omschrijving]],2,FALSE)</f>
        <v>Woonruimte</v>
      </c>
      <c r="C485" s="321" t="s">
        <v>687</v>
      </c>
      <c r="D485" s="320" t="s">
        <v>13</v>
      </c>
      <c r="E485" s="321" t="s">
        <v>99</v>
      </c>
      <c r="F485" s="321" t="s">
        <v>689</v>
      </c>
      <c r="G485" s="326" t="s">
        <v>282</v>
      </c>
      <c r="H485" s="322" t="s">
        <v>15</v>
      </c>
      <c r="I485" s="322" t="s">
        <v>282</v>
      </c>
      <c r="J485" s="322" t="s">
        <v>282</v>
      </c>
      <c r="K485" s="322" t="s">
        <v>282</v>
      </c>
      <c r="L485" s="322" t="s">
        <v>282</v>
      </c>
      <c r="M485" s="322" t="s">
        <v>282</v>
      </c>
      <c r="N485" s="322" t="s">
        <v>282</v>
      </c>
      <c r="O485" s="323" t="s">
        <v>15</v>
      </c>
      <c r="P485" s="323" t="s">
        <v>15</v>
      </c>
      <c r="Q485" s="323" t="s">
        <v>15</v>
      </c>
      <c r="R485" s="323" t="s">
        <v>15</v>
      </c>
      <c r="S485" s="323" t="s">
        <v>16</v>
      </c>
      <c r="T485" s="323" t="s">
        <v>329</v>
      </c>
      <c r="U485" s="323" t="s">
        <v>249</v>
      </c>
      <c r="V485" s="323" t="s">
        <v>282</v>
      </c>
      <c r="W485" s="324" t="s">
        <v>282</v>
      </c>
      <c r="X485" s="324" t="s">
        <v>282</v>
      </c>
      <c r="Y485" s="325" t="s">
        <v>282</v>
      </c>
    </row>
    <row r="486" spans="1:25">
      <c r="A486" s="319">
        <v>9</v>
      </c>
      <c r="B486" s="320" t="str">
        <f>VLOOKUP(Tabel10[[#This Row],[Code]],Ruimtegroepen[[Code]:[Ruimte omschrijving]],2,FALSE)</f>
        <v>Woonruimte</v>
      </c>
      <c r="C486" s="321" t="s">
        <v>687</v>
      </c>
      <c r="D486" s="320" t="s">
        <v>13</v>
      </c>
      <c r="E486" s="321" t="s">
        <v>101</v>
      </c>
      <c r="F486" s="321" t="s">
        <v>690</v>
      </c>
      <c r="G486" s="326" t="s">
        <v>282</v>
      </c>
      <c r="H486" s="322" t="s">
        <v>282</v>
      </c>
      <c r="I486" s="322" t="s">
        <v>282</v>
      </c>
      <c r="J486" s="322" t="s">
        <v>15</v>
      </c>
      <c r="K486" s="322" t="s">
        <v>283</v>
      </c>
      <c r="L486" s="322" t="s">
        <v>282</v>
      </c>
      <c r="M486" s="322" t="s">
        <v>282</v>
      </c>
      <c r="N486" s="322" t="s">
        <v>282</v>
      </c>
      <c r="O486" s="323" t="s">
        <v>15</v>
      </c>
      <c r="P486" s="323" t="s">
        <v>15</v>
      </c>
      <c r="Q486" s="323" t="s">
        <v>15</v>
      </c>
      <c r="R486" s="323" t="s">
        <v>15</v>
      </c>
      <c r="S486" s="323" t="s">
        <v>16</v>
      </c>
      <c r="T486" s="323" t="s">
        <v>329</v>
      </c>
      <c r="U486" s="323" t="s">
        <v>249</v>
      </c>
      <c r="V486" s="323" t="s">
        <v>282</v>
      </c>
      <c r="W486" s="324" t="s">
        <v>282</v>
      </c>
      <c r="X486" s="324" t="s">
        <v>282</v>
      </c>
      <c r="Y486" s="325" t="s">
        <v>282</v>
      </c>
    </row>
    <row r="487" spans="1:25">
      <c r="A487" s="319">
        <v>9</v>
      </c>
      <c r="B487" s="320" t="str">
        <f>VLOOKUP(Tabel10[[#This Row],[Code]],Ruimtegroepen[[Code]:[Ruimte omschrijving]],2,FALSE)</f>
        <v>Woonruimte</v>
      </c>
      <c r="C487" s="321" t="s">
        <v>687</v>
      </c>
      <c r="D487" s="320" t="s">
        <v>13</v>
      </c>
      <c r="E487" s="321" t="s">
        <v>102</v>
      </c>
      <c r="F487" s="321" t="s">
        <v>691</v>
      </c>
      <c r="G487" s="326" t="s">
        <v>282</v>
      </c>
      <c r="H487" s="322" t="s">
        <v>282</v>
      </c>
      <c r="I487" s="322" t="s">
        <v>282</v>
      </c>
      <c r="J487" s="322" t="s">
        <v>15</v>
      </c>
      <c r="K487" s="322" t="s">
        <v>283</v>
      </c>
      <c r="L487" s="322" t="s">
        <v>282</v>
      </c>
      <c r="M487" s="322" t="s">
        <v>282</v>
      </c>
      <c r="N487" s="322" t="s">
        <v>282</v>
      </c>
      <c r="O487" s="323" t="s">
        <v>15</v>
      </c>
      <c r="P487" s="323" t="s">
        <v>15</v>
      </c>
      <c r="Q487" s="323" t="s">
        <v>15</v>
      </c>
      <c r="R487" s="323" t="s">
        <v>15</v>
      </c>
      <c r="S487" s="323" t="s">
        <v>16</v>
      </c>
      <c r="T487" s="323" t="s">
        <v>329</v>
      </c>
      <c r="U487" s="323" t="s">
        <v>249</v>
      </c>
      <c r="V487" s="323" t="s">
        <v>282</v>
      </c>
      <c r="W487" s="324" t="s">
        <v>282</v>
      </c>
      <c r="X487" s="324" t="s">
        <v>282</v>
      </c>
      <c r="Y487" s="325" t="s">
        <v>282</v>
      </c>
    </row>
    <row r="488" spans="1:25">
      <c r="A488" s="319">
        <v>9</v>
      </c>
      <c r="B488" s="320" t="str">
        <f>VLOOKUP(Tabel10[[#This Row],[Code]],Ruimtegroepen[[Code]:[Ruimte omschrijving]],2,FALSE)</f>
        <v>Woonruimte</v>
      </c>
      <c r="C488" s="321" t="s">
        <v>687</v>
      </c>
      <c r="D488" s="320" t="s">
        <v>13</v>
      </c>
      <c r="E488" s="321" t="s">
        <v>99</v>
      </c>
      <c r="F488" s="321" t="s">
        <v>689</v>
      </c>
      <c r="G488" s="326" t="s">
        <v>282</v>
      </c>
      <c r="H488" s="322" t="s">
        <v>15</v>
      </c>
      <c r="I488" s="322" t="s">
        <v>282</v>
      </c>
      <c r="J488" s="322" t="s">
        <v>282</v>
      </c>
      <c r="K488" s="322" t="s">
        <v>282</v>
      </c>
      <c r="L488" s="322" t="s">
        <v>282</v>
      </c>
      <c r="M488" s="322" t="s">
        <v>282</v>
      </c>
      <c r="N488" s="322" t="s">
        <v>282</v>
      </c>
      <c r="O488" s="323" t="s">
        <v>15</v>
      </c>
      <c r="P488" s="323" t="s">
        <v>15</v>
      </c>
      <c r="Q488" s="323" t="s">
        <v>15</v>
      </c>
      <c r="R488" s="323" t="s">
        <v>15</v>
      </c>
      <c r="S488" s="323" t="s">
        <v>16</v>
      </c>
      <c r="T488" s="323" t="s">
        <v>329</v>
      </c>
      <c r="U488" s="323" t="s">
        <v>249</v>
      </c>
      <c r="V488" s="323" t="s">
        <v>282</v>
      </c>
      <c r="W488" s="324" t="s">
        <v>282</v>
      </c>
      <c r="X488" s="324" t="s">
        <v>282</v>
      </c>
      <c r="Y488" s="325" t="s">
        <v>282</v>
      </c>
    </row>
    <row r="489" spans="1:25">
      <c r="A489" s="319">
        <v>9</v>
      </c>
      <c r="B489" s="320" t="str">
        <f>VLOOKUP(Tabel10[[#This Row],[Code]],Ruimtegroepen[[Code]:[Ruimte omschrijving]],2,FALSE)</f>
        <v>Woonruimte</v>
      </c>
      <c r="C489" s="321" t="s">
        <v>687</v>
      </c>
      <c r="D489" s="320" t="s">
        <v>13</v>
      </c>
      <c r="E489" s="321" t="s">
        <v>1306</v>
      </c>
      <c r="F489" s="321" t="s">
        <v>1362</v>
      </c>
      <c r="G489" s="326" t="s">
        <v>282</v>
      </c>
      <c r="H489" s="322" t="s">
        <v>282</v>
      </c>
      <c r="I489" s="322" t="s">
        <v>282</v>
      </c>
      <c r="J489" s="322" t="s">
        <v>15</v>
      </c>
      <c r="K489" s="322" t="s">
        <v>283</v>
      </c>
      <c r="L489" s="322" t="s">
        <v>282</v>
      </c>
      <c r="M489" s="322" t="s">
        <v>282</v>
      </c>
      <c r="N489" s="322" t="s">
        <v>282</v>
      </c>
      <c r="O489" s="323" t="s">
        <v>15</v>
      </c>
      <c r="P489" s="323" t="s">
        <v>15</v>
      </c>
      <c r="Q489" s="323" t="s">
        <v>15</v>
      </c>
      <c r="R489" s="323" t="s">
        <v>15</v>
      </c>
      <c r="S489" s="323" t="s">
        <v>16</v>
      </c>
      <c r="T489" s="323" t="s">
        <v>329</v>
      </c>
      <c r="U489" s="323" t="s">
        <v>249</v>
      </c>
      <c r="V489" s="323" t="s">
        <v>282</v>
      </c>
      <c r="W489" s="324" t="s">
        <v>282</v>
      </c>
      <c r="X489" s="324" t="s">
        <v>282</v>
      </c>
      <c r="Y489" s="325" t="s">
        <v>282</v>
      </c>
    </row>
    <row r="490" spans="1:25">
      <c r="A490" s="319">
        <v>9</v>
      </c>
      <c r="B490" s="320" t="str">
        <f>VLOOKUP(Tabel10[[#This Row],[Code]],Ruimtegroepen[[Code]:[Ruimte omschrijving]],2,FALSE)</f>
        <v>Woonruimte</v>
      </c>
      <c r="C490" s="321" t="s">
        <v>692</v>
      </c>
      <c r="D490" s="320" t="s">
        <v>0</v>
      </c>
      <c r="E490" s="321" t="s">
        <v>100</v>
      </c>
      <c r="F490" s="321" t="s">
        <v>693</v>
      </c>
      <c r="G490" s="326" t="s">
        <v>282</v>
      </c>
      <c r="H490" s="322" t="s">
        <v>282</v>
      </c>
      <c r="I490" s="322" t="s">
        <v>282</v>
      </c>
      <c r="J490" s="322" t="s">
        <v>16</v>
      </c>
      <c r="K490" s="322" t="s">
        <v>282</v>
      </c>
      <c r="L490" s="322" t="s">
        <v>282</v>
      </c>
      <c r="M490" s="322" t="s">
        <v>282</v>
      </c>
      <c r="N490" s="322" t="s">
        <v>282</v>
      </c>
      <c r="O490" s="323" t="s">
        <v>16</v>
      </c>
      <c r="P490" s="323" t="s">
        <v>16</v>
      </c>
      <c r="Q490" s="323" t="s">
        <v>16</v>
      </c>
      <c r="R490" s="323" t="s">
        <v>16</v>
      </c>
      <c r="S490" s="323" t="s">
        <v>16</v>
      </c>
      <c r="T490" s="323" t="s">
        <v>329</v>
      </c>
      <c r="U490" s="323" t="s">
        <v>249</v>
      </c>
      <c r="V490" s="323" t="s">
        <v>282</v>
      </c>
      <c r="W490" s="324" t="s">
        <v>282</v>
      </c>
      <c r="X490" s="324" t="s">
        <v>282</v>
      </c>
      <c r="Y490" s="325" t="s">
        <v>282</v>
      </c>
    </row>
    <row r="491" spans="1:25">
      <c r="A491" s="319">
        <v>9</v>
      </c>
      <c r="B491" s="320" t="str">
        <f>VLOOKUP(Tabel10[[#This Row],[Code]],Ruimtegroepen[[Code]:[Ruimte omschrijving]],2,FALSE)</f>
        <v>Woonruimte</v>
      </c>
      <c r="C491" s="321" t="s">
        <v>692</v>
      </c>
      <c r="D491" s="320" t="s">
        <v>0</v>
      </c>
      <c r="E491" s="321" t="s">
        <v>99</v>
      </c>
      <c r="F491" s="321" t="s">
        <v>694</v>
      </c>
      <c r="G491" s="326" t="s">
        <v>282</v>
      </c>
      <c r="H491" s="322" t="s">
        <v>16</v>
      </c>
      <c r="I491" s="322" t="s">
        <v>282</v>
      </c>
      <c r="J491" s="322" t="s">
        <v>282</v>
      </c>
      <c r="K491" s="322" t="s">
        <v>282</v>
      </c>
      <c r="L491" s="322" t="s">
        <v>282</v>
      </c>
      <c r="M491" s="322" t="s">
        <v>282</v>
      </c>
      <c r="N491" s="322" t="s">
        <v>282</v>
      </c>
      <c r="O491" s="323" t="s">
        <v>16</v>
      </c>
      <c r="P491" s="323" t="s">
        <v>16</v>
      </c>
      <c r="Q491" s="323" t="s">
        <v>16</v>
      </c>
      <c r="R491" s="323" t="s">
        <v>16</v>
      </c>
      <c r="S491" s="323" t="s">
        <v>16</v>
      </c>
      <c r="T491" s="323" t="s">
        <v>329</v>
      </c>
      <c r="U491" s="323" t="s">
        <v>249</v>
      </c>
      <c r="V491" s="323" t="s">
        <v>282</v>
      </c>
      <c r="W491" s="324" t="s">
        <v>282</v>
      </c>
      <c r="X491" s="324" t="s">
        <v>282</v>
      </c>
      <c r="Y491" s="325" t="s">
        <v>282</v>
      </c>
    </row>
    <row r="492" spans="1:25">
      <c r="A492" s="319">
        <v>9</v>
      </c>
      <c r="B492" s="320" t="str">
        <f>VLOOKUP(Tabel10[[#This Row],[Code]],Ruimtegroepen[[Code]:[Ruimte omschrijving]],2,FALSE)</f>
        <v>Woonruimte</v>
      </c>
      <c r="C492" s="321" t="s">
        <v>692</v>
      </c>
      <c r="D492" s="320" t="s">
        <v>0</v>
      </c>
      <c r="E492" s="321" t="s">
        <v>101</v>
      </c>
      <c r="F492" s="321" t="s">
        <v>695</v>
      </c>
      <c r="G492" s="326" t="s">
        <v>282</v>
      </c>
      <c r="H492" s="322" t="s">
        <v>282</v>
      </c>
      <c r="I492" s="322" t="s">
        <v>282</v>
      </c>
      <c r="J492" s="322" t="s">
        <v>16</v>
      </c>
      <c r="K492" s="322" t="s">
        <v>283</v>
      </c>
      <c r="L492" s="322" t="s">
        <v>282</v>
      </c>
      <c r="M492" s="322" t="s">
        <v>282</v>
      </c>
      <c r="N492" s="322" t="s">
        <v>282</v>
      </c>
      <c r="O492" s="323" t="s">
        <v>16</v>
      </c>
      <c r="P492" s="323" t="s">
        <v>16</v>
      </c>
      <c r="Q492" s="323" t="s">
        <v>16</v>
      </c>
      <c r="R492" s="323" t="s">
        <v>16</v>
      </c>
      <c r="S492" s="323" t="s">
        <v>16</v>
      </c>
      <c r="T492" s="323" t="s">
        <v>329</v>
      </c>
      <c r="U492" s="323" t="s">
        <v>249</v>
      </c>
      <c r="V492" s="323" t="s">
        <v>282</v>
      </c>
      <c r="W492" s="324" t="s">
        <v>282</v>
      </c>
      <c r="X492" s="324" t="s">
        <v>282</v>
      </c>
      <c r="Y492" s="325" t="s">
        <v>282</v>
      </c>
    </row>
    <row r="493" spans="1:25">
      <c r="A493" s="319">
        <v>9</v>
      </c>
      <c r="B493" s="320" t="str">
        <f>VLOOKUP(Tabel10[[#This Row],[Code]],Ruimtegroepen[[Code]:[Ruimte omschrijving]],2,FALSE)</f>
        <v>Woonruimte</v>
      </c>
      <c r="C493" s="321" t="s">
        <v>692</v>
      </c>
      <c r="D493" s="320" t="s">
        <v>0</v>
      </c>
      <c r="E493" s="321" t="s">
        <v>102</v>
      </c>
      <c r="F493" s="321" t="s">
        <v>696</v>
      </c>
      <c r="G493" s="326" t="s">
        <v>282</v>
      </c>
      <c r="H493" s="322" t="s">
        <v>282</v>
      </c>
      <c r="I493" s="322" t="s">
        <v>282</v>
      </c>
      <c r="J493" s="322" t="s">
        <v>16</v>
      </c>
      <c r="K493" s="322" t="s">
        <v>283</v>
      </c>
      <c r="L493" s="322" t="s">
        <v>282</v>
      </c>
      <c r="M493" s="322" t="s">
        <v>282</v>
      </c>
      <c r="N493" s="322" t="s">
        <v>282</v>
      </c>
      <c r="O493" s="323" t="s">
        <v>16</v>
      </c>
      <c r="P493" s="323" t="s">
        <v>16</v>
      </c>
      <c r="Q493" s="323" t="s">
        <v>16</v>
      </c>
      <c r="R493" s="323" t="s">
        <v>16</v>
      </c>
      <c r="S493" s="323" t="s">
        <v>16</v>
      </c>
      <c r="T493" s="323" t="s">
        <v>329</v>
      </c>
      <c r="U493" s="323" t="s">
        <v>249</v>
      </c>
      <c r="V493" s="323" t="s">
        <v>282</v>
      </c>
      <c r="W493" s="324" t="s">
        <v>282</v>
      </c>
      <c r="X493" s="324" t="s">
        <v>282</v>
      </c>
      <c r="Y493" s="325" t="s">
        <v>282</v>
      </c>
    </row>
    <row r="494" spans="1:25">
      <c r="A494" s="319">
        <v>9</v>
      </c>
      <c r="B494" s="320" t="str">
        <f>VLOOKUP(Tabel10[[#This Row],[Code]],Ruimtegroepen[[Code]:[Ruimte omschrijving]],2,FALSE)</f>
        <v>Woonruimte</v>
      </c>
      <c r="C494" s="321" t="s">
        <v>692</v>
      </c>
      <c r="D494" s="320" t="s">
        <v>0</v>
      </c>
      <c r="E494" s="321" t="s">
        <v>99</v>
      </c>
      <c r="F494" s="321" t="s">
        <v>694</v>
      </c>
      <c r="G494" s="326" t="s">
        <v>282</v>
      </c>
      <c r="H494" s="322" t="s">
        <v>16</v>
      </c>
      <c r="I494" s="322" t="s">
        <v>282</v>
      </c>
      <c r="J494" s="322" t="s">
        <v>282</v>
      </c>
      <c r="K494" s="322" t="s">
        <v>282</v>
      </c>
      <c r="L494" s="322" t="s">
        <v>282</v>
      </c>
      <c r="M494" s="322" t="s">
        <v>282</v>
      </c>
      <c r="N494" s="322" t="s">
        <v>282</v>
      </c>
      <c r="O494" s="323" t="s">
        <v>16</v>
      </c>
      <c r="P494" s="323" t="s">
        <v>16</v>
      </c>
      <c r="Q494" s="323" t="s">
        <v>16</v>
      </c>
      <c r="R494" s="323" t="s">
        <v>16</v>
      </c>
      <c r="S494" s="323" t="s">
        <v>16</v>
      </c>
      <c r="T494" s="323" t="s">
        <v>329</v>
      </c>
      <c r="U494" s="323" t="s">
        <v>249</v>
      </c>
      <c r="V494" s="323" t="s">
        <v>282</v>
      </c>
      <c r="W494" s="324" t="s">
        <v>282</v>
      </c>
      <c r="X494" s="324" t="s">
        <v>282</v>
      </c>
      <c r="Y494" s="325" t="s">
        <v>282</v>
      </c>
    </row>
    <row r="495" spans="1:25">
      <c r="A495" s="319">
        <v>9</v>
      </c>
      <c r="B495" s="320" t="str">
        <f>VLOOKUP(Tabel10[[#This Row],[Code]],Ruimtegroepen[[Code]:[Ruimte omschrijving]],2,FALSE)</f>
        <v>Woonruimte</v>
      </c>
      <c r="C495" s="321" t="s">
        <v>692</v>
      </c>
      <c r="D495" s="320" t="s">
        <v>0</v>
      </c>
      <c r="E495" s="321" t="s">
        <v>1306</v>
      </c>
      <c r="F495" s="321" t="s">
        <v>1346</v>
      </c>
      <c r="G495" s="326" t="s">
        <v>282</v>
      </c>
      <c r="H495" s="322" t="s">
        <v>282</v>
      </c>
      <c r="I495" s="322" t="s">
        <v>282</v>
      </c>
      <c r="J495" s="322" t="s">
        <v>16</v>
      </c>
      <c r="K495" s="322" t="s">
        <v>283</v>
      </c>
      <c r="L495" s="322" t="s">
        <v>282</v>
      </c>
      <c r="M495" s="322" t="s">
        <v>282</v>
      </c>
      <c r="N495" s="322" t="s">
        <v>282</v>
      </c>
      <c r="O495" s="323" t="s">
        <v>16</v>
      </c>
      <c r="P495" s="323" t="s">
        <v>16</v>
      </c>
      <c r="Q495" s="323" t="s">
        <v>16</v>
      </c>
      <c r="R495" s="323" t="s">
        <v>16</v>
      </c>
      <c r="S495" s="323" t="s">
        <v>16</v>
      </c>
      <c r="T495" s="323" t="s">
        <v>329</v>
      </c>
      <c r="U495" s="323" t="s">
        <v>249</v>
      </c>
      <c r="V495" s="323" t="s">
        <v>282</v>
      </c>
      <c r="W495" s="324" t="s">
        <v>282</v>
      </c>
      <c r="X495" s="324" t="s">
        <v>282</v>
      </c>
      <c r="Y495" s="325" t="s">
        <v>282</v>
      </c>
    </row>
    <row r="496" spans="1:25">
      <c r="A496" s="319">
        <v>9</v>
      </c>
      <c r="B496" s="320" t="str">
        <f>VLOOKUP(Tabel10[[#This Row],[Code]],Ruimtegroepen[[Code]:[Ruimte omschrijving]],2,FALSE)</f>
        <v>Woonruimte</v>
      </c>
      <c r="C496" s="321" t="s">
        <v>697</v>
      </c>
      <c r="D496" s="320" t="s">
        <v>27</v>
      </c>
      <c r="E496" s="321" t="s">
        <v>100</v>
      </c>
      <c r="F496" s="321" t="s">
        <v>698</v>
      </c>
      <c r="G496" s="326" t="s">
        <v>282</v>
      </c>
      <c r="H496" s="322" t="s">
        <v>282</v>
      </c>
      <c r="I496" s="322" t="s">
        <v>15</v>
      </c>
      <c r="J496" s="322" t="s">
        <v>282</v>
      </c>
      <c r="K496" s="322" t="s">
        <v>282</v>
      </c>
      <c r="L496" s="322" t="s">
        <v>282</v>
      </c>
      <c r="M496" s="322" t="s">
        <v>282</v>
      </c>
      <c r="N496" s="322" t="s">
        <v>282</v>
      </c>
      <c r="O496" s="323" t="s">
        <v>15</v>
      </c>
      <c r="P496" s="323" t="s">
        <v>15</v>
      </c>
      <c r="Q496" s="323" t="s">
        <v>15</v>
      </c>
      <c r="R496" s="323" t="s">
        <v>282</v>
      </c>
      <c r="S496" s="323" t="s">
        <v>282</v>
      </c>
      <c r="T496" s="323" t="s">
        <v>282</v>
      </c>
      <c r="U496" s="323" t="s">
        <v>282</v>
      </c>
      <c r="V496" s="323" t="s">
        <v>282</v>
      </c>
      <c r="W496" s="324" t="s">
        <v>282</v>
      </c>
      <c r="X496" s="324" t="s">
        <v>282</v>
      </c>
      <c r="Y496" s="325" t="s">
        <v>282</v>
      </c>
    </row>
    <row r="497" spans="1:25">
      <c r="A497" s="319">
        <v>9</v>
      </c>
      <c r="B497" s="320" t="str">
        <f>VLOOKUP(Tabel10[[#This Row],[Code]],Ruimtegroepen[[Code]:[Ruimte omschrijving]],2,FALSE)</f>
        <v>Woonruimte</v>
      </c>
      <c r="C497" s="321" t="s">
        <v>697</v>
      </c>
      <c r="D497" s="320" t="s">
        <v>27</v>
      </c>
      <c r="E497" s="321" t="s">
        <v>99</v>
      </c>
      <c r="F497" s="321" t="s">
        <v>699</v>
      </c>
      <c r="G497" s="326" t="s">
        <v>282</v>
      </c>
      <c r="H497" s="322" t="s">
        <v>15</v>
      </c>
      <c r="I497" s="322" t="s">
        <v>282</v>
      </c>
      <c r="J497" s="322" t="s">
        <v>282</v>
      </c>
      <c r="K497" s="322" t="s">
        <v>282</v>
      </c>
      <c r="L497" s="322" t="s">
        <v>282</v>
      </c>
      <c r="M497" s="322" t="s">
        <v>282</v>
      </c>
      <c r="N497" s="322" t="s">
        <v>282</v>
      </c>
      <c r="O497" s="323" t="s">
        <v>15</v>
      </c>
      <c r="P497" s="323" t="s">
        <v>15</v>
      </c>
      <c r="Q497" s="323" t="s">
        <v>15</v>
      </c>
      <c r="R497" s="323" t="s">
        <v>282</v>
      </c>
      <c r="S497" s="323" t="s">
        <v>282</v>
      </c>
      <c r="T497" s="323" t="s">
        <v>282</v>
      </c>
      <c r="U497" s="323" t="s">
        <v>282</v>
      </c>
      <c r="V497" s="323" t="s">
        <v>282</v>
      </c>
      <c r="W497" s="324" t="s">
        <v>282</v>
      </c>
      <c r="X497" s="324" t="s">
        <v>282</v>
      </c>
      <c r="Y497" s="325" t="s">
        <v>282</v>
      </c>
    </row>
    <row r="498" spans="1:25">
      <c r="A498" s="319">
        <v>9</v>
      </c>
      <c r="B498" s="320" t="str">
        <f>VLOOKUP(Tabel10[[#This Row],[Code]],Ruimtegroepen[[Code]:[Ruimte omschrijving]],2,FALSE)</f>
        <v>Woonruimte</v>
      </c>
      <c r="C498" s="321" t="s">
        <v>697</v>
      </c>
      <c r="D498" s="320" t="s">
        <v>27</v>
      </c>
      <c r="E498" s="321" t="s">
        <v>101</v>
      </c>
      <c r="F498" s="321" t="s">
        <v>700</v>
      </c>
      <c r="G498" s="326" t="s">
        <v>282</v>
      </c>
      <c r="H498" s="322" t="s">
        <v>282</v>
      </c>
      <c r="I498" s="322" t="s">
        <v>15</v>
      </c>
      <c r="J498" s="322" t="s">
        <v>282</v>
      </c>
      <c r="K498" s="322" t="s">
        <v>282</v>
      </c>
      <c r="L498" s="322" t="s">
        <v>282</v>
      </c>
      <c r="M498" s="322" t="s">
        <v>282</v>
      </c>
      <c r="N498" s="322" t="s">
        <v>282</v>
      </c>
      <c r="O498" s="323" t="s">
        <v>15</v>
      </c>
      <c r="P498" s="323" t="s">
        <v>15</v>
      </c>
      <c r="Q498" s="323" t="s">
        <v>15</v>
      </c>
      <c r="R498" s="323" t="s">
        <v>282</v>
      </c>
      <c r="S498" s="323" t="s">
        <v>282</v>
      </c>
      <c r="T498" s="323" t="s">
        <v>282</v>
      </c>
      <c r="U498" s="323" t="s">
        <v>282</v>
      </c>
      <c r="V498" s="323" t="s">
        <v>282</v>
      </c>
      <c r="W498" s="324" t="s">
        <v>282</v>
      </c>
      <c r="X498" s="324" t="s">
        <v>282</v>
      </c>
      <c r="Y498" s="325" t="s">
        <v>282</v>
      </c>
    </row>
    <row r="499" spans="1:25">
      <c r="A499" s="319">
        <v>9</v>
      </c>
      <c r="B499" s="320" t="str">
        <f>VLOOKUP(Tabel10[[#This Row],[Code]],Ruimtegroepen[[Code]:[Ruimte omschrijving]],2,FALSE)</f>
        <v>Woonruimte</v>
      </c>
      <c r="C499" s="321" t="s">
        <v>697</v>
      </c>
      <c r="D499" s="320" t="s">
        <v>27</v>
      </c>
      <c r="E499" s="321" t="s">
        <v>102</v>
      </c>
      <c r="F499" s="321" t="s">
        <v>701</v>
      </c>
      <c r="G499" s="326" t="s">
        <v>282</v>
      </c>
      <c r="H499" s="322" t="s">
        <v>282</v>
      </c>
      <c r="I499" s="322" t="s">
        <v>15</v>
      </c>
      <c r="J499" s="322" t="s">
        <v>282</v>
      </c>
      <c r="K499" s="322" t="s">
        <v>282</v>
      </c>
      <c r="L499" s="322" t="s">
        <v>282</v>
      </c>
      <c r="M499" s="322" t="s">
        <v>282</v>
      </c>
      <c r="N499" s="322" t="s">
        <v>282</v>
      </c>
      <c r="O499" s="323" t="s">
        <v>15</v>
      </c>
      <c r="P499" s="323" t="s">
        <v>15</v>
      </c>
      <c r="Q499" s="323" t="s">
        <v>15</v>
      </c>
      <c r="R499" s="323" t="s">
        <v>282</v>
      </c>
      <c r="S499" s="323" t="s">
        <v>282</v>
      </c>
      <c r="T499" s="323" t="s">
        <v>282</v>
      </c>
      <c r="U499" s="323" t="s">
        <v>282</v>
      </c>
      <c r="V499" s="323" t="s">
        <v>282</v>
      </c>
      <c r="W499" s="324" t="s">
        <v>282</v>
      </c>
      <c r="X499" s="324" t="s">
        <v>282</v>
      </c>
      <c r="Y499" s="325" t="s">
        <v>282</v>
      </c>
    </row>
    <row r="500" spans="1:25">
      <c r="A500" s="319">
        <v>9</v>
      </c>
      <c r="B500" s="320" t="str">
        <f>VLOOKUP(Tabel10[[#This Row],[Code]],Ruimtegroepen[[Code]:[Ruimte omschrijving]],2,FALSE)</f>
        <v>Woonruimte</v>
      </c>
      <c r="C500" s="321" t="s">
        <v>697</v>
      </c>
      <c r="D500" s="320" t="s">
        <v>27</v>
      </c>
      <c r="E500" s="321" t="s">
        <v>99</v>
      </c>
      <c r="F500" s="321" t="s">
        <v>699</v>
      </c>
      <c r="G500" s="326" t="s">
        <v>282</v>
      </c>
      <c r="H500" s="322" t="s">
        <v>15</v>
      </c>
      <c r="I500" s="322" t="s">
        <v>282</v>
      </c>
      <c r="J500" s="322" t="s">
        <v>282</v>
      </c>
      <c r="K500" s="322" t="s">
        <v>282</v>
      </c>
      <c r="L500" s="322" t="s">
        <v>282</v>
      </c>
      <c r="M500" s="322" t="s">
        <v>282</v>
      </c>
      <c r="N500" s="322" t="s">
        <v>282</v>
      </c>
      <c r="O500" s="323" t="s">
        <v>15</v>
      </c>
      <c r="P500" s="323" t="s">
        <v>15</v>
      </c>
      <c r="Q500" s="323" t="s">
        <v>15</v>
      </c>
      <c r="R500" s="323" t="s">
        <v>282</v>
      </c>
      <c r="S500" s="323" t="s">
        <v>282</v>
      </c>
      <c r="T500" s="323" t="s">
        <v>282</v>
      </c>
      <c r="U500" s="323" t="s">
        <v>282</v>
      </c>
      <c r="V500" s="323" t="s">
        <v>282</v>
      </c>
      <c r="W500" s="324" t="s">
        <v>282</v>
      </c>
      <c r="X500" s="324" t="s">
        <v>282</v>
      </c>
      <c r="Y500" s="325" t="s">
        <v>282</v>
      </c>
    </row>
    <row r="501" spans="1:25">
      <c r="A501" s="319">
        <v>9</v>
      </c>
      <c r="B501" s="320" t="str">
        <f>VLOOKUP(Tabel10[[#This Row],[Code]],Ruimtegroepen[[Code]:[Ruimte omschrijving]],2,FALSE)</f>
        <v>Woonruimte</v>
      </c>
      <c r="C501" s="321" t="s">
        <v>697</v>
      </c>
      <c r="D501" s="320" t="s">
        <v>27</v>
      </c>
      <c r="E501" s="321" t="s">
        <v>1306</v>
      </c>
      <c r="F501" s="321" t="s">
        <v>1379</v>
      </c>
      <c r="G501" s="326" t="s">
        <v>282</v>
      </c>
      <c r="H501" s="322" t="s">
        <v>282</v>
      </c>
      <c r="I501" s="322" t="s">
        <v>15</v>
      </c>
      <c r="J501" s="322" t="s">
        <v>282</v>
      </c>
      <c r="K501" s="322" t="s">
        <v>282</v>
      </c>
      <c r="L501" s="322" t="s">
        <v>282</v>
      </c>
      <c r="M501" s="322" t="s">
        <v>282</v>
      </c>
      <c r="N501" s="322" t="s">
        <v>282</v>
      </c>
      <c r="O501" s="323" t="s">
        <v>15</v>
      </c>
      <c r="P501" s="323" t="s">
        <v>15</v>
      </c>
      <c r="Q501" s="323" t="s">
        <v>15</v>
      </c>
      <c r="R501" s="323" t="s">
        <v>282</v>
      </c>
      <c r="S501" s="323" t="s">
        <v>282</v>
      </c>
      <c r="T501" s="323" t="s">
        <v>282</v>
      </c>
      <c r="U501" s="323" t="s">
        <v>282</v>
      </c>
      <c r="V501" s="323" t="s">
        <v>282</v>
      </c>
      <c r="W501" s="324" t="s">
        <v>282</v>
      </c>
      <c r="X501" s="324" t="s">
        <v>282</v>
      </c>
      <c r="Y501" s="325" t="s">
        <v>282</v>
      </c>
    </row>
    <row r="502" spans="1:25">
      <c r="A502" s="319">
        <v>9</v>
      </c>
      <c r="B502" s="320" t="str">
        <f>VLOOKUP(Tabel10[[#This Row],[Code]],Ruimtegroepen[[Code]:[Ruimte omschrijving]],2,FALSE)</f>
        <v>Woonruimte</v>
      </c>
      <c r="C502" s="321" t="s">
        <v>702</v>
      </c>
      <c r="D502" s="320" t="s">
        <v>28</v>
      </c>
      <c r="E502" s="321" t="s">
        <v>100</v>
      </c>
      <c r="F502" s="321" t="s">
        <v>703</v>
      </c>
      <c r="G502" s="326" t="s">
        <v>282</v>
      </c>
      <c r="H502" s="322" t="s">
        <v>282</v>
      </c>
      <c r="I502" s="322" t="s">
        <v>17</v>
      </c>
      <c r="J502" s="322" t="s">
        <v>282</v>
      </c>
      <c r="K502" s="322" t="s">
        <v>282</v>
      </c>
      <c r="L502" s="322" t="s">
        <v>282</v>
      </c>
      <c r="M502" s="322" t="s">
        <v>282</v>
      </c>
      <c r="N502" s="322" t="s">
        <v>282</v>
      </c>
      <c r="O502" s="323" t="s">
        <v>17</v>
      </c>
      <c r="P502" s="323" t="s">
        <v>17</v>
      </c>
      <c r="Q502" s="323" t="s">
        <v>15</v>
      </c>
      <c r="R502" s="323" t="s">
        <v>282</v>
      </c>
      <c r="S502" s="323" t="s">
        <v>282</v>
      </c>
      <c r="T502" s="323" t="s">
        <v>282</v>
      </c>
      <c r="U502" s="323" t="s">
        <v>282</v>
      </c>
      <c r="V502" s="323" t="s">
        <v>282</v>
      </c>
      <c r="W502" s="324" t="s">
        <v>282</v>
      </c>
      <c r="X502" s="324" t="s">
        <v>282</v>
      </c>
      <c r="Y502" s="325" t="s">
        <v>282</v>
      </c>
    </row>
    <row r="503" spans="1:25">
      <c r="A503" s="319">
        <v>9</v>
      </c>
      <c r="B503" s="320" t="str">
        <f>VLOOKUP(Tabel10[[#This Row],[Code]],Ruimtegroepen[[Code]:[Ruimte omschrijving]],2,FALSE)</f>
        <v>Woonruimte</v>
      </c>
      <c r="C503" s="321" t="s">
        <v>702</v>
      </c>
      <c r="D503" s="320" t="s">
        <v>28</v>
      </c>
      <c r="E503" s="321" t="s">
        <v>99</v>
      </c>
      <c r="F503" s="321" t="s">
        <v>704</v>
      </c>
      <c r="G503" s="326" t="s">
        <v>282</v>
      </c>
      <c r="H503" s="322" t="s">
        <v>17</v>
      </c>
      <c r="I503" s="322" t="s">
        <v>282</v>
      </c>
      <c r="J503" s="322" t="s">
        <v>282</v>
      </c>
      <c r="K503" s="322" t="s">
        <v>282</v>
      </c>
      <c r="L503" s="322" t="s">
        <v>282</v>
      </c>
      <c r="M503" s="322" t="s">
        <v>282</v>
      </c>
      <c r="N503" s="322" t="s">
        <v>282</v>
      </c>
      <c r="O503" s="323" t="s">
        <v>17</v>
      </c>
      <c r="P503" s="323" t="s">
        <v>17</v>
      </c>
      <c r="Q503" s="323" t="s">
        <v>15</v>
      </c>
      <c r="R503" s="323" t="s">
        <v>282</v>
      </c>
      <c r="S503" s="323" t="s">
        <v>282</v>
      </c>
      <c r="T503" s="323" t="s">
        <v>282</v>
      </c>
      <c r="U503" s="323" t="s">
        <v>282</v>
      </c>
      <c r="V503" s="323" t="s">
        <v>282</v>
      </c>
      <c r="W503" s="324" t="s">
        <v>282</v>
      </c>
      <c r="X503" s="324" t="s">
        <v>282</v>
      </c>
      <c r="Y503" s="325" t="s">
        <v>282</v>
      </c>
    </row>
    <row r="504" spans="1:25">
      <c r="A504" s="319">
        <v>9</v>
      </c>
      <c r="B504" s="320" t="str">
        <f>VLOOKUP(Tabel10[[#This Row],[Code]],Ruimtegroepen[[Code]:[Ruimte omschrijving]],2,FALSE)</f>
        <v>Woonruimte</v>
      </c>
      <c r="C504" s="321" t="s">
        <v>702</v>
      </c>
      <c r="D504" s="320" t="s">
        <v>28</v>
      </c>
      <c r="E504" s="321" t="s">
        <v>101</v>
      </c>
      <c r="F504" s="321" t="s">
        <v>705</v>
      </c>
      <c r="G504" s="326" t="s">
        <v>282</v>
      </c>
      <c r="H504" s="322" t="s">
        <v>282</v>
      </c>
      <c r="I504" s="322" t="s">
        <v>17</v>
      </c>
      <c r="J504" s="322" t="s">
        <v>282</v>
      </c>
      <c r="K504" s="322" t="s">
        <v>282</v>
      </c>
      <c r="L504" s="322" t="s">
        <v>282</v>
      </c>
      <c r="M504" s="322" t="s">
        <v>282</v>
      </c>
      <c r="N504" s="322" t="s">
        <v>282</v>
      </c>
      <c r="O504" s="323" t="s">
        <v>17</v>
      </c>
      <c r="P504" s="323" t="s">
        <v>17</v>
      </c>
      <c r="Q504" s="323" t="s">
        <v>15</v>
      </c>
      <c r="R504" s="323" t="s">
        <v>282</v>
      </c>
      <c r="S504" s="323" t="s">
        <v>282</v>
      </c>
      <c r="T504" s="323" t="s">
        <v>282</v>
      </c>
      <c r="U504" s="323" t="s">
        <v>282</v>
      </c>
      <c r="V504" s="323" t="s">
        <v>282</v>
      </c>
      <c r="W504" s="324" t="s">
        <v>282</v>
      </c>
      <c r="X504" s="324" t="s">
        <v>282</v>
      </c>
      <c r="Y504" s="325" t="s">
        <v>282</v>
      </c>
    </row>
    <row r="505" spans="1:25">
      <c r="A505" s="319">
        <v>9</v>
      </c>
      <c r="B505" s="320" t="str">
        <f>VLOOKUP(Tabel10[[#This Row],[Code]],Ruimtegroepen[[Code]:[Ruimte omschrijving]],2,FALSE)</f>
        <v>Woonruimte</v>
      </c>
      <c r="C505" s="321" t="s">
        <v>702</v>
      </c>
      <c r="D505" s="320" t="s">
        <v>28</v>
      </c>
      <c r="E505" s="321" t="s">
        <v>102</v>
      </c>
      <c r="F505" s="321" t="s">
        <v>706</v>
      </c>
      <c r="G505" s="326" t="s">
        <v>282</v>
      </c>
      <c r="H505" s="322" t="s">
        <v>282</v>
      </c>
      <c r="I505" s="322" t="s">
        <v>17</v>
      </c>
      <c r="J505" s="322" t="s">
        <v>282</v>
      </c>
      <c r="K505" s="322" t="s">
        <v>282</v>
      </c>
      <c r="L505" s="322" t="s">
        <v>282</v>
      </c>
      <c r="M505" s="322" t="s">
        <v>282</v>
      </c>
      <c r="N505" s="322" t="s">
        <v>282</v>
      </c>
      <c r="O505" s="323" t="s">
        <v>17</v>
      </c>
      <c r="P505" s="323" t="s">
        <v>17</v>
      </c>
      <c r="Q505" s="323" t="s">
        <v>15</v>
      </c>
      <c r="R505" s="323" t="s">
        <v>282</v>
      </c>
      <c r="S505" s="323" t="s">
        <v>282</v>
      </c>
      <c r="T505" s="323" t="s">
        <v>282</v>
      </c>
      <c r="U505" s="323" t="s">
        <v>282</v>
      </c>
      <c r="V505" s="323" t="s">
        <v>282</v>
      </c>
      <c r="W505" s="324" t="s">
        <v>282</v>
      </c>
      <c r="X505" s="324" t="s">
        <v>282</v>
      </c>
      <c r="Y505" s="325" t="s">
        <v>282</v>
      </c>
    </row>
    <row r="506" spans="1:25">
      <c r="A506" s="319">
        <v>9</v>
      </c>
      <c r="B506" s="320" t="str">
        <f>VLOOKUP(Tabel10[[#This Row],[Code]],Ruimtegroepen[[Code]:[Ruimte omschrijving]],2,FALSE)</f>
        <v>Woonruimte</v>
      </c>
      <c r="C506" s="321" t="s">
        <v>702</v>
      </c>
      <c r="D506" s="320" t="s">
        <v>28</v>
      </c>
      <c r="E506" s="321" t="s">
        <v>99</v>
      </c>
      <c r="F506" s="321" t="s">
        <v>704</v>
      </c>
      <c r="G506" s="326" t="s">
        <v>282</v>
      </c>
      <c r="H506" s="322" t="s">
        <v>17</v>
      </c>
      <c r="I506" s="322" t="s">
        <v>282</v>
      </c>
      <c r="J506" s="322" t="s">
        <v>282</v>
      </c>
      <c r="K506" s="322" t="s">
        <v>282</v>
      </c>
      <c r="L506" s="322" t="s">
        <v>282</v>
      </c>
      <c r="M506" s="322" t="s">
        <v>282</v>
      </c>
      <c r="N506" s="322" t="s">
        <v>282</v>
      </c>
      <c r="O506" s="323" t="s">
        <v>17</v>
      </c>
      <c r="P506" s="323" t="s">
        <v>17</v>
      </c>
      <c r="Q506" s="323" t="s">
        <v>15</v>
      </c>
      <c r="R506" s="323" t="s">
        <v>282</v>
      </c>
      <c r="S506" s="323" t="s">
        <v>282</v>
      </c>
      <c r="T506" s="323" t="s">
        <v>282</v>
      </c>
      <c r="U506" s="323" t="s">
        <v>282</v>
      </c>
      <c r="V506" s="323" t="s">
        <v>282</v>
      </c>
      <c r="W506" s="324" t="s">
        <v>282</v>
      </c>
      <c r="X506" s="324" t="s">
        <v>282</v>
      </c>
      <c r="Y506" s="325" t="s">
        <v>282</v>
      </c>
    </row>
    <row r="507" spans="1:25">
      <c r="A507" s="319">
        <v>9</v>
      </c>
      <c r="B507" s="320" t="str">
        <f>VLOOKUP(Tabel10[[#This Row],[Code]],Ruimtegroepen[[Code]:[Ruimte omschrijving]],2,FALSE)</f>
        <v>Woonruimte</v>
      </c>
      <c r="C507" s="321" t="s">
        <v>702</v>
      </c>
      <c r="D507" s="320" t="s">
        <v>28</v>
      </c>
      <c r="E507" s="321" t="s">
        <v>1306</v>
      </c>
      <c r="F507" s="321" t="s">
        <v>1412</v>
      </c>
      <c r="G507" s="326" t="s">
        <v>282</v>
      </c>
      <c r="H507" s="322" t="s">
        <v>282</v>
      </c>
      <c r="I507" s="322" t="s">
        <v>17</v>
      </c>
      <c r="J507" s="322" t="s">
        <v>282</v>
      </c>
      <c r="K507" s="322" t="s">
        <v>282</v>
      </c>
      <c r="L507" s="322" t="s">
        <v>282</v>
      </c>
      <c r="M507" s="322" t="s">
        <v>282</v>
      </c>
      <c r="N507" s="322" t="s">
        <v>282</v>
      </c>
      <c r="O507" s="323" t="s">
        <v>17</v>
      </c>
      <c r="P507" s="323" t="s">
        <v>17</v>
      </c>
      <c r="Q507" s="323" t="s">
        <v>15</v>
      </c>
      <c r="R507" s="323" t="s">
        <v>282</v>
      </c>
      <c r="S507" s="323" t="s">
        <v>282</v>
      </c>
      <c r="T507" s="323" t="s">
        <v>282</v>
      </c>
      <c r="U507" s="323" t="s">
        <v>282</v>
      </c>
      <c r="V507" s="323" t="s">
        <v>282</v>
      </c>
      <c r="W507" s="324" t="s">
        <v>282</v>
      </c>
      <c r="X507" s="324" t="s">
        <v>282</v>
      </c>
      <c r="Y507" s="325" t="s">
        <v>282</v>
      </c>
    </row>
    <row r="508" spans="1:25">
      <c r="A508" s="319">
        <v>10</v>
      </c>
      <c r="B508" s="320" t="str">
        <f>VLOOKUP(Tabel10[[#This Row],[Code]],Ruimtegroepen[[Code]:[Ruimte omschrijving]],2,FALSE)</f>
        <v>Trappenhuizen/lift</v>
      </c>
      <c r="C508" s="321" t="s">
        <v>707</v>
      </c>
      <c r="D508" s="320" t="s">
        <v>29</v>
      </c>
      <c r="E508" s="321" t="s">
        <v>100</v>
      </c>
      <c r="F508" s="321" t="s">
        <v>708</v>
      </c>
      <c r="G508" s="326" t="s">
        <v>282</v>
      </c>
      <c r="H508" s="322" t="s">
        <v>282</v>
      </c>
      <c r="I508" s="322" t="s">
        <v>17</v>
      </c>
      <c r="J508" s="322" t="s">
        <v>282</v>
      </c>
      <c r="K508" s="322" t="s">
        <v>282</v>
      </c>
      <c r="L508" s="322" t="s">
        <v>282</v>
      </c>
      <c r="M508" s="322" t="s">
        <v>282</v>
      </c>
      <c r="N508" s="322" t="s">
        <v>282</v>
      </c>
      <c r="O508" s="323" t="s">
        <v>17</v>
      </c>
      <c r="P508" s="323" t="s">
        <v>17</v>
      </c>
      <c r="Q508" s="323" t="s">
        <v>15</v>
      </c>
      <c r="R508" s="323" t="s">
        <v>282</v>
      </c>
      <c r="S508" s="323" t="s">
        <v>282</v>
      </c>
      <c r="T508" s="323" t="s">
        <v>282</v>
      </c>
      <c r="U508" s="323" t="s">
        <v>282</v>
      </c>
      <c r="V508" s="323" t="s">
        <v>282</v>
      </c>
      <c r="W508" s="324" t="s">
        <v>282</v>
      </c>
      <c r="X508" s="324" t="s">
        <v>282</v>
      </c>
      <c r="Y508" s="325" t="s">
        <v>282</v>
      </c>
    </row>
    <row r="509" spans="1:25">
      <c r="A509" s="319">
        <v>10</v>
      </c>
      <c r="B509" s="320" t="str">
        <f>VLOOKUP(Tabel10[[#This Row],[Code]],Ruimtegroepen[[Code]:[Ruimte omschrijving]],2,FALSE)</f>
        <v>Trappenhuizen/lift</v>
      </c>
      <c r="C509" s="321" t="s">
        <v>707</v>
      </c>
      <c r="D509" s="320" t="s">
        <v>29</v>
      </c>
      <c r="E509" s="321" t="s">
        <v>99</v>
      </c>
      <c r="F509" s="321" t="s">
        <v>709</v>
      </c>
      <c r="G509" s="326" t="s">
        <v>282</v>
      </c>
      <c r="H509" s="322" t="s">
        <v>17</v>
      </c>
      <c r="I509" s="322" t="s">
        <v>282</v>
      </c>
      <c r="J509" s="322" t="s">
        <v>282</v>
      </c>
      <c r="K509" s="322" t="s">
        <v>282</v>
      </c>
      <c r="L509" s="322" t="s">
        <v>282</v>
      </c>
      <c r="M509" s="322" t="s">
        <v>282</v>
      </c>
      <c r="N509" s="322" t="s">
        <v>282</v>
      </c>
      <c r="O509" s="323" t="s">
        <v>17</v>
      </c>
      <c r="P509" s="323" t="s">
        <v>17</v>
      </c>
      <c r="Q509" s="323" t="s">
        <v>15</v>
      </c>
      <c r="R509" s="323" t="s">
        <v>282</v>
      </c>
      <c r="S509" s="323" t="s">
        <v>282</v>
      </c>
      <c r="T509" s="323" t="s">
        <v>282</v>
      </c>
      <c r="U509" s="323" t="s">
        <v>282</v>
      </c>
      <c r="V509" s="323" t="s">
        <v>282</v>
      </c>
      <c r="W509" s="324" t="s">
        <v>282</v>
      </c>
      <c r="X509" s="324" t="s">
        <v>282</v>
      </c>
      <c r="Y509" s="325" t="s">
        <v>282</v>
      </c>
    </row>
    <row r="510" spans="1:25">
      <c r="A510" s="319">
        <v>10</v>
      </c>
      <c r="B510" s="320" t="str">
        <f>VLOOKUP(Tabel10[[#This Row],[Code]],Ruimtegroepen[[Code]:[Ruimte omschrijving]],2,FALSE)</f>
        <v>Trappenhuizen/lift</v>
      </c>
      <c r="C510" s="321" t="s">
        <v>707</v>
      </c>
      <c r="D510" s="320" t="s">
        <v>29</v>
      </c>
      <c r="E510" s="321" t="s">
        <v>101</v>
      </c>
      <c r="F510" s="321" t="s">
        <v>710</v>
      </c>
      <c r="G510" s="326" t="s">
        <v>282</v>
      </c>
      <c r="H510" s="322" t="s">
        <v>282</v>
      </c>
      <c r="I510" s="322" t="s">
        <v>17</v>
      </c>
      <c r="J510" s="322" t="s">
        <v>282</v>
      </c>
      <c r="K510" s="322" t="s">
        <v>282</v>
      </c>
      <c r="L510" s="322" t="s">
        <v>282</v>
      </c>
      <c r="M510" s="322" t="s">
        <v>282</v>
      </c>
      <c r="N510" s="322" t="s">
        <v>282</v>
      </c>
      <c r="O510" s="323" t="s">
        <v>17</v>
      </c>
      <c r="P510" s="323" t="s">
        <v>17</v>
      </c>
      <c r="Q510" s="323" t="s">
        <v>15</v>
      </c>
      <c r="R510" s="323" t="s">
        <v>282</v>
      </c>
      <c r="S510" s="323" t="s">
        <v>282</v>
      </c>
      <c r="T510" s="323" t="s">
        <v>282</v>
      </c>
      <c r="U510" s="323" t="s">
        <v>282</v>
      </c>
      <c r="V510" s="323" t="s">
        <v>282</v>
      </c>
      <c r="W510" s="324" t="s">
        <v>282</v>
      </c>
      <c r="X510" s="324" t="s">
        <v>282</v>
      </c>
      <c r="Y510" s="325" t="s">
        <v>282</v>
      </c>
    </row>
    <row r="511" spans="1:25">
      <c r="A511" s="319">
        <v>10</v>
      </c>
      <c r="B511" s="320" t="str">
        <f>VLOOKUP(Tabel10[[#This Row],[Code]],Ruimtegroepen[[Code]:[Ruimte omschrijving]],2,FALSE)</f>
        <v>Trappenhuizen/lift</v>
      </c>
      <c r="C511" s="321" t="s">
        <v>707</v>
      </c>
      <c r="D511" s="320" t="s">
        <v>29</v>
      </c>
      <c r="E511" s="321" t="s">
        <v>102</v>
      </c>
      <c r="F511" s="321" t="s">
        <v>711</v>
      </c>
      <c r="G511" s="326" t="s">
        <v>282</v>
      </c>
      <c r="H511" s="322" t="s">
        <v>282</v>
      </c>
      <c r="I511" s="322" t="s">
        <v>17</v>
      </c>
      <c r="J511" s="322" t="s">
        <v>282</v>
      </c>
      <c r="K511" s="322" t="s">
        <v>282</v>
      </c>
      <c r="L511" s="322" t="s">
        <v>282</v>
      </c>
      <c r="M511" s="322" t="s">
        <v>282</v>
      </c>
      <c r="N511" s="322" t="s">
        <v>282</v>
      </c>
      <c r="O511" s="323" t="s">
        <v>17</v>
      </c>
      <c r="P511" s="323" t="s">
        <v>17</v>
      </c>
      <c r="Q511" s="323" t="s">
        <v>15</v>
      </c>
      <c r="R511" s="323" t="s">
        <v>282</v>
      </c>
      <c r="S511" s="323" t="s">
        <v>282</v>
      </c>
      <c r="T511" s="323" t="s">
        <v>282</v>
      </c>
      <c r="U511" s="323" t="s">
        <v>282</v>
      </c>
      <c r="V511" s="323" t="s">
        <v>282</v>
      </c>
      <c r="W511" s="324" t="s">
        <v>282</v>
      </c>
      <c r="X511" s="324" t="s">
        <v>282</v>
      </c>
      <c r="Y511" s="325" t="s">
        <v>282</v>
      </c>
    </row>
    <row r="512" spans="1:25">
      <c r="A512" s="319">
        <v>10</v>
      </c>
      <c r="B512" s="320" t="str">
        <f>VLOOKUP(Tabel10[[#This Row],[Code]],Ruimtegroepen[[Code]:[Ruimte omschrijving]],2,FALSE)</f>
        <v>Trappenhuizen/lift</v>
      </c>
      <c r="C512" s="321" t="s">
        <v>707</v>
      </c>
      <c r="D512" s="320" t="s">
        <v>29</v>
      </c>
      <c r="E512" s="321" t="s">
        <v>99</v>
      </c>
      <c r="F512" s="321" t="s">
        <v>709</v>
      </c>
      <c r="G512" s="326" t="s">
        <v>282</v>
      </c>
      <c r="H512" s="322" t="s">
        <v>17</v>
      </c>
      <c r="I512" s="322" t="s">
        <v>282</v>
      </c>
      <c r="J512" s="322" t="s">
        <v>282</v>
      </c>
      <c r="K512" s="322" t="s">
        <v>282</v>
      </c>
      <c r="L512" s="322" t="s">
        <v>282</v>
      </c>
      <c r="M512" s="322" t="s">
        <v>282</v>
      </c>
      <c r="N512" s="322" t="s">
        <v>282</v>
      </c>
      <c r="O512" s="323" t="s">
        <v>17</v>
      </c>
      <c r="P512" s="323" t="s">
        <v>17</v>
      </c>
      <c r="Q512" s="323" t="s">
        <v>15</v>
      </c>
      <c r="R512" s="323" t="s">
        <v>282</v>
      </c>
      <c r="S512" s="323" t="s">
        <v>282</v>
      </c>
      <c r="T512" s="323" t="s">
        <v>282</v>
      </c>
      <c r="U512" s="323" t="s">
        <v>282</v>
      </c>
      <c r="V512" s="323" t="s">
        <v>282</v>
      </c>
      <c r="W512" s="324" t="s">
        <v>282</v>
      </c>
      <c r="X512" s="324" t="s">
        <v>282</v>
      </c>
      <c r="Y512" s="325" t="s">
        <v>282</v>
      </c>
    </row>
    <row r="513" spans="1:25">
      <c r="A513" s="319">
        <v>10</v>
      </c>
      <c r="B513" s="320" t="str">
        <f>VLOOKUP(Tabel10[[#This Row],[Code]],Ruimtegroepen[[Code]:[Ruimte omschrijving]],2,FALSE)</f>
        <v>Trappenhuizen/lift</v>
      </c>
      <c r="C513" s="321" t="s">
        <v>707</v>
      </c>
      <c r="D513" s="320" t="s">
        <v>29</v>
      </c>
      <c r="E513" s="321" t="s">
        <v>1306</v>
      </c>
      <c r="F513" s="321" t="s">
        <v>1480</v>
      </c>
      <c r="G513" s="326" t="s">
        <v>282</v>
      </c>
      <c r="H513" s="322" t="s">
        <v>282</v>
      </c>
      <c r="I513" s="322" t="s">
        <v>17</v>
      </c>
      <c r="J513" s="322" t="s">
        <v>282</v>
      </c>
      <c r="K513" s="322" t="s">
        <v>282</v>
      </c>
      <c r="L513" s="322" t="s">
        <v>282</v>
      </c>
      <c r="M513" s="322" t="s">
        <v>282</v>
      </c>
      <c r="N513" s="322" t="s">
        <v>282</v>
      </c>
      <c r="O513" s="323" t="s">
        <v>17</v>
      </c>
      <c r="P513" s="323" t="s">
        <v>17</v>
      </c>
      <c r="Q513" s="323" t="s">
        <v>15</v>
      </c>
      <c r="R513" s="323" t="s">
        <v>282</v>
      </c>
      <c r="S513" s="323" t="s">
        <v>282</v>
      </c>
      <c r="T513" s="323" t="s">
        <v>282</v>
      </c>
      <c r="U513" s="323" t="s">
        <v>282</v>
      </c>
      <c r="V513" s="323" t="s">
        <v>282</v>
      </c>
      <c r="W513" s="324" t="s">
        <v>282</v>
      </c>
      <c r="X513" s="324" t="s">
        <v>282</v>
      </c>
      <c r="Y513" s="325" t="s">
        <v>282</v>
      </c>
    </row>
    <row r="514" spans="1:25">
      <c r="A514" s="319">
        <v>10</v>
      </c>
      <c r="B514" s="320" t="str">
        <f>VLOOKUP(Tabel10[[#This Row],[Code]],Ruimtegroepen[[Code]:[Ruimte omschrijving]],2,FALSE)</f>
        <v>Trappenhuizen/lift</v>
      </c>
      <c r="C514" s="321" t="s">
        <v>712</v>
      </c>
      <c r="D514" s="320" t="s">
        <v>1</v>
      </c>
      <c r="E514" s="321" t="s">
        <v>100</v>
      </c>
      <c r="F514" s="321" t="s">
        <v>713</v>
      </c>
      <c r="G514" s="326" t="s">
        <v>282</v>
      </c>
      <c r="H514" s="322" t="s">
        <v>282</v>
      </c>
      <c r="I514" s="322" t="s">
        <v>17</v>
      </c>
      <c r="J514" s="322" t="s">
        <v>282</v>
      </c>
      <c r="K514" s="322" t="s">
        <v>282</v>
      </c>
      <c r="L514" s="322" t="s">
        <v>282</v>
      </c>
      <c r="M514" s="322" t="s">
        <v>282</v>
      </c>
      <c r="N514" s="322" t="s">
        <v>282</v>
      </c>
      <c r="O514" s="323" t="s">
        <v>17</v>
      </c>
      <c r="P514" s="323" t="s">
        <v>17</v>
      </c>
      <c r="Q514" s="323" t="s">
        <v>15</v>
      </c>
      <c r="R514" s="323" t="s">
        <v>282</v>
      </c>
      <c r="S514" s="323" t="s">
        <v>282</v>
      </c>
      <c r="T514" s="323" t="s">
        <v>282</v>
      </c>
      <c r="U514" s="323" t="s">
        <v>282</v>
      </c>
      <c r="V514" s="323" t="s">
        <v>282</v>
      </c>
      <c r="W514" s="324" t="s">
        <v>282</v>
      </c>
      <c r="X514" s="324" t="s">
        <v>282</v>
      </c>
      <c r="Y514" s="325" t="s">
        <v>282</v>
      </c>
    </row>
    <row r="515" spans="1:25">
      <c r="A515" s="319">
        <v>10</v>
      </c>
      <c r="B515" s="320" t="str">
        <f>VLOOKUP(Tabel10[[#This Row],[Code]],Ruimtegroepen[[Code]:[Ruimte omschrijving]],2,FALSE)</f>
        <v>Trappenhuizen/lift</v>
      </c>
      <c r="C515" s="321" t="s">
        <v>712</v>
      </c>
      <c r="D515" s="320" t="s">
        <v>1</v>
      </c>
      <c r="E515" s="321" t="s">
        <v>99</v>
      </c>
      <c r="F515" s="321" t="s">
        <v>714</v>
      </c>
      <c r="G515" s="326" t="s">
        <v>282</v>
      </c>
      <c r="H515" s="322" t="s">
        <v>17</v>
      </c>
      <c r="I515" s="322" t="s">
        <v>282</v>
      </c>
      <c r="J515" s="322" t="s">
        <v>282</v>
      </c>
      <c r="K515" s="322" t="s">
        <v>282</v>
      </c>
      <c r="L515" s="322" t="s">
        <v>282</v>
      </c>
      <c r="M515" s="322" t="s">
        <v>282</v>
      </c>
      <c r="N515" s="322" t="s">
        <v>282</v>
      </c>
      <c r="O515" s="323" t="s">
        <v>17</v>
      </c>
      <c r="P515" s="323" t="s">
        <v>17</v>
      </c>
      <c r="Q515" s="323" t="s">
        <v>15</v>
      </c>
      <c r="R515" s="323" t="s">
        <v>282</v>
      </c>
      <c r="S515" s="323" t="s">
        <v>282</v>
      </c>
      <c r="T515" s="323" t="s">
        <v>282</v>
      </c>
      <c r="U515" s="323" t="s">
        <v>282</v>
      </c>
      <c r="V515" s="323" t="s">
        <v>282</v>
      </c>
      <c r="W515" s="324" t="s">
        <v>282</v>
      </c>
      <c r="X515" s="324" t="s">
        <v>282</v>
      </c>
      <c r="Y515" s="325" t="s">
        <v>282</v>
      </c>
    </row>
    <row r="516" spans="1:25">
      <c r="A516" s="319">
        <v>10</v>
      </c>
      <c r="B516" s="320" t="str">
        <f>VLOOKUP(Tabel10[[#This Row],[Code]],Ruimtegroepen[[Code]:[Ruimte omschrijving]],2,FALSE)</f>
        <v>Trappenhuizen/lift</v>
      </c>
      <c r="C516" s="321" t="s">
        <v>712</v>
      </c>
      <c r="D516" s="320" t="s">
        <v>1</v>
      </c>
      <c r="E516" s="321" t="s">
        <v>101</v>
      </c>
      <c r="F516" s="321" t="s">
        <v>715</v>
      </c>
      <c r="G516" s="326" t="s">
        <v>282</v>
      </c>
      <c r="H516" s="322" t="s">
        <v>282</v>
      </c>
      <c r="I516" s="322" t="s">
        <v>17</v>
      </c>
      <c r="J516" s="322" t="s">
        <v>282</v>
      </c>
      <c r="K516" s="322" t="s">
        <v>282</v>
      </c>
      <c r="L516" s="322" t="s">
        <v>282</v>
      </c>
      <c r="M516" s="322" t="s">
        <v>282</v>
      </c>
      <c r="N516" s="322" t="s">
        <v>282</v>
      </c>
      <c r="O516" s="323" t="s">
        <v>17</v>
      </c>
      <c r="P516" s="323" t="s">
        <v>17</v>
      </c>
      <c r="Q516" s="323" t="s">
        <v>15</v>
      </c>
      <c r="R516" s="323" t="s">
        <v>282</v>
      </c>
      <c r="S516" s="323" t="s">
        <v>282</v>
      </c>
      <c r="T516" s="323" t="s">
        <v>282</v>
      </c>
      <c r="U516" s="323" t="s">
        <v>282</v>
      </c>
      <c r="V516" s="323" t="s">
        <v>282</v>
      </c>
      <c r="W516" s="324" t="s">
        <v>282</v>
      </c>
      <c r="X516" s="324" t="s">
        <v>282</v>
      </c>
      <c r="Y516" s="325" t="s">
        <v>282</v>
      </c>
    </row>
    <row r="517" spans="1:25">
      <c r="A517" s="319">
        <v>10</v>
      </c>
      <c r="B517" s="320" t="str">
        <f>VLOOKUP(Tabel10[[#This Row],[Code]],Ruimtegroepen[[Code]:[Ruimte omschrijving]],2,FALSE)</f>
        <v>Trappenhuizen/lift</v>
      </c>
      <c r="C517" s="321" t="s">
        <v>712</v>
      </c>
      <c r="D517" s="320" t="s">
        <v>1</v>
      </c>
      <c r="E517" s="321" t="s">
        <v>102</v>
      </c>
      <c r="F517" s="321" t="s">
        <v>716</v>
      </c>
      <c r="G517" s="326" t="s">
        <v>282</v>
      </c>
      <c r="H517" s="322" t="s">
        <v>282</v>
      </c>
      <c r="I517" s="322" t="s">
        <v>17</v>
      </c>
      <c r="J517" s="322" t="s">
        <v>282</v>
      </c>
      <c r="K517" s="322" t="s">
        <v>282</v>
      </c>
      <c r="L517" s="322" t="s">
        <v>282</v>
      </c>
      <c r="M517" s="322" t="s">
        <v>282</v>
      </c>
      <c r="N517" s="322" t="s">
        <v>282</v>
      </c>
      <c r="O517" s="323" t="s">
        <v>17</v>
      </c>
      <c r="P517" s="323" t="s">
        <v>17</v>
      </c>
      <c r="Q517" s="323" t="s">
        <v>15</v>
      </c>
      <c r="R517" s="323" t="s">
        <v>282</v>
      </c>
      <c r="S517" s="323" t="s">
        <v>282</v>
      </c>
      <c r="T517" s="323" t="s">
        <v>282</v>
      </c>
      <c r="U517" s="323" t="s">
        <v>282</v>
      </c>
      <c r="V517" s="323" t="s">
        <v>282</v>
      </c>
      <c r="W517" s="324" t="s">
        <v>282</v>
      </c>
      <c r="X517" s="324" t="s">
        <v>282</v>
      </c>
      <c r="Y517" s="325" t="s">
        <v>282</v>
      </c>
    </row>
    <row r="518" spans="1:25">
      <c r="A518" s="319">
        <v>10</v>
      </c>
      <c r="B518" s="320" t="str">
        <f>VLOOKUP(Tabel10[[#This Row],[Code]],Ruimtegroepen[[Code]:[Ruimte omschrijving]],2,FALSE)</f>
        <v>Trappenhuizen/lift</v>
      </c>
      <c r="C518" s="321" t="s">
        <v>712</v>
      </c>
      <c r="D518" s="320" t="s">
        <v>1</v>
      </c>
      <c r="E518" s="321" t="s">
        <v>99</v>
      </c>
      <c r="F518" s="321" t="s">
        <v>714</v>
      </c>
      <c r="G518" s="326" t="s">
        <v>282</v>
      </c>
      <c r="H518" s="322" t="s">
        <v>17</v>
      </c>
      <c r="I518" s="322" t="s">
        <v>282</v>
      </c>
      <c r="J518" s="322" t="s">
        <v>282</v>
      </c>
      <c r="K518" s="322" t="s">
        <v>282</v>
      </c>
      <c r="L518" s="322" t="s">
        <v>282</v>
      </c>
      <c r="M518" s="322" t="s">
        <v>282</v>
      </c>
      <c r="N518" s="322" t="s">
        <v>282</v>
      </c>
      <c r="O518" s="323" t="s">
        <v>17</v>
      </c>
      <c r="P518" s="323" t="s">
        <v>17</v>
      </c>
      <c r="Q518" s="323" t="s">
        <v>15</v>
      </c>
      <c r="R518" s="323" t="s">
        <v>282</v>
      </c>
      <c r="S518" s="323" t="s">
        <v>282</v>
      </c>
      <c r="T518" s="323" t="s">
        <v>282</v>
      </c>
      <c r="U518" s="323" t="s">
        <v>282</v>
      </c>
      <c r="V518" s="323" t="s">
        <v>282</v>
      </c>
      <c r="W518" s="324" t="s">
        <v>282</v>
      </c>
      <c r="X518" s="324" t="s">
        <v>282</v>
      </c>
      <c r="Y518" s="325" t="s">
        <v>282</v>
      </c>
    </row>
    <row r="519" spans="1:25">
      <c r="A519" s="319">
        <v>10</v>
      </c>
      <c r="B519" s="320" t="str">
        <f>VLOOKUP(Tabel10[[#This Row],[Code]],Ruimtegroepen[[Code]:[Ruimte omschrijving]],2,FALSE)</f>
        <v>Trappenhuizen/lift</v>
      </c>
      <c r="C519" s="321" t="s">
        <v>712</v>
      </c>
      <c r="D519" s="320" t="s">
        <v>1</v>
      </c>
      <c r="E519" s="321" t="s">
        <v>1306</v>
      </c>
      <c r="F519" s="321" t="s">
        <v>1464</v>
      </c>
      <c r="G519" s="326" t="s">
        <v>282</v>
      </c>
      <c r="H519" s="322" t="s">
        <v>282</v>
      </c>
      <c r="I519" s="322" t="s">
        <v>17</v>
      </c>
      <c r="J519" s="322" t="s">
        <v>282</v>
      </c>
      <c r="K519" s="322" t="s">
        <v>282</v>
      </c>
      <c r="L519" s="322" t="s">
        <v>282</v>
      </c>
      <c r="M519" s="322" t="s">
        <v>282</v>
      </c>
      <c r="N519" s="322" t="s">
        <v>282</v>
      </c>
      <c r="O519" s="323" t="s">
        <v>17</v>
      </c>
      <c r="P519" s="323" t="s">
        <v>17</v>
      </c>
      <c r="Q519" s="323" t="s">
        <v>15</v>
      </c>
      <c r="R519" s="323" t="s">
        <v>282</v>
      </c>
      <c r="S519" s="323" t="s">
        <v>282</v>
      </c>
      <c r="T519" s="323" t="s">
        <v>282</v>
      </c>
      <c r="U519" s="323" t="s">
        <v>282</v>
      </c>
      <c r="V519" s="323" t="s">
        <v>282</v>
      </c>
      <c r="W519" s="324" t="s">
        <v>282</v>
      </c>
      <c r="X519" s="324" t="s">
        <v>282</v>
      </c>
      <c r="Y519" s="325" t="s">
        <v>282</v>
      </c>
    </row>
    <row r="520" spans="1:25">
      <c r="A520" s="319">
        <v>10</v>
      </c>
      <c r="B520" s="320" t="str">
        <f>VLOOKUP(Tabel10[[#This Row],[Code]],Ruimtegroepen[[Code]:[Ruimte omschrijving]],2,FALSE)</f>
        <v>Trappenhuizen/lift</v>
      </c>
      <c r="C520" s="321" t="s">
        <v>717</v>
      </c>
      <c r="D520" s="320" t="s">
        <v>21</v>
      </c>
      <c r="E520" s="321" t="s">
        <v>100</v>
      </c>
      <c r="F520" s="321" t="s">
        <v>718</v>
      </c>
      <c r="G520" s="326" t="s">
        <v>282</v>
      </c>
      <c r="H520" s="322" t="s">
        <v>282</v>
      </c>
      <c r="I520" s="322" t="s">
        <v>18</v>
      </c>
      <c r="J520" s="322" t="s">
        <v>15</v>
      </c>
      <c r="K520" s="322" t="s">
        <v>282</v>
      </c>
      <c r="L520" s="322" t="s">
        <v>282</v>
      </c>
      <c r="M520" s="322" t="s">
        <v>282</v>
      </c>
      <c r="N520" s="322" t="s">
        <v>282</v>
      </c>
      <c r="O520" s="323" t="s">
        <v>20</v>
      </c>
      <c r="P520" s="323" t="s">
        <v>20</v>
      </c>
      <c r="Q520" s="323" t="s">
        <v>15</v>
      </c>
      <c r="R520" s="323" t="s">
        <v>15</v>
      </c>
      <c r="S520" s="323" t="s">
        <v>16</v>
      </c>
      <c r="T520" s="323" t="s">
        <v>329</v>
      </c>
      <c r="U520" s="323" t="s">
        <v>249</v>
      </c>
      <c r="V520" s="323" t="s">
        <v>282</v>
      </c>
      <c r="W520" s="324" t="s">
        <v>282</v>
      </c>
      <c r="X520" s="324" t="s">
        <v>282</v>
      </c>
      <c r="Y520" s="325" t="s">
        <v>282</v>
      </c>
    </row>
    <row r="521" spans="1:25">
      <c r="A521" s="319">
        <v>10</v>
      </c>
      <c r="B521" s="320" t="str">
        <f>VLOOKUP(Tabel10[[#This Row],[Code]],Ruimtegroepen[[Code]:[Ruimte omschrijving]],2,FALSE)</f>
        <v>Trappenhuizen/lift</v>
      </c>
      <c r="C521" s="321" t="s">
        <v>717</v>
      </c>
      <c r="D521" s="320" t="s">
        <v>21</v>
      </c>
      <c r="E521" s="321" t="s">
        <v>99</v>
      </c>
      <c r="F521" s="321" t="s">
        <v>719</v>
      </c>
      <c r="G521" s="326" t="s">
        <v>282</v>
      </c>
      <c r="H521" s="322" t="s">
        <v>20</v>
      </c>
      <c r="I521" s="322" t="s">
        <v>282</v>
      </c>
      <c r="J521" s="322" t="s">
        <v>282</v>
      </c>
      <c r="K521" s="322" t="s">
        <v>282</v>
      </c>
      <c r="L521" s="322" t="s">
        <v>282</v>
      </c>
      <c r="M521" s="322" t="s">
        <v>282</v>
      </c>
      <c r="N521" s="322" t="s">
        <v>282</v>
      </c>
      <c r="O521" s="323" t="s">
        <v>20</v>
      </c>
      <c r="P521" s="323" t="s">
        <v>20</v>
      </c>
      <c r="Q521" s="323" t="s">
        <v>15</v>
      </c>
      <c r="R521" s="323" t="s">
        <v>15</v>
      </c>
      <c r="S521" s="323" t="s">
        <v>16</v>
      </c>
      <c r="T521" s="323" t="s">
        <v>329</v>
      </c>
      <c r="U521" s="323" t="s">
        <v>249</v>
      </c>
      <c r="V521" s="323" t="s">
        <v>282</v>
      </c>
      <c r="W521" s="324" t="s">
        <v>282</v>
      </c>
      <c r="X521" s="324" t="s">
        <v>282</v>
      </c>
      <c r="Y521" s="325" t="s">
        <v>282</v>
      </c>
    </row>
    <row r="522" spans="1:25">
      <c r="A522" s="319">
        <v>10</v>
      </c>
      <c r="B522" s="320" t="str">
        <f>VLOOKUP(Tabel10[[#This Row],[Code]],Ruimtegroepen[[Code]:[Ruimte omschrijving]],2,FALSE)</f>
        <v>Trappenhuizen/lift</v>
      </c>
      <c r="C522" s="321" t="s">
        <v>717</v>
      </c>
      <c r="D522" s="320" t="s">
        <v>21</v>
      </c>
      <c r="E522" s="321" t="s">
        <v>101</v>
      </c>
      <c r="F522" s="321" t="s">
        <v>720</v>
      </c>
      <c r="G522" s="326" t="s">
        <v>282</v>
      </c>
      <c r="H522" s="322" t="s">
        <v>282</v>
      </c>
      <c r="I522" s="322" t="s">
        <v>18</v>
      </c>
      <c r="J522" s="322" t="s">
        <v>15</v>
      </c>
      <c r="K522" s="322" t="s">
        <v>283</v>
      </c>
      <c r="L522" s="322" t="s">
        <v>282</v>
      </c>
      <c r="M522" s="322" t="s">
        <v>282</v>
      </c>
      <c r="N522" s="322" t="s">
        <v>282</v>
      </c>
      <c r="O522" s="323" t="s">
        <v>20</v>
      </c>
      <c r="P522" s="323" t="s">
        <v>20</v>
      </c>
      <c r="Q522" s="323" t="s">
        <v>15</v>
      </c>
      <c r="R522" s="323" t="s">
        <v>15</v>
      </c>
      <c r="S522" s="323" t="s">
        <v>16</v>
      </c>
      <c r="T522" s="323" t="s">
        <v>329</v>
      </c>
      <c r="U522" s="323" t="s">
        <v>249</v>
      </c>
      <c r="V522" s="323" t="s">
        <v>282</v>
      </c>
      <c r="W522" s="324" t="s">
        <v>282</v>
      </c>
      <c r="X522" s="324" t="s">
        <v>282</v>
      </c>
      <c r="Y522" s="325" t="s">
        <v>282</v>
      </c>
    </row>
    <row r="523" spans="1:25">
      <c r="A523" s="319">
        <v>10</v>
      </c>
      <c r="B523" s="320" t="str">
        <f>VLOOKUP(Tabel10[[#This Row],[Code]],Ruimtegroepen[[Code]:[Ruimte omschrijving]],2,FALSE)</f>
        <v>Trappenhuizen/lift</v>
      </c>
      <c r="C523" s="321" t="s">
        <v>717</v>
      </c>
      <c r="D523" s="320" t="s">
        <v>21</v>
      </c>
      <c r="E523" s="321" t="s">
        <v>102</v>
      </c>
      <c r="F523" s="321" t="s">
        <v>721</v>
      </c>
      <c r="G523" s="326" t="s">
        <v>282</v>
      </c>
      <c r="H523" s="322" t="s">
        <v>282</v>
      </c>
      <c r="I523" s="322" t="s">
        <v>18</v>
      </c>
      <c r="J523" s="322" t="s">
        <v>15</v>
      </c>
      <c r="K523" s="322" t="s">
        <v>283</v>
      </c>
      <c r="L523" s="322" t="s">
        <v>282</v>
      </c>
      <c r="M523" s="322" t="s">
        <v>282</v>
      </c>
      <c r="N523" s="322" t="s">
        <v>282</v>
      </c>
      <c r="O523" s="323" t="s">
        <v>20</v>
      </c>
      <c r="P523" s="323" t="s">
        <v>20</v>
      </c>
      <c r="Q523" s="323" t="s">
        <v>15</v>
      </c>
      <c r="R523" s="323" t="s">
        <v>15</v>
      </c>
      <c r="S523" s="323" t="s">
        <v>16</v>
      </c>
      <c r="T523" s="323" t="s">
        <v>329</v>
      </c>
      <c r="U523" s="323" t="s">
        <v>249</v>
      </c>
      <c r="V523" s="323" t="s">
        <v>282</v>
      </c>
      <c r="W523" s="324" t="s">
        <v>282</v>
      </c>
      <c r="X523" s="324" t="s">
        <v>282</v>
      </c>
      <c r="Y523" s="325" t="s">
        <v>282</v>
      </c>
    </row>
    <row r="524" spans="1:25">
      <c r="A524" s="319">
        <v>10</v>
      </c>
      <c r="B524" s="320" t="str">
        <f>VLOOKUP(Tabel10[[#This Row],[Code]],Ruimtegroepen[[Code]:[Ruimte omschrijving]],2,FALSE)</f>
        <v>Trappenhuizen/lift</v>
      </c>
      <c r="C524" s="321" t="s">
        <v>717</v>
      </c>
      <c r="D524" s="320" t="s">
        <v>21</v>
      </c>
      <c r="E524" s="321" t="s">
        <v>99</v>
      </c>
      <c r="F524" s="321" t="s">
        <v>719</v>
      </c>
      <c r="G524" s="326" t="s">
        <v>282</v>
      </c>
      <c r="H524" s="322" t="s">
        <v>20</v>
      </c>
      <c r="I524" s="322" t="s">
        <v>282</v>
      </c>
      <c r="J524" s="322" t="s">
        <v>282</v>
      </c>
      <c r="K524" s="322" t="s">
        <v>282</v>
      </c>
      <c r="L524" s="322" t="s">
        <v>282</v>
      </c>
      <c r="M524" s="322" t="s">
        <v>282</v>
      </c>
      <c r="N524" s="322" t="s">
        <v>282</v>
      </c>
      <c r="O524" s="323" t="s">
        <v>20</v>
      </c>
      <c r="P524" s="323" t="s">
        <v>20</v>
      </c>
      <c r="Q524" s="323" t="s">
        <v>15</v>
      </c>
      <c r="R524" s="323" t="s">
        <v>15</v>
      </c>
      <c r="S524" s="323" t="s">
        <v>16</v>
      </c>
      <c r="T524" s="323" t="s">
        <v>329</v>
      </c>
      <c r="U524" s="323" t="s">
        <v>249</v>
      </c>
      <c r="V524" s="323" t="s">
        <v>282</v>
      </c>
      <c r="W524" s="324" t="s">
        <v>282</v>
      </c>
      <c r="X524" s="324" t="s">
        <v>282</v>
      </c>
      <c r="Y524" s="325" t="s">
        <v>282</v>
      </c>
    </row>
    <row r="525" spans="1:25">
      <c r="A525" s="319">
        <v>10</v>
      </c>
      <c r="B525" s="320" t="str">
        <f>VLOOKUP(Tabel10[[#This Row],[Code]],Ruimtegroepen[[Code]:[Ruimte omschrijving]],2,FALSE)</f>
        <v>Trappenhuizen/lift</v>
      </c>
      <c r="C525" s="321" t="s">
        <v>717</v>
      </c>
      <c r="D525" s="320" t="s">
        <v>21</v>
      </c>
      <c r="E525" s="321" t="s">
        <v>1306</v>
      </c>
      <c r="F525" s="321" t="s">
        <v>1447</v>
      </c>
      <c r="G525" s="326" t="s">
        <v>282</v>
      </c>
      <c r="H525" s="322" t="s">
        <v>282</v>
      </c>
      <c r="I525" s="322" t="s">
        <v>18</v>
      </c>
      <c r="J525" s="322" t="s">
        <v>15</v>
      </c>
      <c r="K525" s="322" t="s">
        <v>283</v>
      </c>
      <c r="L525" s="322" t="s">
        <v>282</v>
      </c>
      <c r="M525" s="322" t="s">
        <v>282</v>
      </c>
      <c r="N525" s="322" t="s">
        <v>282</v>
      </c>
      <c r="O525" s="323" t="s">
        <v>20</v>
      </c>
      <c r="P525" s="323" t="s">
        <v>20</v>
      </c>
      <c r="Q525" s="323" t="s">
        <v>15</v>
      </c>
      <c r="R525" s="323" t="s">
        <v>15</v>
      </c>
      <c r="S525" s="323" t="s">
        <v>16</v>
      </c>
      <c r="T525" s="323" t="s">
        <v>329</v>
      </c>
      <c r="U525" s="323" t="s">
        <v>249</v>
      </c>
      <c r="V525" s="323" t="s">
        <v>282</v>
      </c>
      <c r="W525" s="324" t="s">
        <v>282</v>
      </c>
      <c r="X525" s="324" t="s">
        <v>282</v>
      </c>
      <c r="Y525" s="325" t="s">
        <v>282</v>
      </c>
    </row>
    <row r="526" spans="1:25">
      <c r="A526" s="319">
        <v>10</v>
      </c>
      <c r="B526" s="320" t="str">
        <f>VLOOKUP(Tabel10[[#This Row],[Code]],Ruimtegroepen[[Code]:[Ruimte omschrijving]],2,FALSE)</f>
        <v>Trappenhuizen/lift</v>
      </c>
      <c r="C526" s="321" t="s">
        <v>722</v>
      </c>
      <c r="D526" s="320" t="s">
        <v>12</v>
      </c>
      <c r="E526" s="321" t="s">
        <v>100</v>
      </c>
      <c r="F526" s="321" t="s">
        <v>723</v>
      </c>
      <c r="G526" s="326" t="s">
        <v>282</v>
      </c>
      <c r="H526" s="322" t="s">
        <v>282</v>
      </c>
      <c r="I526" s="322" t="s">
        <v>17</v>
      </c>
      <c r="J526" s="322" t="s">
        <v>15</v>
      </c>
      <c r="K526" s="322" t="s">
        <v>282</v>
      </c>
      <c r="L526" s="322" t="s">
        <v>282</v>
      </c>
      <c r="M526" s="322" t="s">
        <v>282</v>
      </c>
      <c r="N526" s="322" t="s">
        <v>282</v>
      </c>
      <c r="O526" s="323" t="s">
        <v>18</v>
      </c>
      <c r="P526" s="323" t="s">
        <v>18</v>
      </c>
      <c r="Q526" s="323" t="s">
        <v>15</v>
      </c>
      <c r="R526" s="323" t="s">
        <v>15</v>
      </c>
      <c r="S526" s="323" t="s">
        <v>16</v>
      </c>
      <c r="T526" s="323" t="s">
        <v>329</v>
      </c>
      <c r="U526" s="323" t="s">
        <v>249</v>
      </c>
      <c r="V526" s="323" t="s">
        <v>282</v>
      </c>
      <c r="W526" s="324" t="s">
        <v>282</v>
      </c>
      <c r="X526" s="324" t="s">
        <v>282</v>
      </c>
      <c r="Y526" s="325" t="s">
        <v>282</v>
      </c>
    </row>
    <row r="527" spans="1:25">
      <c r="A527" s="319">
        <v>10</v>
      </c>
      <c r="B527" s="320" t="str">
        <f>VLOOKUP(Tabel10[[#This Row],[Code]],Ruimtegroepen[[Code]:[Ruimte omschrijving]],2,FALSE)</f>
        <v>Trappenhuizen/lift</v>
      </c>
      <c r="C527" s="321" t="s">
        <v>722</v>
      </c>
      <c r="D527" s="320" t="s">
        <v>12</v>
      </c>
      <c r="E527" s="321" t="s">
        <v>99</v>
      </c>
      <c r="F527" s="321" t="s">
        <v>724</v>
      </c>
      <c r="G527" s="326" t="s">
        <v>282</v>
      </c>
      <c r="H527" s="322" t="s">
        <v>18</v>
      </c>
      <c r="I527" s="322" t="s">
        <v>282</v>
      </c>
      <c r="J527" s="322" t="s">
        <v>282</v>
      </c>
      <c r="K527" s="322" t="s">
        <v>282</v>
      </c>
      <c r="L527" s="322" t="s">
        <v>282</v>
      </c>
      <c r="M527" s="322" t="s">
        <v>282</v>
      </c>
      <c r="N527" s="322" t="s">
        <v>282</v>
      </c>
      <c r="O527" s="323" t="s">
        <v>18</v>
      </c>
      <c r="P527" s="323" t="s">
        <v>18</v>
      </c>
      <c r="Q527" s="323" t="s">
        <v>15</v>
      </c>
      <c r="R527" s="323" t="s">
        <v>15</v>
      </c>
      <c r="S527" s="323" t="s">
        <v>16</v>
      </c>
      <c r="T527" s="323" t="s">
        <v>329</v>
      </c>
      <c r="U527" s="323" t="s">
        <v>249</v>
      </c>
      <c r="V527" s="323" t="s">
        <v>282</v>
      </c>
      <c r="W527" s="324" t="s">
        <v>282</v>
      </c>
      <c r="X527" s="324" t="s">
        <v>282</v>
      </c>
      <c r="Y527" s="325" t="s">
        <v>282</v>
      </c>
    </row>
    <row r="528" spans="1:25">
      <c r="A528" s="319">
        <v>10</v>
      </c>
      <c r="B528" s="320" t="str">
        <f>VLOOKUP(Tabel10[[#This Row],[Code]],Ruimtegroepen[[Code]:[Ruimte omschrijving]],2,FALSE)</f>
        <v>Trappenhuizen/lift</v>
      </c>
      <c r="C528" s="321" t="s">
        <v>722</v>
      </c>
      <c r="D528" s="320" t="s">
        <v>12</v>
      </c>
      <c r="E528" s="321" t="s">
        <v>101</v>
      </c>
      <c r="F528" s="321" t="s">
        <v>725</v>
      </c>
      <c r="G528" s="326" t="s">
        <v>282</v>
      </c>
      <c r="H528" s="322" t="s">
        <v>282</v>
      </c>
      <c r="I528" s="322" t="s">
        <v>17</v>
      </c>
      <c r="J528" s="322" t="s">
        <v>15</v>
      </c>
      <c r="K528" s="322" t="s">
        <v>283</v>
      </c>
      <c r="L528" s="322" t="s">
        <v>282</v>
      </c>
      <c r="M528" s="322" t="s">
        <v>282</v>
      </c>
      <c r="N528" s="322" t="s">
        <v>282</v>
      </c>
      <c r="O528" s="323" t="s">
        <v>18</v>
      </c>
      <c r="P528" s="323" t="s">
        <v>18</v>
      </c>
      <c r="Q528" s="323" t="s">
        <v>15</v>
      </c>
      <c r="R528" s="323" t="s">
        <v>15</v>
      </c>
      <c r="S528" s="323" t="s">
        <v>16</v>
      </c>
      <c r="T528" s="323" t="s">
        <v>329</v>
      </c>
      <c r="U528" s="323" t="s">
        <v>249</v>
      </c>
      <c r="V528" s="323" t="s">
        <v>282</v>
      </c>
      <c r="W528" s="324" t="s">
        <v>282</v>
      </c>
      <c r="X528" s="324" t="s">
        <v>282</v>
      </c>
      <c r="Y528" s="325" t="s">
        <v>282</v>
      </c>
    </row>
    <row r="529" spans="1:25">
      <c r="A529" s="319">
        <v>10</v>
      </c>
      <c r="B529" s="320" t="str">
        <f>VLOOKUP(Tabel10[[#This Row],[Code]],Ruimtegroepen[[Code]:[Ruimte omschrijving]],2,FALSE)</f>
        <v>Trappenhuizen/lift</v>
      </c>
      <c r="C529" s="321" t="s">
        <v>722</v>
      </c>
      <c r="D529" s="320" t="s">
        <v>12</v>
      </c>
      <c r="E529" s="321" t="s">
        <v>102</v>
      </c>
      <c r="F529" s="321" t="s">
        <v>726</v>
      </c>
      <c r="G529" s="326" t="s">
        <v>282</v>
      </c>
      <c r="H529" s="322" t="s">
        <v>282</v>
      </c>
      <c r="I529" s="322" t="s">
        <v>17</v>
      </c>
      <c r="J529" s="322" t="s">
        <v>15</v>
      </c>
      <c r="K529" s="322" t="s">
        <v>283</v>
      </c>
      <c r="L529" s="322" t="s">
        <v>282</v>
      </c>
      <c r="M529" s="322" t="s">
        <v>282</v>
      </c>
      <c r="N529" s="322" t="s">
        <v>282</v>
      </c>
      <c r="O529" s="323" t="s">
        <v>18</v>
      </c>
      <c r="P529" s="323" t="s">
        <v>18</v>
      </c>
      <c r="Q529" s="323" t="s">
        <v>15</v>
      </c>
      <c r="R529" s="323" t="s">
        <v>15</v>
      </c>
      <c r="S529" s="323" t="s">
        <v>16</v>
      </c>
      <c r="T529" s="323" t="s">
        <v>329</v>
      </c>
      <c r="U529" s="323" t="s">
        <v>249</v>
      </c>
      <c r="V529" s="323" t="s">
        <v>282</v>
      </c>
      <c r="W529" s="324" t="s">
        <v>282</v>
      </c>
      <c r="X529" s="324" t="s">
        <v>282</v>
      </c>
      <c r="Y529" s="325" t="s">
        <v>282</v>
      </c>
    </row>
    <row r="530" spans="1:25">
      <c r="A530" s="319">
        <v>10</v>
      </c>
      <c r="B530" s="320" t="str">
        <f>VLOOKUP(Tabel10[[#This Row],[Code]],Ruimtegroepen[[Code]:[Ruimte omschrijving]],2,FALSE)</f>
        <v>Trappenhuizen/lift</v>
      </c>
      <c r="C530" s="321" t="s">
        <v>722</v>
      </c>
      <c r="D530" s="320" t="s">
        <v>12</v>
      </c>
      <c r="E530" s="321" t="s">
        <v>99</v>
      </c>
      <c r="F530" s="321" t="s">
        <v>724</v>
      </c>
      <c r="G530" s="326" t="s">
        <v>282</v>
      </c>
      <c r="H530" s="322" t="s">
        <v>18</v>
      </c>
      <c r="I530" s="322" t="s">
        <v>282</v>
      </c>
      <c r="J530" s="322" t="s">
        <v>282</v>
      </c>
      <c r="K530" s="322" t="s">
        <v>282</v>
      </c>
      <c r="L530" s="322" t="s">
        <v>282</v>
      </c>
      <c r="M530" s="322" t="s">
        <v>282</v>
      </c>
      <c r="N530" s="322" t="s">
        <v>282</v>
      </c>
      <c r="O530" s="323" t="s">
        <v>18</v>
      </c>
      <c r="P530" s="323" t="s">
        <v>18</v>
      </c>
      <c r="Q530" s="323" t="s">
        <v>15</v>
      </c>
      <c r="R530" s="323" t="s">
        <v>15</v>
      </c>
      <c r="S530" s="323" t="s">
        <v>16</v>
      </c>
      <c r="T530" s="323" t="s">
        <v>329</v>
      </c>
      <c r="U530" s="323" t="s">
        <v>249</v>
      </c>
      <c r="V530" s="323" t="s">
        <v>282</v>
      </c>
      <c r="W530" s="324" t="s">
        <v>282</v>
      </c>
      <c r="X530" s="324" t="s">
        <v>282</v>
      </c>
      <c r="Y530" s="325" t="s">
        <v>282</v>
      </c>
    </row>
    <row r="531" spans="1:25">
      <c r="A531" s="319">
        <v>10</v>
      </c>
      <c r="B531" s="320" t="str">
        <f>VLOOKUP(Tabel10[[#This Row],[Code]],Ruimtegroepen[[Code]:[Ruimte omschrijving]],2,FALSE)</f>
        <v>Trappenhuizen/lift</v>
      </c>
      <c r="C531" s="321" t="s">
        <v>722</v>
      </c>
      <c r="D531" s="320" t="s">
        <v>12</v>
      </c>
      <c r="E531" s="321" t="s">
        <v>1306</v>
      </c>
      <c r="F531" s="321" t="s">
        <v>1429</v>
      </c>
      <c r="G531" s="326" t="s">
        <v>282</v>
      </c>
      <c r="H531" s="322" t="s">
        <v>282</v>
      </c>
      <c r="I531" s="322" t="s">
        <v>17</v>
      </c>
      <c r="J531" s="322" t="s">
        <v>15</v>
      </c>
      <c r="K531" s="322" t="s">
        <v>283</v>
      </c>
      <c r="L531" s="322" t="s">
        <v>282</v>
      </c>
      <c r="M531" s="322" t="s">
        <v>282</v>
      </c>
      <c r="N531" s="322" t="s">
        <v>282</v>
      </c>
      <c r="O531" s="323" t="s">
        <v>18</v>
      </c>
      <c r="P531" s="323" t="s">
        <v>18</v>
      </c>
      <c r="Q531" s="323" t="s">
        <v>15</v>
      </c>
      <c r="R531" s="323" t="s">
        <v>15</v>
      </c>
      <c r="S531" s="323" t="s">
        <v>16</v>
      </c>
      <c r="T531" s="323" t="s">
        <v>329</v>
      </c>
      <c r="U531" s="323" t="s">
        <v>249</v>
      </c>
      <c r="V531" s="323" t="s">
        <v>282</v>
      </c>
      <c r="W531" s="324" t="s">
        <v>282</v>
      </c>
      <c r="X531" s="324" t="s">
        <v>282</v>
      </c>
      <c r="Y531" s="325" t="s">
        <v>282</v>
      </c>
    </row>
    <row r="532" spans="1:25">
      <c r="A532" s="319">
        <v>10</v>
      </c>
      <c r="B532" s="320" t="str">
        <f>VLOOKUP(Tabel10[[#This Row],[Code]],Ruimtegroepen[[Code]:[Ruimte omschrijving]],2,FALSE)</f>
        <v>Trappenhuizen/lift</v>
      </c>
      <c r="C532" s="321" t="s">
        <v>727</v>
      </c>
      <c r="D532" s="320" t="s">
        <v>14</v>
      </c>
      <c r="E532" s="321" t="s">
        <v>100</v>
      </c>
      <c r="F532" s="321" t="s">
        <v>728</v>
      </c>
      <c r="G532" s="326" t="s">
        <v>282</v>
      </c>
      <c r="H532" s="322" t="s">
        <v>282</v>
      </c>
      <c r="I532" s="322" t="s">
        <v>15</v>
      </c>
      <c r="J532" s="322" t="s">
        <v>15</v>
      </c>
      <c r="K532" s="322" t="s">
        <v>282</v>
      </c>
      <c r="L532" s="322" t="s">
        <v>282</v>
      </c>
      <c r="M532" s="322" t="s">
        <v>282</v>
      </c>
      <c r="N532" s="322" t="s">
        <v>282</v>
      </c>
      <c r="O532" s="323" t="s">
        <v>17</v>
      </c>
      <c r="P532" s="323" t="s">
        <v>17</v>
      </c>
      <c r="Q532" s="323" t="s">
        <v>15</v>
      </c>
      <c r="R532" s="323" t="s">
        <v>15</v>
      </c>
      <c r="S532" s="323" t="s">
        <v>16</v>
      </c>
      <c r="T532" s="323" t="s">
        <v>329</v>
      </c>
      <c r="U532" s="323" t="s">
        <v>249</v>
      </c>
      <c r="V532" s="323" t="s">
        <v>282</v>
      </c>
      <c r="W532" s="324" t="s">
        <v>282</v>
      </c>
      <c r="X532" s="324" t="s">
        <v>282</v>
      </c>
      <c r="Y532" s="325" t="s">
        <v>282</v>
      </c>
    </row>
    <row r="533" spans="1:25">
      <c r="A533" s="319">
        <v>10</v>
      </c>
      <c r="B533" s="320" t="str">
        <f>VLOOKUP(Tabel10[[#This Row],[Code]],Ruimtegroepen[[Code]:[Ruimte omschrijving]],2,FALSE)</f>
        <v>Trappenhuizen/lift</v>
      </c>
      <c r="C533" s="321" t="s">
        <v>727</v>
      </c>
      <c r="D533" s="320" t="s">
        <v>14</v>
      </c>
      <c r="E533" s="321" t="s">
        <v>99</v>
      </c>
      <c r="F533" s="321" t="s">
        <v>729</v>
      </c>
      <c r="G533" s="326" t="s">
        <v>282</v>
      </c>
      <c r="H533" s="322" t="s">
        <v>17</v>
      </c>
      <c r="I533" s="322" t="s">
        <v>282</v>
      </c>
      <c r="J533" s="322" t="s">
        <v>282</v>
      </c>
      <c r="K533" s="322" t="s">
        <v>282</v>
      </c>
      <c r="L533" s="322" t="s">
        <v>282</v>
      </c>
      <c r="M533" s="322" t="s">
        <v>282</v>
      </c>
      <c r="N533" s="322" t="s">
        <v>282</v>
      </c>
      <c r="O533" s="323" t="s">
        <v>17</v>
      </c>
      <c r="P533" s="323" t="s">
        <v>17</v>
      </c>
      <c r="Q533" s="323" t="s">
        <v>15</v>
      </c>
      <c r="R533" s="323" t="s">
        <v>15</v>
      </c>
      <c r="S533" s="323" t="s">
        <v>16</v>
      </c>
      <c r="T533" s="323" t="s">
        <v>329</v>
      </c>
      <c r="U533" s="323" t="s">
        <v>249</v>
      </c>
      <c r="V533" s="323" t="s">
        <v>282</v>
      </c>
      <c r="W533" s="324" t="s">
        <v>282</v>
      </c>
      <c r="X533" s="324" t="s">
        <v>282</v>
      </c>
      <c r="Y533" s="325" t="s">
        <v>282</v>
      </c>
    </row>
    <row r="534" spans="1:25">
      <c r="A534" s="319">
        <v>10</v>
      </c>
      <c r="B534" s="320" t="str">
        <f>VLOOKUP(Tabel10[[#This Row],[Code]],Ruimtegroepen[[Code]:[Ruimte omschrijving]],2,FALSE)</f>
        <v>Trappenhuizen/lift</v>
      </c>
      <c r="C534" s="321" t="s">
        <v>727</v>
      </c>
      <c r="D534" s="320" t="s">
        <v>14</v>
      </c>
      <c r="E534" s="321" t="s">
        <v>101</v>
      </c>
      <c r="F534" s="321" t="s">
        <v>730</v>
      </c>
      <c r="G534" s="326" t="s">
        <v>282</v>
      </c>
      <c r="H534" s="322" t="s">
        <v>282</v>
      </c>
      <c r="I534" s="322" t="s">
        <v>15</v>
      </c>
      <c r="J534" s="322" t="s">
        <v>15</v>
      </c>
      <c r="K534" s="322" t="s">
        <v>283</v>
      </c>
      <c r="L534" s="322" t="s">
        <v>282</v>
      </c>
      <c r="M534" s="322" t="s">
        <v>282</v>
      </c>
      <c r="N534" s="322" t="s">
        <v>282</v>
      </c>
      <c r="O534" s="323" t="s">
        <v>17</v>
      </c>
      <c r="P534" s="323" t="s">
        <v>17</v>
      </c>
      <c r="Q534" s="323" t="s">
        <v>15</v>
      </c>
      <c r="R534" s="323" t="s">
        <v>15</v>
      </c>
      <c r="S534" s="323" t="s">
        <v>16</v>
      </c>
      <c r="T534" s="323" t="s">
        <v>329</v>
      </c>
      <c r="U534" s="323" t="s">
        <v>249</v>
      </c>
      <c r="V534" s="323" t="s">
        <v>282</v>
      </c>
      <c r="W534" s="324" t="s">
        <v>282</v>
      </c>
      <c r="X534" s="324" t="s">
        <v>282</v>
      </c>
      <c r="Y534" s="325" t="s">
        <v>282</v>
      </c>
    </row>
    <row r="535" spans="1:25">
      <c r="A535" s="319">
        <v>10</v>
      </c>
      <c r="B535" s="320" t="str">
        <f>VLOOKUP(Tabel10[[#This Row],[Code]],Ruimtegroepen[[Code]:[Ruimte omschrijving]],2,FALSE)</f>
        <v>Trappenhuizen/lift</v>
      </c>
      <c r="C535" s="321" t="s">
        <v>727</v>
      </c>
      <c r="D535" s="320" t="s">
        <v>14</v>
      </c>
      <c r="E535" s="321" t="s">
        <v>102</v>
      </c>
      <c r="F535" s="321" t="s">
        <v>731</v>
      </c>
      <c r="G535" s="326" t="s">
        <v>282</v>
      </c>
      <c r="H535" s="322" t="s">
        <v>282</v>
      </c>
      <c r="I535" s="322" t="s">
        <v>15</v>
      </c>
      <c r="J535" s="322" t="s">
        <v>15</v>
      </c>
      <c r="K535" s="322" t="s">
        <v>283</v>
      </c>
      <c r="L535" s="322" t="s">
        <v>282</v>
      </c>
      <c r="M535" s="322" t="s">
        <v>282</v>
      </c>
      <c r="N535" s="322" t="s">
        <v>282</v>
      </c>
      <c r="O535" s="323" t="s">
        <v>17</v>
      </c>
      <c r="P535" s="323" t="s">
        <v>17</v>
      </c>
      <c r="Q535" s="323" t="s">
        <v>15</v>
      </c>
      <c r="R535" s="323" t="s">
        <v>15</v>
      </c>
      <c r="S535" s="323" t="s">
        <v>16</v>
      </c>
      <c r="T535" s="323" t="s">
        <v>329</v>
      </c>
      <c r="U535" s="323" t="s">
        <v>249</v>
      </c>
      <c r="V535" s="323" t="s">
        <v>282</v>
      </c>
      <c r="W535" s="324" t="s">
        <v>282</v>
      </c>
      <c r="X535" s="324" t="s">
        <v>282</v>
      </c>
      <c r="Y535" s="325" t="s">
        <v>282</v>
      </c>
    </row>
    <row r="536" spans="1:25">
      <c r="A536" s="319">
        <v>10</v>
      </c>
      <c r="B536" s="320" t="str">
        <f>VLOOKUP(Tabel10[[#This Row],[Code]],Ruimtegroepen[[Code]:[Ruimte omschrijving]],2,FALSE)</f>
        <v>Trappenhuizen/lift</v>
      </c>
      <c r="C536" s="321" t="s">
        <v>727</v>
      </c>
      <c r="D536" s="320" t="s">
        <v>14</v>
      </c>
      <c r="E536" s="321" t="s">
        <v>99</v>
      </c>
      <c r="F536" s="321" t="s">
        <v>729</v>
      </c>
      <c r="G536" s="326" t="s">
        <v>282</v>
      </c>
      <c r="H536" s="322" t="s">
        <v>17</v>
      </c>
      <c r="I536" s="322" t="s">
        <v>282</v>
      </c>
      <c r="J536" s="322" t="s">
        <v>282</v>
      </c>
      <c r="K536" s="322" t="s">
        <v>282</v>
      </c>
      <c r="L536" s="322" t="s">
        <v>282</v>
      </c>
      <c r="M536" s="322" t="s">
        <v>282</v>
      </c>
      <c r="N536" s="322" t="s">
        <v>282</v>
      </c>
      <c r="O536" s="323" t="s">
        <v>17</v>
      </c>
      <c r="P536" s="323" t="s">
        <v>17</v>
      </c>
      <c r="Q536" s="323" t="s">
        <v>15</v>
      </c>
      <c r="R536" s="323" t="s">
        <v>15</v>
      </c>
      <c r="S536" s="323" t="s">
        <v>16</v>
      </c>
      <c r="T536" s="323" t="s">
        <v>329</v>
      </c>
      <c r="U536" s="323" t="s">
        <v>249</v>
      </c>
      <c r="V536" s="323" t="s">
        <v>282</v>
      </c>
      <c r="W536" s="324" t="s">
        <v>282</v>
      </c>
      <c r="X536" s="324" t="s">
        <v>282</v>
      </c>
      <c r="Y536" s="325" t="s">
        <v>282</v>
      </c>
    </row>
    <row r="537" spans="1:25">
      <c r="A537" s="319">
        <v>10</v>
      </c>
      <c r="B537" s="320" t="str">
        <f>VLOOKUP(Tabel10[[#This Row],[Code]],Ruimtegroepen[[Code]:[Ruimte omschrijving]],2,FALSE)</f>
        <v>Trappenhuizen/lift</v>
      </c>
      <c r="C537" s="321" t="s">
        <v>727</v>
      </c>
      <c r="D537" s="320" t="s">
        <v>14</v>
      </c>
      <c r="E537" s="321" t="s">
        <v>1306</v>
      </c>
      <c r="F537" s="321" t="s">
        <v>1396</v>
      </c>
      <c r="G537" s="326" t="s">
        <v>282</v>
      </c>
      <c r="H537" s="322" t="s">
        <v>282</v>
      </c>
      <c r="I537" s="322" t="s">
        <v>15</v>
      </c>
      <c r="J537" s="322" t="s">
        <v>15</v>
      </c>
      <c r="K537" s="322" t="s">
        <v>283</v>
      </c>
      <c r="L537" s="322" t="s">
        <v>282</v>
      </c>
      <c r="M537" s="322" t="s">
        <v>282</v>
      </c>
      <c r="N537" s="322" t="s">
        <v>282</v>
      </c>
      <c r="O537" s="323" t="s">
        <v>17</v>
      </c>
      <c r="P537" s="323" t="s">
        <v>17</v>
      </c>
      <c r="Q537" s="323" t="s">
        <v>15</v>
      </c>
      <c r="R537" s="323" t="s">
        <v>15</v>
      </c>
      <c r="S537" s="323" t="s">
        <v>16</v>
      </c>
      <c r="T537" s="323" t="s">
        <v>329</v>
      </c>
      <c r="U537" s="323" t="s">
        <v>249</v>
      </c>
      <c r="V537" s="323" t="s">
        <v>282</v>
      </c>
      <c r="W537" s="324" t="s">
        <v>282</v>
      </c>
      <c r="X537" s="324" t="s">
        <v>282</v>
      </c>
      <c r="Y537" s="325" t="s">
        <v>282</v>
      </c>
    </row>
    <row r="538" spans="1:25">
      <c r="A538" s="319">
        <v>10</v>
      </c>
      <c r="B538" s="320" t="str">
        <f>VLOOKUP(Tabel10[[#This Row],[Code]],Ruimtegroepen[[Code]:[Ruimte omschrijving]],2,FALSE)</f>
        <v>Trappenhuizen/lift</v>
      </c>
      <c r="C538" s="321" t="s">
        <v>732</v>
      </c>
      <c r="D538" s="320" t="s">
        <v>13</v>
      </c>
      <c r="E538" s="321" t="s">
        <v>100</v>
      </c>
      <c r="F538" s="321" t="s">
        <v>733</v>
      </c>
      <c r="G538" s="326" t="s">
        <v>282</v>
      </c>
      <c r="H538" s="322" t="s">
        <v>282</v>
      </c>
      <c r="I538" s="322" t="s">
        <v>282</v>
      </c>
      <c r="J538" s="322" t="s">
        <v>15</v>
      </c>
      <c r="K538" s="322" t="s">
        <v>282</v>
      </c>
      <c r="L538" s="322" t="s">
        <v>282</v>
      </c>
      <c r="M538" s="322" t="s">
        <v>282</v>
      </c>
      <c r="N538" s="322" t="s">
        <v>282</v>
      </c>
      <c r="O538" s="323" t="s">
        <v>15</v>
      </c>
      <c r="P538" s="323" t="s">
        <v>15</v>
      </c>
      <c r="Q538" s="323" t="s">
        <v>15</v>
      </c>
      <c r="R538" s="323" t="s">
        <v>15</v>
      </c>
      <c r="S538" s="323" t="s">
        <v>16</v>
      </c>
      <c r="T538" s="323" t="s">
        <v>329</v>
      </c>
      <c r="U538" s="323" t="s">
        <v>249</v>
      </c>
      <c r="V538" s="323" t="s">
        <v>282</v>
      </c>
      <c r="W538" s="324" t="s">
        <v>282</v>
      </c>
      <c r="X538" s="324" t="s">
        <v>282</v>
      </c>
      <c r="Y538" s="325" t="s">
        <v>282</v>
      </c>
    </row>
    <row r="539" spans="1:25">
      <c r="A539" s="319">
        <v>10</v>
      </c>
      <c r="B539" s="320" t="str">
        <f>VLOOKUP(Tabel10[[#This Row],[Code]],Ruimtegroepen[[Code]:[Ruimte omschrijving]],2,FALSE)</f>
        <v>Trappenhuizen/lift</v>
      </c>
      <c r="C539" s="321" t="s">
        <v>732</v>
      </c>
      <c r="D539" s="320" t="s">
        <v>13</v>
      </c>
      <c r="E539" s="321" t="s">
        <v>99</v>
      </c>
      <c r="F539" s="321" t="s">
        <v>734</v>
      </c>
      <c r="G539" s="326" t="s">
        <v>282</v>
      </c>
      <c r="H539" s="322" t="s">
        <v>15</v>
      </c>
      <c r="I539" s="322" t="s">
        <v>282</v>
      </c>
      <c r="J539" s="322" t="s">
        <v>282</v>
      </c>
      <c r="K539" s="322" t="s">
        <v>282</v>
      </c>
      <c r="L539" s="322" t="s">
        <v>282</v>
      </c>
      <c r="M539" s="322" t="s">
        <v>282</v>
      </c>
      <c r="N539" s="322" t="s">
        <v>282</v>
      </c>
      <c r="O539" s="323" t="s">
        <v>15</v>
      </c>
      <c r="P539" s="323" t="s">
        <v>15</v>
      </c>
      <c r="Q539" s="323" t="s">
        <v>15</v>
      </c>
      <c r="R539" s="323" t="s">
        <v>15</v>
      </c>
      <c r="S539" s="323" t="s">
        <v>16</v>
      </c>
      <c r="T539" s="323" t="s">
        <v>329</v>
      </c>
      <c r="U539" s="323" t="s">
        <v>249</v>
      </c>
      <c r="V539" s="323" t="s">
        <v>282</v>
      </c>
      <c r="W539" s="324" t="s">
        <v>282</v>
      </c>
      <c r="X539" s="324" t="s">
        <v>282</v>
      </c>
      <c r="Y539" s="325" t="s">
        <v>282</v>
      </c>
    </row>
    <row r="540" spans="1:25">
      <c r="A540" s="319">
        <v>10</v>
      </c>
      <c r="B540" s="320" t="str">
        <f>VLOOKUP(Tabel10[[#This Row],[Code]],Ruimtegroepen[[Code]:[Ruimte omschrijving]],2,FALSE)</f>
        <v>Trappenhuizen/lift</v>
      </c>
      <c r="C540" s="321" t="s">
        <v>732</v>
      </c>
      <c r="D540" s="320" t="s">
        <v>13</v>
      </c>
      <c r="E540" s="321" t="s">
        <v>101</v>
      </c>
      <c r="F540" s="321" t="s">
        <v>735</v>
      </c>
      <c r="G540" s="326" t="s">
        <v>282</v>
      </c>
      <c r="H540" s="322" t="s">
        <v>282</v>
      </c>
      <c r="I540" s="322" t="s">
        <v>282</v>
      </c>
      <c r="J540" s="322" t="s">
        <v>15</v>
      </c>
      <c r="K540" s="322" t="s">
        <v>283</v>
      </c>
      <c r="L540" s="322" t="s">
        <v>282</v>
      </c>
      <c r="M540" s="322" t="s">
        <v>282</v>
      </c>
      <c r="N540" s="322" t="s">
        <v>282</v>
      </c>
      <c r="O540" s="323" t="s">
        <v>15</v>
      </c>
      <c r="P540" s="323" t="s">
        <v>15</v>
      </c>
      <c r="Q540" s="323" t="s">
        <v>15</v>
      </c>
      <c r="R540" s="323" t="s">
        <v>15</v>
      </c>
      <c r="S540" s="323" t="s">
        <v>16</v>
      </c>
      <c r="T540" s="323" t="s">
        <v>329</v>
      </c>
      <c r="U540" s="323" t="s">
        <v>249</v>
      </c>
      <c r="V540" s="323" t="s">
        <v>282</v>
      </c>
      <c r="W540" s="324" t="s">
        <v>282</v>
      </c>
      <c r="X540" s="324" t="s">
        <v>282</v>
      </c>
      <c r="Y540" s="325" t="s">
        <v>282</v>
      </c>
    </row>
    <row r="541" spans="1:25">
      <c r="A541" s="319">
        <v>10</v>
      </c>
      <c r="B541" s="320" t="str">
        <f>VLOOKUP(Tabel10[[#This Row],[Code]],Ruimtegroepen[[Code]:[Ruimte omschrijving]],2,FALSE)</f>
        <v>Trappenhuizen/lift</v>
      </c>
      <c r="C541" s="321" t="s">
        <v>732</v>
      </c>
      <c r="D541" s="320" t="s">
        <v>13</v>
      </c>
      <c r="E541" s="321" t="s">
        <v>102</v>
      </c>
      <c r="F541" s="321" t="s">
        <v>736</v>
      </c>
      <c r="G541" s="326" t="s">
        <v>282</v>
      </c>
      <c r="H541" s="322" t="s">
        <v>282</v>
      </c>
      <c r="I541" s="322" t="s">
        <v>282</v>
      </c>
      <c r="J541" s="322" t="s">
        <v>15</v>
      </c>
      <c r="K541" s="322" t="s">
        <v>283</v>
      </c>
      <c r="L541" s="322" t="s">
        <v>282</v>
      </c>
      <c r="M541" s="322" t="s">
        <v>282</v>
      </c>
      <c r="N541" s="322" t="s">
        <v>282</v>
      </c>
      <c r="O541" s="323" t="s">
        <v>15</v>
      </c>
      <c r="P541" s="323" t="s">
        <v>15</v>
      </c>
      <c r="Q541" s="323" t="s">
        <v>15</v>
      </c>
      <c r="R541" s="323" t="s">
        <v>15</v>
      </c>
      <c r="S541" s="323" t="s">
        <v>16</v>
      </c>
      <c r="T541" s="323" t="s">
        <v>329</v>
      </c>
      <c r="U541" s="323" t="s">
        <v>249</v>
      </c>
      <c r="V541" s="323" t="s">
        <v>282</v>
      </c>
      <c r="W541" s="324" t="s">
        <v>282</v>
      </c>
      <c r="X541" s="324" t="s">
        <v>282</v>
      </c>
      <c r="Y541" s="325" t="s">
        <v>282</v>
      </c>
    </row>
    <row r="542" spans="1:25">
      <c r="A542" s="319">
        <v>10</v>
      </c>
      <c r="B542" s="320" t="str">
        <f>VLOOKUP(Tabel10[[#This Row],[Code]],Ruimtegroepen[[Code]:[Ruimte omschrijving]],2,FALSE)</f>
        <v>Trappenhuizen/lift</v>
      </c>
      <c r="C542" s="321" t="s">
        <v>732</v>
      </c>
      <c r="D542" s="320" t="s">
        <v>13</v>
      </c>
      <c r="E542" s="321" t="s">
        <v>99</v>
      </c>
      <c r="F542" s="321" t="s">
        <v>734</v>
      </c>
      <c r="G542" s="326" t="s">
        <v>282</v>
      </c>
      <c r="H542" s="322" t="s">
        <v>15</v>
      </c>
      <c r="I542" s="322" t="s">
        <v>282</v>
      </c>
      <c r="J542" s="322" t="s">
        <v>282</v>
      </c>
      <c r="K542" s="322" t="s">
        <v>282</v>
      </c>
      <c r="L542" s="322" t="s">
        <v>282</v>
      </c>
      <c r="M542" s="322" t="s">
        <v>282</v>
      </c>
      <c r="N542" s="322" t="s">
        <v>282</v>
      </c>
      <c r="O542" s="323" t="s">
        <v>15</v>
      </c>
      <c r="P542" s="323" t="s">
        <v>15</v>
      </c>
      <c r="Q542" s="323" t="s">
        <v>15</v>
      </c>
      <c r="R542" s="323" t="s">
        <v>15</v>
      </c>
      <c r="S542" s="323" t="s">
        <v>16</v>
      </c>
      <c r="T542" s="323" t="s">
        <v>329</v>
      </c>
      <c r="U542" s="323" t="s">
        <v>249</v>
      </c>
      <c r="V542" s="323" t="s">
        <v>282</v>
      </c>
      <c r="W542" s="324" t="s">
        <v>282</v>
      </c>
      <c r="X542" s="324" t="s">
        <v>282</v>
      </c>
      <c r="Y542" s="325" t="s">
        <v>282</v>
      </c>
    </row>
    <row r="543" spans="1:25">
      <c r="A543" s="319">
        <v>10</v>
      </c>
      <c r="B543" s="320" t="str">
        <f>VLOOKUP(Tabel10[[#This Row],[Code]],Ruimtegroepen[[Code]:[Ruimte omschrijving]],2,FALSE)</f>
        <v>Trappenhuizen/lift</v>
      </c>
      <c r="C543" s="321" t="s">
        <v>732</v>
      </c>
      <c r="D543" s="320" t="s">
        <v>13</v>
      </c>
      <c r="E543" s="321" t="s">
        <v>1306</v>
      </c>
      <c r="F543" s="321" t="s">
        <v>1363</v>
      </c>
      <c r="G543" s="326" t="s">
        <v>282</v>
      </c>
      <c r="H543" s="322" t="s">
        <v>282</v>
      </c>
      <c r="I543" s="322" t="s">
        <v>282</v>
      </c>
      <c r="J543" s="322" t="s">
        <v>15</v>
      </c>
      <c r="K543" s="322" t="s">
        <v>283</v>
      </c>
      <c r="L543" s="322" t="s">
        <v>282</v>
      </c>
      <c r="M543" s="322" t="s">
        <v>282</v>
      </c>
      <c r="N543" s="322" t="s">
        <v>282</v>
      </c>
      <c r="O543" s="323" t="s">
        <v>15</v>
      </c>
      <c r="P543" s="323" t="s">
        <v>15</v>
      </c>
      <c r="Q543" s="323" t="s">
        <v>15</v>
      </c>
      <c r="R543" s="323" t="s">
        <v>15</v>
      </c>
      <c r="S543" s="323" t="s">
        <v>16</v>
      </c>
      <c r="T543" s="323" t="s">
        <v>329</v>
      </c>
      <c r="U543" s="323" t="s">
        <v>249</v>
      </c>
      <c r="V543" s="323" t="s">
        <v>282</v>
      </c>
      <c r="W543" s="324" t="s">
        <v>282</v>
      </c>
      <c r="X543" s="324" t="s">
        <v>282</v>
      </c>
      <c r="Y543" s="325" t="s">
        <v>282</v>
      </c>
    </row>
    <row r="544" spans="1:25">
      <c r="A544" s="319">
        <v>10</v>
      </c>
      <c r="B544" s="320" t="str">
        <f>VLOOKUP(Tabel10[[#This Row],[Code]],Ruimtegroepen[[Code]:[Ruimte omschrijving]],2,FALSE)</f>
        <v>Trappenhuizen/lift</v>
      </c>
      <c r="C544" s="321" t="s">
        <v>737</v>
      </c>
      <c r="D544" s="320" t="s">
        <v>0</v>
      </c>
      <c r="E544" s="321" t="s">
        <v>100</v>
      </c>
      <c r="F544" s="321" t="s">
        <v>738</v>
      </c>
      <c r="G544" s="326" t="s">
        <v>282</v>
      </c>
      <c r="H544" s="322" t="s">
        <v>282</v>
      </c>
      <c r="I544" s="322" t="s">
        <v>282</v>
      </c>
      <c r="J544" s="322" t="s">
        <v>16</v>
      </c>
      <c r="K544" s="322" t="s">
        <v>282</v>
      </c>
      <c r="L544" s="322" t="s">
        <v>282</v>
      </c>
      <c r="M544" s="322" t="s">
        <v>282</v>
      </c>
      <c r="N544" s="322" t="s">
        <v>282</v>
      </c>
      <c r="O544" s="323" t="s">
        <v>16</v>
      </c>
      <c r="P544" s="323" t="s">
        <v>16</v>
      </c>
      <c r="Q544" s="323" t="s">
        <v>16</v>
      </c>
      <c r="R544" s="323" t="s">
        <v>16</v>
      </c>
      <c r="S544" s="323" t="s">
        <v>16</v>
      </c>
      <c r="T544" s="323" t="s">
        <v>329</v>
      </c>
      <c r="U544" s="323" t="s">
        <v>249</v>
      </c>
      <c r="V544" s="323" t="s">
        <v>282</v>
      </c>
      <c r="W544" s="324" t="s">
        <v>282</v>
      </c>
      <c r="X544" s="324" t="s">
        <v>282</v>
      </c>
      <c r="Y544" s="325" t="s">
        <v>282</v>
      </c>
    </row>
    <row r="545" spans="1:25">
      <c r="A545" s="319">
        <v>10</v>
      </c>
      <c r="B545" s="320" t="str">
        <f>VLOOKUP(Tabel10[[#This Row],[Code]],Ruimtegroepen[[Code]:[Ruimte omschrijving]],2,FALSE)</f>
        <v>Trappenhuizen/lift</v>
      </c>
      <c r="C545" s="321" t="s">
        <v>737</v>
      </c>
      <c r="D545" s="320" t="s">
        <v>0</v>
      </c>
      <c r="E545" s="321" t="s">
        <v>99</v>
      </c>
      <c r="F545" s="321" t="s">
        <v>739</v>
      </c>
      <c r="G545" s="326" t="s">
        <v>282</v>
      </c>
      <c r="H545" s="322" t="s">
        <v>16</v>
      </c>
      <c r="I545" s="322" t="s">
        <v>282</v>
      </c>
      <c r="J545" s="322" t="s">
        <v>282</v>
      </c>
      <c r="K545" s="322" t="s">
        <v>282</v>
      </c>
      <c r="L545" s="322" t="s">
        <v>282</v>
      </c>
      <c r="M545" s="322" t="s">
        <v>282</v>
      </c>
      <c r="N545" s="322" t="s">
        <v>282</v>
      </c>
      <c r="O545" s="323" t="s">
        <v>16</v>
      </c>
      <c r="P545" s="323" t="s">
        <v>16</v>
      </c>
      <c r="Q545" s="323" t="s">
        <v>16</v>
      </c>
      <c r="R545" s="323" t="s">
        <v>16</v>
      </c>
      <c r="S545" s="323" t="s">
        <v>16</v>
      </c>
      <c r="T545" s="323" t="s">
        <v>329</v>
      </c>
      <c r="U545" s="323" t="s">
        <v>249</v>
      </c>
      <c r="V545" s="323" t="s">
        <v>282</v>
      </c>
      <c r="W545" s="324" t="s">
        <v>282</v>
      </c>
      <c r="X545" s="324" t="s">
        <v>282</v>
      </c>
      <c r="Y545" s="325" t="s">
        <v>282</v>
      </c>
    </row>
    <row r="546" spans="1:25">
      <c r="A546" s="319">
        <v>10</v>
      </c>
      <c r="B546" s="320" t="str">
        <f>VLOOKUP(Tabel10[[#This Row],[Code]],Ruimtegroepen[[Code]:[Ruimte omschrijving]],2,FALSE)</f>
        <v>Trappenhuizen/lift</v>
      </c>
      <c r="C546" s="321" t="s">
        <v>737</v>
      </c>
      <c r="D546" s="320" t="s">
        <v>0</v>
      </c>
      <c r="E546" s="321" t="s">
        <v>101</v>
      </c>
      <c r="F546" s="321" t="s">
        <v>740</v>
      </c>
      <c r="G546" s="326" t="s">
        <v>282</v>
      </c>
      <c r="H546" s="322" t="s">
        <v>282</v>
      </c>
      <c r="I546" s="322" t="s">
        <v>282</v>
      </c>
      <c r="J546" s="322" t="s">
        <v>16</v>
      </c>
      <c r="K546" s="322" t="s">
        <v>283</v>
      </c>
      <c r="L546" s="322" t="s">
        <v>282</v>
      </c>
      <c r="M546" s="322" t="s">
        <v>282</v>
      </c>
      <c r="N546" s="322" t="s">
        <v>282</v>
      </c>
      <c r="O546" s="323" t="s">
        <v>16</v>
      </c>
      <c r="P546" s="323" t="s">
        <v>16</v>
      </c>
      <c r="Q546" s="323" t="s">
        <v>16</v>
      </c>
      <c r="R546" s="323" t="s">
        <v>16</v>
      </c>
      <c r="S546" s="323" t="s">
        <v>16</v>
      </c>
      <c r="T546" s="323" t="s">
        <v>329</v>
      </c>
      <c r="U546" s="323" t="s">
        <v>249</v>
      </c>
      <c r="V546" s="323" t="s">
        <v>282</v>
      </c>
      <c r="W546" s="324" t="s">
        <v>282</v>
      </c>
      <c r="X546" s="324" t="s">
        <v>282</v>
      </c>
      <c r="Y546" s="325" t="s">
        <v>282</v>
      </c>
    </row>
    <row r="547" spans="1:25">
      <c r="A547" s="319">
        <v>10</v>
      </c>
      <c r="B547" s="320" t="str">
        <f>VLOOKUP(Tabel10[[#This Row],[Code]],Ruimtegroepen[[Code]:[Ruimte omschrijving]],2,FALSE)</f>
        <v>Trappenhuizen/lift</v>
      </c>
      <c r="C547" s="321" t="s">
        <v>737</v>
      </c>
      <c r="D547" s="320" t="s">
        <v>0</v>
      </c>
      <c r="E547" s="321" t="s">
        <v>102</v>
      </c>
      <c r="F547" s="321" t="s">
        <v>741</v>
      </c>
      <c r="G547" s="326" t="s">
        <v>282</v>
      </c>
      <c r="H547" s="322" t="s">
        <v>282</v>
      </c>
      <c r="I547" s="322" t="s">
        <v>282</v>
      </c>
      <c r="J547" s="322" t="s">
        <v>16</v>
      </c>
      <c r="K547" s="322" t="s">
        <v>283</v>
      </c>
      <c r="L547" s="322" t="s">
        <v>282</v>
      </c>
      <c r="M547" s="322" t="s">
        <v>282</v>
      </c>
      <c r="N547" s="322" t="s">
        <v>282</v>
      </c>
      <c r="O547" s="323" t="s">
        <v>16</v>
      </c>
      <c r="P547" s="323" t="s">
        <v>16</v>
      </c>
      <c r="Q547" s="323" t="s">
        <v>16</v>
      </c>
      <c r="R547" s="323" t="s">
        <v>16</v>
      </c>
      <c r="S547" s="323" t="s">
        <v>16</v>
      </c>
      <c r="T547" s="323" t="s">
        <v>329</v>
      </c>
      <c r="U547" s="323" t="s">
        <v>249</v>
      </c>
      <c r="V547" s="323" t="s">
        <v>282</v>
      </c>
      <c r="W547" s="324" t="s">
        <v>282</v>
      </c>
      <c r="X547" s="324" t="s">
        <v>282</v>
      </c>
      <c r="Y547" s="325" t="s">
        <v>282</v>
      </c>
    </row>
    <row r="548" spans="1:25">
      <c r="A548" s="319">
        <v>10</v>
      </c>
      <c r="B548" s="320" t="str">
        <f>VLOOKUP(Tabel10[[#This Row],[Code]],Ruimtegroepen[[Code]:[Ruimte omschrijving]],2,FALSE)</f>
        <v>Trappenhuizen/lift</v>
      </c>
      <c r="C548" s="321" t="s">
        <v>737</v>
      </c>
      <c r="D548" s="320" t="s">
        <v>0</v>
      </c>
      <c r="E548" s="321" t="s">
        <v>99</v>
      </c>
      <c r="F548" s="321" t="s">
        <v>739</v>
      </c>
      <c r="G548" s="326" t="s">
        <v>282</v>
      </c>
      <c r="H548" s="322" t="s">
        <v>16</v>
      </c>
      <c r="I548" s="322" t="s">
        <v>282</v>
      </c>
      <c r="J548" s="322" t="s">
        <v>282</v>
      </c>
      <c r="K548" s="322" t="s">
        <v>282</v>
      </c>
      <c r="L548" s="322" t="s">
        <v>282</v>
      </c>
      <c r="M548" s="322" t="s">
        <v>282</v>
      </c>
      <c r="N548" s="322" t="s">
        <v>282</v>
      </c>
      <c r="O548" s="323" t="s">
        <v>16</v>
      </c>
      <c r="P548" s="323" t="s">
        <v>16</v>
      </c>
      <c r="Q548" s="323" t="s">
        <v>16</v>
      </c>
      <c r="R548" s="323" t="s">
        <v>16</v>
      </c>
      <c r="S548" s="323" t="s">
        <v>16</v>
      </c>
      <c r="T548" s="323" t="s">
        <v>329</v>
      </c>
      <c r="U548" s="323" t="s">
        <v>249</v>
      </c>
      <c r="V548" s="323" t="s">
        <v>282</v>
      </c>
      <c r="W548" s="324" t="s">
        <v>282</v>
      </c>
      <c r="X548" s="324" t="s">
        <v>282</v>
      </c>
      <c r="Y548" s="325" t="s">
        <v>282</v>
      </c>
    </row>
    <row r="549" spans="1:25">
      <c r="A549" s="319">
        <v>10</v>
      </c>
      <c r="B549" s="320" t="str">
        <f>VLOOKUP(Tabel10[[#This Row],[Code]],Ruimtegroepen[[Code]:[Ruimte omschrijving]],2,FALSE)</f>
        <v>Trappenhuizen/lift</v>
      </c>
      <c r="C549" s="321" t="s">
        <v>737</v>
      </c>
      <c r="D549" s="320" t="s">
        <v>0</v>
      </c>
      <c r="E549" s="321" t="s">
        <v>1306</v>
      </c>
      <c r="F549" s="321" t="s">
        <v>1347</v>
      </c>
      <c r="G549" s="326" t="s">
        <v>282</v>
      </c>
      <c r="H549" s="322" t="s">
        <v>282</v>
      </c>
      <c r="I549" s="322" t="s">
        <v>282</v>
      </c>
      <c r="J549" s="322" t="s">
        <v>16</v>
      </c>
      <c r="K549" s="322" t="s">
        <v>283</v>
      </c>
      <c r="L549" s="322" t="s">
        <v>282</v>
      </c>
      <c r="M549" s="322" t="s">
        <v>282</v>
      </c>
      <c r="N549" s="322" t="s">
        <v>282</v>
      </c>
      <c r="O549" s="323" t="s">
        <v>16</v>
      </c>
      <c r="P549" s="323" t="s">
        <v>16</v>
      </c>
      <c r="Q549" s="323" t="s">
        <v>16</v>
      </c>
      <c r="R549" s="323" t="s">
        <v>16</v>
      </c>
      <c r="S549" s="323" t="s">
        <v>16</v>
      </c>
      <c r="T549" s="323" t="s">
        <v>329</v>
      </c>
      <c r="U549" s="323" t="s">
        <v>249</v>
      </c>
      <c r="V549" s="323" t="s">
        <v>282</v>
      </c>
      <c r="W549" s="324" t="s">
        <v>282</v>
      </c>
      <c r="X549" s="324" t="s">
        <v>282</v>
      </c>
      <c r="Y549" s="325" t="s">
        <v>282</v>
      </c>
    </row>
    <row r="550" spans="1:25">
      <c r="A550" s="319">
        <v>10</v>
      </c>
      <c r="B550" s="320" t="str">
        <f>VLOOKUP(Tabel10[[#This Row],[Code]],Ruimtegroepen[[Code]:[Ruimte omschrijving]],2,FALSE)</f>
        <v>Trappenhuizen/lift</v>
      </c>
      <c r="C550" s="321" t="s">
        <v>742</v>
      </c>
      <c r="D550" s="320" t="s">
        <v>27</v>
      </c>
      <c r="E550" s="321" t="s">
        <v>100</v>
      </c>
      <c r="F550" s="321" t="s">
        <v>743</v>
      </c>
      <c r="G550" s="326" t="s">
        <v>282</v>
      </c>
      <c r="H550" s="322" t="s">
        <v>282</v>
      </c>
      <c r="I550" s="322" t="s">
        <v>15</v>
      </c>
      <c r="J550" s="322" t="s">
        <v>282</v>
      </c>
      <c r="K550" s="322" t="s">
        <v>282</v>
      </c>
      <c r="L550" s="322" t="s">
        <v>282</v>
      </c>
      <c r="M550" s="322" t="s">
        <v>282</v>
      </c>
      <c r="N550" s="322" t="s">
        <v>282</v>
      </c>
      <c r="O550" s="323" t="s">
        <v>15</v>
      </c>
      <c r="P550" s="323" t="s">
        <v>15</v>
      </c>
      <c r="Q550" s="323" t="s">
        <v>15</v>
      </c>
      <c r="R550" s="323" t="s">
        <v>282</v>
      </c>
      <c r="S550" s="323" t="s">
        <v>282</v>
      </c>
      <c r="T550" s="323" t="s">
        <v>282</v>
      </c>
      <c r="U550" s="323" t="s">
        <v>282</v>
      </c>
      <c r="V550" s="323" t="s">
        <v>282</v>
      </c>
      <c r="W550" s="324" t="s">
        <v>282</v>
      </c>
      <c r="X550" s="324" t="s">
        <v>282</v>
      </c>
      <c r="Y550" s="325" t="s">
        <v>282</v>
      </c>
    </row>
    <row r="551" spans="1:25">
      <c r="A551" s="319">
        <v>10</v>
      </c>
      <c r="B551" s="320" t="str">
        <f>VLOOKUP(Tabel10[[#This Row],[Code]],Ruimtegroepen[[Code]:[Ruimte omschrijving]],2,FALSE)</f>
        <v>Trappenhuizen/lift</v>
      </c>
      <c r="C551" s="321" t="s">
        <v>742</v>
      </c>
      <c r="D551" s="320" t="s">
        <v>27</v>
      </c>
      <c r="E551" s="321" t="s">
        <v>99</v>
      </c>
      <c r="F551" s="321" t="s">
        <v>744</v>
      </c>
      <c r="G551" s="326" t="s">
        <v>282</v>
      </c>
      <c r="H551" s="322" t="s">
        <v>15</v>
      </c>
      <c r="I551" s="322" t="s">
        <v>282</v>
      </c>
      <c r="J551" s="322" t="s">
        <v>282</v>
      </c>
      <c r="K551" s="322" t="s">
        <v>282</v>
      </c>
      <c r="L551" s="322" t="s">
        <v>282</v>
      </c>
      <c r="M551" s="322" t="s">
        <v>282</v>
      </c>
      <c r="N551" s="322" t="s">
        <v>282</v>
      </c>
      <c r="O551" s="323" t="s">
        <v>15</v>
      </c>
      <c r="P551" s="323" t="s">
        <v>15</v>
      </c>
      <c r="Q551" s="323" t="s">
        <v>15</v>
      </c>
      <c r="R551" s="323" t="s">
        <v>282</v>
      </c>
      <c r="S551" s="323" t="s">
        <v>282</v>
      </c>
      <c r="T551" s="323" t="s">
        <v>282</v>
      </c>
      <c r="U551" s="323" t="s">
        <v>282</v>
      </c>
      <c r="V551" s="323" t="s">
        <v>282</v>
      </c>
      <c r="W551" s="324" t="s">
        <v>282</v>
      </c>
      <c r="X551" s="324" t="s">
        <v>282</v>
      </c>
      <c r="Y551" s="325" t="s">
        <v>282</v>
      </c>
    </row>
    <row r="552" spans="1:25">
      <c r="A552" s="319">
        <v>10</v>
      </c>
      <c r="B552" s="320" t="str">
        <f>VLOOKUP(Tabel10[[#This Row],[Code]],Ruimtegroepen[[Code]:[Ruimte omschrijving]],2,FALSE)</f>
        <v>Trappenhuizen/lift</v>
      </c>
      <c r="C552" s="321" t="s">
        <v>742</v>
      </c>
      <c r="D552" s="320" t="s">
        <v>27</v>
      </c>
      <c r="E552" s="321" t="s">
        <v>101</v>
      </c>
      <c r="F552" s="321" t="s">
        <v>745</v>
      </c>
      <c r="G552" s="326" t="s">
        <v>282</v>
      </c>
      <c r="H552" s="322" t="s">
        <v>282</v>
      </c>
      <c r="I552" s="322" t="s">
        <v>15</v>
      </c>
      <c r="J552" s="322" t="s">
        <v>282</v>
      </c>
      <c r="K552" s="322" t="s">
        <v>282</v>
      </c>
      <c r="L552" s="322" t="s">
        <v>282</v>
      </c>
      <c r="M552" s="322" t="s">
        <v>282</v>
      </c>
      <c r="N552" s="322" t="s">
        <v>282</v>
      </c>
      <c r="O552" s="323" t="s">
        <v>15</v>
      </c>
      <c r="P552" s="323" t="s">
        <v>15</v>
      </c>
      <c r="Q552" s="323" t="s">
        <v>15</v>
      </c>
      <c r="R552" s="323" t="s">
        <v>282</v>
      </c>
      <c r="S552" s="323" t="s">
        <v>282</v>
      </c>
      <c r="T552" s="323" t="s">
        <v>282</v>
      </c>
      <c r="U552" s="323" t="s">
        <v>282</v>
      </c>
      <c r="V552" s="323" t="s">
        <v>282</v>
      </c>
      <c r="W552" s="324" t="s">
        <v>282</v>
      </c>
      <c r="X552" s="324" t="s">
        <v>282</v>
      </c>
      <c r="Y552" s="325" t="s">
        <v>282</v>
      </c>
    </row>
    <row r="553" spans="1:25">
      <c r="A553" s="319">
        <v>10</v>
      </c>
      <c r="B553" s="320" t="str">
        <f>VLOOKUP(Tabel10[[#This Row],[Code]],Ruimtegroepen[[Code]:[Ruimte omschrijving]],2,FALSE)</f>
        <v>Trappenhuizen/lift</v>
      </c>
      <c r="C553" s="321" t="s">
        <v>742</v>
      </c>
      <c r="D553" s="320" t="s">
        <v>27</v>
      </c>
      <c r="E553" s="321" t="s">
        <v>102</v>
      </c>
      <c r="F553" s="321" t="s">
        <v>746</v>
      </c>
      <c r="G553" s="326" t="s">
        <v>282</v>
      </c>
      <c r="H553" s="322" t="s">
        <v>282</v>
      </c>
      <c r="I553" s="322" t="s">
        <v>15</v>
      </c>
      <c r="J553" s="322" t="s">
        <v>282</v>
      </c>
      <c r="K553" s="322" t="s">
        <v>282</v>
      </c>
      <c r="L553" s="322" t="s">
        <v>282</v>
      </c>
      <c r="M553" s="322" t="s">
        <v>282</v>
      </c>
      <c r="N553" s="322" t="s">
        <v>282</v>
      </c>
      <c r="O553" s="323" t="s">
        <v>15</v>
      </c>
      <c r="P553" s="323" t="s">
        <v>15</v>
      </c>
      <c r="Q553" s="323" t="s">
        <v>15</v>
      </c>
      <c r="R553" s="323" t="s">
        <v>282</v>
      </c>
      <c r="S553" s="323" t="s">
        <v>282</v>
      </c>
      <c r="T553" s="323" t="s">
        <v>282</v>
      </c>
      <c r="U553" s="323" t="s">
        <v>282</v>
      </c>
      <c r="V553" s="323" t="s">
        <v>282</v>
      </c>
      <c r="W553" s="324" t="s">
        <v>282</v>
      </c>
      <c r="X553" s="324" t="s">
        <v>282</v>
      </c>
      <c r="Y553" s="325" t="s">
        <v>282</v>
      </c>
    </row>
    <row r="554" spans="1:25">
      <c r="A554" s="319">
        <v>10</v>
      </c>
      <c r="B554" s="320" t="str">
        <f>VLOOKUP(Tabel10[[#This Row],[Code]],Ruimtegroepen[[Code]:[Ruimte omschrijving]],2,FALSE)</f>
        <v>Trappenhuizen/lift</v>
      </c>
      <c r="C554" s="321" t="s">
        <v>742</v>
      </c>
      <c r="D554" s="320" t="s">
        <v>27</v>
      </c>
      <c r="E554" s="321" t="s">
        <v>99</v>
      </c>
      <c r="F554" s="321" t="s">
        <v>744</v>
      </c>
      <c r="G554" s="326" t="s">
        <v>282</v>
      </c>
      <c r="H554" s="322" t="s">
        <v>15</v>
      </c>
      <c r="I554" s="322" t="s">
        <v>282</v>
      </c>
      <c r="J554" s="322" t="s">
        <v>282</v>
      </c>
      <c r="K554" s="322" t="s">
        <v>282</v>
      </c>
      <c r="L554" s="322" t="s">
        <v>282</v>
      </c>
      <c r="M554" s="322" t="s">
        <v>282</v>
      </c>
      <c r="N554" s="322" t="s">
        <v>282</v>
      </c>
      <c r="O554" s="323" t="s">
        <v>15</v>
      </c>
      <c r="P554" s="323" t="s">
        <v>15</v>
      </c>
      <c r="Q554" s="323" t="s">
        <v>15</v>
      </c>
      <c r="R554" s="323" t="s">
        <v>282</v>
      </c>
      <c r="S554" s="323" t="s">
        <v>282</v>
      </c>
      <c r="T554" s="323" t="s">
        <v>282</v>
      </c>
      <c r="U554" s="323" t="s">
        <v>282</v>
      </c>
      <c r="V554" s="323" t="s">
        <v>282</v>
      </c>
      <c r="W554" s="324" t="s">
        <v>282</v>
      </c>
      <c r="X554" s="324" t="s">
        <v>282</v>
      </c>
      <c r="Y554" s="325" t="s">
        <v>282</v>
      </c>
    </row>
    <row r="555" spans="1:25">
      <c r="A555" s="319">
        <v>10</v>
      </c>
      <c r="B555" s="320" t="str">
        <f>VLOOKUP(Tabel10[[#This Row],[Code]],Ruimtegroepen[[Code]:[Ruimte omschrijving]],2,FALSE)</f>
        <v>Trappenhuizen/lift</v>
      </c>
      <c r="C555" s="321" t="s">
        <v>742</v>
      </c>
      <c r="D555" s="320" t="s">
        <v>27</v>
      </c>
      <c r="E555" s="321" t="s">
        <v>1306</v>
      </c>
      <c r="F555" s="321" t="s">
        <v>1380</v>
      </c>
      <c r="G555" s="326" t="s">
        <v>282</v>
      </c>
      <c r="H555" s="322" t="s">
        <v>282</v>
      </c>
      <c r="I555" s="322" t="s">
        <v>15</v>
      </c>
      <c r="J555" s="322" t="s">
        <v>282</v>
      </c>
      <c r="K555" s="322" t="s">
        <v>282</v>
      </c>
      <c r="L555" s="322" t="s">
        <v>282</v>
      </c>
      <c r="M555" s="322" t="s">
        <v>282</v>
      </c>
      <c r="N555" s="322" t="s">
        <v>282</v>
      </c>
      <c r="O555" s="323" t="s">
        <v>15</v>
      </c>
      <c r="P555" s="323" t="s">
        <v>15</v>
      </c>
      <c r="Q555" s="323" t="s">
        <v>15</v>
      </c>
      <c r="R555" s="323" t="s">
        <v>282</v>
      </c>
      <c r="S555" s="323" t="s">
        <v>282</v>
      </c>
      <c r="T555" s="323" t="s">
        <v>282</v>
      </c>
      <c r="U555" s="323" t="s">
        <v>282</v>
      </c>
      <c r="V555" s="323" t="s">
        <v>282</v>
      </c>
      <c r="W555" s="324" t="s">
        <v>282</v>
      </c>
      <c r="X555" s="324" t="s">
        <v>282</v>
      </c>
      <c r="Y555" s="325" t="s">
        <v>282</v>
      </c>
    </row>
    <row r="556" spans="1:25">
      <c r="A556" s="319">
        <v>10</v>
      </c>
      <c r="B556" s="320" t="str">
        <f>VLOOKUP(Tabel10[[#This Row],[Code]],Ruimtegroepen[[Code]:[Ruimte omschrijving]],2,FALSE)</f>
        <v>Trappenhuizen/lift</v>
      </c>
      <c r="C556" s="321" t="s">
        <v>747</v>
      </c>
      <c r="D556" s="320" t="s">
        <v>28</v>
      </c>
      <c r="E556" s="321" t="s">
        <v>100</v>
      </c>
      <c r="F556" s="321" t="s">
        <v>748</v>
      </c>
      <c r="G556" s="326" t="s">
        <v>282</v>
      </c>
      <c r="H556" s="322" t="s">
        <v>282</v>
      </c>
      <c r="I556" s="322" t="s">
        <v>17</v>
      </c>
      <c r="J556" s="322" t="s">
        <v>282</v>
      </c>
      <c r="K556" s="322" t="s">
        <v>282</v>
      </c>
      <c r="L556" s="322" t="s">
        <v>282</v>
      </c>
      <c r="M556" s="322" t="s">
        <v>282</v>
      </c>
      <c r="N556" s="322" t="s">
        <v>282</v>
      </c>
      <c r="O556" s="323" t="s">
        <v>17</v>
      </c>
      <c r="P556" s="323" t="s">
        <v>17</v>
      </c>
      <c r="Q556" s="323" t="s">
        <v>15</v>
      </c>
      <c r="R556" s="323" t="s">
        <v>282</v>
      </c>
      <c r="S556" s="323" t="s">
        <v>282</v>
      </c>
      <c r="T556" s="323" t="s">
        <v>282</v>
      </c>
      <c r="U556" s="323" t="s">
        <v>282</v>
      </c>
      <c r="V556" s="323" t="s">
        <v>282</v>
      </c>
      <c r="W556" s="324" t="s">
        <v>282</v>
      </c>
      <c r="X556" s="324" t="s">
        <v>282</v>
      </c>
      <c r="Y556" s="325" t="s">
        <v>282</v>
      </c>
    </row>
    <row r="557" spans="1:25">
      <c r="A557" s="319">
        <v>10</v>
      </c>
      <c r="B557" s="320" t="str">
        <f>VLOOKUP(Tabel10[[#This Row],[Code]],Ruimtegroepen[[Code]:[Ruimte omschrijving]],2,FALSE)</f>
        <v>Trappenhuizen/lift</v>
      </c>
      <c r="C557" s="321" t="s">
        <v>747</v>
      </c>
      <c r="D557" s="320" t="s">
        <v>28</v>
      </c>
      <c r="E557" s="321" t="s">
        <v>99</v>
      </c>
      <c r="F557" s="321" t="s">
        <v>749</v>
      </c>
      <c r="G557" s="326" t="s">
        <v>282</v>
      </c>
      <c r="H557" s="322" t="s">
        <v>17</v>
      </c>
      <c r="I557" s="322" t="s">
        <v>282</v>
      </c>
      <c r="J557" s="322" t="s">
        <v>282</v>
      </c>
      <c r="K557" s="322" t="s">
        <v>282</v>
      </c>
      <c r="L557" s="322" t="s">
        <v>282</v>
      </c>
      <c r="M557" s="322" t="s">
        <v>282</v>
      </c>
      <c r="N557" s="322" t="s">
        <v>282</v>
      </c>
      <c r="O557" s="323" t="s">
        <v>17</v>
      </c>
      <c r="P557" s="323" t="s">
        <v>17</v>
      </c>
      <c r="Q557" s="323" t="s">
        <v>15</v>
      </c>
      <c r="R557" s="323" t="s">
        <v>282</v>
      </c>
      <c r="S557" s="323" t="s">
        <v>282</v>
      </c>
      <c r="T557" s="323" t="s">
        <v>282</v>
      </c>
      <c r="U557" s="323" t="s">
        <v>282</v>
      </c>
      <c r="V557" s="323" t="s">
        <v>282</v>
      </c>
      <c r="W557" s="324" t="s">
        <v>282</v>
      </c>
      <c r="X557" s="324" t="s">
        <v>282</v>
      </c>
      <c r="Y557" s="325" t="s">
        <v>282</v>
      </c>
    </row>
    <row r="558" spans="1:25">
      <c r="A558" s="319">
        <v>10</v>
      </c>
      <c r="B558" s="320" t="str">
        <f>VLOOKUP(Tabel10[[#This Row],[Code]],Ruimtegroepen[[Code]:[Ruimte omschrijving]],2,FALSE)</f>
        <v>Trappenhuizen/lift</v>
      </c>
      <c r="C558" s="321" t="s">
        <v>747</v>
      </c>
      <c r="D558" s="320" t="s">
        <v>28</v>
      </c>
      <c r="E558" s="321" t="s">
        <v>101</v>
      </c>
      <c r="F558" s="321" t="s">
        <v>750</v>
      </c>
      <c r="G558" s="326" t="s">
        <v>282</v>
      </c>
      <c r="H558" s="322" t="s">
        <v>282</v>
      </c>
      <c r="I558" s="322" t="s">
        <v>17</v>
      </c>
      <c r="J558" s="322" t="s">
        <v>282</v>
      </c>
      <c r="K558" s="322" t="s">
        <v>282</v>
      </c>
      <c r="L558" s="322" t="s">
        <v>282</v>
      </c>
      <c r="M558" s="322" t="s">
        <v>282</v>
      </c>
      <c r="N558" s="322" t="s">
        <v>282</v>
      </c>
      <c r="O558" s="323" t="s">
        <v>17</v>
      </c>
      <c r="P558" s="323" t="s">
        <v>17</v>
      </c>
      <c r="Q558" s="323" t="s">
        <v>15</v>
      </c>
      <c r="R558" s="323" t="s">
        <v>282</v>
      </c>
      <c r="S558" s="323" t="s">
        <v>282</v>
      </c>
      <c r="T558" s="323" t="s">
        <v>282</v>
      </c>
      <c r="U558" s="323" t="s">
        <v>282</v>
      </c>
      <c r="V558" s="323" t="s">
        <v>282</v>
      </c>
      <c r="W558" s="324" t="s">
        <v>282</v>
      </c>
      <c r="X558" s="324" t="s">
        <v>282</v>
      </c>
      <c r="Y558" s="325" t="s">
        <v>282</v>
      </c>
    </row>
    <row r="559" spans="1:25">
      <c r="A559" s="319">
        <v>10</v>
      </c>
      <c r="B559" s="320" t="str">
        <f>VLOOKUP(Tabel10[[#This Row],[Code]],Ruimtegroepen[[Code]:[Ruimte omschrijving]],2,FALSE)</f>
        <v>Trappenhuizen/lift</v>
      </c>
      <c r="C559" s="321" t="s">
        <v>747</v>
      </c>
      <c r="D559" s="320" t="s">
        <v>28</v>
      </c>
      <c r="E559" s="321" t="s">
        <v>102</v>
      </c>
      <c r="F559" s="321" t="s">
        <v>751</v>
      </c>
      <c r="G559" s="326" t="s">
        <v>282</v>
      </c>
      <c r="H559" s="322" t="s">
        <v>282</v>
      </c>
      <c r="I559" s="322" t="s">
        <v>17</v>
      </c>
      <c r="J559" s="322" t="s">
        <v>282</v>
      </c>
      <c r="K559" s="322" t="s">
        <v>282</v>
      </c>
      <c r="L559" s="322" t="s">
        <v>282</v>
      </c>
      <c r="M559" s="322" t="s">
        <v>282</v>
      </c>
      <c r="N559" s="322" t="s">
        <v>282</v>
      </c>
      <c r="O559" s="323" t="s">
        <v>17</v>
      </c>
      <c r="P559" s="323" t="s">
        <v>17</v>
      </c>
      <c r="Q559" s="323" t="s">
        <v>15</v>
      </c>
      <c r="R559" s="323" t="s">
        <v>282</v>
      </c>
      <c r="S559" s="323" t="s">
        <v>282</v>
      </c>
      <c r="T559" s="323" t="s">
        <v>282</v>
      </c>
      <c r="U559" s="323" t="s">
        <v>282</v>
      </c>
      <c r="V559" s="323" t="s">
        <v>282</v>
      </c>
      <c r="W559" s="324" t="s">
        <v>282</v>
      </c>
      <c r="X559" s="324" t="s">
        <v>282</v>
      </c>
      <c r="Y559" s="325" t="s">
        <v>282</v>
      </c>
    </row>
    <row r="560" spans="1:25">
      <c r="A560" s="319">
        <v>10</v>
      </c>
      <c r="B560" s="320" t="str">
        <f>VLOOKUP(Tabel10[[#This Row],[Code]],Ruimtegroepen[[Code]:[Ruimte omschrijving]],2,FALSE)</f>
        <v>Trappenhuizen/lift</v>
      </c>
      <c r="C560" s="321" t="s">
        <v>747</v>
      </c>
      <c r="D560" s="320" t="s">
        <v>28</v>
      </c>
      <c r="E560" s="321" t="s">
        <v>99</v>
      </c>
      <c r="F560" s="321" t="s">
        <v>749</v>
      </c>
      <c r="G560" s="326" t="s">
        <v>282</v>
      </c>
      <c r="H560" s="322" t="s">
        <v>17</v>
      </c>
      <c r="I560" s="322" t="s">
        <v>282</v>
      </c>
      <c r="J560" s="322" t="s">
        <v>282</v>
      </c>
      <c r="K560" s="322" t="s">
        <v>282</v>
      </c>
      <c r="L560" s="322" t="s">
        <v>282</v>
      </c>
      <c r="M560" s="322" t="s">
        <v>282</v>
      </c>
      <c r="N560" s="322" t="s">
        <v>282</v>
      </c>
      <c r="O560" s="323" t="s">
        <v>17</v>
      </c>
      <c r="P560" s="323" t="s">
        <v>17</v>
      </c>
      <c r="Q560" s="323" t="s">
        <v>15</v>
      </c>
      <c r="R560" s="323" t="s">
        <v>282</v>
      </c>
      <c r="S560" s="323" t="s">
        <v>282</v>
      </c>
      <c r="T560" s="323" t="s">
        <v>282</v>
      </c>
      <c r="U560" s="323" t="s">
        <v>282</v>
      </c>
      <c r="V560" s="323" t="s">
        <v>282</v>
      </c>
      <c r="W560" s="324" t="s">
        <v>282</v>
      </c>
      <c r="X560" s="324" t="s">
        <v>282</v>
      </c>
      <c r="Y560" s="325" t="s">
        <v>282</v>
      </c>
    </row>
    <row r="561" spans="1:25">
      <c r="A561" s="319">
        <v>10</v>
      </c>
      <c r="B561" s="320" t="str">
        <f>VLOOKUP(Tabel10[[#This Row],[Code]],Ruimtegroepen[[Code]:[Ruimte omschrijving]],2,FALSE)</f>
        <v>Trappenhuizen/lift</v>
      </c>
      <c r="C561" s="321" t="s">
        <v>747</v>
      </c>
      <c r="D561" s="320" t="s">
        <v>28</v>
      </c>
      <c r="E561" s="321" t="s">
        <v>1306</v>
      </c>
      <c r="F561" s="321" t="s">
        <v>1413</v>
      </c>
      <c r="G561" s="326" t="s">
        <v>282</v>
      </c>
      <c r="H561" s="322" t="s">
        <v>282</v>
      </c>
      <c r="I561" s="322" t="s">
        <v>17</v>
      </c>
      <c r="J561" s="322" t="s">
        <v>282</v>
      </c>
      <c r="K561" s="322" t="s">
        <v>282</v>
      </c>
      <c r="L561" s="322" t="s">
        <v>282</v>
      </c>
      <c r="M561" s="322" t="s">
        <v>282</v>
      </c>
      <c r="N561" s="322" t="s">
        <v>282</v>
      </c>
      <c r="O561" s="323" t="s">
        <v>17</v>
      </c>
      <c r="P561" s="323" t="s">
        <v>17</v>
      </c>
      <c r="Q561" s="323" t="s">
        <v>15</v>
      </c>
      <c r="R561" s="323" t="s">
        <v>282</v>
      </c>
      <c r="S561" s="323" t="s">
        <v>282</v>
      </c>
      <c r="T561" s="323" t="s">
        <v>282</v>
      </c>
      <c r="U561" s="323" t="s">
        <v>282</v>
      </c>
      <c r="V561" s="323" t="s">
        <v>282</v>
      </c>
      <c r="W561" s="324" t="s">
        <v>282</v>
      </c>
      <c r="X561" s="324" t="s">
        <v>282</v>
      </c>
      <c r="Y561" s="325" t="s">
        <v>282</v>
      </c>
    </row>
    <row r="562" spans="1:25">
      <c r="A562" s="319">
        <v>11</v>
      </c>
      <c r="B562" s="320" t="str">
        <f>VLOOKUP(Tabel10[[#This Row],[Code]],Ruimtegroepen[[Code]:[Ruimte omschrijving]],2,FALSE)</f>
        <v>Garderobes</v>
      </c>
      <c r="C562" s="321" t="s">
        <v>752</v>
      </c>
      <c r="D562" s="320" t="s">
        <v>29</v>
      </c>
      <c r="E562" s="321" t="s">
        <v>100</v>
      </c>
      <c r="F562" s="321" t="s">
        <v>753</v>
      </c>
      <c r="G562" s="326" t="s">
        <v>282</v>
      </c>
      <c r="H562" s="322" t="s">
        <v>282</v>
      </c>
      <c r="I562" s="322" t="s">
        <v>20</v>
      </c>
      <c r="J562" s="322" t="s">
        <v>15</v>
      </c>
      <c r="K562" s="322" t="s">
        <v>282</v>
      </c>
      <c r="L562" s="322" t="s">
        <v>282</v>
      </c>
      <c r="M562" s="322" t="s">
        <v>282</v>
      </c>
      <c r="N562" s="322" t="s">
        <v>2</v>
      </c>
      <c r="O562" s="323" t="s">
        <v>2</v>
      </c>
      <c r="P562" s="323" t="s">
        <v>2</v>
      </c>
      <c r="Q562" s="323" t="s">
        <v>15</v>
      </c>
      <c r="R562" s="323" t="s">
        <v>15</v>
      </c>
      <c r="S562" s="323" t="s">
        <v>16</v>
      </c>
      <c r="T562" s="323" t="s">
        <v>329</v>
      </c>
      <c r="U562" s="323" t="s">
        <v>249</v>
      </c>
      <c r="V562" s="323" t="s">
        <v>2</v>
      </c>
      <c r="W562" s="324" t="s">
        <v>282</v>
      </c>
      <c r="X562" s="324" t="s">
        <v>282</v>
      </c>
      <c r="Y562" s="325" t="s">
        <v>282</v>
      </c>
    </row>
    <row r="563" spans="1:25">
      <c r="A563" s="319">
        <v>11</v>
      </c>
      <c r="B563" s="320" t="str">
        <f>VLOOKUP(Tabel10[[#This Row],[Code]],Ruimtegroepen[[Code]:[Ruimte omschrijving]],2,FALSE)</f>
        <v>Garderobes</v>
      </c>
      <c r="C563" s="321" t="s">
        <v>752</v>
      </c>
      <c r="D563" s="320" t="s">
        <v>29</v>
      </c>
      <c r="E563" s="321" t="s">
        <v>99</v>
      </c>
      <c r="F563" s="321" t="s">
        <v>754</v>
      </c>
      <c r="G563" s="326" t="s">
        <v>282</v>
      </c>
      <c r="H563" s="322" t="s">
        <v>2</v>
      </c>
      <c r="I563" s="322" t="s">
        <v>282</v>
      </c>
      <c r="J563" s="322" t="s">
        <v>282</v>
      </c>
      <c r="K563" s="322" t="s">
        <v>282</v>
      </c>
      <c r="L563" s="322" t="s">
        <v>282</v>
      </c>
      <c r="M563" s="322" t="s">
        <v>282</v>
      </c>
      <c r="N563" s="322" t="s">
        <v>2</v>
      </c>
      <c r="O563" s="323" t="s">
        <v>2</v>
      </c>
      <c r="P563" s="323" t="s">
        <v>2</v>
      </c>
      <c r="Q563" s="323" t="s">
        <v>15</v>
      </c>
      <c r="R563" s="323" t="s">
        <v>15</v>
      </c>
      <c r="S563" s="323" t="s">
        <v>16</v>
      </c>
      <c r="T563" s="323" t="s">
        <v>329</v>
      </c>
      <c r="U563" s="323" t="s">
        <v>249</v>
      </c>
      <c r="V563" s="323" t="s">
        <v>2</v>
      </c>
      <c r="W563" s="324" t="s">
        <v>282</v>
      </c>
      <c r="X563" s="324" t="s">
        <v>282</v>
      </c>
      <c r="Y563" s="325" t="s">
        <v>282</v>
      </c>
    </row>
    <row r="564" spans="1:25">
      <c r="A564" s="319">
        <v>11</v>
      </c>
      <c r="B564" s="320" t="str">
        <f>VLOOKUP(Tabel10[[#This Row],[Code]],Ruimtegroepen[[Code]:[Ruimte omschrijving]],2,FALSE)</f>
        <v>Garderobes</v>
      </c>
      <c r="C564" s="321" t="s">
        <v>752</v>
      </c>
      <c r="D564" s="320" t="s">
        <v>29</v>
      </c>
      <c r="E564" s="321" t="s">
        <v>101</v>
      </c>
      <c r="F564" s="321" t="s">
        <v>755</v>
      </c>
      <c r="G564" s="326" t="s">
        <v>282</v>
      </c>
      <c r="H564" s="322" t="s">
        <v>282</v>
      </c>
      <c r="I564" s="322" t="s">
        <v>20</v>
      </c>
      <c r="J564" s="322" t="s">
        <v>15</v>
      </c>
      <c r="K564" s="322" t="s">
        <v>283</v>
      </c>
      <c r="L564" s="322" t="s">
        <v>282</v>
      </c>
      <c r="M564" s="322" t="s">
        <v>282</v>
      </c>
      <c r="N564" s="322" t="s">
        <v>2</v>
      </c>
      <c r="O564" s="323" t="s">
        <v>2</v>
      </c>
      <c r="P564" s="323" t="s">
        <v>2</v>
      </c>
      <c r="Q564" s="323" t="s">
        <v>15</v>
      </c>
      <c r="R564" s="323" t="s">
        <v>15</v>
      </c>
      <c r="S564" s="323" t="s">
        <v>16</v>
      </c>
      <c r="T564" s="323" t="s">
        <v>329</v>
      </c>
      <c r="U564" s="323" t="s">
        <v>249</v>
      </c>
      <c r="V564" s="323" t="s">
        <v>2</v>
      </c>
      <c r="W564" s="324" t="s">
        <v>282</v>
      </c>
      <c r="X564" s="324" t="s">
        <v>282</v>
      </c>
      <c r="Y564" s="325" t="s">
        <v>282</v>
      </c>
    </row>
    <row r="565" spans="1:25">
      <c r="A565" s="319">
        <v>11</v>
      </c>
      <c r="B565" s="320" t="str">
        <f>VLOOKUP(Tabel10[[#This Row],[Code]],Ruimtegroepen[[Code]:[Ruimte omschrijving]],2,FALSE)</f>
        <v>Garderobes</v>
      </c>
      <c r="C565" s="321" t="s">
        <v>752</v>
      </c>
      <c r="D565" s="320" t="s">
        <v>29</v>
      </c>
      <c r="E565" s="321" t="s">
        <v>102</v>
      </c>
      <c r="F565" s="321" t="s">
        <v>756</v>
      </c>
      <c r="G565" s="326" t="s">
        <v>282</v>
      </c>
      <c r="H565" s="322" t="s">
        <v>282</v>
      </c>
      <c r="I565" s="322" t="s">
        <v>20</v>
      </c>
      <c r="J565" s="322" t="s">
        <v>15</v>
      </c>
      <c r="K565" s="322" t="s">
        <v>283</v>
      </c>
      <c r="L565" s="322" t="s">
        <v>282</v>
      </c>
      <c r="M565" s="322" t="s">
        <v>282</v>
      </c>
      <c r="N565" s="322" t="s">
        <v>2</v>
      </c>
      <c r="O565" s="323" t="s">
        <v>2</v>
      </c>
      <c r="P565" s="323" t="s">
        <v>2</v>
      </c>
      <c r="Q565" s="323" t="s">
        <v>15</v>
      </c>
      <c r="R565" s="323" t="s">
        <v>15</v>
      </c>
      <c r="S565" s="323" t="s">
        <v>16</v>
      </c>
      <c r="T565" s="323" t="s">
        <v>329</v>
      </c>
      <c r="U565" s="323" t="s">
        <v>249</v>
      </c>
      <c r="V565" s="323" t="s">
        <v>2</v>
      </c>
      <c r="W565" s="324" t="s">
        <v>282</v>
      </c>
      <c r="X565" s="324" t="s">
        <v>282</v>
      </c>
      <c r="Y565" s="325" t="s">
        <v>282</v>
      </c>
    </row>
    <row r="566" spans="1:25">
      <c r="A566" s="319">
        <v>11</v>
      </c>
      <c r="B566" s="320" t="str">
        <f>VLOOKUP(Tabel10[[#This Row],[Code]],Ruimtegroepen[[Code]:[Ruimte omschrijving]],2,FALSE)</f>
        <v>Garderobes</v>
      </c>
      <c r="C566" s="321" t="s">
        <v>752</v>
      </c>
      <c r="D566" s="320" t="s">
        <v>29</v>
      </c>
      <c r="E566" s="321" t="s">
        <v>99</v>
      </c>
      <c r="F566" s="321" t="s">
        <v>754</v>
      </c>
      <c r="G566" s="326" t="s">
        <v>282</v>
      </c>
      <c r="H566" s="322" t="s">
        <v>2</v>
      </c>
      <c r="I566" s="322" t="s">
        <v>282</v>
      </c>
      <c r="J566" s="322" t="s">
        <v>282</v>
      </c>
      <c r="K566" s="322" t="s">
        <v>282</v>
      </c>
      <c r="L566" s="322" t="s">
        <v>282</v>
      </c>
      <c r="M566" s="322" t="s">
        <v>282</v>
      </c>
      <c r="N566" s="322" t="s">
        <v>2</v>
      </c>
      <c r="O566" s="323" t="s">
        <v>2</v>
      </c>
      <c r="P566" s="323" t="s">
        <v>2</v>
      </c>
      <c r="Q566" s="323" t="s">
        <v>15</v>
      </c>
      <c r="R566" s="323" t="s">
        <v>15</v>
      </c>
      <c r="S566" s="323" t="s">
        <v>16</v>
      </c>
      <c r="T566" s="323" t="s">
        <v>329</v>
      </c>
      <c r="U566" s="323" t="s">
        <v>249</v>
      </c>
      <c r="V566" s="323" t="s">
        <v>2</v>
      </c>
      <c r="W566" s="324" t="s">
        <v>282</v>
      </c>
      <c r="X566" s="324" t="s">
        <v>282</v>
      </c>
      <c r="Y566" s="325" t="s">
        <v>282</v>
      </c>
    </row>
    <row r="567" spans="1:25">
      <c r="A567" s="319">
        <v>11</v>
      </c>
      <c r="B567" s="320" t="str">
        <f>VLOOKUP(Tabel10[[#This Row],[Code]],Ruimtegroepen[[Code]:[Ruimte omschrijving]],2,FALSE)</f>
        <v>Garderobes</v>
      </c>
      <c r="C567" s="321" t="s">
        <v>752</v>
      </c>
      <c r="D567" s="320" t="s">
        <v>29</v>
      </c>
      <c r="E567" s="321" t="s">
        <v>1306</v>
      </c>
      <c r="F567" s="321" t="s">
        <v>1481</v>
      </c>
      <c r="G567" s="326" t="s">
        <v>282</v>
      </c>
      <c r="H567" s="322" t="s">
        <v>282</v>
      </c>
      <c r="I567" s="322" t="s">
        <v>20</v>
      </c>
      <c r="J567" s="322" t="s">
        <v>15</v>
      </c>
      <c r="K567" s="322" t="s">
        <v>283</v>
      </c>
      <c r="L567" s="322" t="s">
        <v>282</v>
      </c>
      <c r="M567" s="322" t="s">
        <v>282</v>
      </c>
      <c r="N567" s="322" t="s">
        <v>2</v>
      </c>
      <c r="O567" s="323" t="s">
        <v>2</v>
      </c>
      <c r="P567" s="323" t="s">
        <v>2</v>
      </c>
      <c r="Q567" s="323" t="s">
        <v>15</v>
      </c>
      <c r="R567" s="323" t="s">
        <v>15</v>
      </c>
      <c r="S567" s="323" t="s">
        <v>16</v>
      </c>
      <c r="T567" s="323" t="s">
        <v>329</v>
      </c>
      <c r="U567" s="323" t="s">
        <v>249</v>
      </c>
      <c r="V567" s="323" t="s">
        <v>2</v>
      </c>
      <c r="W567" s="324" t="s">
        <v>282</v>
      </c>
      <c r="X567" s="324" t="s">
        <v>282</v>
      </c>
      <c r="Y567" s="325" t="s">
        <v>282</v>
      </c>
    </row>
    <row r="568" spans="1:25">
      <c r="A568" s="319">
        <v>11</v>
      </c>
      <c r="B568" s="320" t="str">
        <f>VLOOKUP(Tabel10[[#This Row],[Code]],Ruimtegroepen[[Code]:[Ruimte omschrijving]],2,FALSE)</f>
        <v>Garderobes</v>
      </c>
      <c r="C568" s="321" t="s">
        <v>757</v>
      </c>
      <c r="D568" s="320" t="s">
        <v>1</v>
      </c>
      <c r="E568" s="321" t="s">
        <v>100</v>
      </c>
      <c r="F568" s="321" t="s">
        <v>758</v>
      </c>
      <c r="G568" s="326" t="s">
        <v>282</v>
      </c>
      <c r="H568" s="322" t="s">
        <v>282</v>
      </c>
      <c r="I568" s="322" t="s">
        <v>20</v>
      </c>
      <c r="J568" s="322" t="s">
        <v>15</v>
      </c>
      <c r="K568" s="322" t="s">
        <v>282</v>
      </c>
      <c r="L568" s="322" t="s">
        <v>282</v>
      </c>
      <c r="M568" s="322" t="s">
        <v>282</v>
      </c>
      <c r="N568" s="322" t="s">
        <v>282</v>
      </c>
      <c r="O568" s="323" t="s">
        <v>2</v>
      </c>
      <c r="P568" s="323" t="s">
        <v>2</v>
      </c>
      <c r="Q568" s="323" t="s">
        <v>15</v>
      </c>
      <c r="R568" s="323" t="s">
        <v>15</v>
      </c>
      <c r="S568" s="323" t="s">
        <v>16</v>
      </c>
      <c r="T568" s="323" t="s">
        <v>329</v>
      </c>
      <c r="U568" s="323" t="s">
        <v>249</v>
      </c>
      <c r="V568" s="323" t="s">
        <v>282</v>
      </c>
      <c r="W568" s="324" t="s">
        <v>282</v>
      </c>
      <c r="X568" s="324" t="s">
        <v>282</v>
      </c>
      <c r="Y568" s="325" t="s">
        <v>282</v>
      </c>
    </row>
    <row r="569" spans="1:25">
      <c r="A569" s="319">
        <v>11</v>
      </c>
      <c r="B569" s="320" t="str">
        <f>VLOOKUP(Tabel10[[#This Row],[Code]],Ruimtegroepen[[Code]:[Ruimte omschrijving]],2,FALSE)</f>
        <v>Garderobes</v>
      </c>
      <c r="C569" s="321" t="s">
        <v>757</v>
      </c>
      <c r="D569" s="320" t="s">
        <v>1</v>
      </c>
      <c r="E569" s="321" t="s">
        <v>99</v>
      </c>
      <c r="F569" s="321" t="s">
        <v>759</v>
      </c>
      <c r="G569" s="326" t="s">
        <v>282</v>
      </c>
      <c r="H569" s="322" t="s">
        <v>2</v>
      </c>
      <c r="I569" s="322" t="s">
        <v>282</v>
      </c>
      <c r="J569" s="322" t="s">
        <v>282</v>
      </c>
      <c r="K569" s="322" t="s">
        <v>282</v>
      </c>
      <c r="L569" s="322" t="s">
        <v>282</v>
      </c>
      <c r="M569" s="322" t="s">
        <v>282</v>
      </c>
      <c r="N569" s="322" t="s">
        <v>282</v>
      </c>
      <c r="O569" s="323" t="s">
        <v>2</v>
      </c>
      <c r="P569" s="323" t="s">
        <v>2</v>
      </c>
      <c r="Q569" s="323" t="s">
        <v>15</v>
      </c>
      <c r="R569" s="323" t="s">
        <v>15</v>
      </c>
      <c r="S569" s="323" t="s">
        <v>16</v>
      </c>
      <c r="T569" s="323" t="s">
        <v>329</v>
      </c>
      <c r="U569" s="323" t="s">
        <v>249</v>
      </c>
      <c r="V569" s="323" t="s">
        <v>282</v>
      </c>
      <c r="W569" s="324" t="s">
        <v>282</v>
      </c>
      <c r="X569" s="324" t="s">
        <v>282</v>
      </c>
      <c r="Y569" s="325" t="s">
        <v>282</v>
      </c>
    </row>
    <row r="570" spans="1:25">
      <c r="A570" s="319">
        <v>11</v>
      </c>
      <c r="B570" s="320" t="str">
        <f>VLOOKUP(Tabel10[[#This Row],[Code]],Ruimtegroepen[[Code]:[Ruimte omschrijving]],2,FALSE)</f>
        <v>Garderobes</v>
      </c>
      <c r="C570" s="321" t="s">
        <v>757</v>
      </c>
      <c r="D570" s="320" t="s">
        <v>1</v>
      </c>
      <c r="E570" s="321" t="s">
        <v>101</v>
      </c>
      <c r="F570" s="321" t="s">
        <v>760</v>
      </c>
      <c r="G570" s="326" t="s">
        <v>282</v>
      </c>
      <c r="H570" s="322" t="s">
        <v>282</v>
      </c>
      <c r="I570" s="322" t="s">
        <v>20</v>
      </c>
      <c r="J570" s="322" t="s">
        <v>15</v>
      </c>
      <c r="K570" s="322" t="s">
        <v>283</v>
      </c>
      <c r="L570" s="322" t="s">
        <v>282</v>
      </c>
      <c r="M570" s="322" t="s">
        <v>282</v>
      </c>
      <c r="N570" s="322" t="s">
        <v>282</v>
      </c>
      <c r="O570" s="323" t="s">
        <v>2</v>
      </c>
      <c r="P570" s="323" t="s">
        <v>2</v>
      </c>
      <c r="Q570" s="323" t="s">
        <v>15</v>
      </c>
      <c r="R570" s="323" t="s">
        <v>15</v>
      </c>
      <c r="S570" s="323" t="s">
        <v>16</v>
      </c>
      <c r="T570" s="323" t="s">
        <v>329</v>
      </c>
      <c r="U570" s="323" t="s">
        <v>249</v>
      </c>
      <c r="V570" s="323" t="s">
        <v>282</v>
      </c>
      <c r="W570" s="324" t="s">
        <v>282</v>
      </c>
      <c r="X570" s="324" t="s">
        <v>282</v>
      </c>
      <c r="Y570" s="325" t="s">
        <v>282</v>
      </c>
    </row>
    <row r="571" spans="1:25">
      <c r="A571" s="319">
        <v>11</v>
      </c>
      <c r="B571" s="320" t="str">
        <f>VLOOKUP(Tabel10[[#This Row],[Code]],Ruimtegroepen[[Code]:[Ruimte omschrijving]],2,FALSE)</f>
        <v>Garderobes</v>
      </c>
      <c r="C571" s="321" t="s">
        <v>757</v>
      </c>
      <c r="D571" s="320" t="s">
        <v>1</v>
      </c>
      <c r="E571" s="321" t="s">
        <v>102</v>
      </c>
      <c r="F571" s="321" t="s">
        <v>761</v>
      </c>
      <c r="G571" s="326" t="s">
        <v>282</v>
      </c>
      <c r="H571" s="322" t="s">
        <v>282</v>
      </c>
      <c r="I571" s="322" t="s">
        <v>2</v>
      </c>
      <c r="J571" s="322" t="s">
        <v>282</v>
      </c>
      <c r="K571" s="322" t="s">
        <v>283</v>
      </c>
      <c r="L571" s="322" t="s">
        <v>282</v>
      </c>
      <c r="M571" s="322" t="s">
        <v>282</v>
      </c>
      <c r="N571" s="322" t="s">
        <v>282</v>
      </c>
      <c r="O571" s="323" t="s">
        <v>2</v>
      </c>
      <c r="P571" s="323" t="s">
        <v>2</v>
      </c>
      <c r="Q571" s="323" t="s">
        <v>15</v>
      </c>
      <c r="R571" s="323" t="s">
        <v>15</v>
      </c>
      <c r="S571" s="323" t="s">
        <v>16</v>
      </c>
      <c r="T571" s="323" t="s">
        <v>329</v>
      </c>
      <c r="U571" s="323" t="s">
        <v>249</v>
      </c>
      <c r="V571" s="323" t="s">
        <v>282</v>
      </c>
      <c r="W571" s="324" t="s">
        <v>282</v>
      </c>
      <c r="X571" s="324" t="s">
        <v>282</v>
      </c>
      <c r="Y571" s="325" t="s">
        <v>282</v>
      </c>
    </row>
    <row r="572" spans="1:25">
      <c r="A572" s="319">
        <v>11</v>
      </c>
      <c r="B572" s="320" t="str">
        <f>VLOOKUP(Tabel10[[#This Row],[Code]],Ruimtegroepen[[Code]:[Ruimte omschrijving]],2,FALSE)</f>
        <v>Garderobes</v>
      </c>
      <c r="C572" s="321" t="s">
        <v>757</v>
      </c>
      <c r="D572" s="320" t="s">
        <v>1</v>
      </c>
      <c r="E572" s="321" t="s">
        <v>99</v>
      </c>
      <c r="F572" s="321" t="s">
        <v>759</v>
      </c>
      <c r="G572" s="326" t="s">
        <v>282</v>
      </c>
      <c r="H572" s="322" t="s">
        <v>2</v>
      </c>
      <c r="I572" s="322" t="s">
        <v>282</v>
      </c>
      <c r="J572" s="322" t="s">
        <v>282</v>
      </c>
      <c r="K572" s="322" t="s">
        <v>282</v>
      </c>
      <c r="L572" s="322" t="s">
        <v>282</v>
      </c>
      <c r="M572" s="322" t="s">
        <v>282</v>
      </c>
      <c r="N572" s="322" t="s">
        <v>282</v>
      </c>
      <c r="O572" s="323" t="s">
        <v>2</v>
      </c>
      <c r="P572" s="323" t="s">
        <v>2</v>
      </c>
      <c r="Q572" s="323" t="s">
        <v>15</v>
      </c>
      <c r="R572" s="323" t="s">
        <v>15</v>
      </c>
      <c r="S572" s="323" t="s">
        <v>16</v>
      </c>
      <c r="T572" s="323" t="s">
        <v>329</v>
      </c>
      <c r="U572" s="323" t="s">
        <v>249</v>
      </c>
      <c r="V572" s="323" t="s">
        <v>282</v>
      </c>
      <c r="W572" s="324" t="s">
        <v>282</v>
      </c>
      <c r="X572" s="324" t="s">
        <v>282</v>
      </c>
      <c r="Y572" s="325" t="s">
        <v>282</v>
      </c>
    </row>
    <row r="573" spans="1:25">
      <c r="A573" s="319">
        <v>11</v>
      </c>
      <c r="B573" s="320" t="str">
        <f>VLOOKUP(Tabel10[[#This Row],[Code]],Ruimtegroepen[[Code]:[Ruimte omschrijving]],2,FALSE)</f>
        <v>Garderobes</v>
      </c>
      <c r="C573" s="321" t="s">
        <v>757</v>
      </c>
      <c r="D573" s="320" t="s">
        <v>1</v>
      </c>
      <c r="E573" s="321" t="s">
        <v>1306</v>
      </c>
      <c r="F573" s="321" t="s">
        <v>1465</v>
      </c>
      <c r="G573" s="326" t="s">
        <v>282</v>
      </c>
      <c r="H573" s="322" t="s">
        <v>282</v>
      </c>
      <c r="I573" s="322" t="s">
        <v>2</v>
      </c>
      <c r="J573" s="322" t="s">
        <v>282</v>
      </c>
      <c r="K573" s="322" t="s">
        <v>283</v>
      </c>
      <c r="L573" s="322" t="s">
        <v>282</v>
      </c>
      <c r="M573" s="322" t="s">
        <v>282</v>
      </c>
      <c r="N573" s="322" t="s">
        <v>282</v>
      </c>
      <c r="O573" s="323" t="s">
        <v>2</v>
      </c>
      <c r="P573" s="323" t="s">
        <v>2</v>
      </c>
      <c r="Q573" s="323" t="s">
        <v>15</v>
      </c>
      <c r="R573" s="323" t="s">
        <v>15</v>
      </c>
      <c r="S573" s="323" t="s">
        <v>16</v>
      </c>
      <c r="T573" s="323" t="s">
        <v>329</v>
      </c>
      <c r="U573" s="323" t="s">
        <v>249</v>
      </c>
      <c r="V573" s="323" t="s">
        <v>282</v>
      </c>
      <c r="W573" s="324" t="s">
        <v>282</v>
      </c>
      <c r="X573" s="324" t="s">
        <v>282</v>
      </c>
      <c r="Y573" s="325" t="s">
        <v>282</v>
      </c>
    </row>
    <row r="574" spans="1:25">
      <c r="A574" s="319">
        <v>11</v>
      </c>
      <c r="B574" s="320" t="str">
        <f>VLOOKUP(Tabel10[[#This Row],[Code]],Ruimtegroepen[[Code]:[Ruimte omschrijving]],2,FALSE)</f>
        <v>Garderobes</v>
      </c>
      <c r="C574" s="321" t="s">
        <v>762</v>
      </c>
      <c r="D574" s="320" t="s">
        <v>21</v>
      </c>
      <c r="E574" s="321" t="s">
        <v>100</v>
      </c>
      <c r="F574" s="321" t="s">
        <v>763</v>
      </c>
      <c r="G574" s="326" t="s">
        <v>282</v>
      </c>
      <c r="H574" s="322" t="s">
        <v>282</v>
      </c>
      <c r="I574" s="322" t="s">
        <v>18</v>
      </c>
      <c r="J574" s="322" t="s">
        <v>15</v>
      </c>
      <c r="K574" s="322" t="s">
        <v>282</v>
      </c>
      <c r="L574" s="322" t="s">
        <v>282</v>
      </c>
      <c r="M574" s="322" t="s">
        <v>282</v>
      </c>
      <c r="N574" s="322" t="s">
        <v>282</v>
      </c>
      <c r="O574" s="323" t="s">
        <v>20</v>
      </c>
      <c r="P574" s="323" t="s">
        <v>20</v>
      </c>
      <c r="Q574" s="323" t="s">
        <v>15</v>
      </c>
      <c r="R574" s="323" t="s">
        <v>15</v>
      </c>
      <c r="S574" s="323" t="s">
        <v>16</v>
      </c>
      <c r="T574" s="323" t="s">
        <v>329</v>
      </c>
      <c r="U574" s="323" t="s">
        <v>249</v>
      </c>
      <c r="V574" s="323" t="s">
        <v>282</v>
      </c>
      <c r="W574" s="324" t="s">
        <v>282</v>
      </c>
      <c r="X574" s="324" t="s">
        <v>282</v>
      </c>
      <c r="Y574" s="325" t="s">
        <v>282</v>
      </c>
    </row>
    <row r="575" spans="1:25">
      <c r="A575" s="319">
        <v>11</v>
      </c>
      <c r="B575" s="320" t="str">
        <f>VLOOKUP(Tabel10[[#This Row],[Code]],Ruimtegroepen[[Code]:[Ruimte omschrijving]],2,FALSE)</f>
        <v>Garderobes</v>
      </c>
      <c r="C575" s="321" t="s">
        <v>762</v>
      </c>
      <c r="D575" s="320" t="s">
        <v>21</v>
      </c>
      <c r="E575" s="321" t="s">
        <v>99</v>
      </c>
      <c r="F575" s="321" t="s">
        <v>764</v>
      </c>
      <c r="G575" s="326" t="s">
        <v>282</v>
      </c>
      <c r="H575" s="322" t="s">
        <v>20</v>
      </c>
      <c r="I575" s="322" t="s">
        <v>282</v>
      </c>
      <c r="J575" s="322" t="s">
        <v>282</v>
      </c>
      <c r="K575" s="322" t="s">
        <v>282</v>
      </c>
      <c r="L575" s="322" t="s">
        <v>282</v>
      </c>
      <c r="M575" s="322" t="s">
        <v>282</v>
      </c>
      <c r="N575" s="322" t="s">
        <v>282</v>
      </c>
      <c r="O575" s="323" t="s">
        <v>20</v>
      </c>
      <c r="P575" s="323" t="s">
        <v>20</v>
      </c>
      <c r="Q575" s="323" t="s">
        <v>15</v>
      </c>
      <c r="R575" s="323" t="s">
        <v>15</v>
      </c>
      <c r="S575" s="323" t="s">
        <v>16</v>
      </c>
      <c r="T575" s="323" t="s">
        <v>329</v>
      </c>
      <c r="U575" s="323" t="s">
        <v>249</v>
      </c>
      <c r="V575" s="323" t="s">
        <v>282</v>
      </c>
      <c r="W575" s="324" t="s">
        <v>282</v>
      </c>
      <c r="X575" s="324" t="s">
        <v>282</v>
      </c>
      <c r="Y575" s="325" t="s">
        <v>282</v>
      </c>
    </row>
    <row r="576" spans="1:25">
      <c r="A576" s="319">
        <v>11</v>
      </c>
      <c r="B576" s="320" t="str">
        <f>VLOOKUP(Tabel10[[#This Row],[Code]],Ruimtegroepen[[Code]:[Ruimte omschrijving]],2,FALSE)</f>
        <v>Garderobes</v>
      </c>
      <c r="C576" s="321" t="s">
        <v>762</v>
      </c>
      <c r="D576" s="320" t="s">
        <v>21</v>
      </c>
      <c r="E576" s="321" t="s">
        <v>101</v>
      </c>
      <c r="F576" s="321" t="s">
        <v>765</v>
      </c>
      <c r="G576" s="326" t="s">
        <v>282</v>
      </c>
      <c r="H576" s="322" t="s">
        <v>282</v>
      </c>
      <c r="I576" s="322" t="s">
        <v>18</v>
      </c>
      <c r="J576" s="322" t="s">
        <v>15</v>
      </c>
      <c r="K576" s="322" t="s">
        <v>283</v>
      </c>
      <c r="L576" s="322" t="s">
        <v>282</v>
      </c>
      <c r="M576" s="322" t="s">
        <v>282</v>
      </c>
      <c r="N576" s="322" t="s">
        <v>282</v>
      </c>
      <c r="O576" s="323" t="s">
        <v>20</v>
      </c>
      <c r="P576" s="323" t="s">
        <v>20</v>
      </c>
      <c r="Q576" s="323" t="s">
        <v>15</v>
      </c>
      <c r="R576" s="323" t="s">
        <v>15</v>
      </c>
      <c r="S576" s="323" t="s">
        <v>16</v>
      </c>
      <c r="T576" s="323" t="s">
        <v>329</v>
      </c>
      <c r="U576" s="323" t="s">
        <v>249</v>
      </c>
      <c r="V576" s="323" t="s">
        <v>282</v>
      </c>
      <c r="W576" s="324" t="s">
        <v>282</v>
      </c>
      <c r="X576" s="324" t="s">
        <v>282</v>
      </c>
      <c r="Y576" s="325" t="s">
        <v>282</v>
      </c>
    </row>
    <row r="577" spans="1:25">
      <c r="A577" s="319">
        <v>11</v>
      </c>
      <c r="B577" s="320" t="str">
        <f>VLOOKUP(Tabel10[[#This Row],[Code]],Ruimtegroepen[[Code]:[Ruimte omschrijving]],2,FALSE)</f>
        <v>Garderobes</v>
      </c>
      <c r="C577" s="321" t="s">
        <v>762</v>
      </c>
      <c r="D577" s="320" t="s">
        <v>21</v>
      </c>
      <c r="E577" s="321" t="s">
        <v>102</v>
      </c>
      <c r="F577" s="321" t="s">
        <v>766</v>
      </c>
      <c r="G577" s="326" t="s">
        <v>282</v>
      </c>
      <c r="H577" s="322" t="s">
        <v>282</v>
      </c>
      <c r="I577" s="322" t="s">
        <v>18</v>
      </c>
      <c r="J577" s="322" t="s">
        <v>15</v>
      </c>
      <c r="K577" s="322" t="s">
        <v>283</v>
      </c>
      <c r="L577" s="322" t="s">
        <v>282</v>
      </c>
      <c r="M577" s="322" t="s">
        <v>282</v>
      </c>
      <c r="N577" s="322" t="s">
        <v>282</v>
      </c>
      <c r="O577" s="323" t="s">
        <v>20</v>
      </c>
      <c r="P577" s="323" t="s">
        <v>20</v>
      </c>
      <c r="Q577" s="323" t="s">
        <v>15</v>
      </c>
      <c r="R577" s="323" t="s">
        <v>15</v>
      </c>
      <c r="S577" s="323" t="s">
        <v>16</v>
      </c>
      <c r="T577" s="323" t="s">
        <v>329</v>
      </c>
      <c r="U577" s="323" t="s">
        <v>249</v>
      </c>
      <c r="V577" s="323" t="s">
        <v>282</v>
      </c>
      <c r="W577" s="324" t="s">
        <v>282</v>
      </c>
      <c r="X577" s="324" t="s">
        <v>282</v>
      </c>
      <c r="Y577" s="325" t="s">
        <v>282</v>
      </c>
    </row>
    <row r="578" spans="1:25">
      <c r="A578" s="319">
        <v>11</v>
      </c>
      <c r="B578" s="320" t="str">
        <f>VLOOKUP(Tabel10[[#This Row],[Code]],Ruimtegroepen[[Code]:[Ruimte omschrijving]],2,FALSE)</f>
        <v>Garderobes</v>
      </c>
      <c r="C578" s="321" t="s">
        <v>762</v>
      </c>
      <c r="D578" s="320" t="s">
        <v>21</v>
      </c>
      <c r="E578" s="321" t="s">
        <v>99</v>
      </c>
      <c r="F578" s="321" t="s">
        <v>764</v>
      </c>
      <c r="G578" s="326" t="s">
        <v>282</v>
      </c>
      <c r="H578" s="322" t="s">
        <v>20</v>
      </c>
      <c r="I578" s="322" t="s">
        <v>282</v>
      </c>
      <c r="J578" s="322" t="s">
        <v>282</v>
      </c>
      <c r="K578" s="322" t="s">
        <v>282</v>
      </c>
      <c r="L578" s="322" t="s">
        <v>282</v>
      </c>
      <c r="M578" s="322" t="s">
        <v>282</v>
      </c>
      <c r="N578" s="322" t="s">
        <v>282</v>
      </c>
      <c r="O578" s="323" t="s">
        <v>20</v>
      </c>
      <c r="P578" s="323" t="s">
        <v>20</v>
      </c>
      <c r="Q578" s="323" t="s">
        <v>15</v>
      </c>
      <c r="R578" s="323" t="s">
        <v>15</v>
      </c>
      <c r="S578" s="323" t="s">
        <v>16</v>
      </c>
      <c r="T578" s="323" t="s">
        <v>329</v>
      </c>
      <c r="U578" s="323" t="s">
        <v>249</v>
      </c>
      <c r="V578" s="323" t="s">
        <v>282</v>
      </c>
      <c r="W578" s="324" t="s">
        <v>282</v>
      </c>
      <c r="X578" s="324" t="s">
        <v>282</v>
      </c>
      <c r="Y578" s="325" t="s">
        <v>282</v>
      </c>
    </row>
    <row r="579" spans="1:25">
      <c r="A579" s="319">
        <v>11</v>
      </c>
      <c r="B579" s="320" t="str">
        <f>VLOOKUP(Tabel10[[#This Row],[Code]],Ruimtegroepen[[Code]:[Ruimte omschrijving]],2,FALSE)</f>
        <v>Garderobes</v>
      </c>
      <c r="C579" s="321" t="s">
        <v>762</v>
      </c>
      <c r="D579" s="320" t="s">
        <v>21</v>
      </c>
      <c r="E579" s="321" t="s">
        <v>1306</v>
      </c>
      <c r="F579" s="321" t="s">
        <v>1448</v>
      </c>
      <c r="G579" s="326" t="s">
        <v>282</v>
      </c>
      <c r="H579" s="322" t="s">
        <v>282</v>
      </c>
      <c r="I579" s="322" t="s">
        <v>18</v>
      </c>
      <c r="J579" s="322" t="s">
        <v>15</v>
      </c>
      <c r="K579" s="322" t="s">
        <v>283</v>
      </c>
      <c r="L579" s="322" t="s">
        <v>282</v>
      </c>
      <c r="M579" s="322" t="s">
        <v>282</v>
      </c>
      <c r="N579" s="322" t="s">
        <v>282</v>
      </c>
      <c r="O579" s="323" t="s">
        <v>20</v>
      </c>
      <c r="P579" s="323" t="s">
        <v>20</v>
      </c>
      <c r="Q579" s="323" t="s">
        <v>15</v>
      </c>
      <c r="R579" s="323" t="s">
        <v>15</v>
      </c>
      <c r="S579" s="323" t="s">
        <v>16</v>
      </c>
      <c r="T579" s="323" t="s">
        <v>329</v>
      </c>
      <c r="U579" s="323" t="s">
        <v>249</v>
      </c>
      <c r="V579" s="323" t="s">
        <v>282</v>
      </c>
      <c r="W579" s="324" t="s">
        <v>282</v>
      </c>
      <c r="X579" s="324" t="s">
        <v>282</v>
      </c>
      <c r="Y579" s="325" t="s">
        <v>282</v>
      </c>
    </row>
    <row r="580" spans="1:25">
      <c r="A580" s="319">
        <v>11</v>
      </c>
      <c r="B580" s="320" t="str">
        <f>VLOOKUP(Tabel10[[#This Row],[Code]],Ruimtegroepen[[Code]:[Ruimte omschrijving]],2,FALSE)</f>
        <v>Garderobes</v>
      </c>
      <c r="C580" s="321" t="s">
        <v>767</v>
      </c>
      <c r="D580" s="320" t="s">
        <v>12</v>
      </c>
      <c r="E580" s="321" t="s">
        <v>100</v>
      </c>
      <c r="F580" s="321" t="s">
        <v>768</v>
      </c>
      <c r="G580" s="326" t="s">
        <v>282</v>
      </c>
      <c r="H580" s="322" t="s">
        <v>282</v>
      </c>
      <c r="I580" s="322" t="s">
        <v>17</v>
      </c>
      <c r="J580" s="322" t="s">
        <v>15</v>
      </c>
      <c r="K580" s="322" t="s">
        <v>282</v>
      </c>
      <c r="L580" s="322" t="s">
        <v>282</v>
      </c>
      <c r="M580" s="322" t="s">
        <v>282</v>
      </c>
      <c r="N580" s="322" t="s">
        <v>282</v>
      </c>
      <c r="O580" s="323" t="s">
        <v>18</v>
      </c>
      <c r="P580" s="323" t="s">
        <v>18</v>
      </c>
      <c r="Q580" s="323" t="s">
        <v>15</v>
      </c>
      <c r="R580" s="323" t="s">
        <v>15</v>
      </c>
      <c r="S580" s="323" t="s">
        <v>16</v>
      </c>
      <c r="T580" s="323" t="s">
        <v>329</v>
      </c>
      <c r="U580" s="323" t="s">
        <v>249</v>
      </c>
      <c r="V580" s="323" t="s">
        <v>282</v>
      </c>
      <c r="W580" s="324" t="s">
        <v>282</v>
      </c>
      <c r="X580" s="324" t="s">
        <v>282</v>
      </c>
      <c r="Y580" s="325" t="s">
        <v>282</v>
      </c>
    </row>
    <row r="581" spans="1:25">
      <c r="A581" s="319">
        <v>11</v>
      </c>
      <c r="B581" s="320" t="str">
        <f>VLOOKUP(Tabel10[[#This Row],[Code]],Ruimtegroepen[[Code]:[Ruimte omschrijving]],2,FALSE)</f>
        <v>Garderobes</v>
      </c>
      <c r="C581" s="321" t="s">
        <v>767</v>
      </c>
      <c r="D581" s="320" t="s">
        <v>12</v>
      </c>
      <c r="E581" s="321" t="s">
        <v>99</v>
      </c>
      <c r="F581" s="321" t="s">
        <v>769</v>
      </c>
      <c r="G581" s="326" t="s">
        <v>282</v>
      </c>
      <c r="H581" s="322" t="s">
        <v>18</v>
      </c>
      <c r="I581" s="322" t="s">
        <v>282</v>
      </c>
      <c r="J581" s="322" t="s">
        <v>282</v>
      </c>
      <c r="K581" s="322" t="s">
        <v>282</v>
      </c>
      <c r="L581" s="322" t="s">
        <v>282</v>
      </c>
      <c r="M581" s="322" t="s">
        <v>282</v>
      </c>
      <c r="N581" s="322" t="s">
        <v>282</v>
      </c>
      <c r="O581" s="323" t="s">
        <v>18</v>
      </c>
      <c r="P581" s="323" t="s">
        <v>18</v>
      </c>
      <c r="Q581" s="323" t="s">
        <v>15</v>
      </c>
      <c r="R581" s="323" t="s">
        <v>15</v>
      </c>
      <c r="S581" s="323" t="s">
        <v>16</v>
      </c>
      <c r="T581" s="323" t="s">
        <v>329</v>
      </c>
      <c r="U581" s="323" t="s">
        <v>249</v>
      </c>
      <c r="V581" s="323" t="s">
        <v>282</v>
      </c>
      <c r="W581" s="324" t="s">
        <v>282</v>
      </c>
      <c r="X581" s="324" t="s">
        <v>282</v>
      </c>
      <c r="Y581" s="325" t="s">
        <v>282</v>
      </c>
    </row>
    <row r="582" spans="1:25">
      <c r="A582" s="319">
        <v>11</v>
      </c>
      <c r="B582" s="320" t="str">
        <f>VLOOKUP(Tabel10[[#This Row],[Code]],Ruimtegroepen[[Code]:[Ruimte omschrijving]],2,FALSE)</f>
        <v>Garderobes</v>
      </c>
      <c r="C582" s="321" t="s">
        <v>767</v>
      </c>
      <c r="D582" s="320" t="s">
        <v>12</v>
      </c>
      <c r="E582" s="321" t="s">
        <v>101</v>
      </c>
      <c r="F582" s="321" t="s">
        <v>770</v>
      </c>
      <c r="G582" s="326" t="s">
        <v>282</v>
      </c>
      <c r="H582" s="322" t="s">
        <v>282</v>
      </c>
      <c r="I582" s="322" t="s">
        <v>17</v>
      </c>
      <c r="J582" s="322" t="s">
        <v>15</v>
      </c>
      <c r="K582" s="322" t="s">
        <v>283</v>
      </c>
      <c r="L582" s="322" t="s">
        <v>282</v>
      </c>
      <c r="M582" s="322" t="s">
        <v>282</v>
      </c>
      <c r="N582" s="322" t="s">
        <v>282</v>
      </c>
      <c r="O582" s="323" t="s">
        <v>18</v>
      </c>
      <c r="P582" s="323" t="s">
        <v>18</v>
      </c>
      <c r="Q582" s="323" t="s">
        <v>15</v>
      </c>
      <c r="R582" s="323" t="s">
        <v>15</v>
      </c>
      <c r="S582" s="323" t="s">
        <v>16</v>
      </c>
      <c r="T582" s="323" t="s">
        <v>329</v>
      </c>
      <c r="U582" s="323" t="s">
        <v>249</v>
      </c>
      <c r="V582" s="323" t="s">
        <v>282</v>
      </c>
      <c r="W582" s="324" t="s">
        <v>282</v>
      </c>
      <c r="X582" s="324" t="s">
        <v>282</v>
      </c>
      <c r="Y582" s="325" t="s">
        <v>282</v>
      </c>
    </row>
    <row r="583" spans="1:25">
      <c r="A583" s="319">
        <v>11</v>
      </c>
      <c r="B583" s="320" t="str">
        <f>VLOOKUP(Tabel10[[#This Row],[Code]],Ruimtegroepen[[Code]:[Ruimte omschrijving]],2,FALSE)</f>
        <v>Garderobes</v>
      </c>
      <c r="C583" s="321" t="s">
        <v>767</v>
      </c>
      <c r="D583" s="320" t="s">
        <v>12</v>
      </c>
      <c r="E583" s="321" t="s">
        <v>102</v>
      </c>
      <c r="F583" s="321" t="s">
        <v>771</v>
      </c>
      <c r="G583" s="326" t="s">
        <v>282</v>
      </c>
      <c r="H583" s="322" t="s">
        <v>282</v>
      </c>
      <c r="I583" s="322" t="s">
        <v>17</v>
      </c>
      <c r="J583" s="322" t="s">
        <v>15</v>
      </c>
      <c r="K583" s="322" t="s">
        <v>283</v>
      </c>
      <c r="L583" s="322" t="s">
        <v>282</v>
      </c>
      <c r="M583" s="322" t="s">
        <v>282</v>
      </c>
      <c r="N583" s="322" t="s">
        <v>282</v>
      </c>
      <c r="O583" s="323" t="s">
        <v>18</v>
      </c>
      <c r="P583" s="323" t="s">
        <v>18</v>
      </c>
      <c r="Q583" s="323" t="s">
        <v>15</v>
      </c>
      <c r="R583" s="323" t="s">
        <v>15</v>
      </c>
      <c r="S583" s="323" t="s">
        <v>16</v>
      </c>
      <c r="T583" s="323" t="s">
        <v>329</v>
      </c>
      <c r="U583" s="323" t="s">
        <v>249</v>
      </c>
      <c r="V583" s="323" t="s">
        <v>282</v>
      </c>
      <c r="W583" s="324" t="s">
        <v>282</v>
      </c>
      <c r="X583" s="324" t="s">
        <v>282</v>
      </c>
      <c r="Y583" s="325" t="s">
        <v>282</v>
      </c>
    </row>
    <row r="584" spans="1:25">
      <c r="A584" s="319">
        <v>11</v>
      </c>
      <c r="B584" s="320" t="str">
        <f>VLOOKUP(Tabel10[[#This Row],[Code]],Ruimtegroepen[[Code]:[Ruimte omschrijving]],2,FALSE)</f>
        <v>Garderobes</v>
      </c>
      <c r="C584" s="321" t="s">
        <v>767</v>
      </c>
      <c r="D584" s="320" t="s">
        <v>12</v>
      </c>
      <c r="E584" s="321" t="s">
        <v>99</v>
      </c>
      <c r="F584" s="321" t="s">
        <v>769</v>
      </c>
      <c r="G584" s="326" t="s">
        <v>282</v>
      </c>
      <c r="H584" s="322" t="s">
        <v>18</v>
      </c>
      <c r="I584" s="322" t="s">
        <v>282</v>
      </c>
      <c r="J584" s="322" t="s">
        <v>282</v>
      </c>
      <c r="K584" s="322" t="s">
        <v>282</v>
      </c>
      <c r="L584" s="322" t="s">
        <v>282</v>
      </c>
      <c r="M584" s="322" t="s">
        <v>282</v>
      </c>
      <c r="N584" s="322" t="s">
        <v>282</v>
      </c>
      <c r="O584" s="323" t="s">
        <v>18</v>
      </c>
      <c r="P584" s="323" t="s">
        <v>18</v>
      </c>
      <c r="Q584" s="323" t="s">
        <v>15</v>
      </c>
      <c r="R584" s="323" t="s">
        <v>15</v>
      </c>
      <c r="S584" s="323" t="s">
        <v>16</v>
      </c>
      <c r="T584" s="323" t="s">
        <v>329</v>
      </c>
      <c r="U584" s="323" t="s">
        <v>249</v>
      </c>
      <c r="V584" s="323" t="s">
        <v>282</v>
      </c>
      <c r="W584" s="324" t="s">
        <v>282</v>
      </c>
      <c r="X584" s="324" t="s">
        <v>282</v>
      </c>
      <c r="Y584" s="325" t="s">
        <v>282</v>
      </c>
    </row>
    <row r="585" spans="1:25">
      <c r="A585" s="319">
        <v>11</v>
      </c>
      <c r="B585" s="320" t="str">
        <f>VLOOKUP(Tabel10[[#This Row],[Code]],Ruimtegroepen[[Code]:[Ruimte omschrijving]],2,FALSE)</f>
        <v>Garderobes</v>
      </c>
      <c r="C585" s="321" t="s">
        <v>767</v>
      </c>
      <c r="D585" s="320" t="s">
        <v>12</v>
      </c>
      <c r="E585" s="321" t="s">
        <v>1306</v>
      </c>
      <c r="F585" s="321" t="s">
        <v>1430</v>
      </c>
      <c r="G585" s="326" t="s">
        <v>282</v>
      </c>
      <c r="H585" s="322" t="s">
        <v>282</v>
      </c>
      <c r="I585" s="322" t="s">
        <v>17</v>
      </c>
      <c r="J585" s="322" t="s">
        <v>15</v>
      </c>
      <c r="K585" s="322" t="s">
        <v>283</v>
      </c>
      <c r="L585" s="322" t="s">
        <v>282</v>
      </c>
      <c r="M585" s="322" t="s">
        <v>282</v>
      </c>
      <c r="N585" s="322" t="s">
        <v>282</v>
      </c>
      <c r="O585" s="323" t="s">
        <v>18</v>
      </c>
      <c r="P585" s="323" t="s">
        <v>18</v>
      </c>
      <c r="Q585" s="323" t="s">
        <v>15</v>
      </c>
      <c r="R585" s="323" t="s">
        <v>15</v>
      </c>
      <c r="S585" s="323" t="s">
        <v>16</v>
      </c>
      <c r="T585" s="323" t="s">
        <v>329</v>
      </c>
      <c r="U585" s="323" t="s">
        <v>249</v>
      </c>
      <c r="V585" s="323" t="s">
        <v>282</v>
      </c>
      <c r="W585" s="324" t="s">
        <v>282</v>
      </c>
      <c r="X585" s="324" t="s">
        <v>282</v>
      </c>
      <c r="Y585" s="325" t="s">
        <v>282</v>
      </c>
    </row>
    <row r="586" spans="1:25">
      <c r="A586" s="319">
        <v>11</v>
      </c>
      <c r="B586" s="320" t="str">
        <f>VLOOKUP(Tabel10[[#This Row],[Code]],Ruimtegroepen[[Code]:[Ruimte omschrijving]],2,FALSE)</f>
        <v>Garderobes</v>
      </c>
      <c r="C586" s="321" t="s">
        <v>772</v>
      </c>
      <c r="D586" s="320" t="s">
        <v>14</v>
      </c>
      <c r="E586" s="321" t="s">
        <v>100</v>
      </c>
      <c r="F586" s="321" t="s">
        <v>773</v>
      </c>
      <c r="G586" s="326" t="s">
        <v>282</v>
      </c>
      <c r="H586" s="322" t="s">
        <v>282</v>
      </c>
      <c r="I586" s="322" t="s">
        <v>15</v>
      </c>
      <c r="J586" s="322" t="s">
        <v>15</v>
      </c>
      <c r="K586" s="322" t="s">
        <v>282</v>
      </c>
      <c r="L586" s="322" t="s">
        <v>282</v>
      </c>
      <c r="M586" s="322" t="s">
        <v>282</v>
      </c>
      <c r="N586" s="322" t="s">
        <v>282</v>
      </c>
      <c r="O586" s="323" t="s">
        <v>17</v>
      </c>
      <c r="P586" s="323" t="s">
        <v>17</v>
      </c>
      <c r="Q586" s="323" t="s">
        <v>15</v>
      </c>
      <c r="R586" s="323" t="s">
        <v>15</v>
      </c>
      <c r="S586" s="323" t="s">
        <v>16</v>
      </c>
      <c r="T586" s="323" t="s">
        <v>329</v>
      </c>
      <c r="U586" s="323" t="s">
        <v>249</v>
      </c>
      <c r="V586" s="323" t="s">
        <v>282</v>
      </c>
      <c r="W586" s="324" t="s">
        <v>282</v>
      </c>
      <c r="X586" s="324" t="s">
        <v>282</v>
      </c>
      <c r="Y586" s="325" t="s">
        <v>282</v>
      </c>
    </row>
    <row r="587" spans="1:25">
      <c r="A587" s="319">
        <v>11</v>
      </c>
      <c r="B587" s="320" t="str">
        <f>VLOOKUP(Tabel10[[#This Row],[Code]],Ruimtegroepen[[Code]:[Ruimte omschrijving]],2,FALSE)</f>
        <v>Garderobes</v>
      </c>
      <c r="C587" s="321" t="s">
        <v>772</v>
      </c>
      <c r="D587" s="320" t="s">
        <v>14</v>
      </c>
      <c r="E587" s="321" t="s">
        <v>99</v>
      </c>
      <c r="F587" s="321" t="s">
        <v>774</v>
      </c>
      <c r="G587" s="326" t="s">
        <v>282</v>
      </c>
      <c r="H587" s="322" t="s">
        <v>17</v>
      </c>
      <c r="I587" s="322" t="s">
        <v>282</v>
      </c>
      <c r="J587" s="322" t="s">
        <v>282</v>
      </c>
      <c r="K587" s="322" t="s">
        <v>282</v>
      </c>
      <c r="L587" s="322" t="s">
        <v>282</v>
      </c>
      <c r="M587" s="322" t="s">
        <v>282</v>
      </c>
      <c r="N587" s="322" t="s">
        <v>282</v>
      </c>
      <c r="O587" s="323" t="s">
        <v>17</v>
      </c>
      <c r="P587" s="323" t="s">
        <v>17</v>
      </c>
      <c r="Q587" s="323" t="s">
        <v>15</v>
      </c>
      <c r="R587" s="323" t="s">
        <v>15</v>
      </c>
      <c r="S587" s="323" t="s">
        <v>16</v>
      </c>
      <c r="T587" s="323" t="s">
        <v>329</v>
      </c>
      <c r="U587" s="323" t="s">
        <v>249</v>
      </c>
      <c r="V587" s="323" t="s">
        <v>282</v>
      </c>
      <c r="W587" s="324" t="s">
        <v>282</v>
      </c>
      <c r="X587" s="324" t="s">
        <v>282</v>
      </c>
      <c r="Y587" s="325" t="s">
        <v>282</v>
      </c>
    </row>
    <row r="588" spans="1:25">
      <c r="A588" s="319">
        <v>11</v>
      </c>
      <c r="B588" s="320" t="str">
        <f>VLOOKUP(Tabel10[[#This Row],[Code]],Ruimtegroepen[[Code]:[Ruimte omschrijving]],2,FALSE)</f>
        <v>Garderobes</v>
      </c>
      <c r="C588" s="321" t="s">
        <v>772</v>
      </c>
      <c r="D588" s="320" t="s">
        <v>14</v>
      </c>
      <c r="E588" s="321" t="s">
        <v>101</v>
      </c>
      <c r="F588" s="321" t="s">
        <v>775</v>
      </c>
      <c r="G588" s="326" t="s">
        <v>282</v>
      </c>
      <c r="H588" s="322" t="s">
        <v>282</v>
      </c>
      <c r="I588" s="322" t="s">
        <v>15</v>
      </c>
      <c r="J588" s="322" t="s">
        <v>15</v>
      </c>
      <c r="K588" s="322" t="s">
        <v>283</v>
      </c>
      <c r="L588" s="322" t="s">
        <v>282</v>
      </c>
      <c r="M588" s="322" t="s">
        <v>282</v>
      </c>
      <c r="N588" s="322" t="s">
        <v>282</v>
      </c>
      <c r="O588" s="323" t="s">
        <v>17</v>
      </c>
      <c r="P588" s="323" t="s">
        <v>17</v>
      </c>
      <c r="Q588" s="323" t="s">
        <v>15</v>
      </c>
      <c r="R588" s="323" t="s">
        <v>15</v>
      </c>
      <c r="S588" s="323" t="s">
        <v>16</v>
      </c>
      <c r="T588" s="323" t="s">
        <v>329</v>
      </c>
      <c r="U588" s="323" t="s">
        <v>249</v>
      </c>
      <c r="V588" s="323" t="s">
        <v>282</v>
      </c>
      <c r="W588" s="324" t="s">
        <v>282</v>
      </c>
      <c r="X588" s="324" t="s">
        <v>282</v>
      </c>
      <c r="Y588" s="325" t="s">
        <v>282</v>
      </c>
    </row>
    <row r="589" spans="1:25">
      <c r="A589" s="319">
        <v>11</v>
      </c>
      <c r="B589" s="320" t="str">
        <f>VLOOKUP(Tabel10[[#This Row],[Code]],Ruimtegroepen[[Code]:[Ruimte omschrijving]],2,FALSE)</f>
        <v>Garderobes</v>
      </c>
      <c r="C589" s="321" t="s">
        <v>772</v>
      </c>
      <c r="D589" s="320" t="s">
        <v>14</v>
      </c>
      <c r="E589" s="321" t="s">
        <v>102</v>
      </c>
      <c r="F589" s="321" t="s">
        <v>776</v>
      </c>
      <c r="G589" s="326" t="s">
        <v>282</v>
      </c>
      <c r="H589" s="322" t="s">
        <v>282</v>
      </c>
      <c r="I589" s="322" t="s">
        <v>15</v>
      </c>
      <c r="J589" s="322" t="s">
        <v>15</v>
      </c>
      <c r="K589" s="322" t="s">
        <v>283</v>
      </c>
      <c r="L589" s="322" t="s">
        <v>282</v>
      </c>
      <c r="M589" s="322" t="s">
        <v>282</v>
      </c>
      <c r="N589" s="322" t="s">
        <v>282</v>
      </c>
      <c r="O589" s="323" t="s">
        <v>17</v>
      </c>
      <c r="P589" s="323" t="s">
        <v>17</v>
      </c>
      <c r="Q589" s="323" t="s">
        <v>15</v>
      </c>
      <c r="R589" s="323" t="s">
        <v>15</v>
      </c>
      <c r="S589" s="323" t="s">
        <v>16</v>
      </c>
      <c r="T589" s="323" t="s">
        <v>329</v>
      </c>
      <c r="U589" s="323" t="s">
        <v>249</v>
      </c>
      <c r="V589" s="323" t="s">
        <v>282</v>
      </c>
      <c r="W589" s="324" t="s">
        <v>282</v>
      </c>
      <c r="X589" s="324" t="s">
        <v>282</v>
      </c>
      <c r="Y589" s="325" t="s">
        <v>282</v>
      </c>
    </row>
    <row r="590" spans="1:25">
      <c r="A590" s="319">
        <v>11</v>
      </c>
      <c r="B590" s="320" t="str">
        <f>VLOOKUP(Tabel10[[#This Row],[Code]],Ruimtegroepen[[Code]:[Ruimte omschrijving]],2,FALSE)</f>
        <v>Garderobes</v>
      </c>
      <c r="C590" s="321" t="s">
        <v>772</v>
      </c>
      <c r="D590" s="320" t="s">
        <v>14</v>
      </c>
      <c r="E590" s="321" t="s">
        <v>99</v>
      </c>
      <c r="F590" s="321" t="s">
        <v>774</v>
      </c>
      <c r="G590" s="326" t="s">
        <v>282</v>
      </c>
      <c r="H590" s="322" t="s">
        <v>17</v>
      </c>
      <c r="I590" s="322" t="s">
        <v>282</v>
      </c>
      <c r="J590" s="322" t="s">
        <v>282</v>
      </c>
      <c r="K590" s="322" t="s">
        <v>282</v>
      </c>
      <c r="L590" s="322" t="s">
        <v>282</v>
      </c>
      <c r="M590" s="322" t="s">
        <v>282</v>
      </c>
      <c r="N590" s="322" t="s">
        <v>282</v>
      </c>
      <c r="O590" s="323" t="s">
        <v>17</v>
      </c>
      <c r="P590" s="323" t="s">
        <v>17</v>
      </c>
      <c r="Q590" s="323" t="s">
        <v>15</v>
      </c>
      <c r="R590" s="323" t="s">
        <v>15</v>
      </c>
      <c r="S590" s="323" t="s">
        <v>16</v>
      </c>
      <c r="T590" s="323" t="s">
        <v>329</v>
      </c>
      <c r="U590" s="323" t="s">
        <v>249</v>
      </c>
      <c r="V590" s="323" t="s">
        <v>282</v>
      </c>
      <c r="W590" s="324" t="s">
        <v>282</v>
      </c>
      <c r="X590" s="324" t="s">
        <v>282</v>
      </c>
      <c r="Y590" s="325" t="s">
        <v>282</v>
      </c>
    </row>
    <row r="591" spans="1:25">
      <c r="A591" s="319">
        <v>11</v>
      </c>
      <c r="B591" s="320" t="str">
        <f>VLOOKUP(Tabel10[[#This Row],[Code]],Ruimtegroepen[[Code]:[Ruimte omschrijving]],2,FALSE)</f>
        <v>Garderobes</v>
      </c>
      <c r="C591" s="321" t="s">
        <v>772</v>
      </c>
      <c r="D591" s="320" t="s">
        <v>14</v>
      </c>
      <c r="E591" s="321" t="s">
        <v>1306</v>
      </c>
      <c r="F591" s="321" t="s">
        <v>1397</v>
      </c>
      <c r="G591" s="326" t="s">
        <v>282</v>
      </c>
      <c r="H591" s="322" t="s">
        <v>282</v>
      </c>
      <c r="I591" s="322" t="s">
        <v>15</v>
      </c>
      <c r="J591" s="322" t="s">
        <v>15</v>
      </c>
      <c r="K591" s="322" t="s">
        <v>283</v>
      </c>
      <c r="L591" s="322" t="s">
        <v>282</v>
      </c>
      <c r="M591" s="322" t="s">
        <v>282</v>
      </c>
      <c r="N591" s="322" t="s">
        <v>282</v>
      </c>
      <c r="O591" s="323" t="s">
        <v>17</v>
      </c>
      <c r="P591" s="323" t="s">
        <v>17</v>
      </c>
      <c r="Q591" s="323" t="s">
        <v>15</v>
      </c>
      <c r="R591" s="323" t="s">
        <v>15</v>
      </c>
      <c r="S591" s="323" t="s">
        <v>16</v>
      </c>
      <c r="T591" s="323" t="s">
        <v>329</v>
      </c>
      <c r="U591" s="323" t="s">
        <v>249</v>
      </c>
      <c r="V591" s="323" t="s">
        <v>282</v>
      </c>
      <c r="W591" s="324" t="s">
        <v>282</v>
      </c>
      <c r="X591" s="324" t="s">
        <v>282</v>
      </c>
      <c r="Y591" s="325" t="s">
        <v>282</v>
      </c>
    </row>
    <row r="592" spans="1:25">
      <c r="A592" s="319">
        <v>11</v>
      </c>
      <c r="B592" s="320" t="str">
        <f>VLOOKUP(Tabel10[[#This Row],[Code]],Ruimtegroepen[[Code]:[Ruimte omschrijving]],2,FALSE)</f>
        <v>Garderobes</v>
      </c>
      <c r="C592" s="321" t="s">
        <v>777</v>
      </c>
      <c r="D592" s="320" t="s">
        <v>13</v>
      </c>
      <c r="E592" s="321" t="s">
        <v>100</v>
      </c>
      <c r="F592" s="321" t="s">
        <v>778</v>
      </c>
      <c r="G592" s="326" t="s">
        <v>282</v>
      </c>
      <c r="H592" s="322" t="s">
        <v>282</v>
      </c>
      <c r="I592" s="322" t="s">
        <v>282</v>
      </c>
      <c r="J592" s="322" t="s">
        <v>15</v>
      </c>
      <c r="K592" s="322" t="s">
        <v>282</v>
      </c>
      <c r="L592" s="322" t="s">
        <v>282</v>
      </c>
      <c r="M592" s="322" t="s">
        <v>282</v>
      </c>
      <c r="N592" s="322" t="s">
        <v>282</v>
      </c>
      <c r="O592" s="323" t="s">
        <v>15</v>
      </c>
      <c r="P592" s="323" t="s">
        <v>15</v>
      </c>
      <c r="Q592" s="323" t="s">
        <v>15</v>
      </c>
      <c r="R592" s="323" t="s">
        <v>15</v>
      </c>
      <c r="S592" s="323" t="s">
        <v>16</v>
      </c>
      <c r="T592" s="323" t="s">
        <v>329</v>
      </c>
      <c r="U592" s="323" t="s">
        <v>249</v>
      </c>
      <c r="V592" s="323" t="s">
        <v>282</v>
      </c>
      <c r="W592" s="324" t="s">
        <v>282</v>
      </c>
      <c r="X592" s="324" t="s">
        <v>282</v>
      </c>
      <c r="Y592" s="325" t="s">
        <v>282</v>
      </c>
    </row>
    <row r="593" spans="1:25">
      <c r="A593" s="319">
        <v>11</v>
      </c>
      <c r="B593" s="320" t="str">
        <f>VLOOKUP(Tabel10[[#This Row],[Code]],Ruimtegroepen[[Code]:[Ruimte omschrijving]],2,FALSE)</f>
        <v>Garderobes</v>
      </c>
      <c r="C593" s="321" t="s">
        <v>777</v>
      </c>
      <c r="D593" s="320" t="s">
        <v>13</v>
      </c>
      <c r="E593" s="321" t="s">
        <v>99</v>
      </c>
      <c r="F593" s="321" t="s">
        <v>779</v>
      </c>
      <c r="G593" s="326" t="s">
        <v>282</v>
      </c>
      <c r="H593" s="322" t="s">
        <v>15</v>
      </c>
      <c r="I593" s="322" t="s">
        <v>282</v>
      </c>
      <c r="J593" s="322" t="s">
        <v>282</v>
      </c>
      <c r="K593" s="322" t="s">
        <v>282</v>
      </c>
      <c r="L593" s="322" t="s">
        <v>282</v>
      </c>
      <c r="M593" s="322" t="s">
        <v>282</v>
      </c>
      <c r="N593" s="322" t="s">
        <v>282</v>
      </c>
      <c r="O593" s="323" t="s">
        <v>15</v>
      </c>
      <c r="P593" s="323" t="s">
        <v>15</v>
      </c>
      <c r="Q593" s="323" t="s">
        <v>15</v>
      </c>
      <c r="R593" s="323" t="s">
        <v>15</v>
      </c>
      <c r="S593" s="323" t="s">
        <v>16</v>
      </c>
      <c r="T593" s="323" t="s">
        <v>329</v>
      </c>
      <c r="U593" s="323" t="s">
        <v>249</v>
      </c>
      <c r="V593" s="323" t="s">
        <v>282</v>
      </c>
      <c r="W593" s="324" t="s">
        <v>282</v>
      </c>
      <c r="X593" s="324" t="s">
        <v>282</v>
      </c>
      <c r="Y593" s="325" t="s">
        <v>282</v>
      </c>
    </row>
    <row r="594" spans="1:25">
      <c r="A594" s="319">
        <v>11</v>
      </c>
      <c r="B594" s="320" t="str">
        <f>VLOOKUP(Tabel10[[#This Row],[Code]],Ruimtegroepen[[Code]:[Ruimte omschrijving]],2,FALSE)</f>
        <v>Garderobes</v>
      </c>
      <c r="C594" s="321" t="s">
        <v>777</v>
      </c>
      <c r="D594" s="320" t="s">
        <v>13</v>
      </c>
      <c r="E594" s="321" t="s">
        <v>101</v>
      </c>
      <c r="F594" s="321" t="s">
        <v>780</v>
      </c>
      <c r="G594" s="326" t="s">
        <v>282</v>
      </c>
      <c r="H594" s="322" t="s">
        <v>282</v>
      </c>
      <c r="I594" s="322" t="s">
        <v>282</v>
      </c>
      <c r="J594" s="322" t="s">
        <v>15</v>
      </c>
      <c r="K594" s="322" t="s">
        <v>283</v>
      </c>
      <c r="L594" s="322" t="s">
        <v>282</v>
      </c>
      <c r="M594" s="322" t="s">
        <v>282</v>
      </c>
      <c r="N594" s="322" t="s">
        <v>282</v>
      </c>
      <c r="O594" s="323" t="s">
        <v>15</v>
      </c>
      <c r="P594" s="323" t="s">
        <v>15</v>
      </c>
      <c r="Q594" s="323" t="s">
        <v>15</v>
      </c>
      <c r="R594" s="323" t="s">
        <v>15</v>
      </c>
      <c r="S594" s="323" t="s">
        <v>16</v>
      </c>
      <c r="T594" s="323" t="s">
        <v>329</v>
      </c>
      <c r="U594" s="323" t="s">
        <v>249</v>
      </c>
      <c r="V594" s="323" t="s">
        <v>282</v>
      </c>
      <c r="W594" s="324" t="s">
        <v>282</v>
      </c>
      <c r="X594" s="324" t="s">
        <v>282</v>
      </c>
      <c r="Y594" s="325" t="s">
        <v>282</v>
      </c>
    </row>
    <row r="595" spans="1:25">
      <c r="A595" s="319">
        <v>11</v>
      </c>
      <c r="B595" s="320" t="str">
        <f>VLOOKUP(Tabel10[[#This Row],[Code]],Ruimtegroepen[[Code]:[Ruimte omschrijving]],2,FALSE)</f>
        <v>Garderobes</v>
      </c>
      <c r="C595" s="321" t="s">
        <v>777</v>
      </c>
      <c r="D595" s="320" t="s">
        <v>13</v>
      </c>
      <c r="E595" s="321" t="s">
        <v>102</v>
      </c>
      <c r="F595" s="321" t="s">
        <v>781</v>
      </c>
      <c r="G595" s="326" t="s">
        <v>282</v>
      </c>
      <c r="H595" s="322" t="s">
        <v>282</v>
      </c>
      <c r="I595" s="322" t="s">
        <v>282</v>
      </c>
      <c r="J595" s="322" t="s">
        <v>15</v>
      </c>
      <c r="K595" s="322" t="s">
        <v>283</v>
      </c>
      <c r="L595" s="322" t="s">
        <v>282</v>
      </c>
      <c r="M595" s="322" t="s">
        <v>282</v>
      </c>
      <c r="N595" s="322" t="s">
        <v>282</v>
      </c>
      <c r="O595" s="323" t="s">
        <v>15</v>
      </c>
      <c r="P595" s="323" t="s">
        <v>15</v>
      </c>
      <c r="Q595" s="323" t="s">
        <v>15</v>
      </c>
      <c r="R595" s="323" t="s">
        <v>15</v>
      </c>
      <c r="S595" s="323" t="s">
        <v>16</v>
      </c>
      <c r="T595" s="323" t="s">
        <v>329</v>
      </c>
      <c r="U595" s="323" t="s">
        <v>249</v>
      </c>
      <c r="V595" s="323" t="s">
        <v>282</v>
      </c>
      <c r="W595" s="324" t="s">
        <v>282</v>
      </c>
      <c r="X595" s="324" t="s">
        <v>282</v>
      </c>
      <c r="Y595" s="325" t="s">
        <v>282</v>
      </c>
    </row>
    <row r="596" spans="1:25">
      <c r="A596" s="319">
        <v>11</v>
      </c>
      <c r="B596" s="320" t="str">
        <f>VLOOKUP(Tabel10[[#This Row],[Code]],Ruimtegroepen[[Code]:[Ruimte omschrijving]],2,FALSE)</f>
        <v>Garderobes</v>
      </c>
      <c r="C596" s="321" t="s">
        <v>777</v>
      </c>
      <c r="D596" s="320" t="s">
        <v>13</v>
      </c>
      <c r="E596" s="321" t="s">
        <v>99</v>
      </c>
      <c r="F596" s="321" t="s">
        <v>779</v>
      </c>
      <c r="G596" s="326" t="s">
        <v>282</v>
      </c>
      <c r="H596" s="322" t="s">
        <v>15</v>
      </c>
      <c r="I596" s="322" t="s">
        <v>282</v>
      </c>
      <c r="J596" s="322" t="s">
        <v>282</v>
      </c>
      <c r="K596" s="322" t="s">
        <v>282</v>
      </c>
      <c r="L596" s="322" t="s">
        <v>282</v>
      </c>
      <c r="M596" s="322" t="s">
        <v>282</v>
      </c>
      <c r="N596" s="322" t="s">
        <v>282</v>
      </c>
      <c r="O596" s="323" t="s">
        <v>15</v>
      </c>
      <c r="P596" s="323" t="s">
        <v>15</v>
      </c>
      <c r="Q596" s="323" t="s">
        <v>15</v>
      </c>
      <c r="R596" s="323" t="s">
        <v>15</v>
      </c>
      <c r="S596" s="323" t="s">
        <v>16</v>
      </c>
      <c r="T596" s="323" t="s">
        <v>329</v>
      </c>
      <c r="U596" s="323" t="s">
        <v>249</v>
      </c>
      <c r="V596" s="323" t="s">
        <v>282</v>
      </c>
      <c r="W596" s="324" t="s">
        <v>282</v>
      </c>
      <c r="X596" s="324" t="s">
        <v>282</v>
      </c>
      <c r="Y596" s="325" t="s">
        <v>282</v>
      </c>
    </row>
    <row r="597" spans="1:25">
      <c r="A597" s="319">
        <v>11</v>
      </c>
      <c r="B597" s="320" t="str">
        <f>VLOOKUP(Tabel10[[#This Row],[Code]],Ruimtegroepen[[Code]:[Ruimte omschrijving]],2,FALSE)</f>
        <v>Garderobes</v>
      </c>
      <c r="C597" s="321" t="s">
        <v>777</v>
      </c>
      <c r="D597" s="320" t="s">
        <v>13</v>
      </c>
      <c r="E597" s="321" t="s">
        <v>1306</v>
      </c>
      <c r="F597" s="321" t="s">
        <v>1364</v>
      </c>
      <c r="G597" s="326" t="s">
        <v>282</v>
      </c>
      <c r="H597" s="322" t="s">
        <v>282</v>
      </c>
      <c r="I597" s="322" t="s">
        <v>282</v>
      </c>
      <c r="J597" s="322" t="s">
        <v>15</v>
      </c>
      <c r="K597" s="322" t="s">
        <v>283</v>
      </c>
      <c r="L597" s="322" t="s">
        <v>282</v>
      </c>
      <c r="M597" s="322" t="s">
        <v>282</v>
      </c>
      <c r="N597" s="322" t="s">
        <v>282</v>
      </c>
      <c r="O597" s="323" t="s">
        <v>15</v>
      </c>
      <c r="P597" s="323" t="s">
        <v>15</v>
      </c>
      <c r="Q597" s="323" t="s">
        <v>15</v>
      </c>
      <c r="R597" s="323" t="s">
        <v>15</v>
      </c>
      <c r="S597" s="323" t="s">
        <v>16</v>
      </c>
      <c r="T597" s="323" t="s">
        <v>329</v>
      </c>
      <c r="U597" s="323" t="s">
        <v>249</v>
      </c>
      <c r="V597" s="323" t="s">
        <v>282</v>
      </c>
      <c r="W597" s="324" t="s">
        <v>282</v>
      </c>
      <c r="X597" s="324" t="s">
        <v>282</v>
      </c>
      <c r="Y597" s="325" t="s">
        <v>282</v>
      </c>
    </row>
    <row r="598" spans="1:25">
      <c r="A598" s="319">
        <v>11</v>
      </c>
      <c r="B598" s="320" t="str">
        <f>VLOOKUP(Tabel10[[#This Row],[Code]],Ruimtegroepen[[Code]:[Ruimte omschrijving]],2,FALSE)</f>
        <v>Garderobes</v>
      </c>
      <c r="C598" s="321" t="s">
        <v>782</v>
      </c>
      <c r="D598" s="320" t="s">
        <v>0</v>
      </c>
      <c r="E598" s="321" t="s">
        <v>100</v>
      </c>
      <c r="F598" s="321" t="s">
        <v>783</v>
      </c>
      <c r="G598" s="326" t="s">
        <v>282</v>
      </c>
      <c r="H598" s="322" t="s">
        <v>282</v>
      </c>
      <c r="I598" s="322" t="s">
        <v>282</v>
      </c>
      <c r="J598" s="322" t="s">
        <v>16</v>
      </c>
      <c r="K598" s="322" t="s">
        <v>282</v>
      </c>
      <c r="L598" s="322" t="s">
        <v>282</v>
      </c>
      <c r="M598" s="322" t="s">
        <v>282</v>
      </c>
      <c r="N598" s="322" t="s">
        <v>282</v>
      </c>
      <c r="O598" s="323" t="s">
        <v>16</v>
      </c>
      <c r="P598" s="323" t="s">
        <v>16</v>
      </c>
      <c r="Q598" s="323" t="s">
        <v>16</v>
      </c>
      <c r="R598" s="323" t="s">
        <v>16</v>
      </c>
      <c r="S598" s="323" t="s">
        <v>16</v>
      </c>
      <c r="T598" s="323" t="s">
        <v>329</v>
      </c>
      <c r="U598" s="323" t="s">
        <v>249</v>
      </c>
      <c r="V598" s="323" t="s">
        <v>282</v>
      </c>
      <c r="W598" s="324" t="s">
        <v>282</v>
      </c>
      <c r="X598" s="324" t="s">
        <v>282</v>
      </c>
      <c r="Y598" s="325" t="s">
        <v>282</v>
      </c>
    </row>
    <row r="599" spans="1:25">
      <c r="A599" s="319">
        <v>11</v>
      </c>
      <c r="B599" s="320" t="str">
        <f>VLOOKUP(Tabel10[[#This Row],[Code]],Ruimtegroepen[[Code]:[Ruimte omschrijving]],2,FALSE)</f>
        <v>Garderobes</v>
      </c>
      <c r="C599" s="321" t="s">
        <v>782</v>
      </c>
      <c r="D599" s="320" t="s">
        <v>0</v>
      </c>
      <c r="E599" s="321" t="s">
        <v>99</v>
      </c>
      <c r="F599" s="321" t="s">
        <v>784</v>
      </c>
      <c r="G599" s="326" t="s">
        <v>282</v>
      </c>
      <c r="H599" s="322" t="s">
        <v>16</v>
      </c>
      <c r="I599" s="322" t="s">
        <v>282</v>
      </c>
      <c r="J599" s="322" t="s">
        <v>282</v>
      </c>
      <c r="K599" s="322" t="s">
        <v>282</v>
      </c>
      <c r="L599" s="322" t="s">
        <v>282</v>
      </c>
      <c r="M599" s="322" t="s">
        <v>282</v>
      </c>
      <c r="N599" s="322" t="s">
        <v>282</v>
      </c>
      <c r="O599" s="323" t="s">
        <v>16</v>
      </c>
      <c r="P599" s="323" t="s">
        <v>16</v>
      </c>
      <c r="Q599" s="323" t="s">
        <v>16</v>
      </c>
      <c r="R599" s="323" t="s">
        <v>16</v>
      </c>
      <c r="S599" s="323" t="s">
        <v>16</v>
      </c>
      <c r="T599" s="323" t="s">
        <v>329</v>
      </c>
      <c r="U599" s="323" t="s">
        <v>249</v>
      </c>
      <c r="V599" s="323" t="s">
        <v>282</v>
      </c>
      <c r="W599" s="324" t="s">
        <v>282</v>
      </c>
      <c r="X599" s="324" t="s">
        <v>282</v>
      </c>
      <c r="Y599" s="325" t="s">
        <v>282</v>
      </c>
    </row>
    <row r="600" spans="1:25">
      <c r="A600" s="319">
        <v>11</v>
      </c>
      <c r="B600" s="320" t="str">
        <f>VLOOKUP(Tabel10[[#This Row],[Code]],Ruimtegroepen[[Code]:[Ruimte omschrijving]],2,FALSE)</f>
        <v>Garderobes</v>
      </c>
      <c r="C600" s="321" t="s">
        <v>782</v>
      </c>
      <c r="D600" s="320" t="s">
        <v>0</v>
      </c>
      <c r="E600" s="321" t="s">
        <v>101</v>
      </c>
      <c r="F600" s="321" t="s">
        <v>785</v>
      </c>
      <c r="G600" s="326" t="s">
        <v>282</v>
      </c>
      <c r="H600" s="322" t="s">
        <v>282</v>
      </c>
      <c r="I600" s="322" t="s">
        <v>282</v>
      </c>
      <c r="J600" s="322" t="s">
        <v>16</v>
      </c>
      <c r="K600" s="322" t="s">
        <v>283</v>
      </c>
      <c r="L600" s="322" t="s">
        <v>282</v>
      </c>
      <c r="M600" s="322" t="s">
        <v>282</v>
      </c>
      <c r="N600" s="322" t="s">
        <v>282</v>
      </c>
      <c r="O600" s="323" t="s">
        <v>16</v>
      </c>
      <c r="P600" s="323" t="s">
        <v>16</v>
      </c>
      <c r="Q600" s="323" t="s">
        <v>16</v>
      </c>
      <c r="R600" s="323" t="s">
        <v>16</v>
      </c>
      <c r="S600" s="323" t="s">
        <v>16</v>
      </c>
      <c r="T600" s="323" t="s">
        <v>329</v>
      </c>
      <c r="U600" s="323" t="s">
        <v>249</v>
      </c>
      <c r="V600" s="323" t="s">
        <v>282</v>
      </c>
      <c r="W600" s="324" t="s">
        <v>282</v>
      </c>
      <c r="X600" s="324" t="s">
        <v>282</v>
      </c>
      <c r="Y600" s="325" t="s">
        <v>282</v>
      </c>
    </row>
    <row r="601" spans="1:25">
      <c r="A601" s="319">
        <v>11</v>
      </c>
      <c r="B601" s="320" t="str">
        <f>VLOOKUP(Tabel10[[#This Row],[Code]],Ruimtegroepen[[Code]:[Ruimte omschrijving]],2,FALSE)</f>
        <v>Garderobes</v>
      </c>
      <c r="C601" s="321" t="s">
        <v>782</v>
      </c>
      <c r="D601" s="320" t="s">
        <v>0</v>
      </c>
      <c r="E601" s="321" t="s">
        <v>102</v>
      </c>
      <c r="F601" s="321" t="s">
        <v>786</v>
      </c>
      <c r="G601" s="326" t="s">
        <v>282</v>
      </c>
      <c r="H601" s="322" t="s">
        <v>282</v>
      </c>
      <c r="I601" s="322" t="s">
        <v>282</v>
      </c>
      <c r="J601" s="322" t="s">
        <v>16</v>
      </c>
      <c r="K601" s="322" t="s">
        <v>283</v>
      </c>
      <c r="L601" s="322" t="s">
        <v>282</v>
      </c>
      <c r="M601" s="322" t="s">
        <v>282</v>
      </c>
      <c r="N601" s="322" t="s">
        <v>282</v>
      </c>
      <c r="O601" s="323" t="s">
        <v>16</v>
      </c>
      <c r="P601" s="323" t="s">
        <v>16</v>
      </c>
      <c r="Q601" s="323" t="s">
        <v>16</v>
      </c>
      <c r="R601" s="323" t="s">
        <v>16</v>
      </c>
      <c r="S601" s="323" t="s">
        <v>16</v>
      </c>
      <c r="T601" s="323" t="s">
        <v>329</v>
      </c>
      <c r="U601" s="323" t="s">
        <v>249</v>
      </c>
      <c r="V601" s="323" t="s">
        <v>282</v>
      </c>
      <c r="W601" s="324" t="s">
        <v>282</v>
      </c>
      <c r="X601" s="324" t="s">
        <v>282</v>
      </c>
      <c r="Y601" s="325" t="s">
        <v>282</v>
      </c>
    </row>
    <row r="602" spans="1:25">
      <c r="A602" s="319">
        <v>11</v>
      </c>
      <c r="B602" s="320" t="str">
        <f>VLOOKUP(Tabel10[[#This Row],[Code]],Ruimtegroepen[[Code]:[Ruimte omschrijving]],2,FALSE)</f>
        <v>Garderobes</v>
      </c>
      <c r="C602" s="321" t="s">
        <v>782</v>
      </c>
      <c r="D602" s="320" t="s">
        <v>0</v>
      </c>
      <c r="E602" s="321" t="s">
        <v>99</v>
      </c>
      <c r="F602" s="321" t="s">
        <v>784</v>
      </c>
      <c r="G602" s="326" t="s">
        <v>282</v>
      </c>
      <c r="H602" s="322" t="s">
        <v>16</v>
      </c>
      <c r="I602" s="322" t="s">
        <v>282</v>
      </c>
      <c r="J602" s="322" t="s">
        <v>282</v>
      </c>
      <c r="K602" s="322" t="s">
        <v>282</v>
      </c>
      <c r="L602" s="322" t="s">
        <v>282</v>
      </c>
      <c r="M602" s="322" t="s">
        <v>282</v>
      </c>
      <c r="N602" s="322" t="s">
        <v>282</v>
      </c>
      <c r="O602" s="323" t="s">
        <v>16</v>
      </c>
      <c r="P602" s="323" t="s">
        <v>16</v>
      </c>
      <c r="Q602" s="323" t="s">
        <v>16</v>
      </c>
      <c r="R602" s="323" t="s">
        <v>16</v>
      </c>
      <c r="S602" s="323" t="s">
        <v>16</v>
      </c>
      <c r="T602" s="323" t="s">
        <v>329</v>
      </c>
      <c r="U602" s="323" t="s">
        <v>249</v>
      </c>
      <c r="V602" s="323" t="s">
        <v>282</v>
      </c>
      <c r="W602" s="324" t="s">
        <v>282</v>
      </c>
      <c r="X602" s="324" t="s">
        <v>282</v>
      </c>
      <c r="Y602" s="325" t="s">
        <v>282</v>
      </c>
    </row>
    <row r="603" spans="1:25">
      <c r="A603" s="319">
        <v>11</v>
      </c>
      <c r="B603" s="320" t="str">
        <f>VLOOKUP(Tabel10[[#This Row],[Code]],Ruimtegroepen[[Code]:[Ruimte omschrijving]],2,FALSE)</f>
        <v>Garderobes</v>
      </c>
      <c r="C603" s="321" t="s">
        <v>782</v>
      </c>
      <c r="D603" s="320" t="s">
        <v>0</v>
      </c>
      <c r="E603" s="321" t="s">
        <v>1306</v>
      </c>
      <c r="F603" s="321" t="s">
        <v>1348</v>
      </c>
      <c r="G603" s="326" t="s">
        <v>282</v>
      </c>
      <c r="H603" s="322" t="s">
        <v>282</v>
      </c>
      <c r="I603" s="322" t="s">
        <v>282</v>
      </c>
      <c r="J603" s="322" t="s">
        <v>16</v>
      </c>
      <c r="K603" s="322" t="s">
        <v>283</v>
      </c>
      <c r="L603" s="322" t="s">
        <v>282</v>
      </c>
      <c r="M603" s="322" t="s">
        <v>282</v>
      </c>
      <c r="N603" s="322" t="s">
        <v>282</v>
      </c>
      <c r="O603" s="323" t="s">
        <v>16</v>
      </c>
      <c r="P603" s="323" t="s">
        <v>16</v>
      </c>
      <c r="Q603" s="323" t="s">
        <v>16</v>
      </c>
      <c r="R603" s="323" t="s">
        <v>16</v>
      </c>
      <c r="S603" s="323" t="s">
        <v>16</v>
      </c>
      <c r="T603" s="323" t="s">
        <v>329</v>
      </c>
      <c r="U603" s="323" t="s">
        <v>249</v>
      </c>
      <c r="V603" s="323" t="s">
        <v>282</v>
      </c>
      <c r="W603" s="324" t="s">
        <v>282</v>
      </c>
      <c r="X603" s="324" t="s">
        <v>282</v>
      </c>
      <c r="Y603" s="325" t="s">
        <v>282</v>
      </c>
    </row>
    <row r="604" spans="1:25">
      <c r="A604" s="319">
        <v>11</v>
      </c>
      <c r="B604" s="320" t="str">
        <f>VLOOKUP(Tabel10[[#This Row],[Code]],Ruimtegroepen[[Code]:[Ruimte omschrijving]],2,FALSE)</f>
        <v>Garderobes</v>
      </c>
      <c r="C604" s="321" t="s">
        <v>787</v>
      </c>
      <c r="D604" s="320" t="s">
        <v>27</v>
      </c>
      <c r="E604" s="321" t="s">
        <v>100</v>
      </c>
      <c r="F604" s="321" t="s">
        <v>788</v>
      </c>
      <c r="G604" s="326" t="s">
        <v>282</v>
      </c>
      <c r="H604" s="322" t="s">
        <v>282</v>
      </c>
      <c r="I604" s="322" t="s">
        <v>15</v>
      </c>
      <c r="J604" s="322" t="s">
        <v>282</v>
      </c>
      <c r="K604" s="322" t="s">
        <v>282</v>
      </c>
      <c r="L604" s="322" t="s">
        <v>282</v>
      </c>
      <c r="M604" s="322" t="s">
        <v>282</v>
      </c>
      <c r="N604" s="322" t="s">
        <v>282</v>
      </c>
      <c r="O604" s="323" t="s">
        <v>15</v>
      </c>
      <c r="P604" s="323" t="s">
        <v>15</v>
      </c>
      <c r="Q604" s="323" t="s">
        <v>15</v>
      </c>
      <c r="R604" s="323" t="s">
        <v>282</v>
      </c>
      <c r="S604" s="323" t="s">
        <v>282</v>
      </c>
      <c r="T604" s="323" t="s">
        <v>282</v>
      </c>
      <c r="U604" s="323" t="s">
        <v>282</v>
      </c>
      <c r="V604" s="323" t="s">
        <v>282</v>
      </c>
      <c r="W604" s="324" t="s">
        <v>282</v>
      </c>
      <c r="X604" s="324" t="s">
        <v>282</v>
      </c>
      <c r="Y604" s="325" t="s">
        <v>282</v>
      </c>
    </row>
    <row r="605" spans="1:25">
      <c r="A605" s="319">
        <v>11</v>
      </c>
      <c r="B605" s="320" t="str">
        <f>VLOOKUP(Tabel10[[#This Row],[Code]],Ruimtegroepen[[Code]:[Ruimte omschrijving]],2,FALSE)</f>
        <v>Garderobes</v>
      </c>
      <c r="C605" s="321" t="s">
        <v>787</v>
      </c>
      <c r="D605" s="320" t="s">
        <v>27</v>
      </c>
      <c r="E605" s="321" t="s">
        <v>99</v>
      </c>
      <c r="F605" s="321" t="s">
        <v>789</v>
      </c>
      <c r="G605" s="326" t="s">
        <v>282</v>
      </c>
      <c r="H605" s="322" t="s">
        <v>15</v>
      </c>
      <c r="I605" s="322" t="s">
        <v>282</v>
      </c>
      <c r="J605" s="322" t="s">
        <v>282</v>
      </c>
      <c r="K605" s="322" t="s">
        <v>282</v>
      </c>
      <c r="L605" s="322" t="s">
        <v>282</v>
      </c>
      <c r="M605" s="322" t="s">
        <v>282</v>
      </c>
      <c r="N605" s="322" t="s">
        <v>282</v>
      </c>
      <c r="O605" s="323" t="s">
        <v>15</v>
      </c>
      <c r="P605" s="323" t="s">
        <v>15</v>
      </c>
      <c r="Q605" s="323" t="s">
        <v>15</v>
      </c>
      <c r="R605" s="323" t="s">
        <v>282</v>
      </c>
      <c r="S605" s="323" t="s">
        <v>282</v>
      </c>
      <c r="T605" s="323" t="s">
        <v>282</v>
      </c>
      <c r="U605" s="323" t="s">
        <v>282</v>
      </c>
      <c r="V605" s="323" t="s">
        <v>282</v>
      </c>
      <c r="W605" s="324" t="s">
        <v>282</v>
      </c>
      <c r="X605" s="324" t="s">
        <v>282</v>
      </c>
      <c r="Y605" s="325" t="s">
        <v>282</v>
      </c>
    </row>
    <row r="606" spans="1:25">
      <c r="A606" s="319">
        <v>11</v>
      </c>
      <c r="B606" s="320" t="str">
        <f>VLOOKUP(Tabel10[[#This Row],[Code]],Ruimtegroepen[[Code]:[Ruimte omschrijving]],2,FALSE)</f>
        <v>Garderobes</v>
      </c>
      <c r="C606" s="321" t="s">
        <v>787</v>
      </c>
      <c r="D606" s="320" t="s">
        <v>27</v>
      </c>
      <c r="E606" s="321" t="s">
        <v>101</v>
      </c>
      <c r="F606" s="321" t="s">
        <v>790</v>
      </c>
      <c r="G606" s="326" t="s">
        <v>282</v>
      </c>
      <c r="H606" s="322" t="s">
        <v>282</v>
      </c>
      <c r="I606" s="322" t="s">
        <v>15</v>
      </c>
      <c r="J606" s="322" t="s">
        <v>282</v>
      </c>
      <c r="K606" s="322" t="s">
        <v>282</v>
      </c>
      <c r="L606" s="322" t="s">
        <v>282</v>
      </c>
      <c r="M606" s="322" t="s">
        <v>282</v>
      </c>
      <c r="N606" s="322" t="s">
        <v>282</v>
      </c>
      <c r="O606" s="323" t="s">
        <v>15</v>
      </c>
      <c r="P606" s="323" t="s">
        <v>15</v>
      </c>
      <c r="Q606" s="323" t="s">
        <v>15</v>
      </c>
      <c r="R606" s="323" t="s">
        <v>282</v>
      </c>
      <c r="S606" s="323" t="s">
        <v>282</v>
      </c>
      <c r="T606" s="323" t="s">
        <v>282</v>
      </c>
      <c r="U606" s="323" t="s">
        <v>282</v>
      </c>
      <c r="V606" s="323" t="s">
        <v>282</v>
      </c>
      <c r="W606" s="324" t="s">
        <v>282</v>
      </c>
      <c r="X606" s="324" t="s">
        <v>282</v>
      </c>
      <c r="Y606" s="325" t="s">
        <v>282</v>
      </c>
    </row>
    <row r="607" spans="1:25">
      <c r="A607" s="319">
        <v>11</v>
      </c>
      <c r="B607" s="320" t="str">
        <f>VLOOKUP(Tabel10[[#This Row],[Code]],Ruimtegroepen[[Code]:[Ruimte omschrijving]],2,FALSE)</f>
        <v>Garderobes</v>
      </c>
      <c r="C607" s="321" t="s">
        <v>787</v>
      </c>
      <c r="D607" s="320" t="s">
        <v>27</v>
      </c>
      <c r="E607" s="321" t="s">
        <v>102</v>
      </c>
      <c r="F607" s="321" t="s">
        <v>791</v>
      </c>
      <c r="G607" s="326" t="s">
        <v>282</v>
      </c>
      <c r="H607" s="322" t="s">
        <v>282</v>
      </c>
      <c r="I607" s="322" t="s">
        <v>15</v>
      </c>
      <c r="J607" s="322" t="s">
        <v>282</v>
      </c>
      <c r="K607" s="322" t="s">
        <v>282</v>
      </c>
      <c r="L607" s="322" t="s">
        <v>282</v>
      </c>
      <c r="M607" s="322" t="s">
        <v>282</v>
      </c>
      <c r="N607" s="322" t="s">
        <v>282</v>
      </c>
      <c r="O607" s="323" t="s">
        <v>15</v>
      </c>
      <c r="P607" s="323" t="s">
        <v>15</v>
      </c>
      <c r="Q607" s="323" t="s">
        <v>15</v>
      </c>
      <c r="R607" s="323" t="s">
        <v>282</v>
      </c>
      <c r="S607" s="323" t="s">
        <v>282</v>
      </c>
      <c r="T607" s="323" t="s">
        <v>282</v>
      </c>
      <c r="U607" s="323" t="s">
        <v>282</v>
      </c>
      <c r="V607" s="323" t="s">
        <v>282</v>
      </c>
      <c r="W607" s="324" t="s">
        <v>282</v>
      </c>
      <c r="X607" s="324" t="s">
        <v>282</v>
      </c>
      <c r="Y607" s="325" t="s">
        <v>282</v>
      </c>
    </row>
    <row r="608" spans="1:25">
      <c r="A608" s="319">
        <v>11</v>
      </c>
      <c r="B608" s="320" t="str">
        <f>VLOOKUP(Tabel10[[#This Row],[Code]],Ruimtegroepen[[Code]:[Ruimte omschrijving]],2,FALSE)</f>
        <v>Garderobes</v>
      </c>
      <c r="C608" s="321" t="s">
        <v>787</v>
      </c>
      <c r="D608" s="320" t="s">
        <v>27</v>
      </c>
      <c r="E608" s="321" t="s">
        <v>99</v>
      </c>
      <c r="F608" s="321" t="s">
        <v>789</v>
      </c>
      <c r="G608" s="326" t="s">
        <v>282</v>
      </c>
      <c r="H608" s="322" t="s">
        <v>15</v>
      </c>
      <c r="I608" s="322" t="s">
        <v>282</v>
      </c>
      <c r="J608" s="322" t="s">
        <v>282</v>
      </c>
      <c r="K608" s="322" t="s">
        <v>282</v>
      </c>
      <c r="L608" s="322" t="s">
        <v>282</v>
      </c>
      <c r="M608" s="322" t="s">
        <v>282</v>
      </c>
      <c r="N608" s="322" t="s">
        <v>282</v>
      </c>
      <c r="O608" s="323" t="s">
        <v>15</v>
      </c>
      <c r="P608" s="323" t="s">
        <v>15</v>
      </c>
      <c r="Q608" s="323" t="s">
        <v>15</v>
      </c>
      <c r="R608" s="323" t="s">
        <v>282</v>
      </c>
      <c r="S608" s="323" t="s">
        <v>282</v>
      </c>
      <c r="T608" s="323" t="s">
        <v>282</v>
      </c>
      <c r="U608" s="323" t="s">
        <v>282</v>
      </c>
      <c r="V608" s="323" t="s">
        <v>282</v>
      </c>
      <c r="W608" s="324" t="s">
        <v>282</v>
      </c>
      <c r="X608" s="324" t="s">
        <v>282</v>
      </c>
      <c r="Y608" s="325" t="s">
        <v>282</v>
      </c>
    </row>
    <row r="609" spans="1:25">
      <c r="A609" s="319">
        <v>11</v>
      </c>
      <c r="B609" s="320" t="str">
        <f>VLOOKUP(Tabel10[[#This Row],[Code]],Ruimtegroepen[[Code]:[Ruimte omschrijving]],2,FALSE)</f>
        <v>Garderobes</v>
      </c>
      <c r="C609" s="321" t="s">
        <v>787</v>
      </c>
      <c r="D609" s="320" t="s">
        <v>27</v>
      </c>
      <c r="E609" s="321" t="s">
        <v>1306</v>
      </c>
      <c r="F609" s="321" t="s">
        <v>1381</v>
      </c>
      <c r="G609" s="326" t="s">
        <v>282</v>
      </c>
      <c r="H609" s="322" t="s">
        <v>282</v>
      </c>
      <c r="I609" s="322" t="s">
        <v>15</v>
      </c>
      <c r="J609" s="322" t="s">
        <v>282</v>
      </c>
      <c r="K609" s="322" t="s">
        <v>282</v>
      </c>
      <c r="L609" s="322" t="s">
        <v>282</v>
      </c>
      <c r="M609" s="322" t="s">
        <v>282</v>
      </c>
      <c r="N609" s="322" t="s">
        <v>282</v>
      </c>
      <c r="O609" s="323" t="s">
        <v>15</v>
      </c>
      <c r="P609" s="323" t="s">
        <v>15</v>
      </c>
      <c r="Q609" s="323" t="s">
        <v>15</v>
      </c>
      <c r="R609" s="323" t="s">
        <v>282</v>
      </c>
      <c r="S609" s="323" t="s">
        <v>282</v>
      </c>
      <c r="T609" s="323" t="s">
        <v>282</v>
      </c>
      <c r="U609" s="323" t="s">
        <v>282</v>
      </c>
      <c r="V609" s="323" t="s">
        <v>282</v>
      </c>
      <c r="W609" s="324" t="s">
        <v>282</v>
      </c>
      <c r="X609" s="324" t="s">
        <v>282</v>
      </c>
      <c r="Y609" s="325" t="s">
        <v>282</v>
      </c>
    </row>
    <row r="610" spans="1:25">
      <c r="A610" s="319">
        <v>11</v>
      </c>
      <c r="B610" s="320" t="str">
        <f>VLOOKUP(Tabel10[[#This Row],[Code]],Ruimtegroepen[[Code]:[Ruimte omschrijving]],2,FALSE)</f>
        <v>Garderobes</v>
      </c>
      <c r="C610" s="321" t="s">
        <v>792</v>
      </c>
      <c r="D610" s="320" t="s">
        <v>28</v>
      </c>
      <c r="E610" s="321" t="s">
        <v>100</v>
      </c>
      <c r="F610" s="321" t="s">
        <v>793</v>
      </c>
      <c r="G610" s="326" t="s">
        <v>282</v>
      </c>
      <c r="H610" s="322" t="s">
        <v>282</v>
      </c>
      <c r="I610" s="322" t="s">
        <v>17</v>
      </c>
      <c r="J610" s="322" t="s">
        <v>282</v>
      </c>
      <c r="K610" s="322" t="s">
        <v>282</v>
      </c>
      <c r="L610" s="322" t="s">
        <v>282</v>
      </c>
      <c r="M610" s="322" t="s">
        <v>282</v>
      </c>
      <c r="N610" s="322" t="s">
        <v>282</v>
      </c>
      <c r="O610" s="323" t="s">
        <v>17</v>
      </c>
      <c r="P610" s="323" t="s">
        <v>17</v>
      </c>
      <c r="Q610" s="323" t="s">
        <v>15</v>
      </c>
      <c r="R610" s="323" t="s">
        <v>282</v>
      </c>
      <c r="S610" s="323" t="s">
        <v>282</v>
      </c>
      <c r="T610" s="323" t="s">
        <v>282</v>
      </c>
      <c r="U610" s="323" t="s">
        <v>282</v>
      </c>
      <c r="V610" s="323" t="s">
        <v>282</v>
      </c>
      <c r="W610" s="324" t="s">
        <v>282</v>
      </c>
      <c r="X610" s="324" t="s">
        <v>282</v>
      </c>
      <c r="Y610" s="325" t="s">
        <v>282</v>
      </c>
    </row>
    <row r="611" spans="1:25">
      <c r="A611" s="319">
        <v>11</v>
      </c>
      <c r="B611" s="320" t="str">
        <f>VLOOKUP(Tabel10[[#This Row],[Code]],Ruimtegroepen[[Code]:[Ruimte omschrijving]],2,FALSE)</f>
        <v>Garderobes</v>
      </c>
      <c r="C611" s="321" t="s">
        <v>792</v>
      </c>
      <c r="D611" s="320" t="s">
        <v>28</v>
      </c>
      <c r="E611" s="321" t="s">
        <v>99</v>
      </c>
      <c r="F611" s="321" t="s">
        <v>794</v>
      </c>
      <c r="G611" s="326" t="s">
        <v>282</v>
      </c>
      <c r="H611" s="322" t="s">
        <v>17</v>
      </c>
      <c r="I611" s="322" t="s">
        <v>282</v>
      </c>
      <c r="J611" s="322" t="s">
        <v>282</v>
      </c>
      <c r="K611" s="322" t="s">
        <v>282</v>
      </c>
      <c r="L611" s="322" t="s">
        <v>282</v>
      </c>
      <c r="M611" s="322" t="s">
        <v>282</v>
      </c>
      <c r="N611" s="322" t="s">
        <v>282</v>
      </c>
      <c r="O611" s="323" t="s">
        <v>17</v>
      </c>
      <c r="P611" s="323" t="s">
        <v>17</v>
      </c>
      <c r="Q611" s="323" t="s">
        <v>15</v>
      </c>
      <c r="R611" s="323" t="s">
        <v>282</v>
      </c>
      <c r="S611" s="323" t="s">
        <v>282</v>
      </c>
      <c r="T611" s="323" t="s">
        <v>282</v>
      </c>
      <c r="U611" s="323" t="s">
        <v>282</v>
      </c>
      <c r="V611" s="323" t="s">
        <v>282</v>
      </c>
      <c r="W611" s="324" t="s">
        <v>282</v>
      </c>
      <c r="X611" s="324" t="s">
        <v>282</v>
      </c>
      <c r="Y611" s="325" t="s">
        <v>282</v>
      </c>
    </row>
    <row r="612" spans="1:25">
      <c r="A612" s="319">
        <v>11</v>
      </c>
      <c r="B612" s="320" t="str">
        <f>VLOOKUP(Tabel10[[#This Row],[Code]],Ruimtegroepen[[Code]:[Ruimte omschrijving]],2,FALSE)</f>
        <v>Garderobes</v>
      </c>
      <c r="C612" s="321" t="s">
        <v>792</v>
      </c>
      <c r="D612" s="320" t="s">
        <v>28</v>
      </c>
      <c r="E612" s="321" t="s">
        <v>101</v>
      </c>
      <c r="F612" s="321" t="s">
        <v>795</v>
      </c>
      <c r="G612" s="326" t="s">
        <v>282</v>
      </c>
      <c r="H612" s="322" t="s">
        <v>282</v>
      </c>
      <c r="I612" s="322" t="s">
        <v>17</v>
      </c>
      <c r="J612" s="322" t="s">
        <v>282</v>
      </c>
      <c r="K612" s="322" t="s">
        <v>282</v>
      </c>
      <c r="L612" s="322" t="s">
        <v>282</v>
      </c>
      <c r="M612" s="322" t="s">
        <v>282</v>
      </c>
      <c r="N612" s="322" t="s">
        <v>282</v>
      </c>
      <c r="O612" s="323" t="s">
        <v>17</v>
      </c>
      <c r="P612" s="323" t="s">
        <v>17</v>
      </c>
      <c r="Q612" s="323" t="s">
        <v>15</v>
      </c>
      <c r="R612" s="323" t="s">
        <v>282</v>
      </c>
      <c r="S612" s="323" t="s">
        <v>282</v>
      </c>
      <c r="T612" s="323" t="s">
        <v>282</v>
      </c>
      <c r="U612" s="323" t="s">
        <v>282</v>
      </c>
      <c r="V612" s="323" t="s">
        <v>282</v>
      </c>
      <c r="W612" s="324" t="s">
        <v>282</v>
      </c>
      <c r="X612" s="324" t="s">
        <v>282</v>
      </c>
      <c r="Y612" s="325" t="s">
        <v>282</v>
      </c>
    </row>
    <row r="613" spans="1:25">
      <c r="A613" s="319">
        <v>11</v>
      </c>
      <c r="B613" s="320" t="str">
        <f>VLOOKUP(Tabel10[[#This Row],[Code]],Ruimtegroepen[[Code]:[Ruimte omschrijving]],2,FALSE)</f>
        <v>Garderobes</v>
      </c>
      <c r="C613" s="321" t="s">
        <v>792</v>
      </c>
      <c r="D613" s="320" t="s">
        <v>28</v>
      </c>
      <c r="E613" s="321" t="s">
        <v>102</v>
      </c>
      <c r="F613" s="321" t="s">
        <v>796</v>
      </c>
      <c r="G613" s="326" t="s">
        <v>282</v>
      </c>
      <c r="H613" s="322" t="s">
        <v>282</v>
      </c>
      <c r="I613" s="322" t="s">
        <v>17</v>
      </c>
      <c r="J613" s="322" t="s">
        <v>282</v>
      </c>
      <c r="K613" s="322" t="s">
        <v>282</v>
      </c>
      <c r="L613" s="322" t="s">
        <v>282</v>
      </c>
      <c r="M613" s="322" t="s">
        <v>282</v>
      </c>
      <c r="N613" s="322" t="s">
        <v>282</v>
      </c>
      <c r="O613" s="323" t="s">
        <v>17</v>
      </c>
      <c r="P613" s="323" t="s">
        <v>17</v>
      </c>
      <c r="Q613" s="323" t="s">
        <v>15</v>
      </c>
      <c r="R613" s="323" t="s">
        <v>282</v>
      </c>
      <c r="S613" s="323" t="s">
        <v>282</v>
      </c>
      <c r="T613" s="323" t="s">
        <v>282</v>
      </c>
      <c r="U613" s="323" t="s">
        <v>282</v>
      </c>
      <c r="V613" s="323" t="s">
        <v>282</v>
      </c>
      <c r="W613" s="324" t="s">
        <v>282</v>
      </c>
      <c r="X613" s="324" t="s">
        <v>282</v>
      </c>
      <c r="Y613" s="325" t="s">
        <v>282</v>
      </c>
    </row>
    <row r="614" spans="1:25">
      <c r="A614" s="319">
        <v>11</v>
      </c>
      <c r="B614" s="320" t="str">
        <f>VLOOKUP(Tabel10[[#This Row],[Code]],Ruimtegroepen[[Code]:[Ruimte omschrijving]],2,FALSE)</f>
        <v>Garderobes</v>
      </c>
      <c r="C614" s="321" t="s">
        <v>792</v>
      </c>
      <c r="D614" s="320" t="s">
        <v>28</v>
      </c>
      <c r="E614" s="321" t="s">
        <v>99</v>
      </c>
      <c r="F614" s="321" t="s">
        <v>794</v>
      </c>
      <c r="G614" s="326" t="s">
        <v>282</v>
      </c>
      <c r="H614" s="322" t="s">
        <v>17</v>
      </c>
      <c r="I614" s="322" t="s">
        <v>282</v>
      </c>
      <c r="J614" s="322" t="s">
        <v>282</v>
      </c>
      <c r="K614" s="322" t="s">
        <v>282</v>
      </c>
      <c r="L614" s="322" t="s">
        <v>282</v>
      </c>
      <c r="M614" s="322" t="s">
        <v>282</v>
      </c>
      <c r="N614" s="322" t="s">
        <v>282</v>
      </c>
      <c r="O614" s="323" t="s">
        <v>17</v>
      </c>
      <c r="P614" s="323" t="s">
        <v>17</v>
      </c>
      <c r="Q614" s="323" t="s">
        <v>15</v>
      </c>
      <c r="R614" s="323" t="s">
        <v>282</v>
      </c>
      <c r="S614" s="323" t="s">
        <v>282</v>
      </c>
      <c r="T614" s="323" t="s">
        <v>282</v>
      </c>
      <c r="U614" s="323" t="s">
        <v>282</v>
      </c>
      <c r="V614" s="323" t="s">
        <v>282</v>
      </c>
      <c r="W614" s="324" t="s">
        <v>282</v>
      </c>
      <c r="X614" s="324" t="s">
        <v>282</v>
      </c>
      <c r="Y614" s="325" t="s">
        <v>282</v>
      </c>
    </row>
    <row r="615" spans="1:25">
      <c r="A615" s="319">
        <v>11</v>
      </c>
      <c r="B615" s="320" t="str">
        <f>VLOOKUP(Tabel10[[#This Row],[Code]],Ruimtegroepen[[Code]:[Ruimte omschrijving]],2,FALSE)</f>
        <v>Garderobes</v>
      </c>
      <c r="C615" s="321" t="s">
        <v>792</v>
      </c>
      <c r="D615" s="320" t="s">
        <v>28</v>
      </c>
      <c r="E615" s="321" t="s">
        <v>1306</v>
      </c>
      <c r="F615" s="321" t="s">
        <v>1414</v>
      </c>
      <c r="G615" s="326" t="s">
        <v>282</v>
      </c>
      <c r="H615" s="322" t="s">
        <v>282</v>
      </c>
      <c r="I615" s="322" t="s">
        <v>17</v>
      </c>
      <c r="J615" s="322" t="s">
        <v>282</v>
      </c>
      <c r="K615" s="322" t="s">
        <v>282</v>
      </c>
      <c r="L615" s="322" t="s">
        <v>282</v>
      </c>
      <c r="M615" s="322" t="s">
        <v>282</v>
      </c>
      <c r="N615" s="322" t="s">
        <v>282</v>
      </c>
      <c r="O615" s="323" t="s">
        <v>17</v>
      </c>
      <c r="P615" s="323" t="s">
        <v>17</v>
      </c>
      <c r="Q615" s="323" t="s">
        <v>15</v>
      </c>
      <c r="R615" s="323" t="s">
        <v>282</v>
      </c>
      <c r="S615" s="323" t="s">
        <v>282</v>
      </c>
      <c r="T615" s="323" t="s">
        <v>282</v>
      </c>
      <c r="U615" s="323" t="s">
        <v>282</v>
      </c>
      <c r="V615" s="323" t="s">
        <v>282</v>
      </c>
      <c r="W615" s="324" t="s">
        <v>282</v>
      </c>
      <c r="X615" s="324" t="s">
        <v>282</v>
      </c>
      <c r="Y615" s="325" t="s">
        <v>282</v>
      </c>
    </row>
    <row r="616" spans="1:25">
      <c r="A616" s="319">
        <v>12</v>
      </c>
      <c r="B616" s="320" t="str">
        <f>VLOOKUP(Tabel10[[#This Row],[Code]],Ruimtegroepen[[Code]:[Ruimte omschrijving]],2,FALSE)</f>
        <v>Kantine/Aula</v>
      </c>
      <c r="C616" s="321" t="s">
        <v>797</v>
      </c>
      <c r="D616" s="320" t="s">
        <v>29</v>
      </c>
      <c r="E616" s="321" t="s">
        <v>100</v>
      </c>
      <c r="F616" s="321" t="s">
        <v>798</v>
      </c>
      <c r="G616" s="326" t="s">
        <v>282</v>
      </c>
      <c r="H616" s="322" t="s">
        <v>282</v>
      </c>
      <c r="I616" s="322" t="s">
        <v>282</v>
      </c>
      <c r="J616" s="322" t="s">
        <v>2</v>
      </c>
      <c r="K616" s="322" t="s">
        <v>282</v>
      </c>
      <c r="L616" s="322" t="s">
        <v>282</v>
      </c>
      <c r="M616" s="322" t="s">
        <v>282</v>
      </c>
      <c r="N616" s="322" t="s">
        <v>2</v>
      </c>
      <c r="O616" s="323" t="s">
        <v>2</v>
      </c>
      <c r="P616" s="323" t="s">
        <v>2</v>
      </c>
      <c r="Q616" s="323" t="s">
        <v>15</v>
      </c>
      <c r="R616" s="323" t="s">
        <v>15</v>
      </c>
      <c r="S616" s="323" t="s">
        <v>16</v>
      </c>
      <c r="T616" s="323" t="s">
        <v>329</v>
      </c>
      <c r="U616" s="323" t="s">
        <v>249</v>
      </c>
      <c r="V616" s="323" t="s">
        <v>2</v>
      </c>
      <c r="W616" s="324" t="s">
        <v>282</v>
      </c>
      <c r="X616" s="324" t="s">
        <v>282</v>
      </c>
      <c r="Y616" s="325" t="s">
        <v>282</v>
      </c>
    </row>
    <row r="617" spans="1:25">
      <c r="A617" s="319">
        <v>12</v>
      </c>
      <c r="B617" s="320" t="str">
        <f>VLOOKUP(Tabel10[[#This Row],[Code]],Ruimtegroepen[[Code]:[Ruimte omschrijving]],2,FALSE)</f>
        <v>Kantine/Aula</v>
      </c>
      <c r="C617" s="321" t="s">
        <v>797</v>
      </c>
      <c r="D617" s="320" t="s">
        <v>29</v>
      </c>
      <c r="E617" s="321" t="s">
        <v>99</v>
      </c>
      <c r="F617" s="321" t="s">
        <v>799</v>
      </c>
      <c r="G617" s="326" t="s">
        <v>282</v>
      </c>
      <c r="H617" s="322" t="s">
        <v>2</v>
      </c>
      <c r="I617" s="322" t="s">
        <v>282</v>
      </c>
      <c r="J617" s="322" t="s">
        <v>282</v>
      </c>
      <c r="K617" s="322" t="s">
        <v>282</v>
      </c>
      <c r="L617" s="322" t="s">
        <v>282</v>
      </c>
      <c r="M617" s="322" t="s">
        <v>282</v>
      </c>
      <c r="N617" s="322" t="s">
        <v>2</v>
      </c>
      <c r="O617" s="323" t="s">
        <v>2</v>
      </c>
      <c r="P617" s="323" t="s">
        <v>2</v>
      </c>
      <c r="Q617" s="323" t="s">
        <v>15</v>
      </c>
      <c r="R617" s="323" t="s">
        <v>15</v>
      </c>
      <c r="S617" s="323" t="s">
        <v>16</v>
      </c>
      <c r="T617" s="323" t="s">
        <v>329</v>
      </c>
      <c r="U617" s="323" t="s">
        <v>249</v>
      </c>
      <c r="V617" s="323" t="s">
        <v>2</v>
      </c>
      <c r="W617" s="324" t="s">
        <v>282</v>
      </c>
      <c r="X617" s="324" t="s">
        <v>282</v>
      </c>
      <c r="Y617" s="325" t="s">
        <v>282</v>
      </c>
    </row>
    <row r="618" spans="1:25">
      <c r="A618" s="319">
        <v>12</v>
      </c>
      <c r="B618" s="320" t="str">
        <f>VLOOKUP(Tabel10[[#This Row],[Code]],Ruimtegroepen[[Code]:[Ruimte omschrijving]],2,FALSE)</f>
        <v>Kantine/Aula</v>
      </c>
      <c r="C618" s="321" t="s">
        <v>797</v>
      </c>
      <c r="D618" s="320" t="s">
        <v>29</v>
      </c>
      <c r="E618" s="321" t="s">
        <v>101</v>
      </c>
      <c r="F618" s="321" t="s">
        <v>800</v>
      </c>
      <c r="G618" s="326" t="s">
        <v>282</v>
      </c>
      <c r="H618" s="322" t="s">
        <v>282</v>
      </c>
      <c r="I618" s="322" t="s">
        <v>2</v>
      </c>
      <c r="J618" s="322" t="s">
        <v>282</v>
      </c>
      <c r="K618" s="322" t="s">
        <v>2</v>
      </c>
      <c r="L618" s="322" t="s">
        <v>282</v>
      </c>
      <c r="M618" s="322" t="s">
        <v>282</v>
      </c>
      <c r="N618" s="322" t="s">
        <v>2</v>
      </c>
      <c r="O618" s="323" t="s">
        <v>2</v>
      </c>
      <c r="P618" s="323" t="s">
        <v>2</v>
      </c>
      <c r="Q618" s="323" t="s">
        <v>15</v>
      </c>
      <c r="R618" s="323" t="s">
        <v>15</v>
      </c>
      <c r="S618" s="323" t="s">
        <v>16</v>
      </c>
      <c r="T618" s="323" t="s">
        <v>329</v>
      </c>
      <c r="U618" s="323" t="s">
        <v>249</v>
      </c>
      <c r="V618" s="323" t="s">
        <v>2</v>
      </c>
      <c r="W618" s="324" t="s">
        <v>282</v>
      </c>
      <c r="X618" s="324" t="s">
        <v>282</v>
      </c>
      <c r="Y618" s="325" t="s">
        <v>282</v>
      </c>
    </row>
    <row r="619" spans="1:25">
      <c r="A619" s="319">
        <v>12</v>
      </c>
      <c r="B619" s="320" t="str">
        <f>VLOOKUP(Tabel10[[#This Row],[Code]],Ruimtegroepen[[Code]:[Ruimte omschrijving]],2,FALSE)</f>
        <v>Kantine/Aula</v>
      </c>
      <c r="C619" s="321" t="s">
        <v>797</v>
      </c>
      <c r="D619" s="320" t="s">
        <v>29</v>
      </c>
      <c r="E619" s="321" t="s">
        <v>102</v>
      </c>
      <c r="F619" s="321" t="s">
        <v>801</v>
      </c>
      <c r="G619" s="326" t="s">
        <v>282</v>
      </c>
      <c r="H619" s="322" t="s">
        <v>282</v>
      </c>
      <c r="I619" s="322" t="s">
        <v>2</v>
      </c>
      <c r="J619" s="322" t="s">
        <v>282</v>
      </c>
      <c r="K619" s="322" t="s">
        <v>2</v>
      </c>
      <c r="L619" s="322" t="s">
        <v>282</v>
      </c>
      <c r="M619" s="322" t="s">
        <v>282</v>
      </c>
      <c r="N619" s="322" t="s">
        <v>2</v>
      </c>
      <c r="O619" s="323" t="s">
        <v>2</v>
      </c>
      <c r="P619" s="323" t="s">
        <v>2</v>
      </c>
      <c r="Q619" s="323" t="s">
        <v>15</v>
      </c>
      <c r="R619" s="323" t="s">
        <v>15</v>
      </c>
      <c r="S619" s="323" t="s">
        <v>16</v>
      </c>
      <c r="T619" s="323" t="s">
        <v>329</v>
      </c>
      <c r="U619" s="323" t="s">
        <v>249</v>
      </c>
      <c r="V619" s="323" t="s">
        <v>2</v>
      </c>
      <c r="W619" s="324" t="s">
        <v>282</v>
      </c>
      <c r="X619" s="324" t="s">
        <v>282</v>
      </c>
      <c r="Y619" s="325" t="s">
        <v>282</v>
      </c>
    </row>
    <row r="620" spans="1:25">
      <c r="A620" s="319">
        <v>12</v>
      </c>
      <c r="B620" s="320" t="str">
        <f>VLOOKUP(Tabel10[[#This Row],[Code]],Ruimtegroepen[[Code]:[Ruimte omschrijving]],2,FALSE)</f>
        <v>Kantine/Aula</v>
      </c>
      <c r="C620" s="321" t="s">
        <v>797</v>
      </c>
      <c r="D620" s="320" t="s">
        <v>29</v>
      </c>
      <c r="E620" s="321" t="s">
        <v>99</v>
      </c>
      <c r="F620" s="321" t="s">
        <v>799</v>
      </c>
      <c r="G620" s="326" t="s">
        <v>282</v>
      </c>
      <c r="H620" s="322" t="s">
        <v>2</v>
      </c>
      <c r="I620" s="322" t="s">
        <v>282</v>
      </c>
      <c r="J620" s="322" t="s">
        <v>282</v>
      </c>
      <c r="K620" s="322" t="s">
        <v>282</v>
      </c>
      <c r="L620" s="322" t="s">
        <v>282</v>
      </c>
      <c r="M620" s="322" t="s">
        <v>282</v>
      </c>
      <c r="N620" s="322" t="s">
        <v>2</v>
      </c>
      <c r="O620" s="323" t="s">
        <v>2</v>
      </c>
      <c r="P620" s="323" t="s">
        <v>2</v>
      </c>
      <c r="Q620" s="323" t="s">
        <v>15</v>
      </c>
      <c r="R620" s="323" t="s">
        <v>15</v>
      </c>
      <c r="S620" s="323" t="s">
        <v>16</v>
      </c>
      <c r="T620" s="323" t="s">
        <v>329</v>
      </c>
      <c r="U620" s="323" t="s">
        <v>249</v>
      </c>
      <c r="V620" s="323" t="s">
        <v>2</v>
      </c>
      <c r="W620" s="324" t="s">
        <v>282</v>
      </c>
      <c r="X620" s="324" t="s">
        <v>282</v>
      </c>
      <c r="Y620" s="325" t="s">
        <v>282</v>
      </c>
    </row>
    <row r="621" spans="1:25">
      <c r="A621" s="319">
        <v>12</v>
      </c>
      <c r="B621" s="320" t="str">
        <f>VLOOKUP(Tabel10[[#This Row],[Code]],Ruimtegroepen[[Code]:[Ruimte omschrijving]],2,FALSE)</f>
        <v>Kantine/Aula</v>
      </c>
      <c r="C621" s="321" t="s">
        <v>797</v>
      </c>
      <c r="D621" s="320" t="s">
        <v>29</v>
      </c>
      <c r="E621" s="321" t="s">
        <v>1306</v>
      </c>
      <c r="F621" s="321" t="s">
        <v>1482</v>
      </c>
      <c r="G621" s="326" t="s">
        <v>282</v>
      </c>
      <c r="H621" s="322" t="s">
        <v>282</v>
      </c>
      <c r="I621" s="322" t="s">
        <v>2</v>
      </c>
      <c r="J621" s="322" t="s">
        <v>282</v>
      </c>
      <c r="K621" s="322" t="s">
        <v>2</v>
      </c>
      <c r="L621" s="322" t="s">
        <v>282</v>
      </c>
      <c r="M621" s="322" t="s">
        <v>282</v>
      </c>
      <c r="N621" s="322" t="s">
        <v>2</v>
      </c>
      <c r="O621" s="323" t="s">
        <v>2</v>
      </c>
      <c r="P621" s="323" t="s">
        <v>2</v>
      </c>
      <c r="Q621" s="323" t="s">
        <v>15</v>
      </c>
      <c r="R621" s="323" t="s">
        <v>15</v>
      </c>
      <c r="S621" s="323" t="s">
        <v>16</v>
      </c>
      <c r="T621" s="323" t="s">
        <v>329</v>
      </c>
      <c r="U621" s="323" t="s">
        <v>249</v>
      </c>
      <c r="V621" s="323" t="s">
        <v>2</v>
      </c>
      <c r="W621" s="324" t="s">
        <v>282</v>
      </c>
      <c r="X621" s="324" t="s">
        <v>282</v>
      </c>
      <c r="Y621" s="325" t="s">
        <v>282</v>
      </c>
    </row>
    <row r="622" spans="1:25">
      <c r="A622" s="319">
        <v>12</v>
      </c>
      <c r="B622" s="320" t="str">
        <f>VLOOKUP(Tabel10[[#This Row],[Code]],Ruimtegroepen[[Code]:[Ruimte omschrijving]],2,FALSE)</f>
        <v>Kantine/Aula</v>
      </c>
      <c r="C622" s="321" t="s">
        <v>802</v>
      </c>
      <c r="D622" s="320" t="s">
        <v>1</v>
      </c>
      <c r="E622" s="321" t="s">
        <v>100</v>
      </c>
      <c r="F622" s="321" t="s">
        <v>803</v>
      </c>
      <c r="G622" s="326" t="s">
        <v>282</v>
      </c>
      <c r="H622" s="322" t="s">
        <v>282</v>
      </c>
      <c r="I622" s="322" t="s">
        <v>282</v>
      </c>
      <c r="J622" s="322" t="s">
        <v>2</v>
      </c>
      <c r="K622" s="322" t="s">
        <v>282</v>
      </c>
      <c r="L622" s="322" t="s">
        <v>282</v>
      </c>
      <c r="M622" s="322" t="s">
        <v>282</v>
      </c>
      <c r="N622" s="322" t="s">
        <v>282</v>
      </c>
      <c r="O622" s="323" t="s">
        <v>2</v>
      </c>
      <c r="P622" s="323" t="s">
        <v>2</v>
      </c>
      <c r="Q622" s="323" t="s">
        <v>15</v>
      </c>
      <c r="R622" s="323" t="s">
        <v>15</v>
      </c>
      <c r="S622" s="323" t="s">
        <v>16</v>
      </c>
      <c r="T622" s="323" t="s">
        <v>329</v>
      </c>
      <c r="U622" s="323" t="s">
        <v>249</v>
      </c>
      <c r="V622" s="323" t="s">
        <v>282</v>
      </c>
      <c r="W622" s="324" t="s">
        <v>282</v>
      </c>
      <c r="X622" s="324" t="s">
        <v>282</v>
      </c>
      <c r="Y622" s="325" t="s">
        <v>282</v>
      </c>
    </row>
    <row r="623" spans="1:25">
      <c r="A623" s="319">
        <v>12</v>
      </c>
      <c r="B623" s="320" t="str">
        <f>VLOOKUP(Tabel10[[#This Row],[Code]],Ruimtegroepen[[Code]:[Ruimte omschrijving]],2,FALSE)</f>
        <v>Kantine/Aula</v>
      </c>
      <c r="C623" s="321" t="s">
        <v>802</v>
      </c>
      <c r="D623" s="320" t="s">
        <v>1</v>
      </c>
      <c r="E623" s="321" t="s">
        <v>99</v>
      </c>
      <c r="F623" s="321" t="s">
        <v>804</v>
      </c>
      <c r="G623" s="326" t="s">
        <v>282</v>
      </c>
      <c r="H623" s="322" t="s">
        <v>2</v>
      </c>
      <c r="I623" s="322" t="s">
        <v>282</v>
      </c>
      <c r="J623" s="322" t="s">
        <v>282</v>
      </c>
      <c r="K623" s="322" t="s">
        <v>282</v>
      </c>
      <c r="L623" s="322" t="s">
        <v>282</v>
      </c>
      <c r="M623" s="322" t="s">
        <v>282</v>
      </c>
      <c r="N623" s="322" t="s">
        <v>282</v>
      </c>
      <c r="O623" s="323" t="s">
        <v>2</v>
      </c>
      <c r="P623" s="323" t="s">
        <v>2</v>
      </c>
      <c r="Q623" s="323" t="s">
        <v>15</v>
      </c>
      <c r="R623" s="323" t="s">
        <v>15</v>
      </c>
      <c r="S623" s="323" t="s">
        <v>16</v>
      </c>
      <c r="T623" s="323" t="s">
        <v>329</v>
      </c>
      <c r="U623" s="323" t="s">
        <v>249</v>
      </c>
      <c r="V623" s="323" t="s">
        <v>282</v>
      </c>
      <c r="W623" s="324" t="s">
        <v>282</v>
      </c>
      <c r="X623" s="324" t="s">
        <v>282</v>
      </c>
      <c r="Y623" s="325" t="s">
        <v>282</v>
      </c>
    </row>
    <row r="624" spans="1:25">
      <c r="A624" s="319">
        <v>12</v>
      </c>
      <c r="B624" s="320" t="str">
        <f>VLOOKUP(Tabel10[[#This Row],[Code]],Ruimtegroepen[[Code]:[Ruimte omschrijving]],2,FALSE)</f>
        <v>Kantine/Aula</v>
      </c>
      <c r="C624" s="321" t="s">
        <v>802</v>
      </c>
      <c r="D624" s="320" t="s">
        <v>1</v>
      </c>
      <c r="E624" s="321" t="s">
        <v>101</v>
      </c>
      <c r="F624" s="321" t="s">
        <v>805</v>
      </c>
      <c r="G624" s="326" t="s">
        <v>282</v>
      </c>
      <c r="H624" s="322" t="s">
        <v>282</v>
      </c>
      <c r="I624" s="322" t="s">
        <v>2</v>
      </c>
      <c r="J624" s="322" t="s">
        <v>282</v>
      </c>
      <c r="K624" s="322" t="s">
        <v>2</v>
      </c>
      <c r="L624" s="322" t="s">
        <v>282</v>
      </c>
      <c r="M624" s="322" t="s">
        <v>282</v>
      </c>
      <c r="N624" s="322" t="s">
        <v>282</v>
      </c>
      <c r="O624" s="323" t="s">
        <v>2</v>
      </c>
      <c r="P624" s="323" t="s">
        <v>2</v>
      </c>
      <c r="Q624" s="323" t="s">
        <v>15</v>
      </c>
      <c r="R624" s="323" t="s">
        <v>15</v>
      </c>
      <c r="S624" s="323" t="s">
        <v>16</v>
      </c>
      <c r="T624" s="323" t="s">
        <v>329</v>
      </c>
      <c r="U624" s="323" t="s">
        <v>249</v>
      </c>
      <c r="V624" s="323" t="s">
        <v>282</v>
      </c>
      <c r="W624" s="324" t="s">
        <v>282</v>
      </c>
      <c r="X624" s="324" t="s">
        <v>282</v>
      </c>
      <c r="Y624" s="325" t="s">
        <v>282</v>
      </c>
    </row>
    <row r="625" spans="1:25">
      <c r="A625" s="319">
        <v>12</v>
      </c>
      <c r="B625" s="320" t="str">
        <f>VLOOKUP(Tabel10[[#This Row],[Code]],Ruimtegroepen[[Code]:[Ruimte omschrijving]],2,FALSE)</f>
        <v>Kantine/Aula</v>
      </c>
      <c r="C625" s="321" t="s">
        <v>802</v>
      </c>
      <c r="D625" s="320" t="s">
        <v>1</v>
      </c>
      <c r="E625" s="321" t="s">
        <v>102</v>
      </c>
      <c r="F625" s="321" t="s">
        <v>806</v>
      </c>
      <c r="G625" s="326" t="s">
        <v>282</v>
      </c>
      <c r="H625" s="322" t="s">
        <v>282</v>
      </c>
      <c r="I625" s="322" t="s">
        <v>2</v>
      </c>
      <c r="J625" s="322" t="s">
        <v>282</v>
      </c>
      <c r="K625" s="322" t="s">
        <v>2</v>
      </c>
      <c r="L625" s="322" t="s">
        <v>282</v>
      </c>
      <c r="M625" s="322" t="s">
        <v>282</v>
      </c>
      <c r="N625" s="322" t="s">
        <v>282</v>
      </c>
      <c r="O625" s="323" t="s">
        <v>2</v>
      </c>
      <c r="P625" s="323" t="s">
        <v>2</v>
      </c>
      <c r="Q625" s="323" t="s">
        <v>15</v>
      </c>
      <c r="R625" s="323" t="s">
        <v>15</v>
      </c>
      <c r="S625" s="323" t="s">
        <v>16</v>
      </c>
      <c r="T625" s="323" t="s">
        <v>329</v>
      </c>
      <c r="U625" s="323" t="s">
        <v>249</v>
      </c>
      <c r="V625" s="323" t="s">
        <v>282</v>
      </c>
      <c r="W625" s="324" t="s">
        <v>282</v>
      </c>
      <c r="X625" s="324" t="s">
        <v>282</v>
      </c>
      <c r="Y625" s="325" t="s">
        <v>282</v>
      </c>
    </row>
    <row r="626" spans="1:25">
      <c r="A626" s="319">
        <v>12</v>
      </c>
      <c r="B626" s="320" t="str">
        <f>VLOOKUP(Tabel10[[#This Row],[Code]],Ruimtegroepen[[Code]:[Ruimte omschrijving]],2,FALSE)</f>
        <v>Kantine/Aula</v>
      </c>
      <c r="C626" s="321" t="s">
        <v>802</v>
      </c>
      <c r="D626" s="320" t="s">
        <v>1</v>
      </c>
      <c r="E626" s="321" t="s">
        <v>99</v>
      </c>
      <c r="F626" s="321" t="s">
        <v>804</v>
      </c>
      <c r="G626" s="326" t="s">
        <v>282</v>
      </c>
      <c r="H626" s="322" t="s">
        <v>2</v>
      </c>
      <c r="I626" s="322" t="s">
        <v>282</v>
      </c>
      <c r="J626" s="322" t="s">
        <v>282</v>
      </c>
      <c r="K626" s="322" t="s">
        <v>282</v>
      </c>
      <c r="L626" s="322" t="s">
        <v>282</v>
      </c>
      <c r="M626" s="322" t="s">
        <v>282</v>
      </c>
      <c r="N626" s="322" t="s">
        <v>282</v>
      </c>
      <c r="O626" s="323" t="s">
        <v>2</v>
      </c>
      <c r="P626" s="323" t="s">
        <v>2</v>
      </c>
      <c r="Q626" s="323" t="s">
        <v>15</v>
      </c>
      <c r="R626" s="323" t="s">
        <v>15</v>
      </c>
      <c r="S626" s="323" t="s">
        <v>16</v>
      </c>
      <c r="T626" s="323" t="s">
        <v>329</v>
      </c>
      <c r="U626" s="323" t="s">
        <v>249</v>
      </c>
      <c r="V626" s="323" t="s">
        <v>282</v>
      </c>
      <c r="W626" s="324" t="s">
        <v>282</v>
      </c>
      <c r="X626" s="324" t="s">
        <v>282</v>
      </c>
      <c r="Y626" s="325" t="s">
        <v>282</v>
      </c>
    </row>
    <row r="627" spans="1:25">
      <c r="A627" s="319">
        <v>12</v>
      </c>
      <c r="B627" s="320" t="str">
        <f>VLOOKUP(Tabel10[[#This Row],[Code]],Ruimtegroepen[[Code]:[Ruimte omschrijving]],2,FALSE)</f>
        <v>Kantine/Aula</v>
      </c>
      <c r="C627" s="321" t="s">
        <v>802</v>
      </c>
      <c r="D627" s="320" t="s">
        <v>1</v>
      </c>
      <c r="E627" s="321" t="s">
        <v>1306</v>
      </c>
      <c r="F627" s="321" t="s">
        <v>1466</v>
      </c>
      <c r="G627" s="326" t="s">
        <v>282</v>
      </c>
      <c r="H627" s="322" t="s">
        <v>282</v>
      </c>
      <c r="I627" s="322" t="s">
        <v>2</v>
      </c>
      <c r="J627" s="322" t="s">
        <v>282</v>
      </c>
      <c r="K627" s="322" t="s">
        <v>2</v>
      </c>
      <c r="L627" s="322" t="s">
        <v>282</v>
      </c>
      <c r="M627" s="322" t="s">
        <v>282</v>
      </c>
      <c r="N627" s="322" t="s">
        <v>282</v>
      </c>
      <c r="O627" s="323" t="s">
        <v>2</v>
      </c>
      <c r="P627" s="323" t="s">
        <v>2</v>
      </c>
      <c r="Q627" s="323" t="s">
        <v>15</v>
      </c>
      <c r="R627" s="323" t="s">
        <v>15</v>
      </c>
      <c r="S627" s="323" t="s">
        <v>16</v>
      </c>
      <c r="T627" s="323" t="s">
        <v>329</v>
      </c>
      <c r="U627" s="323" t="s">
        <v>249</v>
      </c>
      <c r="V627" s="323" t="s">
        <v>282</v>
      </c>
      <c r="W627" s="324" t="s">
        <v>282</v>
      </c>
      <c r="X627" s="324" t="s">
        <v>282</v>
      </c>
      <c r="Y627" s="325" t="s">
        <v>282</v>
      </c>
    </row>
    <row r="628" spans="1:25">
      <c r="A628" s="319">
        <v>12</v>
      </c>
      <c r="B628" s="320" t="str">
        <f>VLOOKUP(Tabel10[[#This Row],[Code]],Ruimtegroepen[[Code]:[Ruimte omschrijving]],2,FALSE)</f>
        <v>Kantine/Aula</v>
      </c>
      <c r="C628" s="321" t="s">
        <v>807</v>
      </c>
      <c r="D628" s="320" t="s">
        <v>21</v>
      </c>
      <c r="E628" s="321" t="s">
        <v>100</v>
      </c>
      <c r="F628" s="321" t="s">
        <v>808</v>
      </c>
      <c r="G628" s="326" t="s">
        <v>282</v>
      </c>
      <c r="H628" s="322" t="s">
        <v>282</v>
      </c>
      <c r="I628" s="322" t="s">
        <v>282</v>
      </c>
      <c r="J628" s="322" t="s">
        <v>20</v>
      </c>
      <c r="K628" s="322" t="s">
        <v>282</v>
      </c>
      <c r="L628" s="322" t="s">
        <v>282</v>
      </c>
      <c r="M628" s="322" t="s">
        <v>282</v>
      </c>
      <c r="N628" s="322" t="s">
        <v>282</v>
      </c>
      <c r="O628" s="323" t="s">
        <v>20</v>
      </c>
      <c r="P628" s="323" t="s">
        <v>20</v>
      </c>
      <c r="Q628" s="323" t="s">
        <v>15</v>
      </c>
      <c r="R628" s="323" t="s">
        <v>15</v>
      </c>
      <c r="S628" s="323" t="s">
        <v>16</v>
      </c>
      <c r="T628" s="323" t="s">
        <v>329</v>
      </c>
      <c r="U628" s="323" t="s">
        <v>249</v>
      </c>
      <c r="V628" s="323" t="s">
        <v>282</v>
      </c>
      <c r="W628" s="324" t="s">
        <v>282</v>
      </c>
      <c r="X628" s="324" t="s">
        <v>282</v>
      </c>
      <c r="Y628" s="325" t="s">
        <v>282</v>
      </c>
    </row>
    <row r="629" spans="1:25">
      <c r="A629" s="319">
        <v>12</v>
      </c>
      <c r="B629" s="320" t="str">
        <f>VLOOKUP(Tabel10[[#This Row],[Code]],Ruimtegroepen[[Code]:[Ruimte omschrijving]],2,FALSE)</f>
        <v>Kantine/Aula</v>
      </c>
      <c r="C629" s="321" t="s">
        <v>807</v>
      </c>
      <c r="D629" s="320" t="s">
        <v>21</v>
      </c>
      <c r="E629" s="321" t="s">
        <v>99</v>
      </c>
      <c r="F629" s="321" t="s">
        <v>809</v>
      </c>
      <c r="G629" s="326" t="s">
        <v>282</v>
      </c>
      <c r="H629" s="322" t="s">
        <v>20</v>
      </c>
      <c r="I629" s="322" t="s">
        <v>282</v>
      </c>
      <c r="J629" s="322" t="s">
        <v>282</v>
      </c>
      <c r="K629" s="322" t="s">
        <v>282</v>
      </c>
      <c r="L629" s="322" t="s">
        <v>282</v>
      </c>
      <c r="M629" s="322" t="s">
        <v>282</v>
      </c>
      <c r="N629" s="322" t="s">
        <v>282</v>
      </c>
      <c r="O629" s="323" t="s">
        <v>20</v>
      </c>
      <c r="P629" s="323" t="s">
        <v>20</v>
      </c>
      <c r="Q629" s="323" t="s">
        <v>15</v>
      </c>
      <c r="R629" s="323" t="s">
        <v>15</v>
      </c>
      <c r="S629" s="323" t="s">
        <v>16</v>
      </c>
      <c r="T629" s="323" t="s">
        <v>329</v>
      </c>
      <c r="U629" s="323" t="s">
        <v>249</v>
      </c>
      <c r="V629" s="323" t="s">
        <v>282</v>
      </c>
      <c r="W629" s="324" t="s">
        <v>282</v>
      </c>
      <c r="X629" s="324" t="s">
        <v>282</v>
      </c>
      <c r="Y629" s="325" t="s">
        <v>282</v>
      </c>
    </row>
    <row r="630" spans="1:25">
      <c r="A630" s="319">
        <v>12</v>
      </c>
      <c r="B630" s="320" t="str">
        <f>VLOOKUP(Tabel10[[#This Row],[Code]],Ruimtegroepen[[Code]:[Ruimte omschrijving]],2,FALSE)</f>
        <v>Kantine/Aula</v>
      </c>
      <c r="C630" s="321" t="s">
        <v>807</v>
      </c>
      <c r="D630" s="320" t="s">
        <v>21</v>
      </c>
      <c r="E630" s="321" t="s">
        <v>101</v>
      </c>
      <c r="F630" s="321" t="s">
        <v>810</v>
      </c>
      <c r="G630" s="326" t="s">
        <v>282</v>
      </c>
      <c r="H630" s="322" t="s">
        <v>282</v>
      </c>
      <c r="I630" s="322" t="s">
        <v>20</v>
      </c>
      <c r="J630" s="322" t="s">
        <v>282</v>
      </c>
      <c r="K630" s="322" t="s">
        <v>20</v>
      </c>
      <c r="L630" s="322" t="s">
        <v>282</v>
      </c>
      <c r="M630" s="322" t="s">
        <v>282</v>
      </c>
      <c r="N630" s="322" t="s">
        <v>282</v>
      </c>
      <c r="O630" s="323" t="s">
        <v>20</v>
      </c>
      <c r="P630" s="323" t="s">
        <v>20</v>
      </c>
      <c r="Q630" s="323" t="s">
        <v>15</v>
      </c>
      <c r="R630" s="323" t="s">
        <v>15</v>
      </c>
      <c r="S630" s="323" t="s">
        <v>16</v>
      </c>
      <c r="T630" s="323" t="s">
        <v>329</v>
      </c>
      <c r="U630" s="323" t="s">
        <v>249</v>
      </c>
      <c r="V630" s="323" t="s">
        <v>282</v>
      </c>
      <c r="W630" s="324" t="s">
        <v>282</v>
      </c>
      <c r="X630" s="324" t="s">
        <v>282</v>
      </c>
      <c r="Y630" s="325" t="s">
        <v>282</v>
      </c>
    </row>
    <row r="631" spans="1:25">
      <c r="A631" s="319">
        <v>12</v>
      </c>
      <c r="B631" s="320" t="str">
        <f>VLOOKUP(Tabel10[[#This Row],[Code]],Ruimtegroepen[[Code]:[Ruimte omschrijving]],2,FALSE)</f>
        <v>Kantine/Aula</v>
      </c>
      <c r="C631" s="321" t="s">
        <v>807</v>
      </c>
      <c r="D631" s="320" t="s">
        <v>21</v>
      </c>
      <c r="E631" s="321" t="s">
        <v>102</v>
      </c>
      <c r="F631" s="321" t="s">
        <v>811</v>
      </c>
      <c r="G631" s="326" t="s">
        <v>282</v>
      </c>
      <c r="H631" s="322" t="s">
        <v>282</v>
      </c>
      <c r="I631" s="322" t="s">
        <v>20</v>
      </c>
      <c r="J631" s="322" t="s">
        <v>282</v>
      </c>
      <c r="K631" s="322" t="s">
        <v>20</v>
      </c>
      <c r="L631" s="322" t="s">
        <v>282</v>
      </c>
      <c r="M631" s="322" t="s">
        <v>282</v>
      </c>
      <c r="N631" s="322" t="s">
        <v>282</v>
      </c>
      <c r="O631" s="323" t="s">
        <v>20</v>
      </c>
      <c r="P631" s="323" t="s">
        <v>20</v>
      </c>
      <c r="Q631" s="323" t="s">
        <v>15</v>
      </c>
      <c r="R631" s="323" t="s">
        <v>15</v>
      </c>
      <c r="S631" s="323" t="s">
        <v>16</v>
      </c>
      <c r="T631" s="323" t="s">
        <v>329</v>
      </c>
      <c r="U631" s="323" t="s">
        <v>249</v>
      </c>
      <c r="V631" s="323" t="s">
        <v>282</v>
      </c>
      <c r="W631" s="324" t="s">
        <v>282</v>
      </c>
      <c r="X631" s="324" t="s">
        <v>282</v>
      </c>
      <c r="Y631" s="325" t="s">
        <v>282</v>
      </c>
    </row>
    <row r="632" spans="1:25">
      <c r="A632" s="319">
        <v>12</v>
      </c>
      <c r="B632" s="320" t="str">
        <f>VLOOKUP(Tabel10[[#This Row],[Code]],Ruimtegroepen[[Code]:[Ruimte omschrijving]],2,FALSE)</f>
        <v>Kantine/Aula</v>
      </c>
      <c r="C632" s="321" t="s">
        <v>807</v>
      </c>
      <c r="D632" s="320" t="s">
        <v>21</v>
      </c>
      <c r="E632" s="321" t="s">
        <v>99</v>
      </c>
      <c r="F632" s="321" t="s">
        <v>809</v>
      </c>
      <c r="G632" s="326" t="s">
        <v>282</v>
      </c>
      <c r="H632" s="322" t="s">
        <v>20</v>
      </c>
      <c r="I632" s="322" t="s">
        <v>282</v>
      </c>
      <c r="J632" s="322" t="s">
        <v>282</v>
      </c>
      <c r="K632" s="322" t="s">
        <v>282</v>
      </c>
      <c r="L632" s="322" t="s">
        <v>282</v>
      </c>
      <c r="M632" s="322" t="s">
        <v>282</v>
      </c>
      <c r="N632" s="322" t="s">
        <v>282</v>
      </c>
      <c r="O632" s="323" t="s">
        <v>20</v>
      </c>
      <c r="P632" s="323" t="s">
        <v>20</v>
      </c>
      <c r="Q632" s="323" t="s">
        <v>15</v>
      </c>
      <c r="R632" s="323" t="s">
        <v>15</v>
      </c>
      <c r="S632" s="323" t="s">
        <v>16</v>
      </c>
      <c r="T632" s="323" t="s">
        <v>329</v>
      </c>
      <c r="U632" s="323" t="s">
        <v>249</v>
      </c>
      <c r="V632" s="323" t="s">
        <v>282</v>
      </c>
      <c r="W632" s="324" t="s">
        <v>282</v>
      </c>
      <c r="X632" s="324" t="s">
        <v>282</v>
      </c>
      <c r="Y632" s="325" t="s">
        <v>282</v>
      </c>
    </row>
    <row r="633" spans="1:25">
      <c r="A633" s="319">
        <v>12</v>
      </c>
      <c r="B633" s="320" t="str">
        <f>VLOOKUP(Tabel10[[#This Row],[Code]],Ruimtegroepen[[Code]:[Ruimte omschrijving]],2,FALSE)</f>
        <v>Kantine/Aula</v>
      </c>
      <c r="C633" s="321" t="s">
        <v>807</v>
      </c>
      <c r="D633" s="320" t="s">
        <v>21</v>
      </c>
      <c r="E633" s="321" t="s">
        <v>1306</v>
      </c>
      <c r="F633" s="321" t="s">
        <v>1449</v>
      </c>
      <c r="G633" s="326" t="s">
        <v>282</v>
      </c>
      <c r="H633" s="322" t="s">
        <v>282</v>
      </c>
      <c r="I633" s="322" t="s">
        <v>20</v>
      </c>
      <c r="J633" s="322" t="s">
        <v>282</v>
      </c>
      <c r="K633" s="322" t="s">
        <v>20</v>
      </c>
      <c r="L633" s="322" t="s">
        <v>282</v>
      </c>
      <c r="M633" s="322" t="s">
        <v>282</v>
      </c>
      <c r="N633" s="322" t="s">
        <v>282</v>
      </c>
      <c r="O633" s="323" t="s">
        <v>20</v>
      </c>
      <c r="P633" s="323" t="s">
        <v>20</v>
      </c>
      <c r="Q633" s="323" t="s">
        <v>15</v>
      </c>
      <c r="R633" s="323" t="s">
        <v>15</v>
      </c>
      <c r="S633" s="323" t="s">
        <v>16</v>
      </c>
      <c r="T633" s="323" t="s">
        <v>329</v>
      </c>
      <c r="U633" s="323" t="s">
        <v>249</v>
      </c>
      <c r="V633" s="323" t="s">
        <v>282</v>
      </c>
      <c r="W633" s="324" t="s">
        <v>282</v>
      </c>
      <c r="X633" s="324" t="s">
        <v>282</v>
      </c>
      <c r="Y633" s="325" t="s">
        <v>282</v>
      </c>
    </row>
    <row r="634" spans="1:25">
      <c r="A634" s="319">
        <v>12</v>
      </c>
      <c r="B634" s="320" t="str">
        <f>VLOOKUP(Tabel10[[#This Row],[Code]],Ruimtegroepen[[Code]:[Ruimte omschrijving]],2,FALSE)</f>
        <v>Kantine/Aula</v>
      </c>
      <c r="C634" s="321" t="s">
        <v>812</v>
      </c>
      <c r="D634" s="320" t="s">
        <v>12</v>
      </c>
      <c r="E634" s="321" t="s">
        <v>100</v>
      </c>
      <c r="F634" s="321" t="s">
        <v>813</v>
      </c>
      <c r="G634" s="326" t="s">
        <v>282</v>
      </c>
      <c r="H634" s="322" t="s">
        <v>282</v>
      </c>
      <c r="I634" s="322" t="s">
        <v>282</v>
      </c>
      <c r="J634" s="322" t="s">
        <v>18</v>
      </c>
      <c r="K634" s="322" t="s">
        <v>282</v>
      </c>
      <c r="L634" s="322" t="s">
        <v>282</v>
      </c>
      <c r="M634" s="322" t="s">
        <v>282</v>
      </c>
      <c r="N634" s="322" t="s">
        <v>282</v>
      </c>
      <c r="O634" s="323" t="s">
        <v>18</v>
      </c>
      <c r="P634" s="323" t="s">
        <v>18</v>
      </c>
      <c r="Q634" s="323" t="s">
        <v>15</v>
      </c>
      <c r="R634" s="323" t="s">
        <v>15</v>
      </c>
      <c r="S634" s="323" t="s">
        <v>16</v>
      </c>
      <c r="T634" s="323" t="s">
        <v>329</v>
      </c>
      <c r="U634" s="323" t="s">
        <v>249</v>
      </c>
      <c r="V634" s="323" t="s">
        <v>282</v>
      </c>
      <c r="W634" s="324" t="s">
        <v>282</v>
      </c>
      <c r="X634" s="324" t="s">
        <v>282</v>
      </c>
      <c r="Y634" s="325" t="s">
        <v>282</v>
      </c>
    </row>
    <row r="635" spans="1:25">
      <c r="A635" s="319">
        <v>12</v>
      </c>
      <c r="B635" s="320" t="str">
        <f>VLOOKUP(Tabel10[[#This Row],[Code]],Ruimtegroepen[[Code]:[Ruimte omschrijving]],2,FALSE)</f>
        <v>Kantine/Aula</v>
      </c>
      <c r="C635" s="321" t="s">
        <v>812</v>
      </c>
      <c r="D635" s="320" t="s">
        <v>12</v>
      </c>
      <c r="E635" s="321" t="s">
        <v>99</v>
      </c>
      <c r="F635" s="321" t="s">
        <v>814</v>
      </c>
      <c r="G635" s="326" t="s">
        <v>282</v>
      </c>
      <c r="H635" s="322" t="s">
        <v>18</v>
      </c>
      <c r="I635" s="322" t="s">
        <v>282</v>
      </c>
      <c r="J635" s="322" t="s">
        <v>282</v>
      </c>
      <c r="K635" s="322" t="s">
        <v>282</v>
      </c>
      <c r="L635" s="322" t="s">
        <v>282</v>
      </c>
      <c r="M635" s="322" t="s">
        <v>282</v>
      </c>
      <c r="N635" s="322" t="s">
        <v>282</v>
      </c>
      <c r="O635" s="323" t="s">
        <v>18</v>
      </c>
      <c r="P635" s="323" t="s">
        <v>18</v>
      </c>
      <c r="Q635" s="323" t="s">
        <v>15</v>
      </c>
      <c r="R635" s="323" t="s">
        <v>15</v>
      </c>
      <c r="S635" s="323" t="s">
        <v>16</v>
      </c>
      <c r="T635" s="323" t="s">
        <v>329</v>
      </c>
      <c r="U635" s="323" t="s">
        <v>249</v>
      </c>
      <c r="V635" s="323" t="s">
        <v>282</v>
      </c>
      <c r="W635" s="324" t="s">
        <v>282</v>
      </c>
      <c r="X635" s="324" t="s">
        <v>282</v>
      </c>
      <c r="Y635" s="325" t="s">
        <v>282</v>
      </c>
    </row>
    <row r="636" spans="1:25">
      <c r="A636" s="319">
        <v>12</v>
      </c>
      <c r="B636" s="320" t="str">
        <f>VLOOKUP(Tabel10[[#This Row],[Code]],Ruimtegroepen[[Code]:[Ruimte omschrijving]],2,FALSE)</f>
        <v>Kantine/Aula</v>
      </c>
      <c r="C636" s="321" t="s">
        <v>812</v>
      </c>
      <c r="D636" s="320" t="s">
        <v>12</v>
      </c>
      <c r="E636" s="321" t="s">
        <v>101</v>
      </c>
      <c r="F636" s="321" t="s">
        <v>815</v>
      </c>
      <c r="G636" s="326" t="s">
        <v>282</v>
      </c>
      <c r="H636" s="322" t="s">
        <v>282</v>
      </c>
      <c r="I636" s="322" t="s">
        <v>18</v>
      </c>
      <c r="J636" s="322" t="s">
        <v>282</v>
      </c>
      <c r="K636" s="322" t="s">
        <v>18</v>
      </c>
      <c r="L636" s="322" t="s">
        <v>282</v>
      </c>
      <c r="M636" s="322" t="s">
        <v>282</v>
      </c>
      <c r="N636" s="322" t="s">
        <v>282</v>
      </c>
      <c r="O636" s="323" t="s">
        <v>18</v>
      </c>
      <c r="P636" s="323" t="s">
        <v>18</v>
      </c>
      <c r="Q636" s="323" t="s">
        <v>15</v>
      </c>
      <c r="R636" s="323" t="s">
        <v>15</v>
      </c>
      <c r="S636" s="323" t="s">
        <v>16</v>
      </c>
      <c r="T636" s="323" t="s">
        <v>329</v>
      </c>
      <c r="U636" s="323" t="s">
        <v>249</v>
      </c>
      <c r="V636" s="323" t="s">
        <v>282</v>
      </c>
      <c r="W636" s="324" t="s">
        <v>282</v>
      </c>
      <c r="X636" s="324" t="s">
        <v>282</v>
      </c>
      <c r="Y636" s="325" t="s">
        <v>282</v>
      </c>
    </row>
    <row r="637" spans="1:25">
      <c r="A637" s="319">
        <v>12</v>
      </c>
      <c r="B637" s="320" t="str">
        <f>VLOOKUP(Tabel10[[#This Row],[Code]],Ruimtegroepen[[Code]:[Ruimte omschrijving]],2,FALSE)</f>
        <v>Kantine/Aula</v>
      </c>
      <c r="C637" s="321" t="s">
        <v>812</v>
      </c>
      <c r="D637" s="320" t="s">
        <v>12</v>
      </c>
      <c r="E637" s="321" t="s">
        <v>102</v>
      </c>
      <c r="F637" s="321" t="s">
        <v>816</v>
      </c>
      <c r="G637" s="326" t="s">
        <v>282</v>
      </c>
      <c r="H637" s="322" t="s">
        <v>282</v>
      </c>
      <c r="I637" s="322" t="s">
        <v>18</v>
      </c>
      <c r="J637" s="322" t="s">
        <v>282</v>
      </c>
      <c r="K637" s="322" t="s">
        <v>18</v>
      </c>
      <c r="L637" s="322" t="s">
        <v>282</v>
      </c>
      <c r="M637" s="322" t="s">
        <v>282</v>
      </c>
      <c r="N637" s="322" t="s">
        <v>282</v>
      </c>
      <c r="O637" s="323" t="s">
        <v>18</v>
      </c>
      <c r="P637" s="323" t="s">
        <v>18</v>
      </c>
      <c r="Q637" s="323" t="s">
        <v>15</v>
      </c>
      <c r="R637" s="323" t="s">
        <v>15</v>
      </c>
      <c r="S637" s="323" t="s">
        <v>16</v>
      </c>
      <c r="T637" s="323" t="s">
        <v>329</v>
      </c>
      <c r="U637" s="323" t="s">
        <v>249</v>
      </c>
      <c r="V637" s="323" t="s">
        <v>282</v>
      </c>
      <c r="W637" s="324" t="s">
        <v>282</v>
      </c>
      <c r="X637" s="324" t="s">
        <v>282</v>
      </c>
      <c r="Y637" s="325" t="s">
        <v>282</v>
      </c>
    </row>
    <row r="638" spans="1:25">
      <c r="A638" s="319">
        <v>12</v>
      </c>
      <c r="B638" s="320" t="str">
        <f>VLOOKUP(Tabel10[[#This Row],[Code]],Ruimtegroepen[[Code]:[Ruimte omschrijving]],2,FALSE)</f>
        <v>Kantine/Aula</v>
      </c>
      <c r="C638" s="321" t="s">
        <v>812</v>
      </c>
      <c r="D638" s="320" t="s">
        <v>12</v>
      </c>
      <c r="E638" s="321" t="s">
        <v>99</v>
      </c>
      <c r="F638" s="321" t="s">
        <v>814</v>
      </c>
      <c r="G638" s="326" t="s">
        <v>282</v>
      </c>
      <c r="H638" s="322" t="s">
        <v>18</v>
      </c>
      <c r="I638" s="322" t="s">
        <v>282</v>
      </c>
      <c r="J638" s="322" t="s">
        <v>282</v>
      </c>
      <c r="K638" s="322" t="s">
        <v>282</v>
      </c>
      <c r="L638" s="322" t="s">
        <v>282</v>
      </c>
      <c r="M638" s="322" t="s">
        <v>282</v>
      </c>
      <c r="N638" s="322" t="s">
        <v>282</v>
      </c>
      <c r="O638" s="323" t="s">
        <v>18</v>
      </c>
      <c r="P638" s="323" t="s">
        <v>18</v>
      </c>
      <c r="Q638" s="323" t="s">
        <v>15</v>
      </c>
      <c r="R638" s="323" t="s">
        <v>15</v>
      </c>
      <c r="S638" s="323" t="s">
        <v>16</v>
      </c>
      <c r="T638" s="323" t="s">
        <v>329</v>
      </c>
      <c r="U638" s="323" t="s">
        <v>249</v>
      </c>
      <c r="V638" s="323" t="s">
        <v>282</v>
      </c>
      <c r="W638" s="324" t="s">
        <v>282</v>
      </c>
      <c r="X638" s="324" t="s">
        <v>282</v>
      </c>
      <c r="Y638" s="325" t="s">
        <v>282</v>
      </c>
    </row>
    <row r="639" spans="1:25">
      <c r="A639" s="319">
        <v>12</v>
      </c>
      <c r="B639" s="320" t="str">
        <f>VLOOKUP(Tabel10[[#This Row],[Code]],Ruimtegroepen[[Code]:[Ruimte omschrijving]],2,FALSE)</f>
        <v>Kantine/Aula</v>
      </c>
      <c r="C639" s="321" t="s">
        <v>812</v>
      </c>
      <c r="D639" s="320" t="s">
        <v>12</v>
      </c>
      <c r="E639" s="321" t="s">
        <v>1306</v>
      </c>
      <c r="F639" s="321" t="s">
        <v>1431</v>
      </c>
      <c r="G639" s="326" t="s">
        <v>282</v>
      </c>
      <c r="H639" s="322" t="s">
        <v>282</v>
      </c>
      <c r="I639" s="322" t="s">
        <v>18</v>
      </c>
      <c r="J639" s="322" t="s">
        <v>282</v>
      </c>
      <c r="K639" s="322" t="s">
        <v>18</v>
      </c>
      <c r="L639" s="322" t="s">
        <v>282</v>
      </c>
      <c r="M639" s="322" t="s">
        <v>282</v>
      </c>
      <c r="N639" s="322" t="s">
        <v>282</v>
      </c>
      <c r="O639" s="323" t="s">
        <v>18</v>
      </c>
      <c r="P639" s="323" t="s">
        <v>18</v>
      </c>
      <c r="Q639" s="323" t="s">
        <v>15</v>
      </c>
      <c r="R639" s="323" t="s">
        <v>15</v>
      </c>
      <c r="S639" s="323" t="s">
        <v>16</v>
      </c>
      <c r="T639" s="323" t="s">
        <v>329</v>
      </c>
      <c r="U639" s="323" t="s">
        <v>249</v>
      </c>
      <c r="V639" s="323" t="s">
        <v>282</v>
      </c>
      <c r="W639" s="324" t="s">
        <v>282</v>
      </c>
      <c r="X639" s="324" t="s">
        <v>282</v>
      </c>
      <c r="Y639" s="325" t="s">
        <v>282</v>
      </c>
    </row>
    <row r="640" spans="1:25">
      <c r="A640" s="319">
        <v>12</v>
      </c>
      <c r="B640" s="320" t="str">
        <f>VLOOKUP(Tabel10[[#This Row],[Code]],Ruimtegroepen[[Code]:[Ruimte omschrijving]],2,FALSE)</f>
        <v>Kantine/Aula</v>
      </c>
      <c r="C640" s="321" t="s">
        <v>817</v>
      </c>
      <c r="D640" s="320" t="s">
        <v>14</v>
      </c>
      <c r="E640" s="321" t="s">
        <v>100</v>
      </c>
      <c r="F640" s="321" t="s">
        <v>818</v>
      </c>
      <c r="G640" s="326" t="s">
        <v>282</v>
      </c>
      <c r="H640" s="322" t="s">
        <v>282</v>
      </c>
      <c r="I640" s="322" t="s">
        <v>282</v>
      </c>
      <c r="J640" s="322" t="s">
        <v>17</v>
      </c>
      <c r="K640" s="322" t="s">
        <v>282</v>
      </c>
      <c r="L640" s="322" t="s">
        <v>282</v>
      </c>
      <c r="M640" s="322" t="s">
        <v>282</v>
      </c>
      <c r="N640" s="322" t="s">
        <v>282</v>
      </c>
      <c r="O640" s="323" t="s">
        <v>17</v>
      </c>
      <c r="P640" s="323" t="s">
        <v>17</v>
      </c>
      <c r="Q640" s="323" t="s">
        <v>15</v>
      </c>
      <c r="R640" s="323" t="s">
        <v>15</v>
      </c>
      <c r="S640" s="323" t="s">
        <v>16</v>
      </c>
      <c r="T640" s="323" t="s">
        <v>329</v>
      </c>
      <c r="U640" s="323" t="s">
        <v>249</v>
      </c>
      <c r="V640" s="323" t="s">
        <v>282</v>
      </c>
      <c r="W640" s="324" t="s">
        <v>282</v>
      </c>
      <c r="X640" s="324" t="s">
        <v>282</v>
      </c>
      <c r="Y640" s="325" t="s">
        <v>282</v>
      </c>
    </row>
    <row r="641" spans="1:25">
      <c r="A641" s="319">
        <v>12</v>
      </c>
      <c r="B641" s="320" t="str">
        <f>VLOOKUP(Tabel10[[#This Row],[Code]],Ruimtegroepen[[Code]:[Ruimte omschrijving]],2,FALSE)</f>
        <v>Kantine/Aula</v>
      </c>
      <c r="C641" s="321" t="s">
        <v>817</v>
      </c>
      <c r="D641" s="320" t="s">
        <v>14</v>
      </c>
      <c r="E641" s="321" t="s">
        <v>99</v>
      </c>
      <c r="F641" s="321" t="s">
        <v>819</v>
      </c>
      <c r="G641" s="326" t="s">
        <v>282</v>
      </c>
      <c r="H641" s="322" t="s">
        <v>17</v>
      </c>
      <c r="I641" s="322" t="s">
        <v>282</v>
      </c>
      <c r="J641" s="322" t="s">
        <v>282</v>
      </c>
      <c r="K641" s="322" t="s">
        <v>282</v>
      </c>
      <c r="L641" s="322" t="s">
        <v>282</v>
      </c>
      <c r="M641" s="322" t="s">
        <v>282</v>
      </c>
      <c r="N641" s="322" t="s">
        <v>282</v>
      </c>
      <c r="O641" s="323" t="s">
        <v>17</v>
      </c>
      <c r="P641" s="323" t="s">
        <v>17</v>
      </c>
      <c r="Q641" s="323" t="s">
        <v>15</v>
      </c>
      <c r="R641" s="323" t="s">
        <v>15</v>
      </c>
      <c r="S641" s="323" t="s">
        <v>16</v>
      </c>
      <c r="T641" s="323" t="s">
        <v>329</v>
      </c>
      <c r="U641" s="323" t="s">
        <v>249</v>
      </c>
      <c r="V641" s="323" t="s">
        <v>282</v>
      </c>
      <c r="W641" s="324" t="s">
        <v>282</v>
      </c>
      <c r="X641" s="324" t="s">
        <v>282</v>
      </c>
      <c r="Y641" s="325" t="s">
        <v>282</v>
      </c>
    </row>
    <row r="642" spans="1:25">
      <c r="A642" s="319">
        <v>12</v>
      </c>
      <c r="B642" s="320" t="str">
        <f>VLOOKUP(Tabel10[[#This Row],[Code]],Ruimtegroepen[[Code]:[Ruimte omschrijving]],2,FALSE)</f>
        <v>Kantine/Aula</v>
      </c>
      <c r="C642" s="321" t="s">
        <v>817</v>
      </c>
      <c r="D642" s="320" t="s">
        <v>14</v>
      </c>
      <c r="E642" s="321" t="s">
        <v>101</v>
      </c>
      <c r="F642" s="321" t="s">
        <v>820</v>
      </c>
      <c r="G642" s="326" t="s">
        <v>282</v>
      </c>
      <c r="H642" s="322" t="s">
        <v>282</v>
      </c>
      <c r="I642" s="322" t="s">
        <v>17</v>
      </c>
      <c r="J642" s="322" t="s">
        <v>282</v>
      </c>
      <c r="K642" s="322" t="s">
        <v>17</v>
      </c>
      <c r="L642" s="322" t="s">
        <v>282</v>
      </c>
      <c r="M642" s="322" t="s">
        <v>282</v>
      </c>
      <c r="N642" s="322" t="s">
        <v>282</v>
      </c>
      <c r="O642" s="323" t="s">
        <v>17</v>
      </c>
      <c r="P642" s="323" t="s">
        <v>17</v>
      </c>
      <c r="Q642" s="323" t="s">
        <v>15</v>
      </c>
      <c r="R642" s="323" t="s">
        <v>15</v>
      </c>
      <c r="S642" s="323" t="s">
        <v>16</v>
      </c>
      <c r="T642" s="323" t="s">
        <v>329</v>
      </c>
      <c r="U642" s="323" t="s">
        <v>249</v>
      </c>
      <c r="V642" s="323" t="s">
        <v>282</v>
      </c>
      <c r="W642" s="324" t="s">
        <v>282</v>
      </c>
      <c r="X642" s="324" t="s">
        <v>282</v>
      </c>
      <c r="Y642" s="325" t="s">
        <v>282</v>
      </c>
    </row>
    <row r="643" spans="1:25">
      <c r="A643" s="319">
        <v>12</v>
      </c>
      <c r="B643" s="320" t="str">
        <f>VLOOKUP(Tabel10[[#This Row],[Code]],Ruimtegroepen[[Code]:[Ruimte omschrijving]],2,FALSE)</f>
        <v>Kantine/Aula</v>
      </c>
      <c r="C643" s="321" t="s">
        <v>817</v>
      </c>
      <c r="D643" s="320" t="s">
        <v>14</v>
      </c>
      <c r="E643" s="321" t="s">
        <v>102</v>
      </c>
      <c r="F643" s="321" t="s">
        <v>821</v>
      </c>
      <c r="G643" s="326" t="s">
        <v>282</v>
      </c>
      <c r="H643" s="322" t="s">
        <v>282</v>
      </c>
      <c r="I643" s="322" t="s">
        <v>17</v>
      </c>
      <c r="J643" s="322" t="s">
        <v>282</v>
      </c>
      <c r="K643" s="322" t="s">
        <v>17</v>
      </c>
      <c r="L643" s="322" t="s">
        <v>282</v>
      </c>
      <c r="M643" s="322" t="s">
        <v>282</v>
      </c>
      <c r="N643" s="322" t="s">
        <v>282</v>
      </c>
      <c r="O643" s="323" t="s">
        <v>17</v>
      </c>
      <c r="P643" s="323" t="s">
        <v>17</v>
      </c>
      <c r="Q643" s="323" t="s">
        <v>15</v>
      </c>
      <c r="R643" s="323" t="s">
        <v>15</v>
      </c>
      <c r="S643" s="323" t="s">
        <v>16</v>
      </c>
      <c r="T643" s="323" t="s">
        <v>329</v>
      </c>
      <c r="U643" s="323" t="s">
        <v>249</v>
      </c>
      <c r="V643" s="323" t="s">
        <v>282</v>
      </c>
      <c r="W643" s="324" t="s">
        <v>282</v>
      </c>
      <c r="X643" s="324" t="s">
        <v>282</v>
      </c>
      <c r="Y643" s="325" t="s">
        <v>282</v>
      </c>
    </row>
    <row r="644" spans="1:25">
      <c r="A644" s="319">
        <v>12</v>
      </c>
      <c r="B644" s="320" t="str">
        <f>VLOOKUP(Tabel10[[#This Row],[Code]],Ruimtegroepen[[Code]:[Ruimte omschrijving]],2,FALSE)</f>
        <v>Kantine/Aula</v>
      </c>
      <c r="C644" s="321" t="s">
        <v>817</v>
      </c>
      <c r="D644" s="320" t="s">
        <v>14</v>
      </c>
      <c r="E644" s="321" t="s">
        <v>99</v>
      </c>
      <c r="F644" s="321" t="s">
        <v>819</v>
      </c>
      <c r="G644" s="326" t="s">
        <v>282</v>
      </c>
      <c r="H644" s="322" t="s">
        <v>17</v>
      </c>
      <c r="I644" s="322" t="s">
        <v>282</v>
      </c>
      <c r="J644" s="322" t="s">
        <v>282</v>
      </c>
      <c r="K644" s="322" t="s">
        <v>282</v>
      </c>
      <c r="L644" s="322" t="s">
        <v>282</v>
      </c>
      <c r="M644" s="322" t="s">
        <v>282</v>
      </c>
      <c r="N644" s="322" t="s">
        <v>282</v>
      </c>
      <c r="O644" s="323" t="s">
        <v>17</v>
      </c>
      <c r="P644" s="323" t="s">
        <v>17</v>
      </c>
      <c r="Q644" s="323" t="s">
        <v>15</v>
      </c>
      <c r="R644" s="323" t="s">
        <v>15</v>
      </c>
      <c r="S644" s="323" t="s">
        <v>16</v>
      </c>
      <c r="T644" s="323" t="s">
        <v>329</v>
      </c>
      <c r="U644" s="323" t="s">
        <v>249</v>
      </c>
      <c r="V644" s="323" t="s">
        <v>282</v>
      </c>
      <c r="W644" s="324" t="s">
        <v>282</v>
      </c>
      <c r="X644" s="324" t="s">
        <v>282</v>
      </c>
      <c r="Y644" s="325" t="s">
        <v>282</v>
      </c>
    </row>
    <row r="645" spans="1:25">
      <c r="A645" s="319">
        <v>12</v>
      </c>
      <c r="B645" s="320" t="str">
        <f>VLOOKUP(Tabel10[[#This Row],[Code]],Ruimtegroepen[[Code]:[Ruimte omschrijving]],2,FALSE)</f>
        <v>Kantine/Aula</v>
      </c>
      <c r="C645" s="321" t="s">
        <v>817</v>
      </c>
      <c r="D645" s="320" t="s">
        <v>14</v>
      </c>
      <c r="E645" s="321" t="s">
        <v>1306</v>
      </c>
      <c r="F645" s="321" t="s">
        <v>1398</v>
      </c>
      <c r="G645" s="326" t="s">
        <v>282</v>
      </c>
      <c r="H645" s="322" t="s">
        <v>282</v>
      </c>
      <c r="I645" s="322" t="s">
        <v>17</v>
      </c>
      <c r="J645" s="322" t="s">
        <v>282</v>
      </c>
      <c r="K645" s="322" t="s">
        <v>17</v>
      </c>
      <c r="L645" s="322" t="s">
        <v>282</v>
      </c>
      <c r="M645" s="322" t="s">
        <v>282</v>
      </c>
      <c r="N645" s="322" t="s">
        <v>282</v>
      </c>
      <c r="O645" s="323" t="s">
        <v>17</v>
      </c>
      <c r="P645" s="323" t="s">
        <v>17</v>
      </c>
      <c r="Q645" s="323" t="s">
        <v>15</v>
      </c>
      <c r="R645" s="323" t="s">
        <v>15</v>
      </c>
      <c r="S645" s="323" t="s">
        <v>16</v>
      </c>
      <c r="T645" s="323" t="s">
        <v>329</v>
      </c>
      <c r="U645" s="323" t="s">
        <v>249</v>
      </c>
      <c r="V645" s="323" t="s">
        <v>282</v>
      </c>
      <c r="W645" s="324" t="s">
        <v>282</v>
      </c>
      <c r="X645" s="324" t="s">
        <v>282</v>
      </c>
      <c r="Y645" s="325" t="s">
        <v>282</v>
      </c>
    </row>
    <row r="646" spans="1:25">
      <c r="A646" s="319">
        <v>12</v>
      </c>
      <c r="B646" s="320" t="str">
        <f>VLOOKUP(Tabel10[[#This Row],[Code]],Ruimtegroepen[[Code]:[Ruimte omschrijving]],2,FALSE)</f>
        <v>Kantine/Aula</v>
      </c>
      <c r="C646" s="321" t="s">
        <v>822</v>
      </c>
      <c r="D646" s="320" t="s">
        <v>13</v>
      </c>
      <c r="E646" s="321" t="s">
        <v>100</v>
      </c>
      <c r="F646" s="321" t="s">
        <v>823</v>
      </c>
      <c r="G646" s="326" t="s">
        <v>282</v>
      </c>
      <c r="H646" s="322" t="s">
        <v>282</v>
      </c>
      <c r="I646" s="322" t="s">
        <v>282</v>
      </c>
      <c r="J646" s="322" t="s">
        <v>15</v>
      </c>
      <c r="K646" s="322" t="s">
        <v>282</v>
      </c>
      <c r="L646" s="322" t="s">
        <v>282</v>
      </c>
      <c r="M646" s="322" t="s">
        <v>282</v>
      </c>
      <c r="N646" s="322" t="s">
        <v>282</v>
      </c>
      <c r="O646" s="323" t="s">
        <v>15</v>
      </c>
      <c r="P646" s="323" t="s">
        <v>15</v>
      </c>
      <c r="Q646" s="323" t="s">
        <v>15</v>
      </c>
      <c r="R646" s="323" t="s">
        <v>15</v>
      </c>
      <c r="S646" s="323" t="s">
        <v>16</v>
      </c>
      <c r="T646" s="323" t="s">
        <v>329</v>
      </c>
      <c r="U646" s="323" t="s">
        <v>249</v>
      </c>
      <c r="V646" s="323" t="s">
        <v>282</v>
      </c>
      <c r="W646" s="324" t="s">
        <v>282</v>
      </c>
      <c r="X646" s="324" t="s">
        <v>282</v>
      </c>
      <c r="Y646" s="325" t="s">
        <v>282</v>
      </c>
    </row>
    <row r="647" spans="1:25">
      <c r="A647" s="319">
        <v>12</v>
      </c>
      <c r="B647" s="320" t="str">
        <f>VLOOKUP(Tabel10[[#This Row],[Code]],Ruimtegroepen[[Code]:[Ruimte omschrijving]],2,FALSE)</f>
        <v>Kantine/Aula</v>
      </c>
      <c r="C647" s="321" t="s">
        <v>822</v>
      </c>
      <c r="D647" s="320" t="s">
        <v>13</v>
      </c>
      <c r="E647" s="321" t="s">
        <v>99</v>
      </c>
      <c r="F647" s="321" t="s">
        <v>824</v>
      </c>
      <c r="G647" s="326" t="s">
        <v>282</v>
      </c>
      <c r="H647" s="322" t="s">
        <v>15</v>
      </c>
      <c r="I647" s="322" t="s">
        <v>282</v>
      </c>
      <c r="J647" s="322" t="s">
        <v>282</v>
      </c>
      <c r="K647" s="322" t="s">
        <v>282</v>
      </c>
      <c r="L647" s="322" t="s">
        <v>282</v>
      </c>
      <c r="M647" s="322" t="s">
        <v>282</v>
      </c>
      <c r="N647" s="322" t="s">
        <v>282</v>
      </c>
      <c r="O647" s="323" t="s">
        <v>15</v>
      </c>
      <c r="P647" s="323" t="s">
        <v>15</v>
      </c>
      <c r="Q647" s="323" t="s">
        <v>15</v>
      </c>
      <c r="R647" s="323" t="s">
        <v>15</v>
      </c>
      <c r="S647" s="323" t="s">
        <v>16</v>
      </c>
      <c r="T647" s="323" t="s">
        <v>329</v>
      </c>
      <c r="U647" s="323" t="s">
        <v>249</v>
      </c>
      <c r="V647" s="323" t="s">
        <v>282</v>
      </c>
      <c r="W647" s="324" t="s">
        <v>282</v>
      </c>
      <c r="X647" s="324" t="s">
        <v>282</v>
      </c>
      <c r="Y647" s="325" t="s">
        <v>282</v>
      </c>
    </row>
    <row r="648" spans="1:25">
      <c r="A648" s="319">
        <v>12</v>
      </c>
      <c r="B648" s="320" t="str">
        <f>VLOOKUP(Tabel10[[#This Row],[Code]],Ruimtegroepen[[Code]:[Ruimte omschrijving]],2,FALSE)</f>
        <v>Kantine/Aula</v>
      </c>
      <c r="C648" s="321" t="s">
        <v>822</v>
      </c>
      <c r="D648" s="320" t="s">
        <v>13</v>
      </c>
      <c r="E648" s="321" t="s">
        <v>101</v>
      </c>
      <c r="F648" s="321" t="s">
        <v>825</v>
      </c>
      <c r="G648" s="326" t="s">
        <v>282</v>
      </c>
      <c r="H648" s="322" t="s">
        <v>282</v>
      </c>
      <c r="I648" s="322" t="s">
        <v>15</v>
      </c>
      <c r="J648" s="322" t="s">
        <v>282</v>
      </c>
      <c r="K648" s="322" t="s">
        <v>15</v>
      </c>
      <c r="L648" s="322" t="s">
        <v>282</v>
      </c>
      <c r="M648" s="322" t="s">
        <v>282</v>
      </c>
      <c r="N648" s="322" t="s">
        <v>282</v>
      </c>
      <c r="O648" s="323" t="s">
        <v>15</v>
      </c>
      <c r="P648" s="323" t="s">
        <v>15</v>
      </c>
      <c r="Q648" s="323" t="s">
        <v>15</v>
      </c>
      <c r="R648" s="323" t="s">
        <v>15</v>
      </c>
      <c r="S648" s="323" t="s">
        <v>16</v>
      </c>
      <c r="T648" s="323" t="s">
        <v>329</v>
      </c>
      <c r="U648" s="323" t="s">
        <v>249</v>
      </c>
      <c r="V648" s="323" t="s">
        <v>282</v>
      </c>
      <c r="W648" s="324" t="s">
        <v>282</v>
      </c>
      <c r="X648" s="324" t="s">
        <v>282</v>
      </c>
      <c r="Y648" s="325" t="s">
        <v>282</v>
      </c>
    </row>
    <row r="649" spans="1:25">
      <c r="A649" s="319">
        <v>12</v>
      </c>
      <c r="B649" s="320" t="str">
        <f>VLOOKUP(Tabel10[[#This Row],[Code]],Ruimtegroepen[[Code]:[Ruimte omschrijving]],2,FALSE)</f>
        <v>Kantine/Aula</v>
      </c>
      <c r="C649" s="321" t="s">
        <v>822</v>
      </c>
      <c r="D649" s="320" t="s">
        <v>13</v>
      </c>
      <c r="E649" s="321" t="s">
        <v>102</v>
      </c>
      <c r="F649" s="321" t="s">
        <v>826</v>
      </c>
      <c r="G649" s="326" t="s">
        <v>282</v>
      </c>
      <c r="H649" s="322" t="s">
        <v>282</v>
      </c>
      <c r="I649" s="322" t="s">
        <v>15</v>
      </c>
      <c r="J649" s="322" t="s">
        <v>282</v>
      </c>
      <c r="K649" s="322" t="s">
        <v>15</v>
      </c>
      <c r="L649" s="322" t="s">
        <v>282</v>
      </c>
      <c r="M649" s="322" t="s">
        <v>282</v>
      </c>
      <c r="N649" s="322" t="s">
        <v>282</v>
      </c>
      <c r="O649" s="323" t="s">
        <v>15</v>
      </c>
      <c r="P649" s="323" t="s">
        <v>15</v>
      </c>
      <c r="Q649" s="323" t="s">
        <v>15</v>
      </c>
      <c r="R649" s="323" t="s">
        <v>15</v>
      </c>
      <c r="S649" s="323" t="s">
        <v>16</v>
      </c>
      <c r="T649" s="323" t="s">
        <v>329</v>
      </c>
      <c r="U649" s="323" t="s">
        <v>249</v>
      </c>
      <c r="V649" s="323" t="s">
        <v>282</v>
      </c>
      <c r="W649" s="324" t="s">
        <v>282</v>
      </c>
      <c r="X649" s="324" t="s">
        <v>282</v>
      </c>
      <c r="Y649" s="325" t="s">
        <v>282</v>
      </c>
    </row>
    <row r="650" spans="1:25">
      <c r="A650" s="319">
        <v>12</v>
      </c>
      <c r="B650" s="320" t="str">
        <f>VLOOKUP(Tabel10[[#This Row],[Code]],Ruimtegroepen[[Code]:[Ruimte omschrijving]],2,FALSE)</f>
        <v>Kantine/Aula</v>
      </c>
      <c r="C650" s="321" t="s">
        <v>822</v>
      </c>
      <c r="D650" s="320" t="s">
        <v>13</v>
      </c>
      <c r="E650" s="321" t="s">
        <v>99</v>
      </c>
      <c r="F650" s="321" t="s">
        <v>824</v>
      </c>
      <c r="G650" s="326" t="s">
        <v>282</v>
      </c>
      <c r="H650" s="322" t="s">
        <v>15</v>
      </c>
      <c r="I650" s="322" t="s">
        <v>282</v>
      </c>
      <c r="J650" s="322" t="s">
        <v>282</v>
      </c>
      <c r="K650" s="322" t="s">
        <v>282</v>
      </c>
      <c r="L650" s="322" t="s">
        <v>282</v>
      </c>
      <c r="M650" s="322" t="s">
        <v>282</v>
      </c>
      <c r="N650" s="322" t="s">
        <v>282</v>
      </c>
      <c r="O650" s="323" t="s">
        <v>15</v>
      </c>
      <c r="P650" s="323" t="s">
        <v>15</v>
      </c>
      <c r="Q650" s="323" t="s">
        <v>15</v>
      </c>
      <c r="R650" s="323" t="s">
        <v>15</v>
      </c>
      <c r="S650" s="323" t="s">
        <v>16</v>
      </c>
      <c r="T650" s="323" t="s">
        <v>329</v>
      </c>
      <c r="U650" s="323" t="s">
        <v>249</v>
      </c>
      <c r="V650" s="323" t="s">
        <v>282</v>
      </c>
      <c r="W650" s="324" t="s">
        <v>282</v>
      </c>
      <c r="X650" s="324" t="s">
        <v>282</v>
      </c>
      <c r="Y650" s="325" t="s">
        <v>282</v>
      </c>
    </row>
    <row r="651" spans="1:25">
      <c r="A651" s="319">
        <v>12</v>
      </c>
      <c r="B651" s="320" t="str">
        <f>VLOOKUP(Tabel10[[#This Row],[Code]],Ruimtegroepen[[Code]:[Ruimte omschrijving]],2,FALSE)</f>
        <v>Kantine/Aula</v>
      </c>
      <c r="C651" s="321" t="s">
        <v>822</v>
      </c>
      <c r="D651" s="320" t="s">
        <v>13</v>
      </c>
      <c r="E651" s="321" t="s">
        <v>1306</v>
      </c>
      <c r="F651" s="321" t="s">
        <v>1365</v>
      </c>
      <c r="G651" s="326" t="s">
        <v>282</v>
      </c>
      <c r="H651" s="322" t="s">
        <v>282</v>
      </c>
      <c r="I651" s="322" t="s">
        <v>15</v>
      </c>
      <c r="J651" s="322" t="s">
        <v>282</v>
      </c>
      <c r="K651" s="322" t="s">
        <v>15</v>
      </c>
      <c r="L651" s="322" t="s">
        <v>282</v>
      </c>
      <c r="M651" s="322" t="s">
        <v>282</v>
      </c>
      <c r="N651" s="322" t="s">
        <v>282</v>
      </c>
      <c r="O651" s="323" t="s">
        <v>15</v>
      </c>
      <c r="P651" s="323" t="s">
        <v>15</v>
      </c>
      <c r="Q651" s="323" t="s">
        <v>15</v>
      </c>
      <c r="R651" s="323" t="s">
        <v>15</v>
      </c>
      <c r="S651" s="323" t="s">
        <v>16</v>
      </c>
      <c r="T651" s="323" t="s">
        <v>329</v>
      </c>
      <c r="U651" s="323" t="s">
        <v>249</v>
      </c>
      <c r="V651" s="323" t="s">
        <v>282</v>
      </c>
      <c r="W651" s="324" t="s">
        <v>282</v>
      </c>
      <c r="X651" s="324" t="s">
        <v>282</v>
      </c>
      <c r="Y651" s="325" t="s">
        <v>282</v>
      </c>
    </row>
    <row r="652" spans="1:25">
      <c r="A652" s="319">
        <v>12</v>
      </c>
      <c r="B652" s="320" t="str">
        <f>VLOOKUP(Tabel10[[#This Row],[Code]],Ruimtegroepen[[Code]:[Ruimte omschrijving]],2,FALSE)</f>
        <v>Kantine/Aula</v>
      </c>
      <c r="C652" s="321" t="s">
        <v>827</v>
      </c>
      <c r="D652" s="320" t="s">
        <v>0</v>
      </c>
      <c r="E652" s="321" t="s">
        <v>100</v>
      </c>
      <c r="F652" s="321" t="s">
        <v>828</v>
      </c>
      <c r="G652" s="326" t="s">
        <v>282</v>
      </c>
      <c r="H652" s="322" t="s">
        <v>282</v>
      </c>
      <c r="I652" s="322" t="s">
        <v>282</v>
      </c>
      <c r="J652" s="322" t="s">
        <v>16</v>
      </c>
      <c r="K652" s="322" t="s">
        <v>282</v>
      </c>
      <c r="L652" s="322" t="s">
        <v>282</v>
      </c>
      <c r="M652" s="322" t="s">
        <v>282</v>
      </c>
      <c r="N652" s="322" t="s">
        <v>282</v>
      </c>
      <c r="O652" s="323" t="s">
        <v>16</v>
      </c>
      <c r="P652" s="323" t="s">
        <v>16</v>
      </c>
      <c r="Q652" s="323" t="s">
        <v>16</v>
      </c>
      <c r="R652" s="323" t="s">
        <v>16</v>
      </c>
      <c r="S652" s="323" t="s">
        <v>16</v>
      </c>
      <c r="T652" s="323" t="s">
        <v>329</v>
      </c>
      <c r="U652" s="323" t="s">
        <v>249</v>
      </c>
      <c r="V652" s="323" t="s">
        <v>282</v>
      </c>
      <c r="W652" s="324" t="s">
        <v>282</v>
      </c>
      <c r="X652" s="324" t="s">
        <v>282</v>
      </c>
      <c r="Y652" s="325" t="s">
        <v>282</v>
      </c>
    </row>
    <row r="653" spans="1:25">
      <c r="A653" s="319">
        <v>12</v>
      </c>
      <c r="B653" s="320" t="str">
        <f>VLOOKUP(Tabel10[[#This Row],[Code]],Ruimtegroepen[[Code]:[Ruimte omschrijving]],2,FALSE)</f>
        <v>Kantine/Aula</v>
      </c>
      <c r="C653" s="321" t="s">
        <v>827</v>
      </c>
      <c r="D653" s="320" t="s">
        <v>0</v>
      </c>
      <c r="E653" s="321" t="s">
        <v>99</v>
      </c>
      <c r="F653" s="321" t="s">
        <v>829</v>
      </c>
      <c r="G653" s="326" t="s">
        <v>282</v>
      </c>
      <c r="H653" s="322" t="s">
        <v>16</v>
      </c>
      <c r="I653" s="322" t="s">
        <v>282</v>
      </c>
      <c r="J653" s="322" t="s">
        <v>282</v>
      </c>
      <c r="K653" s="322" t="s">
        <v>282</v>
      </c>
      <c r="L653" s="322" t="s">
        <v>282</v>
      </c>
      <c r="M653" s="322" t="s">
        <v>282</v>
      </c>
      <c r="N653" s="322" t="s">
        <v>282</v>
      </c>
      <c r="O653" s="323" t="s">
        <v>16</v>
      </c>
      <c r="P653" s="323" t="s">
        <v>16</v>
      </c>
      <c r="Q653" s="323" t="s">
        <v>16</v>
      </c>
      <c r="R653" s="323" t="s">
        <v>16</v>
      </c>
      <c r="S653" s="323" t="s">
        <v>16</v>
      </c>
      <c r="T653" s="323" t="s">
        <v>329</v>
      </c>
      <c r="U653" s="323" t="s">
        <v>249</v>
      </c>
      <c r="V653" s="323" t="s">
        <v>282</v>
      </c>
      <c r="W653" s="324" t="s">
        <v>282</v>
      </c>
      <c r="X653" s="324" t="s">
        <v>282</v>
      </c>
      <c r="Y653" s="325" t="s">
        <v>282</v>
      </c>
    </row>
    <row r="654" spans="1:25">
      <c r="A654" s="319">
        <v>12</v>
      </c>
      <c r="B654" s="320" t="str">
        <f>VLOOKUP(Tabel10[[#This Row],[Code]],Ruimtegroepen[[Code]:[Ruimte omschrijving]],2,FALSE)</f>
        <v>Kantine/Aula</v>
      </c>
      <c r="C654" s="321" t="s">
        <v>827</v>
      </c>
      <c r="D654" s="320" t="s">
        <v>0</v>
      </c>
      <c r="E654" s="321" t="s">
        <v>101</v>
      </c>
      <c r="F654" s="321" t="s">
        <v>830</v>
      </c>
      <c r="G654" s="326" t="s">
        <v>282</v>
      </c>
      <c r="H654" s="322" t="s">
        <v>282</v>
      </c>
      <c r="I654" s="322" t="s">
        <v>16</v>
      </c>
      <c r="J654" s="322" t="s">
        <v>361</v>
      </c>
      <c r="K654" s="322" t="s">
        <v>16</v>
      </c>
      <c r="L654" s="322" t="s">
        <v>282</v>
      </c>
      <c r="M654" s="322" t="s">
        <v>282</v>
      </c>
      <c r="N654" s="322" t="s">
        <v>282</v>
      </c>
      <c r="O654" s="323" t="s">
        <v>16</v>
      </c>
      <c r="P654" s="323" t="s">
        <v>16</v>
      </c>
      <c r="Q654" s="323" t="s">
        <v>16</v>
      </c>
      <c r="R654" s="323" t="s">
        <v>16</v>
      </c>
      <c r="S654" s="323" t="s">
        <v>16</v>
      </c>
      <c r="T654" s="323" t="s">
        <v>329</v>
      </c>
      <c r="U654" s="323" t="s">
        <v>249</v>
      </c>
      <c r="V654" s="323" t="s">
        <v>282</v>
      </c>
      <c r="W654" s="324" t="s">
        <v>282</v>
      </c>
      <c r="X654" s="324" t="s">
        <v>282</v>
      </c>
      <c r="Y654" s="325" t="s">
        <v>282</v>
      </c>
    </row>
    <row r="655" spans="1:25">
      <c r="A655" s="319">
        <v>12</v>
      </c>
      <c r="B655" s="320" t="str">
        <f>VLOOKUP(Tabel10[[#This Row],[Code]],Ruimtegroepen[[Code]:[Ruimte omschrijving]],2,FALSE)</f>
        <v>Kantine/Aula</v>
      </c>
      <c r="C655" s="321" t="s">
        <v>827</v>
      </c>
      <c r="D655" s="320" t="s">
        <v>0</v>
      </c>
      <c r="E655" s="321" t="s">
        <v>102</v>
      </c>
      <c r="F655" s="321" t="s">
        <v>831</v>
      </c>
      <c r="G655" s="326" t="s">
        <v>282</v>
      </c>
      <c r="H655" s="322" t="s">
        <v>282</v>
      </c>
      <c r="I655" s="322" t="s">
        <v>16</v>
      </c>
      <c r="J655" s="322" t="s">
        <v>282</v>
      </c>
      <c r="K655" s="322" t="s">
        <v>16</v>
      </c>
      <c r="L655" s="322" t="s">
        <v>282</v>
      </c>
      <c r="M655" s="322" t="s">
        <v>282</v>
      </c>
      <c r="N655" s="322" t="s">
        <v>282</v>
      </c>
      <c r="O655" s="323" t="s">
        <v>16</v>
      </c>
      <c r="P655" s="323" t="s">
        <v>16</v>
      </c>
      <c r="Q655" s="323" t="s">
        <v>16</v>
      </c>
      <c r="R655" s="323" t="s">
        <v>16</v>
      </c>
      <c r="S655" s="323" t="s">
        <v>16</v>
      </c>
      <c r="T655" s="323" t="s">
        <v>329</v>
      </c>
      <c r="U655" s="323" t="s">
        <v>249</v>
      </c>
      <c r="V655" s="323" t="s">
        <v>282</v>
      </c>
      <c r="W655" s="324" t="s">
        <v>282</v>
      </c>
      <c r="X655" s="324" t="s">
        <v>282</v>
      </c>
      <c r="Y655" s="325" t="s">
        <v>282</v>
      </c>
    </row>
    <row r="656" spans="1:25">
      <c r="A656" s="319">
        <v>12</v>
      </c>
      <c r="B656" s="320" t="str">
        <f>VLOOKUP(Tabel10[[#This Row],[Code]],Ruimtegroepen[[Code]:[Ruimte omschrijving]],2,FALSE)</f>
        <v>Kantine/Aula</v>
      </c>
      <c r="C656" s="321" t="s">
        <v>827</v>
      </c>
      <c r="D656" s="320" t="s">
        <v>0</v>
      </c>
      <c r="E656" s="321" t="s">
        <v>99</v>
      </c>
      <c r="F656" s="321" t="s">
        <v>829</v>
      </c>
      <c r="G656" s="326" t="s">
        <v>282</v>
      </c>
      <c r="H656" s="322" t="s">
        <v>16</v>
      </c>
      <c r="I656" s="322" t="s">
        <v>282</v>
      </c>
      <c r="J656" s="322" t="s">
        <v>282</v>
      </c>
      <c r="K656" s="322" t="s">
        <v>282</v>
      </c>
      <c r="L656" s="322" t="s">
        <v>282</v>
      </c>
      <c r="M656" s="322" t="s">
        <v>282</v>
      </c>
      <c r="N656" s="322" t="s">
        <v>282</v>
      </c>
      <c r="O656" s="323" t="s">
        <v>16</v>
      </c>
      <c r="P656" s="323" t="s">
        <v>16</v>
      </c>
      <c r="Q656" s="323" t="s">
        <v>16</v>
      </c>
      <c r="R656" s="323" t="s">
        <v>16</v>
      </c>
      <c r="S656" s="323" t="s">
        <v>16</v>
      </c>
      <c r="T656" s="323" t="s">
        <v>329</v>
      </c>
      <c r="U656" s="323" t="s">
        <v>249</v>
      </c>
      <c r="V656" s="323" t="s">
        <v>282</v>
      </c>
      <c r="W656" s="324" t="s">
        <v>282</v>
      </c>
      <c r="X656" s="324" t="s">
        <v>282</v>
      </c>
      <c r="Y656" s="325" t="s">
        <v>282</v>
      </c>
    </row>
    <row r="657" spans="1:25">
      <c r="A657" s="319">
        <v>12</v>
      </c>
      <c r="B657" s="320" t="str">
        <f>VLOOKUP(Tabel10[[#This Row],[Code]],Ruimtegroepen[[Code]:[Ruimte omschrijving]],2,FALSE)</f>
        <v>Kantine/Aula</v>
      </c>
      <c r="C657" s="321" t="s">
        <v>827</v>
      </c>
      <c r="D657" s="320" t="s">
        <v>0</v>
      </c>
      <c r="E657" s="321" t="s">
        <v>1306</v>
      </c>
      <c r="F657" s="321" t="s">
        <v>1349</v>
      </c>
      <c r="G657" s="326" t="s">
        <v>282</v>
      </c>
      <c r="H657" s="322" t="s">
        <v>282</v>
      </c>
      <c r="I657" s="322" t="s">
        <v>16</v>
      </c>
      <c r="J657" s="322" t="s">
        <v>282</v>
      </c>
      <c r="K657" s="322" t="s">
        <v>16</v>
      </c>
      <c r="L657" s="322" t="s">
        <v>282</v>
      </c>
      <c r="M657" s="322" t="s">
        <v>282</v>
      </c>
      <c r="N657" s="322" t="s">
        <v>282</v>
      </c>
      <c r="O657" s="323" t="s">
        <v>16</v>
      </c>
      <c r="P657" s="323" t="s">
        <v>16</v>
      </c>
      <c r="Q657" s="323" t="s">
        <v>16</v>
      </c>
      <c r="R657" s="323" t="s">
        <v>16</v>
      </c>
      <c r="S657" s="323" t="s">
        <v>16</v>
      </c>
      <c r="T657" s="323" t="s">
        <v>329</v>
      </c>
      <c r="U657" s="323" t="s">
        <v>249</v>
      </c>
      <c r="V657" s="323" t="s">
        <v>282</v>
      </c>
      <c r="W657" s="324" t="s">
        <v>282</v>
      </c>
      <c r="X657" s="324" t="s">
        <v>282</v>
      </c>
      <c r="Y657" s="325" t="s">
        <v>282</v>
      </c>
    </row>
    <row r="658" spans="1:25">
      <c r="A658" s="319">
        <v>12</v>
      </c>
      <c r="B658" s="320" t="str">
        <f>VLOOKUP(Tabel10[[#This Row],[Code]],Ruimtegroepen[[Code]:[Ruimte omschrijving]],2,FALSE)</f>
        <v>Kantine/Aula</v>
      </c>
      <c r="C658" s="321" t="s">
        <v>832</v>
      </c>
      <c r="D658" s="320" t="s">
        <v>27</v>
      </c>
      <c r="E658" s="321" t="s">
        <v>100</v>
      </c>
      <c r="F658" s="321" t="s">
        <v>833</v>
      </c>
      <c r="G658" s="326" t="s">
        <v>282</v>
      </c>
      <c r="H658" s="322" t="s">
        <v>282</v>
      </c>
      <c r="I658" s="322" t="s">
        <v>15</v>
      </c>
      <c r="J658" s="322" t="s">
        <v>282</v>
      </c>
      <c r="K658" s="322" t="s">
        <v>282</v>
      </c>
      <c r="L658" s="322" t="s">
        <v>282</v>
      </c>
      <c r="M658" s="322" t="s">
        <v>282</v>
      </c>
      <c r="N658" s="322" t="s">
        <v>282</v>
      </c>
      <c r="O658" s="323" t="s">
        <v>15</v>
      </c>
      <c r="P658" s="323" t="s">
        <v>15</v>
      </c>
      <c r="Q658" s="323" t="s">
        <v>15</v>
      </c>
      <c r="R658" s="323" t="s">
        <v>282</v>
      </c>
      <c r="S658" s="323" t="s">
        <v>282</v>
      </c>
      <c r="T658" s="323" t="s">
        <v>282</v>
      </c>
      <c r="U658" s="323" t="s">
        <v>282</v>
      </c>
      <c r="V658" s="323" t="s">
        <v>282</v>
      </c>
      <c r="W658" s="324" t="s">
        <v>282</v>
      </c>
      <c r="X658" s="324" t="s">
        <v>282</v>
      </c>
      <c r="Y658" s="325" t="s">
        <v>282</v>
      </c>
    </row>
    <row r="659" spans="1:25">
      <c r="A659" s="319">
        <v>12</v>
      </c>
      <c r="B659" s="320" t="str">
        <f>VLOOKUP(Tabel10[[#This Row],[Code]],Ruimtegroepen[[Code]:[Ruimte omschrijving]],2,FALSE)</f>
        <v>Kantine/Aula</v>
      </c>
      <c r="C659" s="321" t="s">
        <v>832</v>
      </c>
      <c r="D659" s="320" t="s">
        <v>27</v>
      </c>
      <c r="E659" s="321" t="s">
        <v>99</v>
      </c>
      <c r="F659" s="321" t="s">
        <v>834</v>
      </c>
      <c r="G659" s="326" t="s">
        <v>282</v>
      </c>
      <c r="H659" s="322" t="s">
        <v>15</v>
      </c>
      <c r="I659" s="322" t="s">
        <v>282</v>
      </c>
      <c r="J659" s="322" t="s">
        <v>282</v>
      </c>
      <c r="K659" s="322" t="s">
        <v>282</v>
      </c>
      <c r="L659" s="322" t="s">
        <v>282</v>
      </c>
      <c r="M659" s="322" t="s">
        <v>282</v>
      </c>
      <c r="N659" s="322" t="s">
        <v>282</v>
      </c>
      <c r="O659" s="323" t="s">
        <v>15</v>
      </c>
      <c r="P659" s="323" t="s">
        <v>15</v>
      </c>
      <c r="Q659" s="323" t="s">
        <v>15</v>
      </c>
      <c r="R659" s="323" t="s">
        <v>282</v>
      </c>
      <c r="S659" s="323" t="s">
        <v>282</v>
      </c>
      <c r="T659" s="323" t="s">
        <v>282</v>
      </c>
      <c r="U659" s="323" t="s">
        <v>282</v>
      </c>
      <c r="V659" s="323" t="s">
        <v>282</v>
      </c>
      <c r="W659" s="324" t="s">
        <v>282</v>
      </c>
      <c r="X659" s="324" t="s">
        <v>282</v>
      </c>
      <c r="Y659" s="325" t="s">
        <v>282</v>
      </c>
    </row>
    <row r="660" spans="1:25">
      <c r="A660" s="319">
        <v>12</v>
      </c>
      <c r="B660" s="320" t="str">
        <f>VLOOKUP(Tabel10[[#This Row],[Code]],Ruimtegroepen[[Code]:[Ruimte omschrijving]],2,FALSE)</f>
        <v>Kantine/Aula</v>
      </c>
      <c r="C660" s="321" t="s">
        <v>832</v>
      </c>
      <c r="D660" s="320" t="s">
        <v>27</v>
      </c>
      <c r="E660" s="321" t="s">
        <v>101</v>
      </c>
      <c r="F660" s="321" t="s">
        <v>835</v>
      </c>
      <c r="G660" s="326" t="s">
        <v>282</v>
      </c>
      <c r="H660" s="322" t="s">
        <v>282</v>
      </c>
      <c r="I660" s="322" t="s">
        <v>15</v>
      </c>
      <c r="J660" s="322" t="s">
        <v>282</v>
      </c>
      <c r="K660" s="322" t="s">
        <v>282</v>
      </c>
      <c r="L660" s="322" t="s">
        <v>282</v>
      </c>
      <c r="M660" s="322" t="s">
        <v>282</v>
      </c>
      <c r="N660" s="322" t="s">
        <v>282</v>
      </c>
      <c r="O660" s="323" t="s">
        <v>15</v>
      </c>
      <c r="P660" s="323" t="s">
        <v>15</v>
      </c>
      <c r="Q660" s="323" t="s">
        <v>15</v>
      </c>
      <c r="R660" s="323" t="s">
        <v>282</v>
      </c>
      <c r="S660" s="323" t="s">
        <v>282</v>
      </c>
      <c r="T660" s="323" t="s">
        <v>282</v>
      </c>
      <c r="U660" s="323" t="s">
        <v>282</v>
      </c>
      <c r="V660" s="323" t="s">
        <v>282</v>
      </c>
      <c r="W660" s="324" t="s">
        <v>282</v>
      </c>
      <c r="X660" s="324" t="s">
        <v>282</v>
      </c>
      <c r="Y660" s="325" t="s">
        <v>282</v>
      </c>
    </row>
    <row r="661" spans="1:25">
      <c r="A661" s="319">
        <v>12</v>
      </c>
      <c r="B661" s="320" t="str">
        <f>VLOOKUP(Tabel10[[#This Row],[Code]],Ruimtegroepen[[Code]:[Ruimte omschrijving]],2,FALSE)</f>
        <v>Kantine/Aula</v>
      </c>
      <c r="C661" s="321" t="s">
        <v>832</v>
      </c>
      <c r="D661" s="320" t="s">
        <v>27</v>
      </c>
      <c r="E661" s="321" t="s">
        <v>102</v>
      </c>
      <c r="F661" s="321" t="s">
        <v>836</v>
      </c>
      <c r="G661" s="326" t="s">
        <v>282</v>
      </c>
      <c r="H661" s="322" t="s">
        <v>282</v>
      </c>
      <c r="I661" s="322" t="s">
        <v>15</v>
      </c>
      <c r="J661" s="322" t="s">
        <v>282</v>
      </c>
      <c r="K661" s="322" t="s">
        <v>282</v>
      </c>
      <c r="L661" s="322" t="s">
        <v>282</v>
      </c>
      <c r="M661" s="322" t="s">
        <v>282</v>
      </c>
      <c r="N661" s="322" t="s">
        <v>282</v>
      </c>
      <c r="O661" s="323" t="s">
        <v>15</v>
      </c>
      <c r="P661" s="323" t="s">
        <v>15</v>
      </c>
      <c r="Q661" s="323" t="s">
        <v>15</v>
      </c>
      <c r="R661" s="323" t="s">
        <v>282</v>
      </c>
      <c r="S661" s="323" t="s">
        <v>282</v>
      </c>
      <c r="T661" s="323" t="s">
        <v>282</v>
      </c>
      <c r="U661" s="323" t="s">
        <v>282</v>
      </c>
      <c r="V661" s="323" t="s">
        <v>282</v>
      </c>
      <c r="W661" s="324" t="s">
        <v>282</v>
      </c>
      <c r="X661" s="324" t="s">
        <v>282</v>
      </c>
      <c r="Y661" s="325" t="s">
        <v>282</v>
      </c>
    </row>
    <row r="662" spans="1:25">
      <c r="A662" s="319">
        <v>12</v>
      </c>
      <c r="B662" s="320" t="str">
        <f>VLOOKUP(Tabel10[[#This Row],[Code]],Ruimtegroepen[[Code]:[Ruimte omschrijving]],2,FALSE)</f>
        <v>Kantine/Aula</v>
      </c>
      <c r="C662" s="321" t="s">
        <v>832</v>
      </c>
      <c r="D662" s="320" t="s">
        <v>27</v>
      </c>
      <c r="E662" s="321" t="s">
        <v>99</v>
      </c>
      <c r="F662" s="321" t="s">
        <v>834</v>
      </c>
      <c r="G662" s="326" t="s">
        <v>282</v>
      </c>
      <c r="H662" s="322" t="s">
        <v>15</v>
      </c>
      <c r="I662" s="322" t="s">
        <v>282</v>
      </c>
      <c r="J662" s="322" t="s">
        <v>282</v>
      </c>
      <c r="K662" s="322" t="s">
        <v>282</v>
      </c>
      <c r="L662" s="322" t="s">
        <v>282</v>
      </c>
      <c r="M662" s="322" t="s">
        <v>282</v>
      </c>
      <c r="N662" s="322" t="s">
        <v>282</v>
      </c>
      <c r="O662" s="323" t="s">
        <v>15</v>
      </c>
      <c r="P662" s="323" t="s">
        <v>15</v>
      </c>
      <c r="Q662" s="323" t="s">
        <v>15</v>
      </c>
      <c r="R662" s="323" t="s">
        <v>282</v>
      </c>
      <c r="S662" s="323" t="s">
        <v>282</v>
      </c>
      <c r="T662" s="323" t="s">
        <v>282</v>
      </c>
      <c r="U662" s="323" t="s">
        <v>282</v>
      </c>
      <c r="V662" s="323" t="s">
        <v>282</v>
      </c>
      <c r="W662" s="324" t="s">
        <v>282</v>
      </c>
      <c r="X662" s="324" t="s">
        <v>282</v>
      </c>
      <c r="Y662" s="325" t="s">
        <v>282</v>
      </c>
    </row>
    <row r="663" spans="1:25">
      <c r="A663" s="319">
        <v>12</v>
      </c>
      <c r="B663" s="320" t="str">
        <f>VLOOKUP(Tabel10[[#This Row],[Code]],Ruimtegroepen[[Code]:[Ruimte omschrijving]],2,FALSE)</f>
        <v>Kantine/Aula</v>
      </c>
      <c r="C663" s="321" t="s">
        <v>832</v>
      </c>
      <c r="D663" s="320" t="s">
        <v>27</v>
      </c>
      <c r="E663" s="321" t="s">
        <v>1306</v>
      </c>
      <c r="F663" s="321" t="s">
        <v>1382</v>
      </c>
      <c r="G663" s="326" t="s">
        <v>282</v>
      </c>
      <c r="H663" s="322" t="s">
        <v>282</v>
      </c>
      <c r="I663" s="322" t="s">
        <v>15</v>
      </c>
      <c r="J663" s="322" t="s">
        <v>282</v>
      </c>
      <c r="K663" s="322" t="s">
        <v>282</v>
      </c>
      <c r="L663" s="322" t="s">
        <v>282</v>
      </c>
      <c r="M663" s="322" t="s">
        <v>282</v>
      </c>
      <c r="N663" s="322" t="s">
        <v>282</v>
      </c>
      <c r="O663" s="323" t="s">
        <v>15</v>
      </c>
      <c r="P663" s="323" t="s">
        <v>15</v>
      </c>
      <c r="Q663" s="323" t="s">
        <v>15</v>
      </c>
      <c r="R663" s="323" t="s">
        <v>282</v>
      </c>
      <c r="S663" s="323" t="s">
        <v>282</v>
      </c>
      <c r="T663" s="323" t="s">
        <v>282</v>
      </c>
      <c r="U663" s="323" t="s">
        <v>282</v>
      </c>
      <c r="V663" s="323" t="s">
        <v>282</v>
      </c>
      <c r="W663" s="324" t="s">
        <v>282</v>
      </c>
      <c r="X663" s="324" t="s">
        <v>282</v>
      </c>
      <c r="Y663" s="325" t="s">
        <v>282</v>
      </c>
    </row>
    <row r="664" spans="1:25">
      <c r="A664" s="319">
        <v>12</v>
      </c>
      <c r="B664" s="320" t="str">
        <f>VLOOKUP(Tabel10[[#This Row],[Code]],Ruimtegroepen[[Code]:[Ruimte omschrijving]],2,FALSE)</f>
        <v>Kantine/Aula</v>
      </c>
      <c r="C664" s="321" t="s">
        <v>837</v>
      </c>
      <c r="D664" s="320" t="s">
        <v>28</v>
      </c>
      <c r="E664" s="321" t="s">
        <v>100</v>
      </c>
      <c r="F664" s="321" t="s">
        <v>838</v>
      </c>
      <c r="G664" s="326" t="s">
        <v>282</v>
      </c>
      <c r="H664" s="322" t="s">
        <v>282</v>
      </c>
      <c r="I664" s="322" t="s">
        <v>17</v>
      </c>
      <c r="J664" s="322" t="s">
        <v>282</v>
      </c>
      <c r="K664" s="322" t="s">
        <v>282</v>
      </c>
      <c r="L664" s="322" t="s">
        <v>282</v>
      </c>
      <c r="M664" s="322" t="s">
        <v>282</v>
      </c>
      <c r="N664" s="322" t="s">
        <v>282</v>
      </c>
      <c r="O664" s="323" t="s">
        <v>17</v>
      </c>
      <c r="P664" s="323" t="s">
        <v>17</v>
      </c>
      <c r="Q664" s="323" t="s">
        <v>15</v>
      </c>
      <c r="R664" s="323" t="s">
        <v>282</v>
      </c>
      <c r="S664" s="323" t="s">
        <v>282</v>
      </c>
      <c r="T664" s="323" t="s">
        <v>282</v>
      </c>
      <c r="U664" s="323" t="s">
        <v>282</v>
      </c>
      <c r="V664" s="323" t="s">
        <v>282</v>
      </c>
      <c r="W664" s="324" t="s">
        <v>282</v>
      </c>
      <c r="X664" s="324" t="s">
        <v>282</v>
      </c>
      <c r="Y664" s="325" t="s">
        <v>282</v>
      </c>
    </row>
    <row r="665" spans="1:25">
      <c r="A665" s="319">
        <v>12</v>
      </c>
      <c r="B665" s="320" t="str">
        <f>VLOOKUP(Tabel10[[#This Row],[Code]],Ruimtegroepen[[Code]:[Ruimte omschrijving]],2,FALSE)</f>
        <v>Kantine/Aula</v>
      </c>
      <c r="C665" s="321" t="s">
        <v>837</v>
      </c>
      <c r="D665" s="320" t="s">
        <v>28</v>
      </c>
      <c r="E665" s="321" t="s">
        <v>99</v>
      </c>
      <c r="F665" s="321" t="s">
        <v>839</v>
      </c>
      <c r="G665" s="326" t="s">
        <v>282</v>
      </c>
      <c r="H665" s="322" t="s">
        <v>17</v>
      </c>
      <c r="I665" s="322" t="s">
        <v>282</v>
      </c>
      <c r="J665" s="322" t="s">
        <v>282</v>
      </c>
      <c r="K665" s="322" t="s">
        <v>282</v>
      </c>
      <c r="L665" s="322" t="s">
        <v>282</v>
      </c>
      <c r="M665" s="322" t="s">
        <v>282</v>
      </c>
      <c r="N665" s="322" t="s">
        <v>282</v>
      </c>
      <c r="O665" s="323" t="s">
        <v>17</v>
      </c>
      <c r="P665" s="323" t="s">
        <v>17</v>
      </c>
      <c r="Q665" s="323" t="s">
        <v>15</v>
      </c>
      <c r="R665" s="323" t="s">
        <v>282</v>
      </c>
      <c r="S665" s="323" t="s">
        <v>282</v>
      </c>
      <c r="T665" s="323" t="s">
        <v>282</v>
      </c>
      <c r="U665" s="323" t="s">
        <v>282</v>
      </c>
      <c r="V665" s="323" t="s">
        <v>282</v>
      </c>
      <c r="W665" s="324" t="s">
        <v>282</v>
      </c>
      <c r="X665" s="324" t="s">
        <v>282</v>
      </c>
      <c r="Y665" s="325" t="s">
        <v>282</v>
      </c>
    </row>
    <row r="666" spans="1:25">
      <c r="A666" s="319">
        <v>12</v>
      </c>
      <c r="B666" s="320" t="str">
        <f>VLOOKUP(Tabel10[[#This Row],[Code]],Ruimtegroepen[[Code]:[Ruimte omschrijving]],2,FALSE)</f>
        <v>Kantine/Aula</v>
      </c>
      <c r="C666" s="321" t="s">
        <v>837</v>
      </c>
      <c r="D666" s="320" t="s">
        <v>28</v>
      </c>
      <c r="E666" s="321" t="s">
        <v>101</v>
      </c>
      <c r="F666" s="321" t="s">
        <v>840</v>
      </c>
      <c r="G666" s="326" t="s">
        <v>282</v>
      </c>
      <c r="H666" s="322" t="s">
        <v>282</v>
      </c>
      <c r="I666" s="322" t="s">
        <v>17</v>
      </c>
      <c r="J666" s="322" t="s">
        <v>282</v>
      </c>
      <c r="K666" s="322" t="s">
        <v>282</v>
      </c>
      <c r="L666" s="322" t="s">
        <v>282</v>
      </c>
      <c r="M666" s="322" t="s">
        <v>282</v>
      </c>
      <c r="N666" s="322" t="s">
        <v>282</v>
      </c>
      <c r="O666" s="323" t="s">
        <v>17</v>
      </c>
      <c r="P666" s="323" t="s">
        <v>17</v>
      </c>
      <c r="Q666" s="323" t="s">
        <v>15</v>
      </c>
      <c r="R666" s="323" t="s">
        <v>282</v>
      </c>
      <c r="S666" s="323" t="s">
        <v>282</v>
      </c>
      <c r="T666" s="323" t="s">
        <v>282</v>
      </c>
      <c r="U666" s="323" t="s">
        <v>282</v>
      </c>
      <c r="V666" s="323" t="s">
        <v>282</v>
      </c>
      <c r="W666" s="324" t="s">
        <v>282</v>
      </c>
      <c r="X666" s="324" t="s">
        <v>282</v>
      </c>
      <c r="Y666" s="325" t="s">
        <v>282</v>
      </c>
    </row>
    <row r="667" spans="1:25">
      <c r="A667" s="319">
        <v>12</v>
      </c>
      <c r="B667" s="320" t="str">
        <f>VLOOKUP(Tabel10[[#This Row],[Code]],Ruimtegroepen[[Code]:[Ruimte omschrijving]],2,FALSE)</f>
        <v>Kantine/Aula</v>
      </c>
      <c r="C667" s="321" t="s">
        <v>837</v>
      </c>
      <c r="D667" s="320" t="s">
        <v>28</v>
      </c>
      <c r="E667" s="321" t="s">
        <v>102</v>
      </c>
      <c r="F667" s="321" t="s">
        <v>841</v>
      </c>
      <c r="G667" s="326" t="s">
        <v>282</v>
      </c>
      <c r="H667" s="322" t="s">
        <v>282</v>
      </c>
      <c r="I667" s="322" t="s">
        <v>17</v>
      </c>
      <c r="J667" s="322" t="s">
        <v>282</v>
      </c>
      <c r="K667" s="322" t="s">
        <v>282</v>
      </c>
      <c r="L667" s="322" t="s">
        <v>282</v>
      </c>
      <c r="M667" s="322" t="s">
        <v>282</v>
      </c>
      <c r="N667" s="322" t="s">
        <v>282</v>
      </c>
      <c r="O667" s="323" t="s">
        <v>17</v>
      </c>
      <c r="P667" s="323" t="s">
        <v>17</v>
      </c>
      <c r="Q667" s="323" t="s">
        <v>15</v>
      </c>
      <c r="R667" s="323" t="s">
        <v>282</v>
      </c>
      <c r="S667" s="323" t="s">
        <v>282</v>
      </c>
      <c r="T667" s="323" t="s">
        <v>282</v>
      </c>
      <c r="U667" s="323" t="s">
        <v>282</v>
      </c>
      <c r="V667" s="323" t="s">
        <v>282</v>
      </c>
      <c r="W667" s="324" t="s">
        <v>282</v>
      </c>
      <c r="X667" s="324" t="s">
        <v>282</v>
      </c>
      <c r="Y667" s="325" t="s">
        <v>282</v>
      </c>
    </row>
    <row r="668" spans="1:25">
      <c r="A668" s="319">
        <v>12</v>
      </c>
      <c r="B668" s="320" t="str">
        <f>VLOOKUP(Tabel10[[#This Row],[Code]],Ruimtegroepen[[Code]:[Ruimte omschrijving]],2,FALSE)</f>
        <v>Kantine/Aula</v>
      </c>
      <c r="C668" s="321" t="s">
        <v>837</v>
      </c>
      <c r="D668" s="320" t="s">
        <v>28</v>
      </c>
      <c r="E668" s="321" t="s">
        <v>99</v>
      </c>
      <c r="F668" s="321" t="s">
        <v>839</v>
      </c>
      <c r="G668" s="326" t="s">
        <v>282</v>
      </c>
      <c r="H668" s="322" t="s">
        <v>17</v>
      </c>
      <c r="I668" s="322" t="s">
        <v>282</v>
      </c>
      <c r="J668" s="322" t="s">
        <v>282</v>
      </c>
      <c r="K668" s="322" t="s">
        <v>282</v>
      </c>
      <c r="L668" s="322" t="s">
        <v>282</v>
      </c>
      <c r="M668" s="322" t="s">
        <v>282</v>
      </c>
      <c r="N668" s="322" t="s">
        <v>282</v>
      </c>
      <c r="O668" s="323" t="s">
        <v>17</v>
      </c>
      <c r="P668" s="323" t="s">
        <v>17</v>
      </c>
      <c r="Q668" s="323" t="s">
        <v>15</v>
      </c>
      <c r="R668" s="323" t="s">
        <v>282</v>
      </c>
      <c r="S668" s="323" t="s">
        <v>282</v>
      </c>
      <c r="T668" s="323" t="s">
        <v>282</v>
      </c>
      <c r="U668" s="323" t="s">
        <v>282</v>
      </c>
      <c r="V668" s="323" t="s">
        <v>282</v>
      </c>
      <c r="W668" s="324" t="s">
        <v>282</v>
      </c>
      <c r="X668" s="324" t="s">
        <v>282</v>
      </c>
      <c r="Y668" s="325" t="s">
        <v>282</v>
      </c>
    </row>
    <row r="669" spans="1:25">
      <c r="A669" s="319">
        <v>12</v>
      </c>
      <c r="B669" s="320" t="str">
        <f>VLOOKUP(Tabel10[[#This Row],[Code]],Ruimtegroepen[[Code]:[Ruimte omschrijving]],2,FALSE)</f>
        <v>Kantine/Aula</v>
      </c>
      <c r="C669" s="321" t="s">
        <v>837</v>
      </c>
      <c r="D669" s="320" t="s">
        <v>28</v>
      </c>
      <c r="E669" s="321" t="s">
        <v>1306</v>
      </c>
      <c r="F669" s="321" t="s">
        <v>1415</v>
      </c>
      <c r="G669" s="326" t="s">
        <v>282</v>
      </c>
      <c r="H669" s="322" t="s">
        <v>282</v>
      </c>
      <c r="I669" s="322" t="s">
        <v>17</v>
      </c>
      <c r="J669" s="322" t="s">
        <v>282</v>
      </c>
      <c r="K669" s="322" t="s">
        <v>282</v>
      </c>
      <c r="L669" s="322" t="s">
        <v>282</v>
      </c>
      <c r="M669" s="322" t="s">
        <v>282</v>
      </c>
      <c r="N669" s="322" t="s">
        <v>282</v>
      </c>
      <c r="O669" s="323" t="s">
        <v>17</v>
      </c>
      <c r="P669" s="323" t="s">
        <v>17</v>
      </c>
      <c r="Q669" s="323" t="s">
        <v>15</v>
      </c>
      <c r="R669" s="323" t="s">
        <v>282</v>
      </c>
      <c r="S669" s="323" t="s">
        <v>282</v>
      </c>
      <c r="T669" s="323" t="s">
        <v>282</v>
      </c>
      <c r="U669" s="323" t="s">
        <v>282</v>
      </c>
      <c r="V669" s="323" t="s">
        <v>282</v>
      </c>
      <c r="W669" s="324" t="s">
        <v>282</v>
      </c>
      <c r="X669" s="324" t="s">
        <v>282</v>
      </c>
      <c r="Y669" s="325" t="s">
        <v>282</v>
      </c>
    </row>
    <row r="670" spans="1:25">
      <c r="A670" s="319">
        <v>13</v>
      </c>
      <c r="B670" s="320" t="str">
        <f>VLOOKUP(Tabel10[[#This Row],[Code]],Ruimtegroepen[[Code]:[Ruimte omschrijving]],2,FALSE)</f>
        <v>Personeelskamer</v>
      </c>
      <c r="C670" s="321" t="s">
        <v>842</v>
      </c>
      <c r="D670" s="320" t="s">
        <v>29</v>
      </c>
      <c r="E670" s="321" t="s">
        <v>100</v>
      </c>
      <c r="F670" s="321" t="s">
        <v>843</v>
      </c>
      <c r="G670" s="326" t="s">
        <v>282</v>
      </c>
      <c r="H670" s="322" t="s">
        <v>282</v>
      </c>
      <c r="I670" s="322" t="s">
        <v>20</v>
      </c>
      <c r="J670" s="322" t="s">
        <v>15</v>
      </c>
      <c r="K670" s="322" t="s">
        <v>282</v>
      </c>
      <c r="L670" s="322" t="s">
        <v>282</v>
      </c>
      <c r="M670" s="322" t="s">
        <v>282</v>
      </c>
      <c r="N670" s="322" t="s">
        <v>2</v>
      </c>
      <c r="O670" s="323" t="s">
        <v>2</v>
      </c>
      <c r="P670" s="323" t="s">
        <v>2</v>
      </c>
      <c r="Q670" s="323" t="s">
        <v>15</v>
      </c>
      <c r="R670" s="323" t="s">
        <v>15</v>
      </c>
      <c r="S670" s="323" t="s">
        <v>16</v>
      </c>
      <c r="T670" s="323" t="s">
        <v>329</v>
      </c>
      <c r="U670" s="323" t="s">
        <v>249</v>
      </c>
      <c r="V670" s="323" t="s">
        <v>2</v>
      </c>
      <c r="W670" s="324" t="s">
        <v>282</v>
      </c>
      <c r="X670" s="324" t="s">
        <v>282</v>
      </c>
      <c r="Y670" s="325" t="s">
        <v>282</v>
      </c>
    </row>
    <row r="671" spans="1:25">
      <c r="A671" s="319">
        <v>13</v>
      </c>
      <c r="B671" s="320" t="str">
        <f>VLOOKUP(Tabel10[[#This Row],[Code]],Ruimtegroepen[[Code]:[Ruimte omschrijving]],2,FALSE)</f>
        <v>Personeelskamer</v>
      </c>
      <c r="C671" s="321" t="s">
        <v>842</v>
      </c>
      <c r="D671" s="320" t="s">
        <v>29</v>
      </c>
      <c r="E671" s="321" t="s">
        <v>99</v>
      </c>
      <c r="F671" s="321" t="s">
        <v>844</v>
      </c>
      <c r="G671" s="322" t="s">
        <v>20</v>
      </c>
      <c r="H671" s="322" t="s">
        <v>15</v>
      </c>
      <c r="I671" s="322" t="s">
        <v>282</v>
      </c>
      <c r="J671" s="322" t="s">
        <v>282</v>
      </c>
      <c r="K671" s="322" t="s">
        <v>282</v>
      </c>
      <c r="L671" s="322" t="s">
        <v>282</v>
      </c>
      <c r="M671" s="322" t="s">
        <v>282</v>
      </c>
      <c r="N671" s="322" t="s">
        <v>2</v>
      </c>
      <c r="O671" s="323" t="s">
        <v>2</v>
      </c>
      <c r="P671" s="323" t="s">
        <v>2</v>
      </c>
      <c r="Q671" s="323" t="s">
        <v>15</v>
      </c>
      <c r="R671" s="323" t="s">
        <v>15</v>
      </c>
      <c r="S671" s="323" t="s">
        <v>16</v>
      </c>
      <c r="T671" s="323" t="s">
        <v>329</v>
      </c>
      <c r="U671" s="323" t="s">
        <v>249</v>
      </c>
      <c r="V671" s="323" t="s">
        <v>2</v>
      </c>
      <c r="W671" s="324" t="s">
        <v>282</v>
      </c>
      <c r="X671" s="324" t="s">
        <v>282</v>
      </c>
      <c r="Y671" s="325" t="s">
        <v>282</v>
      </c>
    </row>
    <row r="672" spans="1:25">
      <c r="A672" s="319">
        <v>13</v>
      </c>
      <c r="B672" s="320" t="str">
        <f>VLOOKUP(Tabel10[[#This Row],[Code]],Ruimtegroepen[[Code]:[Ruimte omschrijving]],2,FALSE)</f>
        <v>Personeelskamer</v>
      </c>
      <c r="C672" s="321" t="s">
        <v>842</v>
      </c>
      <c r="D672" s="320" t="s">
        <v>29</v>
      </c>
      <c r="E672" s="321" t="s">
        <v>101</v>
      </c>
      <c r="F672" s="321" t="s">
        <v>845</v>
      </c>
      <c r="G672" s="326" t="s">
        <v>282</v>
      </c>
      <c r="H672" s="322" t="s">
        <v>282</v>
      </c>
      <c r="I672" s="322" t="s">
        <v>20</v>
      </c>
      <c r="J672" s="322" t="s">
        <v>15</v>
      </c>
      <c r="K672" s="322" t="s">
        <v>249</v>
      </c>
      <c r="L672" s="322" t="s">
        <v>282</v>
      </c>
      <c r="M672" s="322" t="s">
        <v>282</v>
      </c>
      <c r="N672" s="322" t="s">
        <v>2</v>
      </c>
      <c r="O672" s="323" t="s">
        <v>2</v>
      </c>
      <c r="P672" s="323" t="s">
        <v>2</v>
      </c>
      <c r="Q672" s="323" t="s">
        <v>15</v>
      </c>
      <c r="R672" s="323" t="s">
        <v>15</v>
      </c>
      <c r="S672" s="323" t="s">
        <v>16</v>
      </c>
      <c r="T672" s="323" t="s">
        <v>329</v>
      </c>
      <c r="U672" s="323" t="s">
        <v>249</v>
      </c>
      <c r="V672" s="323" t="s">
        <v>2</v>
      </c>
      <c r="W672" s="324" t="s">
        <v>282</v>
      </c>
      <c r="X672" s="324" t="s">
        <v>282</v>
      </c>
      <c r="Y672" s="325" t="s">
        <v>282</v>
      </c>
    </row>
    <row r="673" spans="1:25">
      <c r="A673" s="319">
        <v>13</v>
      </c>
      <c r="B673" s="320" t="str">
        <f>VLOOKUP(Tabel10[[#This Row],[Code]],Ruimtegroepen[[Code]:[Ruimte omschrijving]],2,FALSE)</f>
        <v>Personeelskamer</v>
      </c>
      <c r="C673" s="321" t="s">
        <v>842</v>
      </c>
      <c r="D673" s="320" t="s">
        <v>29</v>
      </c>
      <c r="E673" s="321" t="s">
        <v>102</v>
      </c>
      <c r="F673" s="321" t="s">
        <v>846</v>
      </c>
      <c r="G673" s="326" t="s">
        <v>282</v>
      </c>
      <c r="H673" s="322" t="s">
        <v>282</v>
      </c>
      <c r="I673" s="322" t="s">
        <v>20</v>
      </c>
      <c r="J673" s="322" t="s">
        <v>15</v>
      </c>
      <c r="K673" s="322" t="s">
        <v>249</v>
      </c>
      <c r="L673" s="322" t="s">
        <v>282</v>
      </c>
      <c r="M673" s="322" t="s">
        <v>282</v>
      </c>
      <c r="N673" s="322" t="s">
        <v>2</v>
      </c>
      <c r="O673" s="323" t="s">
        <v>2</v>
      </c>
      <c r="P673" s="323" t="s">
        <v>2</v>
      </c>
      <c r="Q673" s="323" t="s">
        <v>15</v>
      </c>
      <c r="R673" s="323" t="s">
        <v>15</v>
      </c>
      <c r="S673" s="323" t="s">
        <v>16</v>
      </c>
      <c r="T673" s="323" t="s">
        <v>329</v>
      </c>
      <c r="U673" s="323" t="s">
        <v>249</v>
      </c>
      <c r="V673" s="323" t="s">
        <v>2</v>
      </c>
      <c r="W673" s="324" t="s">
        <v>282</v>
      </c>
      <c r="X673" s="324" t="s">
        <v>282</v>
      </c>
      <c r="Y673" s="325" t="s">
        <v>282</v>
      </c>
    </row>
    <row r="674" spans="1:25">
      <c r="A674" s="319">
        <v>13</v>
      </c>
      <c r="B674" s="320" t="str">
        <f>VLOOKUP(Tabel10[[#This Row],[Code]],Ruimtegroepen[[Code]:[Ruimte omschrijving]],2,FALSE)</f>
        <v>Personeelskamer</v>
      </c>
      <c r="C674" s="321" t="s">
        <v>842</v>
      </c>
      <c r="D674" s="320" t="s">
        <v>29</v>
      </c>
      <c r="E674" s="321" t="s">
        <v>99</v>
      </c>
      <c r="F674" s="321" t="s">
        <v>844</v>
      </c>
      <c r="G674" s="322" t="s">
        <v>20</v>
      </c>
      <c r="H674" s="322" t="s">
        <v>15</v>
      </c>
      <c r="I674" s="322" t="s">
        <v>282</v>
      </c>
      <c r="J674" s="322" t="s">
        <v>282</v>
      </c>
      <c r="K674" s="322" t="s">
        <v>282</v>
      </c>
      <c r="L674" s="322" t="s">
        <v>282</v>
      </c>
      <c r="M674" s="322" t="s">
        <v>282</v>
      </c>
      <c r="N674" s="322" t="s">
        <v>2</v>
      </c>
      <c r="O674" s="323" t="s">
        <v>2</v>
      </c>
      <c r="P674" s="323" t="s">
        <v>2</v>
      </c>
      <c r="Q674" s="323" t="s">
        <v>15</v>
      </c>
      <c r="R674" s="323" t="s">
        <v>15</v>
      </c>
      <c r="S674" s="323" t="s">
        <v>16</v>
      </c>
      <c r="T674" s="323" t="s">
        <v>329</v>
      </c>
      <c r="U674" s="323" t="s">
        <v>249</v>
      </c>
      <c r="V674" s="323" t="s">
        <v>2</v>
      </c>
      <c r="W674" s="324" t="s">
        <v>282</v>
      </c>
      <c r="X674" s="324" t="s">
        <v>282</v>
      </c>
      <c r="Y674" s="325" t="s">
        <v>282</v>
      </c>
    </row>
    <row r="675" spans="1:25">
      <c r="A675" s="319">
        <v>13</v>
      </c>
      <c r="B675" s="320" t="str">
        <f>VLOOKUP(Tabel10[[#This Row],[Code]],Ruimtegroepen[[Code]:[Ruimte omschrijving]],2,FALSE)</f>
        <v>Personeelskamer</v>
      </c>
      <c r="C675" s="321" t="s">
        <v>842</v>
      </c>
      <c r="D675" s="320" t="s">
        <v>29</v>
      </c>
      <c r="E675" s="321" t="s">
        <v>1306</v>
      </c>
      <c r="F675" s="321" t="s">
        <v>1483</v>
      </c>
      <c r="G675" s="326" t="s">
        <v>282</v>
      </c>
      <c r="H675" s="322" t="s">
        <v>282</v>
      </c>
      <c r="I675" s="322" t="s">
        <v>20</v>
      </c>
      <c r="J675" s="322" t="s">
        <v>15</v>
      </c>
      <c r="K675" s="322" t="s">
        <v>249</v>
      </c>
      <c r="L675" s="322" t="s">
        <v>282</v>
      </c>
      <c r="M675" s="322" t="s">
        <v>282</v>
      </c>
      <c r="N675" s="322" t="s">
        <v>2</v>
      </c>
      <c r="O675" s="323" t="s">
        <v>2</v>
      </c>
      <c r="P675" s="323" t="s">
        <v>2</v>
      </c>
      <c r="Q675" s="323" t="s">
        <v>15</v>
      </c>
      <c r="R675" s="323" t="s">
        <v>15</v>
      </c>
      <c r="S675" s="323" t="s">
        <v>16</v>
      </c>
      <c r="T675" s="323" t="s">
        <v>329</v>
      </c>
      <c r="U675" s="323" t="s">
        <v>249</v>
      </c>
      <c r="V675" s="323" t="s">
        <v>2</v>
      </c>
      <c r="W675" s="324" t="s">
        <v>282</v>
      </c>
      <c r="X675" s="324" t="s">
        <v>282</v>
      </c>
      <c r="Y675" s="325" t="s">
        <v>282</v>
      </c>
    </row>
    <row r="676" spans="1:25">
      <c r="A676" s="319">
        <v>13</v>
      </c>
      <c r="B676" s="320" t="str">
        <f>VLOOKUP(Tabel10[[#This Row],[Code]],Ruimtegroepen[[Code]:[Ruimte omschrijving]],2,FALSE)</f>
        <v>Personeelskamer</v>
      </c>
      <c r="C676" s="321" t="s">
        <v>847</v>
      </c>
      <c r="D676" s="320" t="s">
        <v>1</v>
      </c>
      <c r="E676" s="321" t="s">
        <v>100</v>
      </c>
      <c r="F676" s="321" t="s">
        <v>848</v>
      </c>
      <c r="G676" s="326" t="s">
        <v>282</v>
      </c>
      <c r="H676" s="322" t="s">
        <v>282</v>
      </c>
      <c r="I676" s="322" t="s">
        <v>20</v>
      </c>
      <c r="J676" s="322" t="s">
        <v>15</v>
      </c>
      <c r="K676" s="322" t="s">
        <v>282</v>
      </c>
      <c r="L676" s="322" t="s">
        <v>282</v>
      </c>
      <c r="M676" s="322" t="s">
        <v>282</v>
      </c>
      <c r="N676" s="322" t="s">
        <v>282</v>
      </c>
      <c r="O676" s="323" t="s">
        <v>2</v>
      </c>
      <c r="P676" s="323" t="s">
        <v>2</v>
      </c>
      <c r="Q676" s="323" t="s">
        <v>15</v>
      </c>
      <c r="R676" s="323" t="s">
        <v>15</v>
      </c>
      <c r="S676" s="323" t="s">
        <v>16</v>
      </c>
      <c r="T676" s="323" t="s">
        <v>329</v>
      </c>
      <c r="U676" s="323" t="s">
        <v>249</v>
      </c>
      <c r="V676" s="323" t="s">
        <v>282</v>
      </c>
      <c r="W676" s="324" t="s">
        <v>282</v>
      </c>
      <c r="X676" s="324" t="s">
        <v>282</v>
      </c>
      <c r="Y676" s="325" t="s">
        <v>282</v>
      </c>
    </row>
    <row r="677" spans="1:25">
      <c r="A677" s="319">
        <v>13</v>
      </c>
      <c r="B677" s="320" t="str">
        <f>VLOOKUP(Tabel10[[#This Row],[Code]],Ruimtegroepen[[Code]:[Ruimte omschrijving]],2,FALSE)</f>
        <v>Personeelskamer</v>
      </c>
      <c r="C677" s="321" t="s">
        <v>847</v>
      </c>
      <c r="D677" s="320" t="s">
        <v>1</v>
      </c>
      <c r="E677" s="321" t="s">
        <v>99</v>
      </c>
      <c r="F677" s="321" t="s">
        <v>849</v>
      </c>
      <c r="G677" s="322" t="s">
        <v>20</v>
      </c>
      <c r="H677" s="322" t="s">
        <v>15</v>
      </c>
      <c r="I677" s="322" t="s">
        <v>282</v>
      </c>
      <c r="J677" s="322" t="s">
        <v>282</v>
      </c>
      <c r="K677" s="322" t="s">
        <v>282</v>
      </c>
      <c r="L677" s="322" t="s">
        <v>282</v>
      </c>
      <c r="M677" s="322" t="s">
        <v>282</v>
      </c>
      <c r="N677" s="322" t="s">
        <v>282</v>
      </c>
      <c r="O677" s="323" t="s">
        <v>2</v>
      </c>
      <c r="P677" s="323" t="s">
        <v>2</v>
      </c>
      <c r="Q677" s="323" t="s">
        <v>15</v>
      </c>
      <c r="R677" s="323" t="s">
        <v>15</v>
      </c>
      <c r="S677" s="323" t="s">
        <v>16</v>
      </c>
      <c r="T677" s="323" t="s">
        <v>329</v>
      </c>
      <c r="U677" s="323" t="s">
        <v>249</v>
      </c>
      <c r="V677" s="323" t="s">
        <v>282</v>
      </c>
      <c r="W677" s="324" t="s">
        <v>282</v>
      </c>
      <c r="X677" s="324" t="s">
        <v>282</v>
      </c>
      <c r="Y677" s="325" t="s">
        <v>282</v>
      </c>
    </row>
    <row r="678" spans="1:25">
      <c r="A678" s="319">
        <v>13</v>
      </c>
      <c r="B678" s="320" t="str">
        <f>VLOOKUP(Tabel10[[#This Row],[Code]],Ruimtegroepen[[Code]:[Ruimte omschrijving]],2,FALSE)</f>
        <v>Personeelskamer</v>
      </c>
      <c r="C678" s="321" t="s">
        <v>847</v>
      </c>
      <c r="D678" s="320" t="s">
        <v>1</v>
      </c>
      <c r="E678" s="321" t="s">
        <v>101</v>
      </c>
      <c r="F678" s="321" t="s">
        <v>850</v>
      </c>
      <c r="G678" s="326" t="s">
        <v>282</v>
      </c>
      <c r="H678" s="322" t="s">
        <v>282</v>
      </c>
      <c r="I678" s="322" t="s">
        <v>20</v>
      </c>
      <c r="J678" s="322" t="s">
        <v>15</v>
      </c>
      <c r="K678" s="322" t="s">
        <v>249</v>
      </c>
      <c r="L678" s="322" t="s">
        <v>282</v>
      </c>
      <c r="M678" s="322" t="s">
        <v>282</v>
      </c>
      <c r="N678" s="322" t="s">
        <v>282</v>
      </c>
      <c r="O678" s="323" t="s">
        <v>2</v>
      </c>
      <c r="P678" s="323" t="s">
        <v>2</v>
      </c>
      <c r="Q678" s="323" t="s">
        <v>15</v>
      </c>
      <c r="R678" s="323" t="s">
        <v>15</v>
      </c>
      <c r="S678" s="323" t="s">
        <v>16</v>
      </c>
      <c r="T678" s="323" t="s">
        <v>329</v>
      </c>
      <c r="U678" s="323" t="s">
        <v>249</v>
      </c>
      <c r="V678" s="323" t="s">
        <v>282</v>
      </c>
      <c r="W678" s="324" t="s">
        <v>282</v>
      </c>
      <c r="X678" s="324" t="s">
        <v>282</v>
      </c>
      <c r="Y678" s="325" t="s">
        <v>282</v>
      </c>
    </row>
    <row r="679" spans="1:25">
      <c r="A679" s="319">
        <v>13</v>
      </c>
      <c r="B679" s="320" t="str">
        <f>VLOOKUP(Tabel10[[#This Row],[Code]],Ruimtegroepen[[Code]:[Ruimte omschrijving]],2,FALSE)</f>
        <v>Personeelskamer</v>
      </c>
      <c r="C679" s="321" t="s">
        <v>847</v>
      </c>
      <c r="D679" s="320" t="s">
        <v>1</v>
      </c>
      <c r="E679" s="321" t="s">
        <v>102</v>
      </c>
      <c r="F679" s="321" t="s">
        <v>851</v>
      </c>
      <c r="G679" s="326" t="s">
        <v>282</v>
      </c>
      <c r="H679" s="322" t="s">
        <v>282</v>
      </c>
      <c r="I679" s="322" t="s">
        <v>20</v>
      </c>
      <c r="J679" s="322" t="s">
        <v>15</v>
      </c>
      <c r="K679" s="322" t="s">
        <v>249</v>
      </c>
      <c r="L679" s="322" t="s">
        <v>282</v>
      </c>
      <c r="M679" s="322" t="s">
        <v>282</v>
      </c>
      <c r="N679" s="322" t="s">
        <v>282</v>
      </c>
      <c r="O679" s="323" t="s">
        <v>2</v>
      </c>
      <c r="P679" s="323" t="s">
        <v>2</v>
      </c>
      <c r="Q679" s="323" t="s">
        <v>15</v>
      </c>
      <c r="R679" s="323" t="s">
        <v>15</v>
      </c>
      <c r="S679" s="323" t="s">
        <v>16</v>
      </c>
      <c r="T679" s="323" t="s">
        <v>329</v>
      </c>
      <c r="U679" s="323" t="s">
        <v>249</v>
      </c>
      <c r="V679" s="323" t="s">
        <v>282</v>
      </c>
      <c r="W679" s="324" t="s">
        <v>282</v>
      </c>
      <c r="X679" s="324" t="s">
        <v>282</v>
      </c>
      <c r="Y679" s="325" t="s">
        <v>282</v>
      </c>
    </row>
    <row r="680" spans="1:25">
      <c r="A680" s="319">
        <v>13</v>
      </c>
      <c r="B680" s="320" t="str">
        <f>VLOOKUP(Tabel10[[#This Row],[Code]],Ruimtegroepen[[Code]:[Ruimte omschrijving]],2,FALSE)</f>
        <v>Personeelskamer</v>
      </c>
      <c r="C680" s="321" t="s">
        <v>847</v>
      </c>
      <c r="D680" s="320" t="s">
        <v>1</v>
      </c>
      <c r="E680" s="321" t="s">
        <v>99</v>
      </c>
      <c r="F680" s="321" t="s">
        <v>849</v>
      </c>
      <c r="G680" s="322" t="s">
        <v>20</v>
      </c>
      <c r="H680" s="322" t="s">
        <v>15</v>
      </c>
      <c r="I680" s="322" t="s">
        <v>282</v>
      </c>
      <c r="J680" s="322" t="s">
        <v>282</v>
      </c>
      <c r="K680" s="322" t="s">
        <v>282</v>
      </c>
      <c r="L680" s="322" t="s">
        <v>282</v>
      </c>
      <c r="M680" s="322" t="s">
        <v>282</v>
      </c>
      <c r="N680" s="322" t="s">
        <v>282</v>
      </c>
      <c r="O680" s="323" t="s">
        <v>2</v>
      </c>
      <c r="P680" s="323" t="s">
        <v>2</v>
      </c>
      <c r="Q680" s="323" t="s">
        <v>15</v>
      </c>
      <c r="R680" s="323" t="s">
        <v>15</v>
      </c>
      <c r="S680" s="323" t="s">
        <v>16</v>
      </c>
      <c r="T680" s="323" t="s">
        <v>329</v>
      </c>
      <c r="U680" s="323" t="s">
        <v>249</v>
      </c>
      <c r="V680" s="323" t="s">
        <v>282</v>
      </c>
      <c r="W680" s="324" t="s">
        <v>282</v>
      </c>
      <c r="X680" s="324" t="s">
        <v>282</v>
      </c>
      <c r="Y680" s="325" t="s">
        <v>282</v>
      </c>
    </row>
    <row r="681" spans="1:25">
      <c r="A681" s="319">
        <v>13</v>
      </c>
      <c r="B681" s="320" t="str">
        <f>VLOOKUP(Tabel10[[#This Row],[Code]],Ruimtegroepen[[Code]:[Ruimte omschrijving]],2,FALSE)</f>
        <v>Personeelskamer</v>
      </c>
      <c r="C681" s="321" t="s">
        <v>847</v>
      </c>
      <c r="D681" s="320" t="s">
        <v>1</v>
      </c>
      <c r="E681" s="321" t="s">
        <v>1306</v>
      </c>
      <c r="F681" s="321" t="s">
        <v>1467</v>
      </c>
      <c r="G681" s="326" t="s">
        <v>282</v>
      </c>
      <c r="H681" s="322" t="s">
        <v>282</v>
      </c>
      <c r="I681" s="322" t="s">
        <v>20</v>
      </c>
      <c r="J681" s="322" t="s">
        <v>15</v>
      </c>
      <c r="K681" s="322" t="s">
        <v>249</v>
      </c>
      <c r="L681" s="322" t="s">
        <v>282</v>
      </c>
      <c r="M681" s="322" t="s">
        <v>282</v>
      </c>
      <c r="N681" s="322" t="s">
        <v>282</v>
      </c>
      <c r="O681" s="323" t="s">
        <v>2</v>
      </c>
      <c r="P681" s="323" t="s">
        <v>2</v>
      </c>
      <c r="Q681" s="323" t="s">
        <v>15</v>
      </c>
      <c r="R681" s="323" t="s">
        <v>15</v>
      </c>
      <c r="S681" s="323" t="s">
        <v>16</v>
      </c>
      <c r="T681" s="323" t="s">
        <v>329</v>
      </c>
      <c r="U681" s="323" t="s">
        <v>249</v>
      </c>
      <c r="V681" s="323" t="s">
        <v>282</v>
      </c>
      <c r="W681" s="324" t="s">
        <v>282</v>
      </c>
      <c r="X681" s="324" t="s">
        <v>282</v>
      </c>
      <c r="Y681" s="325" t="s">
        <v>282</v>
      </c>
    </row>
    <row r="682" spans="1:25">
      <c r="A682" s="319">
        <v>13</v>
      </c>
      <c r="B682" s="320" t="str">
        <f>VLOOKUP(Tabel10[[#This Row],[Code]],Ruimtegroepen[[Code]:[Ruimte omschrijving]],2,FALSE)</f>
        <v>Personeelskamer</v>
      </c>
      <c r="C682" s="321" t="s">
        <v>852</v>
      </c>
      <c r="D682" s="320" t="s">
        <v>21</v>
      </c>
      <c r="E682" s="321" t="s">
        <v>100</v>
      </c>
      <c r="F682" s="321" t="s">
        <v>853</v>
      </c>
      <c r="G682" s="326" t="s">
        <v>282</v>
      </c>
      <c r="H682" s="322" t="s">
        <v>282</v>
      </c>
      <c r="I682" s="322" t="s">
        <v>18</v>
      </c>
      <c r="J682" s="322" t="s">
        <v>15</v>
      </c>
      <c r="K682" s="322" t="s">
        <v>282</v>
      </c>
      <c r="L682" s="322" t="s">
        <v>282</v>
      </c>
      <c r="M682" s="322" t="s">
        <v>282</v>
      </c>
      <c r="N682" s="322" t="s">
        <v>282</v>
      </c>
      <c r="O682" s="323" t="s">
        <v>20</v>
      </c>
      <c r="P682" s="323" t="s">
        <v>20</v>
      </c>
      <c r="Q682" s="323" t="s">
        <v>15</v>
      </c>
      <c r="R682" s="323" t="s">
        <v>15</v>
      </c>
      <c r="S682" s="323" t="s">
        <v>16</v>
      </c>
      <c r="T682" s="323" t="s">
        <v>329</v>
      </c>
      <c r="U682" s="323" t="s">
        <v>249</v>
      </c>
      <c r="V682" s="323" t="s">
        <v>282</v>
      </c>
      <c r="W682" s="324" t="s">
        <v>282</v>
      </c>
      <c r="X682" s="324" t="s">
        <v>282</v>
      </c>
      <c r="Y682" s="325" t="s">
        <v>282</v>
      </c>
    </row>
    <row r="683" spans="1:25">
      <c r="A683" s="319">
        <v>13</v>
      </c>
      <c r="B683" s="320" t="str">
        <f>VLOOKUP(Tabel10[[#This Row],[Code]],Ruimtegroepen[[Code]:[Ruimte omschrijving]],2,FALSE)</f>
        <v>Personeelskamer</v>
      </c>
      <c r="C683" s="321" t="s">
        <v>852</v>
      </c>
      <c r="D683" s="320" t="s">
        <v>21</v>
      </c>
      <c r="E683" s="321" t="s">
        <v>99</v>
      </c>
      <c r="F683" s="321" t="s">
        <v>854</v>
      </c>
      <c r="G683" s="322" t="s">
        <v>18</v>
      </c>
      <c r="H683" s="322" t="s">
        <v>15</v>
      </c>
      <c r="I683" s="322" t="s">
        <v>282</v>
      </c>
      <c r="J683" s="322" t="s">
        <v>282</v>
      </c>
      <c r="K683" s="322" t="s">
        <v>282</v>
      </c>
      <c r="L683" s="322" t="s">
        <v>282</v>
      </c>
      <c r="M683" s="322" t="s">
        <v>282</v>
      </c>
      <c r="N683" s="322" t="s">
        <v>282</v>
      </c>
      <c r="O683" s="323" t="s">
        <v>20</v>
      </c>
      <c r="P683" s="323" t="s">
        <v>20</v>
      </c>
      <c r="Q683" s="323" t="s">
        <v>15</v>
      </c>
      <c r="R683" s="323" t="s">
        <v>15</v>
      </c>
      <c r="S683" s="323" t="s">
        <v>16</v>
      </c>
      <c r="T683" s="323" t="s">
        <v>329</v>
      </c>
      <c r="U683" s="323" t="s">
        <v>249</v>
      </c>
      <c r="V683" s="323" t="s">
        <v>282</v>
      </c>
      <c r="W683" s="324" t="s">
        <v>282</v>
      </c>
      <c r="X683" s="324" t="s">
        <v>282</v>
      </c>
      <c r="Y683" s="325" t="s">
        <v>282</v>
      </c>
    </row>
    <row r="684" spans="1:25">
      <c r="A684" s="319">
        <v>13</v>
      </c>
      <c r="B684" s="320" t="str">
        <f>VLOOKUP(Tabel10[[#This Row],[Code]],Ruimtegroepen[[Code]:[Ruimte omschrijving]],2,FALSE)</f>
        <v>Personeelskamer</v>
      </c>
      <c r="C684" s="321" t="s">
        <v>852</v>
      </c>
      <c r="D684" s="320" t="s">
        <v>21</v>
      </c>
      <c r="E684" s="321" t="s">
        <v>101</v>
      </c>
      <c r="F684" s="321" t="s">
        <v>855</v>
      </c>
      <c r="G684" s="326" t="s">
        <v>282</v>
      </c>
      <c r="H684" s="322" t="s">
        <v>282</v>
      </c>
      <c r="I684" s="322" t="s">
        <v>18</v>
      </c>
      <c r="J684" s="322" t="s">
        <v>15</v>
      </c>
      <c r="K684" s="322" t="s">
        <v>249</v>
      </c>
      <c r="L684" s="322" t="s">
        <v>282</v>
      </c>
      <c r="M684" s="322" t="s">
        <v>282</v>
      </c>
      <c r="N684" s="322" t="s">
        <v>282</v>
      </c>
      <c r="O684" s="323" t="s">
        <v>20</v>
      </c>
      <c r="P684" s="323" t="s">
        <v>20</v>
      </c>
      <c r="Q684" s="323" t="s">
        <v>15</v>
      </c>
      <c r="R684" s="323" t="s">
        <v>15</v>
      </c>
      <c r="S684" s="323" t="s">
        <v>16</v>
      </c>
      <c r="T684" s="323" t="s">
        <v>329</v>
      </c>
      <c r="U684" s="323" t="s">
        <v>249</v>
      </c>
      <c r="V684" s="323" t="s">
        <v>282</v>
      </c>
      <c r="W684" s="324" t="s">
        <v>282</v>
      </c>
      <c r="X684" s="324" t="s">
        <v>282</v>
      </c>
      <c r="Y684" s="325" t="s">
        <v>282</v>
      </c>
    </row>
    <row r="685" spans="1:25">
      <c r="A685" s="319">
        <v>13</v>
      </c>
      <c r="B685" s="320" t="str">
        <f>VLOOKUP(Tabel10[[#This Row],[Code]],Ruimtegroepen[[Code]:[Ruimte omschrijving]],2,FALSE)</f>
        <v>Personeelskamer</v>
      </c>
      <c r="C685" s="321" t="s">
        <v>852</v>
      </c>
      <c r="D685" s="320" t="s">
        <v>21</v>
      </c>
      <c r="E685" s="321" t="s">
        <v>102</v>
      </c>
      <c r="F685" s="321" t="s">
        <v>856</v>
      </c>
      <c r="G685" s="326" t="s">
        <v>282</v>
      </c>
      <c r="H685" s="322" t="s">
        <v>282</v>
      </c>
      <c r="I685" s="322" t="s">
        <v>18</v>
      </c>
      <c r="J685" s="322" t="s">
        <v>15</v>
      </c>
      <c r="K685" s="322" t="s">
        <v>249</v>
      </c>
      <c r="L685" s="322" t="s">
        <v>282</v>
      </c>
      <c r="M685" s="322" t="s">
        <v>282</v>
      </c>
      <c r="N685" s="322" t="s">
        <v>282</v>
      </c>
      <c r="O685" s="323" t="s">
        <v>20</v>
      </c>
      <c r="P685" s="323" t="s">
        <v>20</v>
      </c>
      <c r="Q685" s="323" t="s">
        <v>15</v>
      </c>
      <c r="R685" s="323" t="s">
        <v>15</v>
      </c>
      <c r="S685" s="323" t="s">
        <v>16</v>
      </c>
      <c r="T685" s="323" t="s">
        <v>329</v>
      </c>
      <c r="U685" s="323" t="s">
        <v>249</v>
      </c>
      <c r="V685" s="323" t="s">
        <v>282</v>
      </c>
      <c r="W685" s="324" t="s">
        <v>282</v>
      </c>
      <c r="X685" s="324" t="s">
        <v>282</v>
      </c>
      <c r="Y685" s="325" t="s">
        <v>282</v>
      </c>
    </row>
    <row r="686" spans="1:25">
      <c r="A686" s="319">
        <v>13</v>
      </c>
      <c r="B686" s="320" t="str">
        <f>VLOOKUP(Tabel10[[#This Row],[Code]],Ruimtegroepen[[Code]:[Ruimte omschrijving]],2,FALSE)</f>
        <v>Personeelskamer</v>
      </c>
      <c r="C686" s="321" t="s">
        <v>852</v>
      </c>
      <c r="D686" s="320" t="s">
        <v>21</v>
      </c>
      <c r="E686" s="321" t="s">
        <v>99</v>
      </c>
      <c r="F686" s="321" t="s">
        <v>854</v>
      </c>
      <c r="G686" s="322" t="s">
        <v>18</v>
      </c>
      <c r="H686" s="322" t="s">
        <v>15</v>
      </c>
      <c r="I686" s="322" t="s">
        <v>282</v>
      </c>
      <c r="J686" s="322" t="s">
        <v>282</v>
      </c>
      <c r="K686" s="322" t="s">
        <v>282</v>
      </c>
      <c r="L686" s="322" t="s">
        <v>282</v>
      </c>
      <c r="M686" s="322" t="s">
        <v>282</v>
      </c>
      <c r="N686" s="322" t="s">
        <v>282</v>
      </c>
      <c r="O686" s="323" t="s">
        <v>20</v>
      </c>
      <c r="P686" s="323" t="s">
        <v>20</v>
      </c>
      <c r="Q686" s="323" t="s">
        <v>15</v>
      </c>
      <c r="R686" s="323" t="s">
        <v>15</v>
      </c>
      <c r="S686" s="323" t="s">
        <v>16</v>
      </c>
      <c r="T686" s="323" t="s">
        <v>329</v>
      </c>
      <c r="U686" s="323" t="s">
        <v>249</v>
      </c>
      <c r="V686" s="323" t="s">
        <v>282</v>
      </c>
      <c r="W686" s="324" t="s">
        <v>282</v>
      </c>
      <c r="X686" s="324" t="s">
        <v>282</v>
      </c>
      <c r="Y686" s="325" t="s">
        <v>282</v>
      </c>
    </row>
    <row r="687" spans="1:25">
      <c r="A687" s="319">
        <v>13</v>
      </c>
      <c r="B687" s="320" t="str">
        <f>VLOOKUP(Tabel10[[#This Row],[Code]],Ruimtegroepen[[Code]:[Ruimte omschrijving]],2,FALSE)</f>
        <v>Personeelskamer</v>
      </c>
      <c r="C687" s="321" t="s">
        <v>852</v>
      </c>
      <c r="D687" s="320" t="s">
        <v>21</v>
      </c>
      <c r="E687" s="321" t="s">
        <v>1306</v>
      </c>
      <c r="F687" s="321" t="s">
        <v>1450</v>
      </c>
      <c r="G687" s="326" t="s">
        <v>282</v>
      </c>
      <c r="H687" s="322" t="s">
        <v>282</v>
      </c>
      <c r="I687" s="322" t="s">
        <v>18</v>
      </c>
      <c r="J687" s="322" t="s">
        <v>15</v>
      </c>
      <c r="K687" s="322" t="s">
        <v>249</v>
      </c>
      <c r="L687" s="322" t="s">
        <v>282</v>
      </c>
      <c r="M687" s="322" t="s">
        <v>282</v>
      </c>
      <c r="N687" s="322" t="s">
        <v>282</v>
      </c>
      <c r="O687" s="323" t="s">
        <v>20</v>
      </c>
      <c r="P687" s="323" t="s">
        <v>20</v>
      </c>
      <c r="Q687" s="323" t="s">
        <v>15</v>
      </c>
      <c r="R687" s="323" t="s">
        <v>15</v>
      </c>
      <c r="S687" s="323" t="s">
        <v>16</v>
      </c>
      <c r="T687" s="323" t="s">
        <v>329</v>
      </c>
      <c r="U687" s="323" t="s">
        <v>249</v>
      </c>
      <c r="V687" s="323" t="s">
        <v>282</v>
      </c>
      <c r="W687" s="324" t="s">
        <v>282</v>
      </c>
      <c r="X687" s="324" t="s">
        <v>282</v>
      </c>
      <c r="Y687" s="325" t="s">
        <v>282</v>
      </c>
    </row>
    <row r="688" spans="1:25">
      <c r="A688" s="319">
        <v>13</v>
      </c>
      <c r="B688" s="320" t="str">
        <f>VLOOKUP(Tabel10[[#This Row],[Code]],Ruimtegroepen[[Code]:[Ruimte omschrijving]],2,FALSE)</f>
        <v>Personeelskamer</v>
      </c>
      <c r="C688" s="321" t="s">
        <v>857</v>
      </c>
      <c r="D688" s="320" t="s">
        <v>12</v>
      </c>
      <c r="E688" s="321" t="s">
        <v>100</v>
      </c>
      <c r="F688" s="321" t="s">
        <v>858</v>
      </c>
      <c r="G688" s="326" t="s">
        <v>282</v>
      </c>
      <c r="H688" s="322" t="s">
        <v>282</v>
      </c>
      <c r="I688" s="322" t="s">
        <v>17</v>
      </c>
      <c r="J688" s="322" t="s">
        <v>15</v>
      </c>
      <c r="K688" s="322" t="s">
        <v>282</v>
      </c>
      <c r="L688" s="322" t="s">
        <v>282</v>
      </c>
      <c r="M688" s="322" t="s">
        <v>282</v>
      </c>
      <c r="N688" s="322" t="s">
        <v>282</v>
      </c>
      <c r="O688" s="323" t="s">
        <v>18</v>
      </c>
      <c r="P688" s="323" t="s">
        <v>18</v>
      </c>
      <c r="Q688" s="323" t="s">
        <v>15</v>
      </c>
      <c r="R688" s="323" t="s">
        <v>15</v>
      </c>
      <c r="S688" s="323" t="s">
        <v>16</v>
      </c>
      <c r="T688" s="323" t="s">
        <v>329</v>
      </c>
      <c r="U688" s="323" t="s">
        <v>249</v>
      </c>
      <c r="V688" s="323" t="s">
        <v>282</v>
      </c>
      <c r="W688" s="324" t="s">
        <v>282</v>
      </c>
      <c r="X688" s="324" t="s">
        <v>282</v>
      </c>
      <c r="Y688" s="325" t="s">
        <v>282</v>
      </c>
    </row>
    <row r="689" spans="1:25">
      <c r="A689" s="319">
        <v>13</v>
      </c>
      <c r="B689" s="320" t="str">
        <f>VLOOKUP(Tabel10[[#This Row],[Code]],Ruimtegroepen[[Code]:[Ruimte omschrijving]],2,FALSE)</f>
        <v>Personeelskamer</v>
      </c>
      <c r="C689" s="321" t="s">
        <v>857</v>
      </c>
      <c r="D689" s="320" t="s">
        <v>12</v>
      </c>
      <c r="E689" s="321" t="s">
        <v>99</v>
      </c>
      <c r="F689" s="321" t="s">
        <v>859</v>
      </c>
      <c r="G689" s="322" t="s">
        <v>17</v>
      </c>
      <c r="H689" s="322" t="s">
        <v>15</v>
      </c>
      <c r="I689" s="322" t="s">
        <v>282</v>
      </c>
      <c r="J689" s="322" t="s">
        <v>282</v>
      </c>
      <c r="K689" s="322" t="s">
        <v>282</v>
      </c>
      <c r="L689" s="322" t="s">
        <v>282</v>
      </c>
      <c r="M689" s="322" t="s">
        <v>282</v>
      </c>
      <c r="N689" s="322" t="s">
        <v>282</v>
      </c>
      <c r="O689" s="323" t="s">
        <v>18</v>
      </c>
      <c r="P689" s="323" t="s">
        <v>18</v>
      </c>
      <c r="Q689" s="323" t="s">
        <v>15</v>
      </c>
      <c r="R689" s="323" t="s">
        <v>15</v>
      </c>
      <c r="S689" s="323" t="s">
        <v>16</v>
      </c>
      <c r="T689" s="323" t="s">
        <v>329</v>
      </c>
      <c r="U689" s="323" t="s">
        <v>249</v>
      </c>
      <c r="V689" s="323" t="s">
        <v>282</v>
      </c>
      <c r="W689" s="324" t="s">
        <v>282</v>
      </c>
      <c r="X689" s="324" t="s">
        <v>282</v>
      </c>
      <c r="Y689" s="325" t="s">
        <v>282</v>
      </c>
    </row>
    <row r="690" spans="1:25">
      <c r="A690" s="319">
        <v>13</v>
      </c>
      <c r="B690" s="320" t="str">
        <f>VLOOKUP(Tabel10[[#This Row],[Code]],Ruimtegroepen[[Code]:[Ruimte omschrijving]],2,FALSE)</f>
        <v>Personeelskamer</v>
      </c>
      <c r="C690" s="321" t="s">
        <v>857</v>
      </c>
      <c r="D690" s="320" t="s">
        <v>12</v>
      </c>
      <c r="E690" s="321" t="s">
        <v>101</v>
      </c>
      <c r="F690" s="321" t="s">
        <v>860</v>
      </c>
      <c r="G690" s="326" t="s">
        <v>282</v>
      </c>
      <c r="H690" s="322" t="s">
        <v>282</v>
      </c>
      <c r="I690" s="322" t="s">
        <v>17</v>
      </c>
      <c r="J690" s="322" t="s">
        <v>15</v>
      </c>
      <c r="K690" s="322" t="s">
        <v>249</v>
      </c>
      <c r="L690" s="322" t="s">
        <v>282</v>
      </c>
      <c r="M690" s="322" t="s">
        <v>282</v>
      </c>
      <c r="N690" s="322" t="s">
        <v>282</v>
      </c>
      <c r="O690" s="323" t="s">
        <v>18</v>
      </c>
      <c r="P690" s="323" t="s">
        <v>18</v>
      </c>
      <c r="Q690" s="323" t="s">
        <v>15</v>
      </c>
      <c r="R690" s="323" t="s">
        <v>15</v>
      </c>
      <c r="S690" s="323" t="s">
        <v>16</v>
      </c>
      <c r="T690" s="323" t="s">
        <v>329</v>
      </c>
      <c r="U690" s="323" t="s">
        <v>249</v>
      </c>
      <c r="V690" s="323" t="s">
        <v>282</v>
      </c>
      <c r="W690" s="324" t="s">
        <v>282</v>
      </c>
      <c r="X690" s="324" t="s">
        <v>282</v>
      </c>
      <c r="Y690" s="325" t="s">
        <v>282</v>
      </c>
    </row>
    <row r="691" spans="1:25">
      <c r="A691" s="319">
        <v>13</v>
      </c>
      <c r="B691" s="320" t="str">
        <f>VLOOKUP(Tabel10[[#This Row],[Code]],Ruimtegroepen[[Code]:[Ruimte omschrijving]],2,FALSE)</f>
        <v>Personeelskamer</v>
      </c>
      <c r="C691" s="321" t="s">
        <v>857</v>
      </c>
      <c r="D691" s="320" t="s">
        <v>12</v>
      </c>
      <c r="E691" s="321" t="s">
        <v>102</v>
      </c>
      <c r="F691" s="321" t="s">
        <v>861</v>
      </c>
      <c r="G691" s="326" t="s">
        <v>282</v>
      </c>
      <c r="H691" s="322" t="s">
        <v>282</v>
      </c>
      <c r="I691" s="322" t="s">
        <v>17</v>
      </c>
      <c r="J691" s="322" t="s">
        <v>15</v>
      </c>
      <c r="K691" s="322" t="s">
        <v>249</v>
      </c>
      <c r="L691" s="322" t="s">
        <v>282</v>
      </c>
      <c r="M691" s="322" t="s">
        <v>282</v>
      </c>
      <c r="N691" s="322" t="s">
        <v>282</v>
      </c>
      <c r="O691" s="323" t="s">
        <v>18</v>
      </c>
      <c r="P691" s="323" t="s">
        <v>18</v>
      </c>
      <c r="Q691" s="323" t="s">
        <v>15</v>
      </c>
      <c r="R691" s="323" t="s">
        <v>15</v>
      </c>
      <c r="S691" s="323" t="s">
        <v>16</v>
      </c>
      <c r="T691" s="323" t="s">
        <v>329</v>
      </c>
      <c r="U691" s="323" t="s">
        <v>249</v>
      </c>
      <c r="V691" s="323" t="s">
        <v>282</v>
      </c>
      <c r="W691" s="324" t="s">
        <v>282</v>
      </c>
      <c r="X691" s="324" t="s">
        <v>282</v>
      </c>
      <c r="Y691" s="325" t="s">
        <v>282</v>
      </c>
    </row>
    <row r="692" spans="1:25">
      <c r="A692" s="319">
        <v>13</v>
      </c>
      <c r="B692" s="320" t="str">
        <f>VLOOKUP(Tabel10[[#This Row],[Code]],Ruimtegroepen[[Code]:[Ruimte omschrijving]],2,FALSE)</f>
        <v>Personeelskamer</v>
      </c>
      <c r="C692" s="321" t="s">
        <v>857</v>
      </c>
      <c r="D692" s="320" t="s">
        <v>12</v>
      </c>
      <c r="E692" s="321" t="s">
        <v>99</v>
      </c>
      <c r="F692" s="321" t="s">
        <v>859</v>
      </c>
      <c r="G692" s="322" t="s">
        <v>17</v>
      </c>
      <c r="H692" s="322" t="s">
        <v>15</v>
      </c>
      <c r="I692" s="322" t="s">
        <v>282</v>
      </c>
      <c r="J692" s="322" t="s">
        <v>282</v>
      </c>
      <c r="K692" s="322" t="s">
        <v>282</v>
      </c>
      <c r="L692" s="322" t="s">
        <v>282</v>
      </c>
      <c r="M692" s="322" t="s">
        <v>282</v>
      </c>
      <c r="N692" s="322" t="s">
        <v>282</v>
      </c>
      <c r="O692" s="323" t="s">
        <v>18</v>
      </c>
      <c r="P692" s="323" t="s">
        <v>18</v>
      </c>
      <c r="Q692" s="323" t="s">
        <v>15</v>
      </c>
      <c r="R692" s="323" t="s">
        <v>15</v>
      </c>
      <c r="S692" s="323" t="s">
        <v>16</v>
      </c>
      <c r="T692" s="323" t="s">
        <v>329</v>
      </c>
      <c r="U692" s="323" t="s">
        <v>249</v>
      </c>
      <c r="V692" s="323" t="s">
        <v>282</v>
      </c>
      <c r="W692" s="324" t="s">
        <v>282</v>
      </c>
      <c r="X692" s="324" t="s">
        <v>282</v>
      </c>
      <c r="Y692" s="325" t="s">
        <v>282</v>
      </c>
    </row>
    <row r="693" spans="1:25">
      <c r="A693" s="319">
        <v>13</v>
      </c>
      <c r="B693" s="320" t="str">
        <f>VLOOKUP(Tabel10[[#This Row],[Code]],Ruimtegroepen[[Code]:[Ruimte omschrijving]],2,FALSE)</f>
        <v>Personeelskamer</v>
      </c>
      <c r="C693" s="321" t="s">
        <v>857</v>
      </c>
      <c r="D693" s="320" t="s">
        <v>12</v>
      </c>
      <c r="E693" s="321" t="s">
        <v>1306</v>
      </c>
      <c r="F693" s="321" t="s">
        <v>1432</v>
      </c>
      <c r="G693" s="326" t="s">
        <v>282</v>
      </c>
      <c r="H693" s="322" t="s">
        <v>282</v>
      </c>
      <c r="I693" s="322" t="s">
        <v>17</v>
      </c>
      <c r="J693" s="322" t="s">
        <v>15</v>
      </c>
      <c r="K693" s="322" t="s">
        <v>249</v>
      </c>
      <c r="L693" s="322" t="s">
        <v>282</v>
      </c>
      <c r="M693" s="322" t="s">
        <v>282</v>
      </c>
      <c r="N693" s="322" t="s">
        <v>282</v>
      </c>
      <c r="O693" s="323" t="s">
        <v>18</v>
      </c>
      <c r="P693" s="323" t="s">
        <v>18</v>
      </c>
      <c r="Q693" s="323" t="s">
        <v>15</v>
      </c>
      <c r="R693" s="323" t="s">
        <v>15</v>
      </c>
      <c r="S693" s="323" t="s">
        <v>16</v>
      </c>
      <c r="T693" s="323" t="s">
        <v>329</v>
      </c>
      <c r="U693" s="323" t="s">
        <v>249</v>
      </c>
      <c r="V693" s="323" t="s">
        <v>282</v>
      </c>
      <c r="W693" s="324" t="s">
        <v>282</v>
      </c>
      <c r="X693" s="324" t="s">
        <v>282</v>
      </c>
      <c r="Y693" s="325" t="s">
        <v>282</v>
      </c>
    </row>
    <row r="694" spans="1:25">
      <c r="A694" s="319">
        <v>13</v>
      </c>
      <c r="B694" s="320" t="str">
        <f>VLOOKUP(Tabel10[[#This Row],[Code]],Ruimtegroepen[[Code]:[Ruimte omschrijving]],2,FALSE)</f>
        <v>Personeelskamer</v>
      </c>
      <c r="C694" s="321" t="s">
        <v>862</v>
      </c>
      <c r="D694" s="320" t="s">
        <v>14</v>
      </c>
      <c r="E694" s="321" t="s">
        <v>100</v>
      </c>
      <c r="F694" s="321" t="s">
        <v>863</v>
      </c>
      <c r="G694" s="326" t="s">
        <v>282</v>
      </c>
      <c r="H694" s="322" t="s">
        <v>282</v>
      </c>
      <c r="I694" s="322" t="s">
        <v>15</v>
      </c>
      <c r="J694" s="322" t="s">
        <v>15</v>
      </c>
      <c r="K694" s="322" t="s">
        <v>282</v>
      </c>
      <c r="L694" s="322" t="s">
        <v>282</v>
      </c>
      <c r="M694" s="322" t="s">
        <v>282</v>
      </c>
      <c r="N694" s="322" t="s">
        <v>282</v>
      </c>
      <c r="O694" s="323" t="s">
        <v>17</v>
      </c>
      <c r="P694" s="323" t="s">
        <v>17</v>
      </c>
      <c r="Q694" s="323" t="s">
        <v>15</v>
      </c>
      <c r="R694" s="323" t="s">
        <v>15</v>
      </c>
      <c r="S694" s="323" t="s">
        <v>16</v>
      </c>
      <c r="T694" s="323" t="s">
        <v>329</v>
      </c>
      <c r="U694" s="323" t="s">
        <v>249</v>
      </c>
      <c r="V694" s="323" t="s">
        <v>282</v>
      </c>
      <c r="W694" s="324" t="s">
        <v>282</v>
      </c>
      <c r="X694" s="324" t="s">
        <v>282</v>
      </c>
      <c r="Y694" s="325" t="s">
        <v>282</v>
      </c>
    </row>
    <row r="695" spans="1:25">
      <c r="A695" s="319">
        <v>13</v>
      </c>
      <c r="B695" s="320" t="str">
        <f>VLOOKUP(Tabel10[[#This Row],[Code]],Ruimtegroepen[[Code]:[Ruimte omschrijving]],2,FALSE)</f>
        <v>Personeelskamer</v>
      </c>
      <c r="C695" s="321" t="s">
        <v>862</v>
      </c>
      <c r="D695" s="320" t="s">
        <v>14</v>
      </c>
      <c r="E695" s="321" t="s">
        <v>99</v>
      </c>
      <c r="F695" s="321" t="s">
        <v>864</v>
      </c>
      <c r="G695" s="322" t="s">
        <v>15</v>
      </c>
      <c r="H695" s="322" t="s">
        <v>15</v>
      </c>
      <c r="I695" s="322" t="s">
        <v>282</v>
      </c>
      <c r="J695" s="322" t="s">
        <v>282</v>
      </c>
      <c r="K695" s="322" t="s">
        <v>282</v>
      </c>
      <c r="L695" s="322" t="s">
        <v>282</v>
      </c>
      <c r="M695" s="322" t="s">
        <v>282</v>
      </c>
      <c r="N695" s="322" t="s">
        <v>282</v>
      </c>
      <c r="O695" s="323" t="s">
        <v>17</v>
      </c>
      <c r="P695" s="323" t="s">
        <v>17</v>
      </c>
      <c r="Q695" s="323" t="s">
        <v>15</v>
      </c>
      <c r="R695" s="323" t="s">
        <v>15</v>
      </c>
      <c r="S695" s="323" t="s">
        <v>16</v>
      </c>
      <c r="T695" s="323" t="s">
        <v>329</v>
      </c>
      <c r="U695" s="323" t="s">
        <v>249</v>
      </c>
      <c r="V695" s="323" t="s">
        <v>282</v>
      </c>
      <c r="W695" s="324" t="s">
        <v>282</v>
      </c>
      <c r="X695" s="324" t="s">
        <v>282</v>
      </c>
      <c r="Y695" s="325" t="s">
        <v>282</v>
      </c>
    </row>
    <row r="696" spans="1:25">
      <c r="A696" s="319">
        <v>13</v>
      </c>
      <c r="B696" s="320" t="str">
        <f>VLOOKUP(Tabel10[[#This Row],[Code]],Ruimtegroepen[[Code]:[Ruimte omschrijving]],2,FALSE)</f>
        <v>Personeelskamer</v>
      </c>
      <c r="C696" s="321" t="s">
        <v>862</v>
      </c>
      <c r="D696" s="320" t="s">
        <v>14</v>
      </c>
      <c r="E696" s="321" t="s">
        <v>101</v>
      </c>
      <c r="F696" s="321" t="s">
        <v>865</v>
      </c>
      <c r="G696" s="326" t="s">
        <v>282</v>
      </c>
      <c r="H696" s="322" t="s">
        <v>282</v>
      </c>
      <c r="I696" s="322" t="s">
        <v>15</v>
      </c>
      <c r="J696" s="322" t="s">
        <v>15</v>
      </c>
      <c r="K696" s="322" t="s">
        <v>249</v>
      </c>
      <c r="L696" s="322" t="s">
        <v>282</v>
      </c>
      <c r="M696" s="322" t="s">
        <v>282</v>
      </c>
      <c r="N696" s="322" t="s">
        <v>282</v>
      </c>
      <c r="O696" s="323" t="s">
        <v>17</v>
      </c>
      <c r="P696" s="323" t="s">
        <v>17</v>
      </c>
      <c r="Q696" s="323" t="s">
        <v>15</v>
      </c>
      <c r="R696" s="323" t="s">
        <v>15</v>
      </c>
      <c r="S696" s="323" t="s">
        <v>16</v>
      </c>
      <c r="T696" s="323" t="s">
        <v>329</v>
      </c>
      <c r="U696" s="323" t="s">
        <v>249</v>
      </c>
      <c r="V696" s="323" t="s">
        <v>282</v>
      </c>
      <c r="W696" s="324" t="s">
        <v>282</v>
      </c>
      <c r="X696" s="324" t="s">
        <v>282</v>
      </c>
      <c r="Y696" s="325" t="s">
        <v>282</v>
      </c>
    </row>
    <row r="697" spans="1:25">
      <c r="A697" s="319">
        <v>13</v>
      </c>
      <c r="B697" s="320" t="str">
        <f>VLOOKUP(Tabel10[[#This Row],[Code]],Ruimtegroepen[[Code]:[Ruimte omschrijving]],2,FALSE)</f>
        <v>Personeelskamer</v>
      </c>
      <c r="C697" s="321" t="s">
        <v>862</v>
      </c>
      <c r="D697" s="320" t="s">
        <v>14</v>
      </c>
      <c r="E697" s="321" t="s">
        <v>102</v>
      </c>
      <c r="F697" s="321" t="s">
        <v>866</v>
      </c>
      <c r="G697" s="326" t="s">
        <v>282</v>
      </c>
      <c r="H697" s="322" t="s">
        <v>282</v>
      </c>
      <c r="I697" s="322" t="s">
        <v>15</v>
      </c>
      <c r="J697" s="322" t="s">
        <v>15</v>
      </c>
      <c r="K697" s="322" t="s">
        <v>249</v>
      </c>
      <c r="L697" s="322" t="s">
        <v>282</v>
      </c>
      <c r="M697" s="322" t="s">
        <v>282</v>
      </c>
      <c r="N697" s="322" t="s">
        <v>282</v>
      </c>
      <c r="O697" s="323" t="s">
        <v>17</v>
      </c>
      <c r="P697" s="323" t="s">
        <v>17</v>
      </c>
      <c r="Q697" s="323" t="s">
        <v>15</v>
      </c>
      <c r="R697" s="323" t="s">
        <v>15</v>
      </c>
      <c r="S697" s="323" t="s">
        <v>16</v>
      </c>
      <c r="T697" s="323" t="s">
        <v>329</v>
      </c>
      <c r="U697" s="323" t="s">
        <v>249</v>
      </c>
      <c r="V697" s="323" t="s">
        <v>282</v>
      </c>
      <c r="W697" s="324" t="s">
        <v>282</v>
      </c>
      <c r="X697" s="324" t="s">
        <v>282</v>
      </c>
      <c r="Y697" s="325" t="s">
        <v>282</v>
      </c>
    </row>
    <row r="698" spans="1:25">
      <c r="A698" s="319">
        <v>13</v>
      </c>
      <c r="B698" s="320" t="str">
        <f>VLOOKUP(Tabel10[[#This Row],[Code]],Ruimtegroepen[[Code]:[Ruimte omschrijving]],2,FALSE)</f>
        <v>Personeelskamer</v>
      </c>
      <c r="C698" s="321" t="s">
        <v>862</v>
      </c>
      <c r="D698" s="320" t="s">
        <v>14</v>
      </c>
      <c r="E698" s="321" t="s">
        <v>99</v>
      </c>
      <c r="F698" s="321" t="s">
        <v>864</v>
      </c>
      <c r="G698" s="322" t="s">
        <v>15</v>
      </c>
      <c r="H698" s="322" t="s">
        <v>15</v>
      </c>
      <c r="I698" s="322" t="s">
        <v>282</v>
      </c>
      <c r="J698" s="322" t="s">
        <v>282</v>
      </c>
      <c r="K698" s="322" t="s">
        <v>282</v>
      </c>
      <c r="L698" s="322" t="s">
        <v>282</v>
      </c>
      <c r="M698" s="322" t="s">
        <v>282</v>
      </c>
      <c r="N698" s="322" t="s">
        <v>282</v>
      </c>
      <c r="O698" s="323" t="s">
        <v>17</v>
      </c>
      <c r="P698" s="323" t="s">
        <v>17</v>
      </c>
      <c r="Q698" s="323" t="s">
        <v>15</v>
      </c>
      <c r="R698" s="323" t="s">
        <v>15</v>
      </c>
      <c r="S698" s="323" t="s">
        <v>16</v>
      </c>
      <c r="T698" s="323" t="s">
        <v>329</v>
      </c>
      <c r="U698" s="323" t="s">
        <v>249</v>
      </c>
      <c r="V698" s="323" t="s">
        <v>282</v>
      </c>
      <c r="W698" s="324" t="s">
        <v>282</v>
      </c>
      <c r="X698" s="324" t="s">
        <v>282</v>
      </c>
      <c r="Y698" s="325" t="s">
        <v>282</v>
      </c>
    </row>
    <row r="699" spans="1:25">
      <c r="A699" s="319">
        <v>13</v>
      </c>
      <c r="B699" s="320" t="str">
        <f>VLOOKUP(Tabel10[[#This Row],[Code]],Ruimtegroepen[[Code]:[Ruimte omschrijving]],2,FALSE)</f>
        <v>Personeelskamer</v>
      </c>
      <c r="C699" s="321" t="s">
        <v>862</v>
      </c>
      <c r="D699" s="320" t="s">
        <v>14</v>
      </c>
      <c r="E699" s="321" t="s">
        <v>1306</v>
      </c>
      <c r="F699" s="321" t="s">
        <v>1399</v>
      </c>
      <c r="G699" s="326" t="s">
        <v>282</v>
      </c>
      <c r="H699" s="322" t="s">
        <v>282</v>
      </c>
      <c r="I699" s="322" t="s">
        <v>15</v>
      </c>
      <c r="J699" s="322" t="s">
        <v>15</v>
      </c>
      <c r="K699" s="322" t="s">
        <v>249</v>
      </c>
      <c r="L699" s="322" t="s">
        <v>282</v>
      </c>
      <c r="M699" s="322" t="s">
        <v>282</v>
      </c>
      <c r="N699" s="322" t="s">
        <v>282</v>
      </c>
      <c r="O699" s="323" t="s">
        <v>17</v>
      </c>
      <c r="P699" s="323" t="s">
        <v>17</v>
      </c>
      <c r="Q699" s="323" t="s">
        <v>15</v>
      </c>
      <c r="R699" s="323" t="s">
        <v>15</v>
      </c>
      <c r="S699" s="323" t="s">
        <v>16</v>
      </c>
      <c r="T699" s="323" t="s">
        <v>329</v>
      </c>
      <c r="U699" s="323" t="s">
        <v>249</v>
      </c>
      <c r="V699" s="323" t="s">
        <v>282</v>
      </c>
      <c r="W699" s="324" t="s">
        <v>282</v>
      </c>
      <c r="X699" s="324" t="s">
        <v>282</v>
      </c>
      <c r="Y699" s="325" t="s">
        <v>282</v>
      </c>
    </row>
    <row r="700" spans="1:25">
      <c r="A700" s="319">
        <v>13</v>
      </c>
      <c r="B700" s="320" t="str">
        <f>VLOOKUP(Tabel10[[#This Row],[Code]],Ruimtegroepen[[Code]:[Ruimte omschrijving]],2,FALSE)</f>
        <v>Personeelskamer</v>
      </c>
      <c r="C700" s="321" t="s">
        <v>867</v>
      </c>
      <c r="D700" s="320" t="s">
        <v>13</v>
      </c>
      <c r="E700" s="321" t="s">
        <v>100</v>
      </c>
      <c r="F700" s="321" t="s">
        <v>868</v>
      </c>
      <c r="G700" s="326" t="s">
        <v>282</v>
      </c>
      <c r="H700" s="322" t="s">
        <v>282</v>
      </c>
      <c r="I700" s="322" t="s">
        <v>282</v>
      </c>
      <c r="J700" s="322" t="s">
        <v>15</v>
      </c>
      <c r="K700" s="322" t="s">
        <v>282</v>
      </c>
      <c r="L700" s="322" t="s">
        <v>282</v>
      </c>
      <c r="M700" s="322" t="s">
        <v>282</v>
      </c>
      <c r="N700" s="322" t="s">
        <v>282</v>
      </c>
      <c r="O700" s="323" t="s">
        <v>15</v>
      </c>
      <c r="P700" s="323" t="s">
        <v>15</v>
      </c>
      <c r="Q700" s="323" t="s">
        <v>15</v>
      </c>
      <c r="R700" s="323" t="s">
        <v>15</v>
      </c>
      <c r="S700" s="323" t="s">
        <v>16</v>
      </c>
      <c r="T700" s="323" t="s">
        <v>329</v>
      </c>
      <c r="U700" s="323" t="s">
        <v>249</v>
      </c>
      <c r="V700" s="323" t="s">
        <v>282</v>
      </c>
      <c r="W700" s="324" t="s">
        <v>282</v>
      </c>
      <c r="X700" s="324" t="s">
        <v>282</v>
      </c>
      <c r="Y700" s="325" t="s">
        <v>282</v>
      </c>
    </row>
    <row r="701" spans="1:25">
      <c r="A701" s="319">
        <v>13</v>
      </c>
      <c r="B701" s="320" t="str">
        <f>VLOOKUP(Tabel10[[#This Row],[Code]],Ruimtegroepen[[Code]:[Ruimte omschrijving]],2,FALSE)</f>
        <v>Personeelskamer</v>
      </c>
      <c r="C701" s="321" t="s">
        <v>867</v>
      </c>
      <c r="D701" s="320" t="s">
        <v>13</v>
      </c>
      <c r="E701" s="321" t="s">
        <v>99</v>
      </c>
      <c r="F701" s="321" t="s">
        <v>869</v>
      </c>
      <c r="G701" s="326" t="s">
        <v>282</v>
      </c>
      <c r="H701" s="322" t="s">
        <v>15</v>
      </c>
      <c r="I701" s="322" t="s">
        <v>282</v>
      </c>
      <c r="J701" s="322" t="s">
        <v>282</v>
      </c>
      <c r="K701" s="322" t="s">
        <v>282</v>
      </c>
      <c r="L701" s="322" t="s">
        <v>282</v>
      </c>
      <c r="M701" s="322" t="s">
        <v>282</v>
      </c>
      <c r="N701" s="322" t="s">
        <v>282</v>
      </c>
      <c r="O701" s="323" t="s">
        <v>15</v>
      </c>
      <c r="P701" s="323" t="s">
        <v>15</v>
      </c>
      <c r="Q701" s="323" t="s">
        <v>15</v>
      </c>
      <c r="R701" s="323" t="s">
        <v>15</v>
      </c>
      <c r="S701" s="323" t="s">
        <v>16</v>
      </c>
      <c r="T701" s="323" t="s">
        <v>329</v>
      </c>
      <c r="U701" s="323" t="s">
        <v>249</v>
      </c>
      <c r="V701" s="323" t="s">
        <v>282</v>
      </c>
      <c r="W701" s="324" t="s">
        <v>282</v>
      </c>
      <c r="X701" s="324" t="s">
        <v>282</v>
      </c>
      <c r="Y701" s="325" t="s">
        <v>282</v>
      </c>
    </row>
    <row r="702" spans="1:25">
      <c r="A702" s="319">
        <v>13</v>
      </c>
      <c r="B702" s="320" t="str">
        <f>VLOOKUP(Tabel10[[#This Row],[Code]],Ruimtegroepen[[Code]:[Ruimte omschrijving]],2,FALSE)</f>
        <v>Personeelskamer</v>
      </c>
      <c r="C702" s="321" t="s">
        <v>867</v>
      </c>
      <c r="D702" s="320" t="s">
        <v>13</v>
      </c>
      <c r="E702" s="321" t="s">
        <v>101</v>
      </c>
      <c r="F702" s="321" t="s">
        <v>870</v>
      </c>
      <c r="G702" s="326" t="s">
        <v>282</v>
      </c>
      <c r="H702" s="322" t="s">
        <v>282</v>
      </c>
      <c r="I702" s="322" t="s">
        <v>282</v>
      </c>
      <c r="J702" s="322" t="s">
        <v>15</v>
      </c>
      <c r="K702" s="322" t="s">
        <v>249</v>
      </c>
      <c r="L702" s="322" t="s">
        <v>282</v>
      </c>
      <c r="M702" s="322" t="s">
        <v>282</v>
      </c>
      <c r="N702" s="322" t="s">
        <v>282</v>
      </c>
      <c r="O702" s="323" t="s">
        <v>15</v>
      </c>
      <c r="P702" s="323" t="s">
        <v>15</v>
      </c>
      <c r="Q702" s="323" t="s">
        <v>15</v>
      </c>
      <c r="R702" s="323" t="s">
        <v>15</v>
      </c>
      <c r="S702" s="323" t="s">
        <v>16</v>
      </c>
      <c r="T702" s="323" t="s">
        <v>329</v>
      </c>
      <c r="U702" s="323" t="s">
        <v>249</v>
      </c>
      <c r="V702" s="323" t="s">
        <v>282</v>
      </c>
      <c r="W702" s="324" t="s">
        <v>282</v>
      </c>
      <c r="X702" s="324" t="s">
        <v>282</v>
      </c>
      <c r="Y702" s="325" t="s">
        <v>282</v>
      </c>
    </row>
    <row r="703" spans="1:25">
      <c r="A703" s="319">
        <v>13</v>
      </c>
      <c r="B703" s="320" t="str">
        <f>VLOOKUP(Tabel10[[#This Row],[Code]],Ruimtegroepen[[Code]:[Ruimte omschrijving]],2,FALSE)</f>
        <v>Personeelskamer</v>
      </c>
      <c r="C703" s="321" t="s">
        <v>867</v>
      </c>
      <c r="D703" s="320" t="s">
        <v>13</v>
      </c>
      <c r="E703" s="321" t="s">
        <v>102</v>
      </c>
      <c r="F703" s="321" t="s">
        <v>871</v>
      </c>
      <c r="G703" s="326" t="s">
        <v>282</v>
      </c>
      <c r="H703" s="322" t="s">
        <v>282</v>
      </c>
      <c r="I703" s="322" t="s">
        <v>282</v>
      </c>
      <c r="J703" s="322" t="s">
        <v>15</v>
      </c>
      <c r="K703" s="322" t="s">
        <v>249</v>
      </c>
      <c r="L703" s="322" t="s">
        <v>282</v>
      </c>
      <c r="M703" s="322" t="s">
        <v>282</v>
      </c>
      <c r="N703" s="322" t="s">
        <v>282</v>
      </c>
      <c r="O703" s="323" t="s">
        <v>15</v>
      </c>
      <c r="P703" s="323" t="s">
        <v>15</v>
      </c>
      <c r="Q703" s="323" t="s">
        <v>15</v>
      </c>
      <c r="R703" s="323" t="s">
        <v>15</v>
      </c>
      <c r="S703" s="323" t="s">
        <v>16</v>
      </c>
      <c r="T703" s="323" t="s">
        <v>329</v>
      </c>
      <c r="U703" s="323" t="s">
        <v>249</v>
      </c>
      <c r="V703" s="323" t="s">
        <v>282</v>
      </c>
      <c r="W703" s="324" t="s">
        <v>282</v>
      </c>
      <c r="X703" s="324" t="s">
        <v>282</v>
      </c>
      <c r="Y703" s="325" t="s">
        <v>282</v>
      </c>
    </row>
    <row r="704" spans="1:25">
      <c r="A704" s="319">
        <v>13</v>
      </c>
      <c r="B704" s="320" t="str">
        <f>VLOOKUP(Tabel10[[#This Row],[Code]],Ruimtegroepen[[Code]:[Ruimte omschrijving]],2,FALSE)</f>
        <v>Personeelskamer</v>
      </c>
      <c r="C704" s="321" t="s">
        <v>867</v>
      </c>
      <c r="D704" s="320" t="s">
        <v>13</v>
      </c>
      <c r="E704" s="321" t="s">
        <v>99</v>
      </c>
      <c r="F704" s="321" t="s">
        <v>869</v>
      </c>
      <c r="G704" s="326" t="s">
        <v>282</v>
      </c>
      <c r="H704" s="322" t="s">
        <v>15</v>
      </c>
      <c r="I704" s="322" t="s">
        <v>282</v>
      </c>
      <c r="J704" s="322" t="s">
        <v>282</v>
      </c>
      <c r="K704" s="322" t="s">
        <v>282</v>
      </c>
      <c r="L704" s="322" t="s">
        <v>282</v>
      </c>
      <c r="M704" s="322" t="s">
        <v>282</v>
      </c>
      <c r="N704" s="322" t="s">
        <v>282</v>
      </c>
      <c r="O704" s="323" t="s">
        <v>15</v>
      </c>
      <c r="P704" s="323" t="s">
        <v>15</v>
      </c>
      <c r="Q704" s="323" t="s">
        <v>15</v>
      </c>
      <c r="R704" s="323" t="s">
        <v>15</v>
      </c>
      <c r="S704" s="323" t="s">
        <v>16</v>
      </c>
      <c r="T704" s="323" t="s">
        <v>329</v>
      </c>
      <c r="U704" s="323" t="s">
        <v>249</v>
      </c>
      <c r="V704" s="323" t="s">
        <v>282</v>
      </c>
      <c r="W704" s="324" t="s">
        <v>282</v>
      </c>
      <c r="X704" s="324" t="s">
        <v>282</v>
      </c>
      <c r="Y704" s="325" t="s">
        <v>282</v>
      </c>
    </row>
    <row r="705" spans="1:25">
      <c r="A705" s="319">
        <v>13</v>
      </c>
      <c r="B705" s="320" t="str">
        <f>VLOOKUP(Tabel10[[#This Row],[Code]],Ruimtegroepen[[Code]:[Ruimte omschrijving]],2,FALSE)</f>
        <v>Personeelskamer</v>
      </c>
      <c r="C705" s="321" t="s">
        <v>867</v>
      </c>
      <c r="D705" s="320" t="s">
        <v>13</v>
      </c>
      <c r="E705" s="321" t="s">
        <v>1306</v>
      </c>
      <c r="F705" s="321" t="s">
        <v>1366</v>
      </c>
      <c r="G705" s="326" t="s">
        <v>282</v>
      </c>
      <c r="H705" s="322" t="s">
        <v>282</v>
      </c>
      <c r="I705" s="322" t="s">
        <v>282</v>
      </c>
      <c r="J705" s="322" t="s">
        <v>15</v>
      </c>
      <c r="K705" s="322" t="s">
        <v>249</v>
      </c>
      <c r="L705" s="322" t="s">
        <v>282</v>
      </c>
      <c r="M705" s="322" t="s">
        <v>282</v>
      </c>
      <c r="N705" s="322" t="s">
        <v>282</v>
      </c>
      <c r="O705" s="323" t="s">
        <v>15</v>
      </c>
      <c r="P705" s="323" t="s">
        <v>15</v>
      </c>
      <c r="Q705" s="323" t="s">
        <v>15</v>
      </c>
      <c r="R705" s="323" t="s">
        <v>15</v>
      </c>
      <c r="S705" s="323" t="s">
        <v>16</v>
      </c>
      <c r="T705" s="323" t="s">
        <v>329</v>
      </c>
      <c r="U705" s="323" t="s">
        <v>249</v>
      </c>
      <c r="V705" s="323" t="s">
        <v>282</v>
      </c>
      <c r="W705" s="324" t="s">
        <v>282</v>
      </c>
      <c r="X705" s="324" t="s">
        <v>282</v>
      </c>
      <c r="Y705" s="325" t="s">
        <v>282</v>
      </c>
    </row>
    <row r="706" spans="1:25">
      <c r="A706" s="319">
        <v>13</v>
      </c>
      <c r="B706" s="320" t="str">
        <f>VLOOKUP(Tabel10[[#This Row],[Code]],Ruimtegroepen[[Code]:[Ruimte omschrijving]],2,FALSE)</f>
        <v>Personeelskamer</v>
      </c>
      <c r="C706" s="321" t="s">
        <v>872</v>
      </c>
      <c r="D706" s="320" t="s">
        <v>0</v>
      </c>
      <c r="E706" s="321" t="s">
        <v>100</v>
      </c>
      <c r="F706" s="321" t="s">
        <v>873</v>
      </c>
      <c r="G706" s="326" t="s">
        <v>282</v>
      </c>
      <c r="H706" s="322" t="s">
        <v>282</v>
      </c>
      <c r="I706" s="322" t="s">
        <v>16</v>
      </c>
      <c r="J706" s="322" t="s">
        <v>282</v>
      </c>
      <c r="K706" s="322" t="s">
        <v>282</v>
      </c>
      <c r="L706" s="322" t="s">
        <v>282</v>
      </c>
      <c r="M706" s="322" t="s">
        <v>282</v>
      </c>
      <c r="N706" s="322" t="s">
        <v>282</v>
      </c>
      <c r="O706" s="323" t="s">
        <v>16</v>
      </c>
      <c r="P706" s="323" t="s">
        <v>16</v>
      </c>
      <c r="Q706" s="323" t="s">
        <v>16</v>
      </c>
      <c r="R706" s="323" t="s">
        <v>16</v>
      </c>
      <c r="S706" s="323" t="s">
        <v>16</v>
      </c>
      <c r="T706" s="323" t="s">
        <v>329</v>
      </c>
      <c r="U706" s="323" t="s">
        <v>249</v>
      </c>
      <c r="V706" s="323" t="s">
        <v>282</v>
      </c>
      <c r="W706" s="324" t="s">
        <v>282</v>
      </c>
      <c r="X706" s="324" t="s">
        <v>282</v>
      </c>
      <c r="Y706" s="325" t="s">
        <v>282</v>
      </c>
    </row>
    <row r="707" spans="1:25">
      <c r="A707" s="319">
        <v>13</v>
      </c>
      <c r="B707" s="320" t="str">
        <f>VLOOKUP(Tabel10[[#This Row],[Code]],Ruimtegroepen[[Code]:[Ruimte omschrijving]],2,FALSE)</f>
        <v>Personeelskamer</v>
      </c>
      <c r="C707" s="321" t="s">
        <v>872</v>
      </c>
      <c r="D707" s="320" t="s">
        <v>0</v>
      </c>
      <c r="E707" s="321" t="s">
        <v>99</v>
      </c>
      <c r="F707" s="321" t="s">
        <v>874</v>
      </c>
      <c r="G707" s="326" t="s">
        <v>282</v>
      </c>
      <c r="H707" s="322" t="s">
        <v>16</v>
      </c>
      <c r="I707" s="322" t="s">
        <v>282</v>
      </c>
      <c r="J707" s="322" t="s">
        <v>282</v>
      </c>
      <c r="K707" s="322" t="s">
        <v>282</v>
      </c>
      <c r="L707" s="322" t="s">
        <v>282</v>
      </c>
      <c r="M707" s="322" t="s">
        <v>282</v>
      </c>
      <c r="N707" s="322" t="s">
        <v>282</v>
      </c>
      <c r="O707" s="323" t="s">
        <v>16</v>
      </c>
      <c r="P707" s="323" t="s">
        <v>16</v>
      </c>
      <c r="Q707" s="323" t="s">
        <v>16</v>
      </c>
      <c r="R707" s="323" t="s">
        <v>16</v>
      </c>
      <c r="S707" s="323" t="s">
        <v>16</v>
      </c>
      <c r="T707" s="323" t="s">
        <v>329</v>
      </c>
      <c r="U707" s="323" t="s">
        <v>249</v>
      </c>
      <c r="V707" s="323" t="s">
        <v>282</v>
      </c>
      <c r="W707" s="324" t="s">
        <v>282</v>
      </c>
      <c r="X707" s="324" t="s">
        <v>282</v>
      </c>
      <c r="Y707" s="325" t="s">
        <v>282</v>
      </c>
    </row>
    <row r="708" spans="1:25">
      <c r="A708" s="319">
        <v>13</v>
      </c>
      <c r="B708" s="320" t="str">
        <f>VLOOKUP(Tabel10[[#This Row],[Code]],Ruimtegroepen[[Code]:[Ruimte omschrijving]],2,FALSE)</f>
        <v>Personeelskamer</v>
      </c>
      <c r="C708" s="321" t="s">
        <v>872</v>
      </c>
      <c r="D708" s="320" t="s">
        <v>0</v>
      </c>
      <c r="E708" s="321" t="s">
        <v>101</v>
      </c>
      <c r="F708" s="321" t="s">
        <v>875</v>
      </c>
      <c r="G708" s="326" t="s">
        <v>282</v>
      </c>
      <c r="H708" s="322" t="s">
        <v>282</v>
      </c>
      <c r="I708" s="322" t="s">
        <v>282</v>
      </c>
      <c r="J708" s="322" t="s">
        <v>16</v>
      </c>
      <c r="K708" s="322" t="s">
        <v>249</v>
      </c>
      <c r="L708" s="322" t="s">
        <v>282</v>
      </c>
      <c r="M708" s="322" t="s">
        <v>282</v>
      </c>
      <c r="N708" s="322" t="s">
        <v>282</v>
      </c>
      <c r="O708" s="323" t="s">
        <v>16</v>
      </c>
      <c r="P708" s="323" t="s">
        <v>16</v>
      </c>
      <c r="Q708" s="323" t="s">
        <v>16</v>
      </c>
      <c r="R708" s="323" t="s">
        <v>16</v>
      </c>
      <c r="S708" s="323" t="s">
        <v>16</v>
      </c>
      <c r="T708" s="323" t="s">
        <v>329</v>
      </c>
      <c r="U708" s="323" t="s">
        <v>249</v>
      </c>
      <c r="V708" s="323" t="s">
        <v>282</v>
      </c>
      <c r="W708" s="324" t="s">
        <v>282</v>
      </c>
      <c r="X708" s="324" t="s">
        <v>282</v>
      </c>
      <c r="Y708" s="325" t="s">
        <v>282</v>
      </c>
    </row>
    <row r="709" spans="1:25">
      <c r="A709" s="319">
        <v>13</v>
      </c>
      <c r="B709" s="320" t="str">
        <f>VLOOKUP(Tabel10[[#This Row],[Code]],Ruimtegroepen[[Code]:[Ruimte omschrijving]],2,FALSE)</f>
        <v>Personeelskamer</v>
      </c>
      <c r="C709" s="321" t="s">
        <v>872</v>
      </c>
      <c r="D709" s="320" t="s">
        <v>0</v>
      </c>
      <c r="E709" s="321" t="s">
        <v>102</v>
      </c>
      <c r="F709" s="321" t="s">
        <v>876</v>
      </c>
      <c r="G709" s="326" t="s">
        <v>282</v>
      </c>
      <c r="H709" s="322" t="s">
        <v>282</v>
      </c>
      <c r="I709" s="322" t="s">
        <v>16</v>
      </c>
      <c r="J709" s="322" t="s">
        <v>282</v>
      </c>
      <c r="K709" s="322" t="s">
        <v>249</v>
      </c>
      <c r="L709" s="322" t="s">
        <v>282</v>
      </c>
      <c r="M709" s="322" t="s">
        <v>282</v>
      </c>
      <c r="N709" s="322" t="s">
        <v>282</v>
      </c>
      <c r="O709" s="323" t="s">
        <v>16</v>
      </c>
      <c r="P709" s="323" t="s">
        <v>16</v>
      </c>
      <c r="Q709" s="323" t="s">
        <v>16</v>
      </c>
      <c r="R709" s="323" t="s">
        <v>16</v>
      </c>
      <c r="S709" s="323" t="s">
        <v>16</v>
      </c>
      <c r="T709" s="323" t="s">
        <v>329</v>
      </c>
      <c r="U709" s="323" t="s">
        <v>249</v>
      </c>
      <c r="V709" s="323" t="s">
        <v>282</v>
      </c>
      <c r="W709" s="324" t="s">
        <v>282</v>
      </c>
      <c r="X709" s="324" t="s">
        <v>282</v>
      </c>
      <c r="Y709" s="325" t="s">
        <v>282</v>
      </c>
    </row>
    <row r="710" spans="1:25">
      <c r="A710" s="319">
        <v>13</v>
      </c>
      <c r="B710" s="320" t="str">
        <f>VLOOKUP(Tabel10[[#This Row],[Code]],Ruimtegroepen[[Code]:[Ruimte omschrijving]],2,FALSE)</f>
        <v>Personeelskamer</v>
      </c>
      <c r="C710" s="321" t="s">
        <v>872</v>
      </c>
      <c r="D710" s="320" t="s">
        <v>0</v>
      </c>
      <c r="E710" s="321" t="s">
        <v>99</v>
      </c>
      <c r="F710" s="321" t="s">
        <v>874</v>
      </c>
      <c r="G710" s="326" t="s">
        <v>282</v>
      </c>
      <c r="H710" s="322" t="s">
        <v>16</v>
      </c>
      <c r="I710" s="322" t="s">
        <v>282</v>
      </c>
      <c r="J710" s="322" t="s">
        <v>282</v>
      </c>
      <c r="K710" s="322" t="s">
        <v>282</v>
      </c>
      <c r="L710" s="322" t="s">
        <v>282</v>
      </c>
      <c r="M710" s="322" t="s">
        <v>282</v>
      </c>
      <c r="N710" s="322" t="s">
        <v>282</v>
      </c>
      <c r="O710" s="323" t="s">
        <v>16</v>
      </c>
      <c r="P710" s="323" t="s">
        <v>16</v>
      </c>
      <c r="Q710" s="323" t="s">
        <v>16</v>
      </c>
      <c r="R710" s="323" t="s">
        <v>16</v>
      </c>
      <c r="S710" s="323" t="s">
        <v>16</v>
      </c>
      <c r="T710" s="323" t="s">
        <v>329</v>
      </c>
      <c r="U710" s="323" t="s">
        <v>249</v>
      </c>
      <c r="V710" s="323" t="s">
        <v>282</v>
      </c>
      <c r="W710" s="324" t="s">
        <v>282</v>
      </c>
      <c r="X710" s="324" t="s">
        <v>282</v>
      </c>
      <c r="Y710" s="325" t="s">
        <v>282</v>
      </c>
    </row>
    <row r="711" spans="1:25">
      <c r="A711" s="319">
        <v>13</v>
      </c>
      <c r="B711" s="320" t="str">
        <f>VLOOKUP(Tabel10[[#This Row],[Code]],Ruimtegroepen[[Code]:[Ruimte omschrijving]],2,FALSE)</f>
        <v>Personeelskamer</v>
      </c>
      <c r="C711" s="321" t="s">
        <v>872</v>
      </c>
      <c r="D711" s="320" t="s">
        <v>0</v>
      </c>
      <c r="E711" s="321" t="s">
        <v>1306</v>
      </c>
      <c r="F711" s="321" t="s">
        <v>1350</v>
      </c>
      <c r="G711" s="326" t="s">
        <v>282</v>
      </c>
      <c r="H711" s="322" t="s">
        <v>282</v>
      </c>
      <c r="I711" s="322" t="s">
        <v>16</v>
      </c>
      <c r="J711" s="322" t="s">
        <v>282</v>
      </c>
      <c r="K711" s="322" t="s">
        <v>249</v>
      </c>
      <c r="L711" s="322" t="s">
        <v>282</v>
      </c>
      <c r="M711" s="322" t="s">
        <v>282</v>
      </c>
      <c r="N711" s="322" t="s">
        <v>282</v>
      </c>
      <c r="O711" s="323" t="s">
        <v>16</v>
      </c>
      <c r="P711" s="323" t="s">
        <v>16</v>
      </c>
      <c r="Q711" s="323" t="s">
        <v>16</v>
      </c>
      <c r="R711" s="323" t="s">
        <v>16</v>
      </c>
      <c r="S711" s="323" t="s">
        <v>16</v>
      </c>
      <c r="T711" s="323" t="s">
        <v>329</v>
      </c>
      <c r="U711" s="323" t="s">
        <v>249</v>
      </c>
      <c r="V711" s="323" t="s">
        <v>282</v>
      </c>
      <c r="W711" s="324" t="s">
        <v>282</v>
      </c>
      <c r="X711" s="324" t="s">
        <v>282</v>
      </c>
      <c r="Y711" s="325" t="s">
        <v>282</v>
      </c>
    </row>
    <row r="712" spans="1:25">
      <c r="A712" s="319">
        <v>13</v>
      </c>
      <c r="B712" s="320" t="str">
        <f>VLOOKUP(Tabel10[[#This Row],[Code]],Ruimtegroepen[[Code]:[Ruimte omschrijving]],2,FALSE)</f>
        <v>Personeelskamer</v>
      </c>
      <c r="C712" s="321" t="s">
        <v>877</v>
      </c>
      <c r="D712" s="320" t="s">
        <v>27</v>
      </c>
      <c r="E712" s="321" t="s">
        <v>100</v>
      </c>
      <c r="F712" s="321" t="s">
        <v>878</v>
      </c>
      <c r="G712" s="326" t="s">
        <v>282</v>
      </c>
      <c r="H712" s="322" t="s">
        <v>282</v>
      </c>
      <c r="I712" s="322" t="s">
        <v>15</v>
      </c>
      <c r="J712" s="322" t="s">
        <v>282</v>
      </c>
      <c r="K712" s="322" t="s">
        <v>282</v>
      </c>
      <c r="L712" s="322" t="s">
        <v>282</v>
      </c>
      <c r="M712" s="322" t="s">
        <v>282</v>
      </c>
      <c r="N712" s="322" t="s">
        <v>282</v>
      </c>
      <c r="O712" s="323" t="s">
        <v>15</v>
      </c>
      <c r="P712" s="323" t="s">
        <v>15</v>
      </c>
      <c r="Q712" s="323" t="s">
        <v>15</v>
      </c>
      <c r="R712" s="323" t="s">
        <v>282</v>
      </c>
      <c r="S712" s="323" t="s">
        <v>282</v>
      </c>
      <c r="T712" s="323" t="s">
        <v>282</v>
      </c>
      <c r="U712" s="323" t="s">
        <v>282</v>
      </c>
      <c r="V712" s="323" t="s">
        <v>282</v>
      </c>
      <c r="W712" s="324" t="s">
        <v>282</v>
      </c>
      <c r="X712" s="324" t="s">
        <v>282</v>
      </c>
      <c r="Y712" s="325" t="s">
        <v>282</v>
      </c>
    </row>
    <row r="713" spans="1:25">
      <c r="A713" s="319">
        <v>13</v>
      </c>
      <c r="B713" s="320" t="str">
        <f>VLOOKUP(Tabel10[[#This Row],[Code]],Ruimtegroepen[[Code]:[Ruimte omschrijving]],2,FALSE)</f>
        <v>Personeelskamer</v>
      </c>
      <c r="C713" s="321" t="s">
        <v>877</v>
      </c>
      <c r="D713" s="320" t="s">
        <v>27</v>
      </c>
      <c r="E713" s="321" t="s">
        <v>99</v>
      </c>
      <c r="F713" s="321" t="s">
        <v>879</v>
      </c>
      <c r="G713" s="326" t="s">
        <v>282</v>
      </c>
      <c r="H713" s="322" t="s">
        <v>15</v>
      </c>
      <c r="I713" s="322" t="s">
        <v>282</v>
      </c>
      <c r="J713" s="322" t="s">
        <v>282</v>
      </c>
      <c r="K713" s="322" t="s">
        <v>282</v>
      </c>
      <c r="L713" s="322" t="s">
        <v>282</v>
      </c>
      <c r="M713" s="322" t="s">
        <v>282</v>
      </c>
      <c r="N713" s="322" t="s">
        <v>282</v>
      </c>
      <c r="O713" s="323" t="s">
        <v>15</v>
      </c>
      <c r="P713" s="323" t="s">
        <v>15</v>
      </c>
      <c r="Q713" s="323" t="s">
        <v>15</v>
      </c>
      <c r="R713" s="323" t="s">
        <v>282</v>
      </c>
      <c r="S713" s="323" t="s">
        <v>282</v>
      </c>
      <c r="T713" s="323" t="s">
        <v>282</v>
      </c>
      <c r="U713" s="323" t="s">
        <v>282</v>
      </c>
      <c r="V713" s="323" t="s">
        <v>282</v>
      </c>
      <c r="W713" s="324" t="s">
        <v>282</v>
      </c>
      <c r="X713" s="324" t="s">
        <v>282</v>
      </c>
      <c r="Y713" s="325" t="s">
        <v>282</v>
      </c>
    </row>
    <row r="714" spans="1:25">
      <c r="A714" s="319">
        <v>13</v>
      </c>
      <c r="B714" s="320" t="str">
        <f>VLOOKUP(Tabel10[[#This Row],[Code]],Ruimtegroepen[[Code]:[Ruimte omschrijving]],2,FALSE)</f>
        <v>Personeelskamer</v>
      </c>
      <c r="C714" s="321" t="s">
        <v>877</v>
      </c>
      <c r="D714" s="320" t="s">
        <v>27</v>
      </c>
      <c r="E714" s="321" t="s">
        <v>101</v>
      </c>
      <c r="F714" s="321" t="s">
        <v>880</v>
      </c>
      <c r="G714" s="326" t="s">
        <v>282</v>
      </c>
      <c r="H714" s="322" t="s">
        <v>282</v>
      </c>
      <c r="I714" s="322" t="s">
        <v>15</v>
      </c>
      <c r="J714" s="322" t="s">
        <v>282</v>
      </c>
      <c r="K714" s="322" t="s">
        <v>282</v>
      </c>
      <c r="L714" s="322" t="s">
        <v>282</v>
      </c>
      <c r="M714" s="322" t="s">
        <v>282</v>
      </c>
      <c r="N714" s="322" t="s">
        <v>282</v>
      </c>
      <c r="O714" s="323" t="s">
        <v>15</v>
      </c>
      <c r="P714" s="323" t="s">
        <v>15</v>
      </c>
      <c r="Q714" s="323" t="s">
        <v>15</v>
      </c>
      <c r="R714" s="323" t="s">
        <v>282</v>
      </c>
      <c r="S714" s="323" t="s">
        <v>282</v>
      </c>
      <c r="T714" s="323" t="s">
        <v>282</v>
      </c>
      <c r="U714" s="323" t="s">
        <v>282</v>
      </c>
      <c r="V714" s="323" t="s">
        <v>282</v>
      </c>
      <c r="W714" s="324" t="s">
        <v>282</v>
      </c>
      <c r="X714" s="324" t="s">
        <v>282</v>
      </c>
      <c r="Y714" s="325" t="s">
        <v>282</v>
      </c>
    </row>
    <row r="715" spans="1:25">
      <c r="A715" s="319">
        <v>13</v>
      </c>
      <c r="B715" s="320" t="str">
        <f>VLOOKUP(Tabel10[[#This Row],[Code]],Ruimtegroepen[[Code]:[Ruimte omschrijving]],2,FALSE)</f>
        <v>Personeelskamer</v>
      </c>
      <c r="C715" s="321" t="s">
        <v>877</v>
      </c>
      <c r="D715" s="320" t="s">
        <v>27</v>
      </c>
      <c r="E715" s="321" t="s">
        <v>102</v>
      </c>
      <c r="F715" s="321" t="s">
        <v>881</v>
      </c>
      <c r="G715" s="326" t="s">
        <v>282</v>
      </c>
      <c r="H715" s="322" t="s">
        <v>282</v>
      </c>
      <c r="I715" s="322" t="s">
        <v>15</v>
      </c>
      <c r="J715" s="322" t="s">
        <v>282</v>
      </c>
      <c r="K715" s="322" t="s">
        <v>282</v>
      </c>
      <c r="L715" s="322" t="s">
        <v>282</v>
      </c>
      <c r="M715" s="322" t="s">
        <v>282</v>
      </c>
      <c r="N715" s="322" t="s">
        <v>282</v>
      </c>
      <c r="O715" s="323" t="s">
        <v>15</v>
      </c>
      <c r="P715" s="323" t="s">
        <v>15</v>
      </c>
      <c r="Q715" s="323" t="s">
        <v>15</v>
      </c>
      <c r="R715" s="323" t="s">
        <v>282</v>
      </c>
      <c r="S715" s="323" t="s">
        <v>282</v>
      </c>
      <c r="T715" s="323" t="s">
        <v>282</v>
      </c>
      <c r="U715" s="323" t="s">
        <v>282</v>
      </c>
      <c r="V715" s="323" t="s">
        <v>282</v>
      </c>
      <c r="W715" s="324" t="s">
        <v>282</v>
      </c>
      <c r="X715" s="324" t="s">
        <v>282</v>
      </c>
      <c r="Y715" s="325" t="s">
        <v>282</v>
      </c>
    </row>
    <row r="716" spans="1:25">
      <c r="A716" s="319">
        <v>13</v>
      </c>
      <c r="B716" s="320" t="str">
        <f>VLOOKUP(Tabel10[[#This Row],[Code]],Ruimtegroepen[[Code]:[Ruimte omschrijving]],2,FALSE)</f>
        <v>Personeelskamer</v>
      </c>
      <c r="C716" s="321" t="s">
        <v>877</v>
      </c>
      <c r="D716" s="320" t="s">
        <v>27</v>
      </c>
      <c r="E716" s="321" t="s">
        <v>99</v>
      </c>
      <c r="F716" s="321" t="s">
        <v>879</v>
      </c>
      <c r="G716" s="326" t="s">
        <v>282</v>
      </c>
      <c r="H716" s="322" t="s">
        <v>15</v>
      </c>
      <c r="I716" s="322" t="s">
        <v>282</v>
      </c>
      <c r="J716" s="322" t="s">
        <v>282</v>
      </c>
      <c r="K716" s="322" t="s">
        <v>282</v>
      </c>
      <c r="L716" s="322" t="s">
        <v>282</v>
      </c>
      <c r="M716" s="322" t="s">
        <v>282</v>
      </c>
      <c r="N716" s="322" t="s">
        <v>282</v>
      </c>
      <c r="O716" s="323" t="s">
        <v>15</v>
      </c>
      <c r="P716" s="323" t="s">
        <v>15</v>
      </c>
      <c r="Q716" s="323" t="s">
        <v>15</v>
      </c>
      <c r="R716" s="323" t="s">
        <v>282</v>
      </c>
      <c r="S716" s="323" t="s">
        <v>282</v>
      </c>
      <c r="T716" s="323" t="s">
        <v>282</v>
      </c>
      <c r="U716" s="323" t="s">
        <v>282</v>
      </c>
      <c r="V716" s="323" t="s">
        <v>282</v>
      </c>
      <c r="W716" s="324" t="s">
        <v>282</v>
      </c>
      <c r="X716" s="324" t="s">
        <v>282</v>
      </c>
      <c r="Y716" s="325" t="s">
        <v>282</v>
      </c>
    </row>
    <row r="717" spans="1:25">
      <c r="A717" s="319">
        <v>13</v>
      </c>
      <c r="B717" s="320" t="str">
        <f>VLOOKUP(Tabel10[[#This Row],[Code]],Ruimtegroepen[[Code]:[Ruimte omschrijving]],2,FALSE)</f>
        <v>Personeelskamer</v>
      </c>
      <c r="C717" s="321" t="s">
        <v>877</v>
      </c>
      <c r="D717" s="320" t="s">
        <v>27</v>
      </c>
      <c r="E717" s="321" t="s">
        <v>1306</v>
      </c>
      <c r="F717" s="321" t="s">
        <v>1383</v>
      </c>
      <c r="G717" s="326" t="s">
        <v>282</v>
      </c>
      <c r="H717" s="322" t="s">
        <v>282</v>
      </c>
      <c r="I717" s="322" t="s">
        <v>15</v>
      </c>
      <c r="J717" s="322" t="s">
        <v>282</v>
      </c>
      <c r="K717" s="322" t="s">
        <v>282</v>
      </c>
      <c r="L717" s="322" t="s">
        <v>282</v>
      </c>
      <c r="M717" s="322" t="s">
        <v>282</v>
      </c>
      <c r="N717" s="322" t="s">
        <v>282</v>
      </c>
      <c r="O717" s="323" t="s">
        <v>15</v>
      </c>
      <c r="P717" s="323" t="s">
        <v>15</v>
      </c>
      <c r="Q717" s="323" t="s">
        <v>15</v>
      </c>
      <c r="R717" s="323" t="s">
        <v>282</v>
      </c>
      <c r="S717" s="323" t="s">
        <v>282</v>
      </c>
      <c r="T717" s="323" t="s">
        <v>282</v>
      </c>
      <c r="U717" s="323" t="s">
        <v>282</v>
      </c>
      <c r="V717" s="323" t="s">
        <v>282</v>
      </c>
      <c r="W717" s="324" t="s">
        <v>282</v>
      </c>
      <c r="X717" s="324" t="s">
        <v>282</v>
      </c>
      <c r="Y717" s="325" t="s">
        <v>282</v>
      </c>
    </row>
    <row r="718" spans="1:25">
      <c r="A718" s="319">
        <v>13</v>
      </c>
      <c r="B718" s="320" t="str">
        <f>VLOOKUP(Tabel10[[#This Row],[Code]],Ruimtegroepen[[Code]:[Ruimte omschrijving]],2,FALSE)</f>
        <v>Personeelskamer</v>
      </c>
      <c r="C718" s="321" t="s">
        <v>882</v>
      </c>
      <c r="D718" s="320" t="s">
        <v>28</v>
      </c>
      <c r="E718" s="321" t="s">
        <v>100</v>
      </c>
      <c r="F718" s="321" t="s">
        <v>883</v>
      </c>
      <c r="G718" s="326" t="s">
        <v>282</v>
      </c>
      <c r="H718" s="322" t="s">
        <v>282</v>
      </c>
      <c r="I718" s="322" t="s">
        <v>17</v>
      </c>
      <c r="J718" s="322" t="s">
        <v>282</v>
      </c>
      <c r="K718" s="322" t="s">
        <v>282</v>
      </c>
      <c r="L718" s="322" t="s">
        <v>282</v>
      </c>
      <c r="M718" s="322" t="s">
        <v>282</v>
      </c>
      <c r="N718" s="322" t="s">
        <v>282</v>
      </c>
      <c r="O718" s="323" t="s">
        <v>17</v>
      </c>
      <c r="P718" s="323" t="s">
        <v>17</v>
      </c>
      <c r="Q718" s="323" t="s">
        <v>15</v>
      </c>
      <c r="R718" s="323" t="s">
        <v>282</v>
      </c>
      <c r="S718" s="323" t="s">
        <v>282</v>
      </c>
      <c r="T718" s="323" t="s">
        <v>282</v>
      </c>
      <c r="U718" s="323" t="s">
        <v>282</v>
      </c>
      <c r="V718" s="323" t="s">
        <v>282</v>
      </c>
      <c r="W718" s="324" t="s">
        <v>282</v>
      </c>
      <c r="X718" s="324" t="s">
        <v>282</v>
      </c>
      <c r="Y718" s="325" t="s">
        <v>282</v>
      </c>
    </row>
    <row r="719" spans="1:25">
      <c r="A719" s="319">
        <v>13</v>
      </c>
      <c r="B719" s="320" t="str">
        <f>VLOOKUP(Tabel10[[#This Row],[Code]],Ruimtegroepen[[Code]:[Ruimte omschrijving]],2,FALSE)</f>
        <v>Personeelskamer</v>
      </c>
      <c r="C719" s="321" t="s">
        <v>882</v>
      </c>
      <c r="D719" s="320" t="s">
        <v>28</v>
      </c>
      <c r="E719" s="321" t="s">
        <v>99</v>
      </c>
      <c r="F719" s="321" t="s">
        <v>884</v>
      </c>
      <c r="G719" s="326" t="s">
        <v>282</v>
      </c>
      <c r="H719" s="322" t="s">
        <v>17</v>
      </c>
      <c r="I719" s="322" t="s">
        <v>282</v>
      </c>
      <c r="J719" s="322" t="s">
        <v>282</v>
      </c>
      <c r="K719" s="322" t="s">
        <v>282</v>
      </c>
      <c r="L719" s="322" t="s">
        <v>282</v>
      </c>
      <c r="M719" s="322" t="s">
        <v>282</v>
      </c>
      <c r="N719" s="322" t="s">
        <v>282</v>
      </c>
      <c r="O719" s="323" t="s">
        <v>17</v>
      </c>
      <c r="P719" s="323" t="s">
        <v>17</v>
      </c>
      <c r="Q719" s="323" t="s">
        <v>15</v>
      </c>
      <c r="R719" s="323" t="s">
        <v>282</v>
      </c>
      <c r="S719" s="323" t="s">
        <v>282</v>
      </c>
      <c r="T719" s="323" t="s">
        <v>282</v>
      </c>
      <c r="U719" s="323" t="s">
        <v>282</v>
      </c>
      <c r="V719" s="323" t="s">
        <v>282</v>
      </c>
      <c r="W719" s="324" t="s">
        <v>282</v>
      </c>
      <c r="X719" s="324" t="s">
        <v>282</v>
      </c>
      <c r="Y719" s="325" t="s">
        <v>282</v>
      </c>
    </row>
    <row r="720" spans="1:25">
      <c r="A720" s="319">
        <v>13</v>
      </c>
      <c r="B720" s="320" t="str">
        <f>VLOOKUP(Tabel10[[#This Row],[Code]],Ruimtegroepen[[Code]:[Ruimte omschrijving]],2,FALSE)</f>
        <v>Personeelskamer</v>
      </c>
      <c r="C720" s="321" t="s">
        <v>882</v>
      </c>
      <c r="D720" s="320" t="s">
        <v>28</v>
      </c>
      <c r="E720" s="321" t="s">
        <v>101</v>
      </c>
      <c r="F720" s="321" t="s">
        <v>885</v>
      </c>
      <c r="G720" s="326" t="s">
        <v>282</v>
      </c>
      <c r="H720" s="322" t="s">
        <v>282</v>
      </c>
      <c r="I720" s="322" t="s">
        <v>17</v>
      </c>
      <c r="J720" s="322" t="s">
        <v>282</v>
      </c>
      <c r="K720" s="322" t="s">
        <v>282</v>
      </c>
      <c r="L720" s="322" t="s">
        <v>282</v>
      </c>
      <c r="M720" s="322" t="s">
        <v>282</v>
      </c>
      <c r="N720" s="322" t="s">
        <v>282</v>
      </c>
      <c r="O720" s="323" t="s">
        <v>17</v>
      </c>
      <c r="P720" s="323" t="s">
        <v>17</v>
      </c>
      <c r="Q720" s="323" t="s">
        <v>15</v>
      </c>
      <c r="R720" s="323" t="s">
        <v>282</v>
      </c>
      <c r="S720" s="323" t="s">
        <v>282</v>
      </c>
      <c r="T720" s="323" t="s">
        <v>282</v>
      </c>
      <c r="U720" s="323" t="s">
        <v>282</v>
      </c>
      <c r="V720" s="323" t="s">
        <v>282</v>
      </c>
      <c r="W720" s="324" t="s">
        <v>282</v>
      </c>
      <c r="X720" s="324" t="s">
        <v>282</v>
      </c>
      <c r="Y720" s="325" t="s">
        <v>282</v>
      </c>
    </row>
    <row r="721" spans="1:25">
      <c r="A721" s="319">
        <v>13</v>
      </c>
      <c r="B721" s="320" t="str">
        <f>VLOOKUP(Tabel10[[#This Row],[Code]],Ruimtegroepen[[Code]:[Ruimte omschrijving]],2,FALSE)</f>
        <v>Personeelskamer</v>
      </c>
      <c r="C721" s="321" t="s">
        <v>882</v>
      </c>
      <c r="D721" s="320" t="s">
        <v>28</v>
      </c>
      <c r="E721" s="321" t="s">
        <v>102</v>
      </c>
      <c r="F721" s="321" t="s">
        <v>886</v>
      </c>
      <c r="G721" s="326" t="s">
        <v>282</v>
      </c>
      <c r="H721" s="322" t="s">
        <v>282</v>
      </c>
      <c r="I721" s="322" t="s">
        <v>17</v>
      </c>
      <c r="J721" s="322" t="s">
        <v>282</v>
      </c>
      <c r="K721" s="322" t="s">
        <v>282</v>
      </c>
      <c r="L721" s="322" t="s">
        <v>282</v>
      </c>
      <c r="M721" s="322" t="s">
        <v>282</v>
      </c>
      <c r="N721" s="322" t="s">
        <v>282</v>
      </c>
      <c r="O721" s="323" t="s">
        <v>17</v>
      </c>
      <c r="P721" s="323" t="s">
        <v>17</v>
      </c>
      <c r="Q721" s="323" t="s">
        <v>15</v>
      </c>
      <c r="R721" s="323" t="s">
        <v>282</v>
      </c>
      <c r="S721" s="323" t="s">
        <v>282</v>
      </c>
      <c r="T721" s="323" t="s">
        <v>282</v>
      </c>
      <c r="U721" s="323" t="s">
        <v>282</v>
      </c>
      <c r="V721" s="323" t="s">
        <v>282</v>
      </c>
      <c r="W721" s="324" t="s">
        <v>282</v>
      </c>
      <c r="X721" s="324" t="s">
        <v>282</v>
      </c>
      <c r="Y721" s="325" t="s">
        <v>282</v>
      </c>
    </row>
    <row r="722" spans="1:25">
      <c r="A722" s="319">
        <v>13</v>
      </c>
      <c r="B722" s="320" t="str">
        <f>VLOOKUP(Tabel10[[#This Row],[Code]],Ruimtegroepen[[Code]:[Ruimte omschrijving]],2,FALSE)</f>
        <v>Personeelskamer</v>
      </c>
      <c r="C722" s="321" t="s">
        <v>882</v>
      </c>
      <c r="D722" s="320" t="s">
        <v>28</v>
      </c>
      <c r="E722" s="321" t="s">
        <v>99</v>
      </c>
      <c r="F722" s="321" t="s">
        <v>884</v>
      </c>
      <c r="G722" s="326" t="s">
        <v>282</v>
      </c>
      <c r="H722" s="322" t="s">
        <v>17</v>
      </c>
      <c r="I722" s="322" t="s">
        <v>282</v>
      </c>
      <c r="J722" s="322" t="s">
        <v>282</v>
      </c>
      <c r="K722" s="322" t="s">
        <v>282</v>
      </c>
      <c r="L722" s="322" t="s">
        <v>282</v>
      </c>
      <c r="M722" s="322" t="s">
        <v>282</v>
      </c>
      <c r="N722" s="322" t="s">
        <v>282</v>
      </c>
      <c r="O722" s="323" t="s">
        <v>17</v>
      </c>
      <c r="P722" s="323" t="s">
        <v>17</v>
      </c>
      <c r="Q722" s="323" t="s">
        <v>15</v>
      </c>
      <c r="R722" s="323" t="s">
        <v>282</v>
      </c>
      <c r="S722" s="323" t="s">
        <v>282</v>
      </c>
      <c r="T722" s="323" t="s">
        <v>282</v>
      </c>
      <c r="U722" s="323" t="s">
        <v>282</v>
      </c>
      <c r="V722" s="323" t="s">
        <v>282</v>
      </c>
      <c r="W722" s="324" t="s">
        <v>282</v>
      </c>
      <c r="X722" s="324" t="s">
        <v>282</v>
      </c>
      <c r="Y722" s="325" t="s">
        <v>282</v>
      </c>
    </row>
    <row r="723" spans="1:25">
      <c r="A723" s="319">
        <v>13</v>
      </c>
      <c r="B723" s="320" t="str">
        <f>VLOOKUP(Tabel10[[#This Row],[Code]],Ruimtegroepen[[Code]:[Ruimte omschrijving]],2,FALSE)</f>
        <v>Personeelskamer</v>
      </c>
      <c r="C723" s="321" t="s">
        <v>882</v>
      </c>
      <c r="D723" s="320" t="s">
        <v>28</v>
      </c>
      <c r="E723" s="321" t="s">
        <v>1306</v>
      </c>
      <c r="F723" s="321" t="s">
        <v>1416</v>
      </c>
      <c r="G723" s="326" t="s">
        <v>282</v>
      </c>
      <c r="H723" s="322" t="s">
        <v>282</v>
      </c>
      <c r="I723" s="322" t="s">
        <v>17</v>
      </c>
      <c r="J723" s="322" t="s">
        <v>282</v>
      </c>
      <c r="K723" s="322" t="s">
        <v>282</v>
      </c>
      <c r="L723" s="322" t="s">
        <v>282</v>
      </c>
      <c r="M723" s="322" t="s">
        <v>282</v>
      </c>
      <c r="N723" s="322" t="s">
        <v>282</v>
      </c>
      <c r="O723" s="323" t="s">
        <v>17</v>
      </c>
      <c r="P723" s="323" t="s">
        <v>17</v>
      </c>
      <c r="Q723" s="323" t="s">
        <v>15</v>
      </c>
      <c r="R723" s="323" t="s">
        <v>282</v>
      </c>
      <c r="S723" s="323" t="s">
        <v>282</v>
      </c>
      <c r="T723" s="323" t="s">
        <v>282</v>
      </c>
      <c r="U723" s="323" t="s">
        <v>282</v>
      </c>
      <c r="V723" s="323" t="s">
        <v>282</v>
      </c>
      <c r="W723" s="324" t="s">
        <v>282</v>
      </c>
      <c r="X723" s="324" t="s">
        <v>282</v>
      </c>
      <c r="Y723" s="325" t="s">
        <v>282</v>
      </c>
    </row>
    <row r="724" spans="1:25">
      <c r="A724" s="319">
        <v>14</v>
      </c>
      <c r="B724" s="320" t="str">
        <f>VLOOKUP(Tabel10[[#This Row],[Code]],Ruimtegroepen[[Code]:[Ruimte omschrijving]],2,FALSE)</f>
        <v>Praktijklokalen</v>
      </c>
      <c r="C724" s="321" t="s">
        <v>887</v>
      </c>
      <c r="D724" s="320" t="s">
        <v>29</v>
      </c>
      <c r="E724" s="321" t="s">
        <v>100</v>
      </c>
      <c r="F724" s="321" t="s">
        <v>888</v>
      </c>
      <c r="G724" s="326" t="s">
        <v>282</v>
      </c>
      <c r="H724" s="322" t="s">
        <v>282</v>
      </c>
      <c r="I724" s="322" t="s">
        <v>20</v>
      </c>
      <c r="J724" s="322" t="s">
        <v>15</v>
      </c>
      <c r="K724" s="322" t="s">
        <v>282</v>
      </c>
      <c r="L724" s="322" t="s">
        <v>282</v>
      </c>
      <c r="M724" s="322" t="s">
        <v>282</v>
      </c>
      <c r="N724" s="322" t="s">
        <v>2</v>
      </c>
      <c r="O724" s="323" t="s">
        <v>2</v>
      </c>
      <c r="P724" s="323" t="s">
        <v>2</v>
      </c>
      <c r="Q724" s="323" t="s">
        <v>15</v>
      </c>
      <c r="R724" s="323" t="s">
        <v>15</v>
      </c>
      <c r="S724" s="323" t="s">
        <v>16</v>
      </c>
      <c r="T724" s="323" t="s">
        <v>329</v>
      </c>
      <c r="U724" s="323" t="s">
        <v>249</v>
      </c>
      <c r="V724" s="323" t="s">
        <v>2</v>
      </c>
      <c r="W724" s="324" t="s">
        <v>282</v>
      </c>
      <c r="X724" s="324" t="s">
        <v>282</v>
      </c>
      <c r="Y724" s="325" t="s">
        <v>282</v>
      </c>
    </row>
    <row r="725" spans="1:25">
      <c r="A725" s="319">
        <v>14</v>
      </c>
      <c r="B725" s="320" t="str">
        <f>VLOOKUP(Tabel10[[#This Row],[Code]],Ruimtegroepen[[Code]:[Ruimte omschrijving]],2,FALSE)</f>
        <v>Praktijklokalen</v>
      </c>
      <c r="C725" s="321" t="s">
        <v>887</v>
      </c>
      <c r="D725" s="320" t="s">
        <v>29</v>
      </c>
      <c r="E725" s="321" t="s">
        <v>99</v>
      </c>
      <c r="F725" s="321" t="s">
        <v>889</v>
      </c>
      <c r="G725" s="322" t="s">
        <v>18</v>
      </c>
      <c r="H725" s="322" t="s">
        <v>17</v>
      </c>
      <c r="I725" s="322" t="s">
        <v>282</v>
      </c>
      <c r="J725" s="322" t="s">
        <v>282</v>
      </c>
      <c r="K725" s="322" t="s">
        <v>282</v>
      </c>
      <c r="L725" s="322" t="s">
        <v>282</v>
      </c>
      <c r="M725" s="322" t="s">
        <v>282</v>
      </c>
      <c r="N725" s="322" t="s">
        <v>2</v>
      </c>
      <c r="O725" s="323" t="s">
        <v>2</v>
      </c>
      <c r="P725" s="323" t="s">
        <v>2</v>
      </c>
      <c r="Q725" s="323" t="s">
        <v>15</v>
      </c>
      <c r="R725" s="323" t="s">
        <v>15</v>
      </c>
      <c r="S725" s="323" t="s">
        <v>16</v>
      </c>
      <c r="T725" s="323" t="s">
        <v>329</v>
      </c>
      <c r="U725" s="323" t="s">
        <v>249</v>
      </c>
      <c r="V725" s="323" t="s">
        <v>2</v>
      </c>
      <c r="W725" s="324" t="s">
        <v>282</v>
      </c>
      <c r="X725" s="324" t="s">
        <v>282</v>
      </c>
      <c r="Y725" s="325" t="s">
        <v>282</v>
      </c>
    </row>
    <row r="726" spans="1:25">
      <c r="A726" s="319">
        <v>14</v>
      </c>
      <c r="B726" s="320" t="str">
        <f>VLOOKUP(Tabel10[[#This Row],[Code]],Ruimtegroepen[[Code]:[Ruimte omschrijving]],2,FALSE)</f>
        <v>Praktijklokalen</v>
      </c>
      <c r="C726" s="321" t="s">
        <v>887</v>
      </c>
      <c r="D726" s="320" t="s">
        <v>29</v>
      </c>
      <c r="E726" s="321" t="s">
        <v>101</v>
      </c>
      <c r="F726" s="321" t="s">
        <v>890</v>
      </c>
      <c r="G726" s="326" t="s">
        <v>282</v>
      </c>
      <c r="H726" s="322" t="s">
        <v>282</v>
      </c>
      <c r="I726" s="322" t="s">
        <v>20</v>
      </c>
      <c r="J726" s="322" t="s">
        <v>15</v>
      </c>
      <c r="K726" s="322" t="s">
        <v>16</v>
      </c>
      <c r="L726" s="322" t="s">
        <v>282</v>
      </c>
      <c r="M726" s="322" t="s">
        <v>282</v>
      </c>
      <c r="N726" s="322" t="s">
        <v>2</v>
      </c>
      <c r="O726" s="323" t="s">
        <v>2</v>
      </c>
      <c r="P726" s="323" t="s">
        <v>2</v>
      </c>
      <c r="Q726" s="323" t="s">
        <v>15</v>
      </c>
      <c r="R726" s="323" t="s">
        <v>15</v>
      </c>
      <c r="S726" s="323" t="s">
        <v>16</v>
      </c>
      <c r="T726" s="323" t="s">
        <v>329</v>
      </c>
      <c r="U726" s="323" t="s">
        <v>249</v>
      </c>
      <c r="V726" s="323" t="s">
        <v>2</v>
      </c>
      <c r="W726" s="324" t="s">
        <v>282</v>
      </c>
      <c r="X726" s="324" t="s">
        <v>282</v>
      </c>
      <c r="Y726" s="325" t="s">
        <v>282</v>
      </c>
    </row>
    <row r="727" spans="1:25">
      <c r="A727" s="319">
        <v>14</v>
      </c>
      <c r="B727" s="320" t="str">
        <f>VLOOKUP(Tabel10[[#This Row],[Code]],Ruimtegroepen[[Code]:[Ruimte omschrijving]],2,FALSE)</f>
        <v>Praktijklokalen</v>
      </c>
      <c r="C727" s="321" t="s">
        <v>887</v>
      </c>
      <c r="D727" s="320" t="s">
        <v>29</v>
      </c>
      <c r="E727" s="321" t="s">
        <v>102</v>
      </c>
      <c r="F727" s="321" t="s">
        <v>891</v>
      </c>
      <c r="G727" s="326" t="s">
        <v>282</v>
      </c>
      <c r="H727" s="322" t="s">
        <v>282</v>
      </c>
      <c r="I727" s="322" t="s">
        <v>20</v>
      </c>
      <c r="J727" s="322" t="s">
        <v>15</v>
      </c>
      <c r="K727" s="322" t="s">
        <v>16</v>
      </c>
      <c r="L727" s="322" t="s">
        <v>282</v>
      </c>
      <c r="M727" s="322" t="s">
        <v>282</v>
      </c>
      <c r="N727" s="322" t="s">
        <v>2</v>
      </c>
      <c r="O727" s="323" t="s">
        <v>2</v>
      </c>
      <c r="P727" s="323" t="s">
        <v>2</v>
      </c>
      <c r="Q727" s="323" t="s">
        <v>15</v>
      </c>
      <c r="R727" s="323" t="s">
        <v>15</v>
      </c>
      <c r="S727" s="323" t="s">
        <v>16</v>
      </c>
      <c r="T727" s="323" t="s">
        <v>329</v>
      </c>
      <c r="U727" s="323" t="s">
        <v>249</v>
      </c>
      <c r="V727" s="323" t="s">
        <v>2</v>
      </c>
      <c r="W727" s="324" t="s">
        <v>282</v>
      </c>
      <c r="X727" s="324" t="s">
        <v>282</v>
      </c>
      <c r="Y727" s="325" t="s">
        <v>282</v>
      </c>
    </row>
    <row r="728" spans="1:25">
      <c r="A728" s="319">
        <v>14</v>
      </c>
      <c r="B728" s="320" t="str">
        <f>VLOOKUP(Tabel10[[#This Row],[Code]],Ruimtegroepen[[Code]:[Ruimte omschrijving]],2,FALSE)</f>
        <v>Praktijklokalen</v>
      </c>
      <c r="C728" s="321" t="s">
        <v>887</v>
      </c>
      <c r="D728" s="320" t="s">
        <v>29</v>
      </c>
      <c r="E728" s="321" t="s">
        <v>99</v>
      </c>
      <c r="F728" s="321" t="s">
        <v>889</v>
      </c>
      <c r="G728" s="322" t="s">
        <v>18</v>
      </c>
      <c r="H728" s="322" t="s">
        <v>17</v>
      </c>
      <c r="I728" s="322" t="s">
        <v>282</v>
      </c>
      <c r="J728" s="322" t="s">
        <v>282</v>
      </c>
      <c r="K728" s="322" t="s">
        <v>282</v>
      </c>
      <c r="L728" s="322" t="s">
        <v>282</v>
      </c>
      <c r="M728" s="322" t="s">
        <v>282</v>
      </c>
      <c r="N728" s="322" t="s">
        <v>282</v>
      </c>
      <c r="O728" s="323" t="s">
        <v>282</v>
      </c>
      <c r="P728" s="323" t="s">
        <v>282</v>
      </c>
      <c r="Q728" s="323" t="s">
        <v>282</v>
      </c>
      <c r="R728" s="323" t="s">
        <v>282</v>
      </c>
      <c r="S728" s="323" t="s">
        <v>282</v>
      </c>
      <c r="T728" s="323" t="s">
        <v>282</v>
      </c>
      <c r="U728" s="323" t="s">
        <v>282</v>
      </c>
      <c r="V728" s="323" t="s">
        <v>282</v>
      </c>
      <c r="W728" s="324" t="s">
        <v>282</v>
      </c>
      <c r="X728" s="324" t="s">
        <v>282</v>
      </c>
      <c r="Y728" s="325" t="s">
        <v>282</v>
      </c>
    </row>
    <row r="729" spans="1:25">
      <c r="A729" s="319">
        <v>14</v>
      </c>
      <c r="B729" s="320" t="str">
        <f>VLOOKUP(Tabel10[[#This Row],[Code]],Ruimtegroepen[[Code]:[Ruimte omschrijving]],2,FALSE)</f>
        <v>Praktijklokalen</v>
      </c>
      <c r="C729" s="321" t="s">
        <v>887</v>
      </c>
      <c r="D729" s="320" t="s">
        <v>29</v>
      </c>
      <c r="E729" s="321" t="s">
        <v>1306</v>
      </c>
      <c r="F729" s="321" t="s">
        <v>1484</v>
      </c>
      <c r="G729" s="326" t="s">
        <v>282</v>
      </c>
      <c r="H729" s="322" t="s">
        <v>282</v>
      </c>
      <c r="I729" s="322" t="s">
        <v>20</v>
      </c>
      <c r="J729" s="322" t="s">
        <v>15</v>
      </c>
      <c r="K729" s="322" t="s">
        <v>16</v>
      </c>
      <c r="L729" s="322" t="s">
        <v>282</v>
      </c>
      <c r="M729" s="322" t="s">
        <v>282</v>
      </c>
      <c r="N729" s="322" t="s">
        <v>2</v>
      </c>
      <c r="O729" s="323" t="s">
        <v>2</v>
      </c>
      <c r="P729" s="323" t="s">
        <v>2</v>
      </c>
      <c r="Q729" s="323" t="s">
        <v>15</v>
      </c>
      <c r="R729" s="323" t="s">
        <v>15</v>
      </c>
      <c r="S729" s="323" t="s">
        <v>16</v>
      </c>
      <c r="T729" s="323" t="s">
        <v>329</v>
      </c>
      <c r="U729" s="323" t="s">
        <v>249</v>
      </c>
      <c r="V729" s="323" t="s">
        <v>2</v>
      </c>
      <c r="W729" s="324" t="s">
        <v>282</v>
      </c>
      <c r="X729" s="324" t="s">
        <v>282</v>
      </c>
      <c r="Y729" s="325" t="s">
        <v>282</v>
      </c>
    </row>
    <row r="730" spans="1:25">
      <c r="A730" s="319">
        <v>14</v>
      </c>
      <c r="B730" s="320" t="str">
        <f>VLOOKUP(Tabel10[[#This Row],[Code]],Ruimtegroepen[[Code]:[Ruimte omschrijving]],2,FALSE)</f>
        <v>Praktijklokalen</v>
      </c>
      <c r="C730" s="321" t="s">
        <v>892</v>
      </c>
      <c r="D730" s="320" t="s">
        <v>1</v>
      </c>
      <c r="E730" s="321" t="s">
        <v>100</v>
      </c>
      <c r="F730" s="321" t="s">
        <v>893</v>
      </c>
      <c r="G730" s="326" t="s">
        <v>282</v>
      </c>
      <c r="H730" s="322" t="s">
        <v>282</v>
      </c>
      <c r="I730" s="322" t="s">
        <v>20</v>
      </c>
      <c r="J730" s="322" t="s">
        <v>15</v>
      </c>
      <c r="K730" s="322" t="s">
        <v>282</v>
      </c>
      <c r="L730" s="322" t="s">
        <v>282</v>
      </c>
      <c r="M730" s="322" t="s">
        <v>282</v>
      </c>
      <c r="N730" s="322" t="s">
        <v>282</v>
      </c>
      <c r="O730" s="323" t="s">
        <v>2</v>
      </c>
      <c r="P730" s="323" t="s">
        <v>2</v>
      </c>
      <c r="Q730" s="323" t="s">
        <v>15</v>
      </c>
      <c r="R730" s="323" t="s">
        <v>15</v>
      </c>
      <c r="S730" s="323" t="s">
        <v>16</v>
      </c>
      <c r="T730" s="323" t="s">
        <v>329</v>
      </c>
      <c r="U730" s="323" t="s">
        <v>249</v>
      </c>
      <c r="V730" s="323" t="s">
        <v>282</v>
      </c>
      <c r="W730" s="324" t="s">
        <v>282</v>
      </c>
      <c r="X730" s="324" t="s">
        <v>282</v>
      </c>
      <c r="Y730" s="325" t="s">
        <v>282</v>
      </c>
    </row>
    <row r="731" spans="1:25">
      <c r="A731" s="319">
        <v>14</v>
      </c>
      <c r="B731" s="320" t="str">
        <f>VLOOKUP(Tabel10[[#This Row],[Code]],Ruimtegroepen[[Code]:[Ruimte omschrijving]],2,FALSE)</f>
        <v>Praktijklokalen</v>
      </c>
      <c r="C731" s="321" t="s">
        <v>892</v>
      </c>
      <c r="D731" s="320" t="s">
        <v>1</v>
      </c>
      <c r="E731" s="321" t="s">
        <v>99</v>
      </c>
      <c r="F731" s="321" t="s">
        <v>894</v>
      </c>
      <c r="G731" s="322" t="s">
        <v>18</v>
      </c>
      <c r="H731" s="322" t="s">
        <v>17</v>
      </c>
      <c r="I731" s="322" t="s">
        <v>282</v>
      </c>
      <c r="J731" s="322" t="s">
        <v>282</v>
      </c>
      <c r="K731" s="322" t="s">
        <v>282</v>
      </c>
      <c r="L731" s="322" t="s">
        <v>282</v>
      </c>
      <c r="M731" s="322" t="s">
        <v>282</v>
      </c>
      <c r="N731" s="322" t="s">
        <v>282</v>
      </c>
      <c r="O731" s="323" t="s">
        <v>2</v>
      </c>
      <c r="P731" s="323" t="s">
        <v>2</v>
      </c>
      <c r="Q731" s="323" t="s">
        <v>15</v>
      </c>
      <c r="R731" s="323" t="s">
        <v>15</v>
      </c>
      <c r="S731" s="323" t="s">
        <v>16</v>
      </c>
      <c r="T731" s="323" t="s">
        <v>329</v>
      </c>
      <c r="U731" s="323" t="s">
        <v>249</v>
      </c>
      <c r="V731" s="323" t="s">
        <v>282</v>
      </c>
      <c r="W731" s="324" t="s">
        <v>282</v>
      </c>
      <c r="X731" s="324" t="s">
        <v>282</v>
      </c>
      <c r="Y731" s="325" t="s">
        <v>282</v>
      </c>
    </row>
    <row r="732" spans="1:25">
      <c r="A732" s="319">
        <v>14</v>
      </c>
      <c r="B732" s="320" t="str">
        <f>VLOOKUP(Tabel10[[#This Row],[Code]],Ruimtegroepen[[Code]:[Ruimte omschrijving]],2,FALSE)</f>
        <v>Praktijklokalen</v>
      </c>
      <c r="C732" s="321" t="s">
        <v>892</v>
      </c>
      <c r="D732" s="320" t="s">
        <v>1</v>
      </c>
      <c r="E732" s="321" t="s">
        <v>101</v>
      </c>
      <c r="F732" s="321" t="s">
        <v>895</v>
      </c>
      <c r="G732" s="326" t="s">
        <v>282</v>
      </c>
      <c r="H732" s="322" t="s">
        <v>282</v>
      </c>
      <c r="I732" s="322" t="s">
        <v>20</v>
      </c>
      <c r="J732" s="322" t="s">
        <v>15</v>
      </c>
      <c r="K732" s="322" t="s">
        <v>16</v>
      </c>
      <c r="L732" s="322" t="s">
        <v>282</v>
      </c>
      <c r="M732" s="322" t="s">
        <v>282</v>
      </c>
      <c r="N732" s="322" t="s">
        <v>282</v>
      </c>
      <c r="O732" s="323" t="s">
        <v>2</v>
      </c>
      <c r="P732" s="323" t="s">
        <v>2</v>
      </c>
      <c r="Q732" s="323" t="s">
        <v>15</v>
      </c>
      <c r="R732" s="323" t="s">
        <v>15</v>
      </c>
      <c r="S732" s="323" t="s">
        <v>16</v>
      </c>
      <c r="T732" s="323" t="s">
        <v>329</v>
      </c>
      <c r="U732" s="323" t="s">
        <v>249</v>
      </c>
      <c r="V732" s="323" t="s">
        <v>282</v>
      </c>
      <c r="W732" s="324" t="s">
        <v>282</v>
      </c>
      <c r="X732" s="324" t="s">
        <v>282</v>
      </c>
      <c r="Y732" s="325" t="s">
        <v>282</v>
      </c>
    </row>
    <row r="733" spans="1:25">
      <c r="A733" s="319">
        <v>14</v>
      </c>
      <c r="B733" s="320" t="str">
        <f>VLOOKUP(Tabel10[[#This Row],[Code]],Ruimtegroepen[[Code]:[Ruimte omschrijving]],2,FALSE)</f>
        <v>Praktijklokalen</v>
      </c>
      <c r="C733" s="321" t="s">
        <v>892</v>
      </c>
      <c r="D733" s="320" t="s">
        <v>1</v>
      </c>
      <c r="E733" s="321" t="s">
        <v>102</v>
      </c>
      <c r="F733" s="321" t="s">
        <v>896</v>
      </c>
      <c r="G733" s="326" t="s">
        <v>282</v>
      </c>
      <c r="H733" s="322" t="s">
        <v>282</v>
      </c>
      <c r="I733" s="322" t="s">
        <v>20</v>
      </c>
      <c r="J733" s="322" t="s">
        <v>15</v>
      </c>
      <c r="K733" s="322" t="s">
        <v>16</v>
      </c>
      <c r="L733" s="322" t="s">
        <v>282</v>
      </c>
      <c r="M733" s="322" t="s">
        <v>282</v>
      </c>
      <c r="N733" s="322" t="s">
        <v>282</v>
      </c>
      <c r="O733" s="323" t="s">
        <v>2</v>
      </c>
      <c r="P733" s="323" t="s">
        <v>2</v>
      </c>
      <c r="Q733" s="323" t="s">
        <v>15</v>
      </c>
      <c r="R733" s="323" t="s">
        <v>15</v>
      </c>
      <c r="S733" s="323" t="s">
        <v>16</v>
      </c>
      <c r="T733" s="323" t="s">
        <v>329</v>
      </c>
      <c r="U733" s="323" t="s">
        <v>249</v>
      </c>
      <c r="V733" s="323" t="s">
        <v>282</v>
      </c>
      <c r="W733" s="324" t="s">
        <v>282</v>
      </c>
      <c r="X733" s="324" t="s">
        <v>282</v>
      </c>
      <c r="Y733" s="325" t="s">
        <v>282</v>
      </c>
    </row>
    <row r="734" spans="1:25">
      <c r="A734" s="319">
        <v>14</v>
      </c>
      <c r="B734" s="320" t="str">
        <f>VLOOKUP(Tabel10[[#This Row],[Code]],Ruimtegroepen[[Code]:[Ruimte omschrijving]],2,FALSE)</f>
        <v>Praktijklokalen</v>
      </c>
      <c r="C734" s="321" t="s">
        <v>892</v>
      </c>
      <c r="D734" s="320" t="s">
        <v>1</v>
      </c>
      <c r="E734" s="321" t="s">
        <v>99</v>
      </c>
      <c r="F734" s="321" t="s">
        <v>894</v>
      </c>
      <c r="G734" s="322" t="s">
        <v>18</v>
      </c>
      <c r="H734" s="322" t="s">
        <v>17</v>
      </c>
      <c r="I734" s="322" t="s">
        <v>282</v>
      </c>
      <c r="J734" s="322" t="s">
        <v>282</v>
      </c>
      <c r="K734" s="322" t="s">
        <v>282</v>
      </c>
      <c r="L734" s="322" t="s">
        <v>282</v>
      </c>
      <c r="M734" s="322" t="s">
        <v>282</v>
      </c>
      <c r="N734" s="322" t="s">
        <v>282</v>
      </c>
      <c r="O734" s="323" t="s">
        <v>2</v>
      </c>
      <c r="P734" s="323" t="s">
        <v>2</v>
      </c>
      <c r="Q734" s="323" t="s">
        <v>15</v>
      </c>
      <c r="R734" s="323" t="s">
        <v>15</v>
      </c>
      <c r="S734" s="323" t="s">
        <v>16</v>
      </c>
      <c r="T734" s="323" t="s">
        <v>329</v>
      </c>
      <c r="U734" s="323" t="s">
        <v>249</v>
      </c>
      <c r="V734" s="323" t="s">
        <v>282</v>
      </c>
      <c r="W734" s="324" t="s">
        <v>282</v>
      </c>
      <c r="X734" s="324" t="s">
        <v>282</v>
      </c>
      <c r="Y734" s="325" t="s">
        <v>282</v>
      </c>
    </row>
    <row r="735" spans="1:25">
      <c r="A735" s="319">
        <v>14</v>
      </c>
      <c r="B735" s="320" t="str">
        <f>VLOOKUP(Tabel10[[#This Row],[Code]],Ruimtegroepen[[Code]:[Ruimte omschrijving]],2,FALSE)</f>
        <v>Praktijklokalen</v>
      </c>
      <c r="C735" s="321" t="s">
        <v>892</v>
      </c>
      <c r="D735" s="320" t="s">
        <v>1</v>
      </c>
      <c r="E735" s="321" t="s">
        <v>1306</v>
      </c>
      <c r="F735" s="321" t="s">
        <v>1468</v>
      </c>
      <c r="G735" s="326" t="s">
        <v>282</v>
      </c>
      <c r="H735" s="322" t="s">
        <v>282</v>
      </c>
      <c r="I735" s="322" t="s">
        <v>20</v>
      </c>
      <c r="J735" s="322" t="s">
        <v>15</v>
      </c>
      <c r="K735" s="322" t="s">
        <v>16</v>
      </c>
      <c r="L735" s="322" t="s">
        <v>282</v>
      </c>
      <c r="M735" s="322" t="s">
        <v>282</v>
      </c>
      <c r="N735" s="322" t="s">
        <v>282</v>
      </c>
      <c r="O735" s="323" t="s">
        <v>2</v>
      </c>
      <c r="P735" s="323" t="s">
        <v>2</v>
      </c>
      <c r="Q735" s="323" t="s">
        <v>15</v>
      </c>
      <c r="R735" s="323" t="s">
        <v>15</v>
      </c>
      <c r="S735" s="323" t="s">
        <v>16</v>
      </c>
      <c r="T735" s="323" t="s">
        <v>329</v>
      </c>
      <c r="U735" s="323" t="s">
        <v>249</v>
      </c>
      <c r="V735" s="323" t="s">
        <v>282</v>
      </c>
      <c r="W735" s="324" t="s">
        <v>282</v>
      </c>
      <c r="X735" s="324" t="s">
        <v>282</v>
      </c>
      <c r="Y735" s="325" t="s">
        <v>282</v>
      </c>
    </row>
    <row r="736" spans="1:25">
      <c r="A736" s="319">
        <v>14</v>
      </c>
      <c r="B736" s="320" t="str">
        <f>VLOOKUP(Tabel10[[#This Row],[Code]],Ruimtegroepen[[Code]:[Ruimte omschrijving]],2,FALSE)</f>
        <v>Praktijklokalen</v>
      </c>
      <c r="C736" s="321" t="s">
        <v>897</v>
      </c>
      <c r="D736" s="320" t="s">
        <v>21</v>
      </c>
      <c r="E736" s="321" t="s">
        <v>100</v>
      </c>
      <c r="F736" s="321" t="s">
        <v>898</v>
      </c>
      <c r="G736" s="326" t="s">
        <v>282</v>
      </c>
      <c r="H736" s="322" t="s">
        <v>282</v>
      </c>
      <c r="I736" s="322" t="s">
        <v>18</v>
      </c>
      <c r="J736" s="322" t="s">
        <v>15</v>
      </c>
      <c r="K736" s="322" t="s">
        <v>282</v>
      </c>
      <c r="L736" s="322" t="s">
        <v>282</v>
      </c>
      <c r="M736" s="322" t="s">
        <v>282</v>
      </c>
      <c r="N736" s="322" t="s">
        <v>282</v>
      </c>
      <c r="O736" s="323" t="s">
        <v>20</v>
      </c>
      <c r="P736" s="323" t="s">
        <v>20</v>
      </c>
      <c r="Q736" s="323" t="s">
        <v>15</v>
      </c>
      <c r="R736" s="323" t="s">
        <v>15</v>
      </c>
      <c r="S736" s="323" t="s">
        <v>16</v>
      </c>
      <c r="T736" s="323" t="s">
        <v>329</v>
      </c>
      <c r="U736" s="323" t="s">
        <v>249</v>
      </c>
      <c r="V736" s="323" t="s">
        <v>282</v>
      </c>
      <c r="W736" s="324" t="s">
        <v>282</v>
      </c>
      <c r="X736" s="324" t="s">
        <v>282</v>
      </c>
      <c r="Y736" s="325" t="s">
        <v>282</v>
      </c>
    </row>
    <row r="737" spans="1:25">
      <c r="A737" s="319">
        <v>14</v>
      </c>
      <c r="B737" s="320" t="str">
        <f>VLOOKUP(Tabel10[[#This Row],[Code]],Ruimtegroepen[[Code]:[Ruimte omschrijving]],2,FALSE)</f>
        <v>Praktijklokalen</v>
      </c>
      <c r="C737" s="321" t="s">
        <v>897</v>
      </c>
      <c r="D737" s="320" t="s">
        <v>21</v>
      </c>
      <c r="E737" s="321" t="s">
        <v>99</v>
      </c>
      <c r="F737" s="321" t="s">
        <v>899</v>
      </c>
      <c r="G737" s="322" t="s">
        <v>17</v>
      </c>
      <c r="H737" s="322" t="s">
        <v>17</v>
      </c>
      <c r="I737" s="322" t="s">
        <v>282</v>
      </c>
      <c r="J737" s="322" t="s">
        <v>282</v>
      </c>
      <c r="K737" s="322" t="s">
        <v>282</v>
      </c>
      <c r="L737" s="322" t="s">
        <v>282</v>
      </c>
      <c r="M737" s="322" t="s">
        <v>282</v>
      </c>
      <c r="N737" s="322" t="s">
        <v>282</v>
      </c>
      <c r="O737" s="323" t="s">
        <v>20</v>
      </c>
      <c r="P737" s="323" t="s">
        <v>20</v>
      </c>
      <c r="Q737" s="323" t="s">
        <v>15</v>
      </c>
      <c r="R737" s="323" t="s">
        <v>15</v>
      </c>
      <c r="S737" s="323" t="s">
        <v>16</v>
      </c>
      <c r="T737" s="323" t="s">
        <v>329</v>
      </c>
      <c r="U737" s="323" t="s">
        <v>249</v>
      </c>
      <c r="V737" s="323" t="s">
        <v>282</v>
      </c>
      <c r="W737" s="324" t="s">
        <v>282</v>
      </c>
      <c r="X737" s="324" t="s">
        <v>282</v>
      </c>
      <c r="Y737" s="325" t="s">
        <v>282</v>
      </c>
    </row>
    <row r="738" spans="1:25">
      <c r="A738" s="319">
        <v>14</v>
      </c>
      <c r="B738" s="320" t="str">
        <f>VLOOKUP(Tabel10[[#This Row],[Code]],Ruimtegroepen[[Code]:[Ruimte omschrijving]],2,FALSE)</f>
        <v>Praktijklokalen</v>
      </c>
      <c r="C738" s="321" t="s">
        <v>897</v>
      </c>
      <c r="D738" s="320" t="s">
        <v>21</v>
      </c>
      <c r="E738" s="321" t="s">
        <v>101</v>
      </c>
      <c r="F738" s="321" t="s">
        <v>900</v>
      </c>
      <c r="G738" s="326" t="s">
        <v>282</v>
      </c>
      <c r="H738" s="322" t="s">
        <v>282</v>
      </c>
      <c r="I738" s="322" t="s">
        <v>18</v>
      </c>
      <c r="J738" s="322" t="s">
        <v>15</v>
      </c>
      <c r="K738" s="322" t="s">
        <v>16</v>
      </c>
      <c r="L738" s="322" t="s">
        <v>282</v>
      </c>
      <c r="M738" s="322" t="s">
        <v>282</v>
      </c>
      <c r="N738" s="322" t="s">
        <v>282</v>
      </c>
      <c r="O738" s="323" t="s">
        <v>20</v>
      </c>
      <c r="P738" s="323" t="s">
        <v>20</v>
      </c>
      <c r="Q738" s="323" t="s">
        <v>15</v>
      </c>
      <c r="R738" s="323" t="s">
        <v>15</v>
      </c>
      <c r="S738" s="323" t="s">
        <v>16</v>
      </c>
      <c r="T738" s="323" t="s">
        <v>329</v>
      </c>
      <c r="U738" s="323" t="s">
        <v>249</v>
      </c>
      <c r="V738" s="323" t="s">
        <v>282</v>
      </c>
      <c r="W738" s="324" t="s">
        <v>282</v>
      </c>
      <c r="X738" s="324" t="s">
        <v>282</v>
      </c>
      <c r="Y738" s="325" t="s">
        <v>282</v>
      </c>
    </row>
    <row r="739" spans="1:25">
      <c r="A739" s="319">
        <v>14</v>
      </c>
      <c r="B739" s="320" t="str">
        <f>VLOOKUP(Tabel10[[#This Row],[Code]],Ruimtegroepen[[Code]:[Ruimte omschrijving]],2,FALSE)</f>
        <v>Praktijklokalen</v>
      </c>
      <c r="C739" s="321" t="s">
        <v>897</v>
      </c>
      <c r="D739" s="320" t="s">
        <v>21</v>
      </c>
      <c r="E739" s="321" t="s">
        <v>102</v>
      </c>
      <c r="F739" s="321" t="s">
        <v>901</v>
      </c>
      <c r="G739" s="326" t="s">
        <v>282</v>
      </c>
      <c r="H739" s="322" t="s">
        <v>282</v>
      </c>
      <c r="I739" s="322" t="s">
        <v>18</v>
      </c>
      <c r="J739" s="322" t="s">
        <v>15</v>
      </c>
      <c r="K739" s="322" t="s">
        <v>16</v>
      </c>
      <c r="L739" s="322" t="s">
        <v>282</v>
      </c>
      <c r="M739" s="322" t="s">
        <v>282</v>
      </c>
      <c r="N739" s="322" t="s">
        <v>282</v>
      </c>
      <c r="O739" s="323" t="s">
        <v>20</v>
      </c>
      <c r="P739" s="323" t="s">
        <v>20</v>
      </c>
      <c r="Q739" s="323" t="s">
        <v>15</v>
      </c>
      <c r="R739" s="323" t="s">
        <v>15</v>
      </c>
      <c r="S739" s="323" t="s">
        <v>16</v>
      </c>
      <c r="T739" s="323" t="s">
        <v>329</v>
      </c>
      <c r="U739" s="323" t="s">
        <v>249</v>
      </c>
      <c r="V739" s="323" t="s">
        <v>282</v>
      </c>
      <c r="W739" s="324" t="s">
        <v>282</v>
      </c>
      <c r="X739" s="324" t="s">
        <v>282</v>
      </c>
      <c r="Y739" s="325" t="s">
        <v>282</v>
      </c>
    </row>
    <row r="740" spans="1:25">
      <c r="A740" s="319">
        <v>14</v>
      </c>
      <c r="B740" s="320" t="str">
        <f>VLOOKUP(Tabel10[[#This Row],[Code]],Ruimtegroepen[[Code]:[Ruimte omschrijving]],2,FALSE)</f>
        <v>Praktijklokalen</v>
      </c>
      <c r="C740" s="321" t="s">
        <v>897</v>
      </c>
      <c r="D740" s="320" t="s">
        <v>21</v>
      </c>
      <c r="E740" s="321" t="s">
        <v>99</v>
      </c>
      <c r="F740" s="321" t="s">
        <v>899</v>
      </c>
      <c r="G740" s="322" t="s">
        <v>17</v>
      </c>
      <c r="H740" s="322" t="s">
        <v>17</v>
      </c>
      <c r="I740" s="322" t="s">
        <v>282</v>
      </c>
      <c r="J740" s="322" t="s">
        <v>282</v>
      </c>
      <c r="K740" s="322" t="s">
        <v>282</v>
      </c>
      <c r="L740" s="322" t="s">
        <v>282</v>
      </c>
      <c r="M740" s="322" t="s">
        <v>282</v>
      </c>
      <c r="N740" s="322" t="s">
        <v>282</v>
      </c>
      <c r="O740" s="323" t="s">
        <v>282</v>
      </c>
      <c r="P740" s="323" t="s">
        <v>282</v>
      </c>
      <c r="Q740" s="323" t="s">
        <v>282</v>
      </c>
      <c r="R740" s="323" t="s">
        <v>282</v>
      </c>
      <c r="S740" s="323" t="s">
        <v>282</v>
      </c>
      <c r="T740" s="323" t="s">
        <v>282</v>
      </c>
      <c r="U740" s="323" t="s">
        <v>282</v>
      </c>
      <c r="V740" s="323" t="s">
        <v>282</v>
      </c>
      <c r="W740" s="324" t="s">
        <v>282</v>
      </c>
      <c r="X740" s="324" t="s">
        <v>282</v>
      </c>
      <c r="Y740" s="325" t="s">
        <v>282</v>
      </c>
    </row>
    <row r="741" spans="1:25">
      <c r="A741" s="319">
        <v>14</v>
      </c>
      <c r="B741" s="320" t="str">
        <f>VLOOKUP(Tabel10[[#This Row],[Code]],Ruimtegroepen[[Code]:[Ruimte omschrijving]],2,FALSE)</f>
        <v>Praktijklokalen</v>
      </c>
      <c r="C741" s="321" t="s">
        <v>897</v>
      </c>
      <c r="D741" s="320" t="s">
        <v>21</v>
      </c>
      <c r="E741" s="321" t="s">
        <v>1306</v>
      </c>
      <c r="F741" s="321" t="s">
        <v>1451</v>
      </c>
      <c r="G741" s="326" t="s">
        <v>282</v>
      </c>
      <c r="H741" s="322" t="s">
        <v>282</v>
      </c>
      <c r="I741" s="322" t="s">
        <v>18</v>
      </c>
      <c r="J741" s="322" t="s">
        <v>15</v>
      </c>
      <c r="K741" s="322" t="s">
        <v>16</v>
      </c>
      <c r="L741" s="322" t="s">
        <v>282</v>
      </c>
      <c r="M741" s="322" t="s">
        <v>282</v>
      </c>
      <c r="N741" s="322" t="s">
        <v>282</v>
      </c>
      <c r="O741" s="323" t="s">
        <v>20</v>
      </c>
      <c r="P741" s="323" t="s">
        <v>20</v>
      </c>
      <c r="Q741" s="323" t="s">
        <v>15</v>
      </c>
      <c r="R741" s="323" t="s">
        <v>15</v>
      </c>
      <c r="S741" s="323" t="s">
        <v>16</v>
      </c>
      <c r="T741" s="323" t="s">
        <v>329</v>
      </c>
      <c r="U741" s="323" t="s">
        <v>249</v>
      </c>
      <c r="V741" s="323" t="s">
        <v>282</v>
      </c>
      <c r="W741" s="324" t="s">
        <v>282</v>
      </c>
      <c r="X741" s="324" t="s">
        <v>282</v>
      </c>
      <c r="Y741" s="325" t="s">
        <v>282</v>
      </c>
    </row>
    <row r="742" spans="1:25">
      <c r="A742" s="319">
        <v>14</v>
      </c>
      <c r="B742" s="320" t="str">
        <f>VLOOKUP(Tabel10[[#This Row],[Code]],Ruimtegroepen[[Code]:[Ruimte omschrijving]],2,FALSE)</f>
        <v>Praktijklokalen</v>
      </c>
      <c r="C742" s="321" t="s">
        <v>902</v>
      </c>
      <c r="D742" s="320" t="s">
        <v>12</v>
      </c>
      <c r="E742" s="321" t="s">
        <v>100</v>
      </c>
      <c r="F742" s="321" t="s">
        <v>903</v>
      </c>
      <c r="G742" s="326" t="s">
        <v>282</v>
      </c>
      <c r="H742" s="322" t="s">
        <v>282</v>
      </c>
      <c r="I742" s="322" t="s">
        <v>17</v>
      </c>
      <c r="J742" s="322" t="s">
        <v>15</v>
      </c>
      <c r="K742" s="322" t="s">
        <v>282</v>
      </c>
      <c r="L742" s="322" t="s">
        <v>282</v>
      </c>
      <c r="M742" s="322" t="s">
        <v>282</v>
      </c>
      <c r="N742" s="322" t="s">
        <v>282</v>
      </c>
      <c r="O742" s="323" t="s">
        <v>18</v>
      </c>
      <c r="P742" s="323" t="s">
        <v>18</v>
      </c>
      <c r="Q742" s="323" t="s">
        <v>15</v>
      </c>
      <c r="R742" s="323" t="s">
        <v>15</v>
      </c>
      <c r="S742" s="323" t="s">
        <v>16</v>
      </c>
      <c r="T742" s="323" t="s">
        <v>329</v>
      </c>
      <c r="U742" s="323" t="s">
        <v>249</v>
      </c>
      <c r="V742" s="323" t="s">
        <v>282</v>
      </c>
      <c r="W742" s="324" t="s">
        <v>282</v>
      </c>
      <c r="X742" s="324" t="s">
        <v>282</v>
      </c>
      <c r="Y742" s="325" t="s">
        <v>282</v>
      </c>
    </row>
    <row r="743" spans="1:25">
      <c r="A743" s="319">
        <v>14</v>
      </c>
      <c r="B743" s="320" t="str">
        <f>VLOOKUP(Tabel10[[#This Row],[Code]],Ruimtegroepen[[Code]:[Ruimte omschrijving]],2,FALSE)</f>
        <v>Praktijklokalen</v>
      </c>
      <c r="C743" s="321" t="s">
        <v>902</v>
      </c>
      <c r="D743" s="320" t="s">
        <v>12</v>
      </c>
      <c r="E743" s="321" t="s">
        <v>99</v>
      </c>
      <c r="F743" s="321" t="s">
        <v>904</v>
      </c>
      <c r="G743" s="322" t="s">
        <v>17</v>
      </c>
      <c r="H743" s="322" t="s">
        <v>15</v>
      </c>
      <c r="I743" s="322" t="s">
        <v>282</v>
      </c>
      <c r="J743" s="322" t="s">
        <v>282</v>
      </c>
      <c r="K743" s="322" t="s">
        <v>282</v>
      </c>
      <c r="L743" s="322" t="s">
        <v>282</v>
      </c>
      <c r="M743" s="322" t="s">
        <v>282</v>
      </c>
      <c r="N743" s="322" t="s">
        <v>282</v>
      </c>
      <c r="O743" s="323" t="s">
        <v>18</v>
      </c>
      <c r="P743" s="323" t="s">
        <v>18</v>
      </c>
      <c r="Q743" s="323" t="s">
        <v>15</v>
      </c>
      <c r="R743" s="323" t="s">
        <v>15</v>
      </c>
      <c r="S743" s="323" t="s">
        <v>16</v>
      </c>
      <c r="T743" s="323" t="s">
        <v>329</v>
      </c>
      <c r="U743" s="323" t="s">
        <v>249</v>
      </c>
      <c r="V743" s="323" t="s">
        <v>282</v>
      </c>
      <c r="W743" s="324" t="s">
        <v>282</v>
      </c>
      <c r="X743" s="324" t="s">
        <v>282</v>
      </c>
      <c r="Y743" s="325" t="s">
        <v>282</v>
      </c>
    </row>
    <row r="744" spans="1:25">
      <c r="A744" s="319">
        <v>14</v>
      </c>
      <c r="B744" s="320" t="str">
        <f>VLOOKUP(Tabel10[[#This Row],[Code]],Ruimtegroepen[[Code]:[Ruimte omschrijving]],2,FALSE)</f>
        <v>Praktijklokalen</v>
      </c>
      <c r="C744" s="321" t="s">
        <v>902</v>
      </c>
      <c r="D744" s="320" t="s">
        <v>12</v>
      </c>
      <c r="E744" s="321" t="s">
        <v>101</v>
      </c>
      <c r="F744" s="321" t="s">
        <v>905</v>
      </c>
      <c r="G744" s="326" t="s">
        <v>282</v>
      </c>
      <c r="H744" s="322" t="s">
        <v>282</v>
      </c>
      <c r="I744" s="322" t="s">
        <v>17</v>
      </c>
      <c r="J744" s="322" t="s">
        <v>15</v>
      </c>
      <c r="K744" s="322" t="s">
        <v>16</v>
      </c>
      <c r="L744" s="322" t="s">
        <v>282</v>
      </c>
      <c r="M744" s="322" t="s">
        <v>282</v>
      </c>
      <c r="N744" s="322" t="s">
        <v>282</v>
      </c>
      <c r="O744" s="323" t="s">
        <v>18</v>
      </c>
      <c r="P744" s="323" t="s">
        <v>18</v>
      </c>
      <c r="Q744" s="323" t="s">
        <v>15</v>
      </c>
      <c r="R744" s="323" t="s">
        <v>15</v>
      </c>
      <c r="S744" s="323" t="s">
        <v>16</v>
      </c>
      <c r="T744" s="323" t="s">
        <v>329</v>
      </c>
      <c r="U744" s="323" t="s">
        <v>249</v>
      </c>
      <c r="V744" s="323" t="s">
        <v>282</v>
      </c>
      <c r="W744" s="324" t="s">
        <v>282</v>
      </c>
      <c r="X744" s="324" t="s">
        <v>282</v>
      </c>
      <c r="Y744" s="325" t="s">
        <v>282</v>
      </c>
    </row>
    <row r="745" spans="1:25">
      <c r="A745" s="319">
        <v>14</v>
      </c>
      <c r="B745" s="320" t="str">
        <f>VLOOKUP(Tabel10[[#This Row],[Code]],Ruimtegroepen[[Code]:[Ruimte omschrijving]],2,FALSE)</f>
        <v>Praktijklokalen</v>
      </c>
      <c r="C745" s="321" t="s">
        <v>902</v>
      </c>
      <c r="D745" s="320" t="s">
        <v>12</v>
      </c>
      <c r="E745" s="321" t="s">
        <v>102</v>
      </c>
      <c r="F745" s="321" t="s">
        <v>906</v>
      </c>
      <c r="G745" s="326" t="s">
        <v>282</v>
      </c>
      <c r="H745" s="322" t="s">
        <v>282</v>
      </c>
      <c r="I745" s="322" t="s">
        <v>17</v>
      </c>
      <c r="J745" s="322" t="s">
        <v>15</v>
      </c>
      <c r="K745" s="322" t="s">
        <v>16</v>
      </c>
      <c r="L745" s="322" t="s">
        <v>282</v>
      </c>
      <c r="M745" s="322" t="s">
        <v>282</v>
      </c>
      <c r="N745" s="322" t="s">
        <v>282</v>
      </c>
      <c r="O745" s="323" t="s">
        <v>18</v>
      </c>
      <c r="P745" s="323" t="s">
        <v>18</v>
      </c>
      <c r="Q745" s="323" t="s">
        <v>15</v>
      </c>
      <c r="R745" s="323" t="s">
        <v>15</v>
      </c>
      <c r="S745" s="323" t="s">
        <v>16</v>
      </c>
      <c r="T745" s="323" t="s">
        <v>329</v>
      </c>
      <c r="U745" s="323" t="s">
        <v>249</v>
      </c>
      <c r="V745" s="323" t="s">
        <v>282</v>
      </c>
      <c r="W745" s="324" t="s">
        <v>282</v>
      </c>
      <c r="X745" s="324" t="s">
        <v>282</v>
      </c>
      <c r="Y745" s="325" t="s">
        <v>282</v>
      </c>
    </row>
    <row r="746" spans="1:25">
      <c r="A746" s="319">
        <v>14</v>
      </c>
      <c r="B746" s="320" t="str">
        <f>VLOOKUP(Tabel10[[#This Row],[Code]],Ruimtegroepen[[Code]:[Ruimte omschrijving]],2,FALSE)</f>
        <v>Praktijklokalen</v>
      </c>
      <c r="C746" s="321" t="s">
        <v>902</v>
      </c>
      <c r="D746" s="320" t="s">
        <v>12</v>
      </c>
      <c r="E746" s="321" t="s">
        <v>99</v>
      </c>
      <c r="F746" s="321" t="s">
        <v>904</v>
      </c>
      <c r="G746" s="322" t="s">
        <v>17</v>
      </c>
      <c r="H746" s="322" t="s">
        <v>15</v>
      </c>
      <c r="I746" s="322" t="s">
        <v>282</v>
      </c>
      <c r="J746" s="322" t="s">
        <v>282</v>
      </c>
      <c r="K746" s="322" t="s">
        <v>282</v>
      </c>
      <c r="L746" s="322" t="s">
        <v>282</v>
      </c>
      <c r="M746" s="322" t="s">
        <v>282</v>
      </c>
      <c r="N746" s="322" t="s">
        <v>282</v>
      </c>
      <c r="O746" s="323" t="s">
        <v>282</v>
      </c>
      <c r="P746" s="323" t="s">
        <v>282</v>
      </c>
      <c r="Q746" s="323" t="s">
        <v>282</v>
      </c>
      <c r="R746" s="323" t="s">
        <v>282</v>
      </c>
      <c r="S746" s="323" t="s">
        <v>282</v>
      </c>
      <c r="T746" s="323" t="s">
        <v>282</v>
      </c>
      <c r="U746" s="323" t="s">
        <v>282</v>
      </c>
      <c r="V746" s="323" t="s">
        <v>282</v>
      </c>
      <c r="W746" s="324" t="s">
        <v>282</v>
      </c>
      <c r="X746" s="324" t="s">
        <v>282</v>
      </c>
      <c r="Y746" s="325" t="s">
        <v>282</v>
      </c>
    </row>
    <row r="747" spans="1:25">
      <c r="A747" s="319">
        <v>14</v>
      </c>
      <c r="B747" s="320" t="str">
        <f>VLOOKUP(Tabel10[[#This Row],[Code]],Ruimtegroepen[[Code]:[Ruimte omschrijving]],2,FALSE)</f>
        <v>Praktijklokalen</v>
      </c>
      <c r="C747" s="321" t="s">
        <v>902</v>
      </c>
      <c r="D747" s="320" t="s">
        <v>12</v>
      </c>
      <c r="E747" s="321" t="s">
        <v>1306</v>
      </c>
      <c r="F747" s="321" t="s">
        <v>1433</v>
      </c>
      <c r="G747" s="326" t="s">
        <v>282</v>
      </c>
      <c r="H747" s="322" t="s">
        <v>282</v>
      </c>
      <c r="I747" s="322" t="s">
        <v>17</v>
      </c>
      <c r="J747" s="322" t="s">
        <v>15</v>
      </c>
      <c r="K747" s="322" t="s">
        <v>16</v>
      </c>
      <c r="L747" s="322" t="s">
        <v>282</v>
      </c>
      <c r="M747" s="322" t="s">
        <v>282</v>
      </c>
      <c r="N747" s="322" t="s">
        <v>282</v>
      </c>
      <c r="O747" s="323" t="s">
        <v>18</v>
      </c>
      <c r="P747" s="323" t="s">
        <v>18</v>
      </c>
      <c r="Q747" s="323" t="s">
        <v>15</v>
      </c>
      <c r="R747" s="323" t="s">
        <v>15</v>
      </c>
      <c r="S747" s="323" t="s">
        <v>16</v>
      </c>
      <c r="T747" s="323" t="s">
        <v>329</v>
      </c>
      <c r="U747" s="323" t="s">
        <v>249</v>
      </c>
      <c r="V747" s="323" t="s">
        <v>282</v>
      </c>
      <c r="W747" s="324" t="s">
        <v>282</v>
      </c>
      <c r="X747" s="324" t="s">
        <v>282</v>
      </c>
      <c r="Y747" s="325" t="s">
        <v>282</v>
      </c>
    </row>
    <row r="748" spans="1:25">
      <c r="A748" s="319">
        <v>14</v>
      </c>
      <c r="B748" s="320" t="str">
        <f>VLOOKUP(Tabel10[[#This Row],[Code]],Ruimtegroepen[[Code]:[Ruimte omschrijving]],2,FALSE)</f>
        <v>Praktijklokalen</v>
      </c>
      <c r="C748" s="321" t="s">
        <v>907</v>
      </c>
      <c r="D748" s="320" t="s">
        <v>14</v>
      </c>
      <c r="E748" s="321" t="s">
        <v>100</v>
      </c>
      <c r="F748" s="321" t="s">
        <v>908</v>
      </c>
      <c r="G748" s="326" t="s">
        <v>282</v>
      </c>
      <c r="H748" s="322" t="s">
        <v>282</v>
      </c>
      <c r="I748" s="322" t="s">
        <v>282</v>
      </c>
      <c r="J748" s="322" t="s">
        <v>17</v>
      </c>
      <c r="K748" s="322" t="s">
        <v>282</v>
      </c>
      <c r="L748" s="322" t="s">
        <v>282</v>
      </c>
      <c r="M748" s="322" t="s">
        <v>282</v>
      </c>
      <c r="N748" s="322" t="s">
        <v>282</v>
      </c>
      <c r="O748" s="323" t="s">
        <v>17</v>
      </c>
      <c r="P748" s="323" t="s">
        <v>17</v>
      </c>
      <c r="Q748" s="323" t="s">
        <v>15</v>
      </c>
      <c r="R748" s="323" t="s">
        <v>15</v>
      </c>
      <c r="S748" s="323" t="s">
        <v>16</v>
      </c>
      <c r="T748" s="323" t="s">
        <v>329</v>
      </c>
      <c r="U748" s="323" t="s">
        <v>249</v>
      </c>
      <c r="V748" s="323" t="s">
        <v>282</v>
      </c>
      <c r="W748" s="324" t="s">
        <v>282</v>
      </c>
      <c r="X748" s="324" t="s">
        <v>282</v>
      </c>
      <c r="Y748" s="325" t="s">
        <v>282</v>
      </c>
    </row>
    <row r="749" spans="1:25">
      <c r="A749" s="319">
        <v>14</v>
      </c>
      <c r="B749" s="320" t="str">
        <f>VLOOKUP(Tabel10[[#This Row],[Code]],Ruimtegroepen[[Code]:[Ruimte omschrijving]],2,FALSE)</f>
        <v>Praktijklokalen</v>
      </c>
      <c r="C749" s="321" t="s">
        <v>907</v>
      </c>
      <c r="D749" s="320" t="s">
        <v>14</v>
      </c>
      <c r="E749" s="321" t="s">
        <v>99</v>
      </c>
      <c r="F749" s="321" t="s">
        <v>909</v>
      </c>
      <c r="G749" s="322" t="s">
        <v>15</v>
      </c>
      <c r="H749" s="322" t="s">
        <v>15</v>
      </c>
      <c r="I749" s="322" t="s">
        <v>282</v>
      </c>
      <c r="J749" s="322" t="s">
        <v>282</v>
      </c>
      <c r="K749" s="322" t="s">
        <v>282</v>
      </c>
      <c r="L749" s="322" t="s">
        <v>282</v>
      </c>
      <c r="M749" s="322" t="s">
        <v>282</v>
      </c>
      <c r="N749" s="322" t="s">
        <v>282</v>
      </c>
      <c r="O749" s="323" t="s">
        <v>17</v>
      </c>
      <c r="P749" s="323" t="s">
        <v>17</v>
      </c>
      <c r="Q749" s="323" t="s">
        <v>15</v>
      </c>
      <c r="R749" s="323" t="s">
        <v>15</v>
      </c>
      <c r="S749" s="323" t="s">
        <v>16</v>
      </c>
      <c r="T749" s="323" t="s">
        <v>329</v>
      </c>
      <c r="U749" s="323" t="s">
        <v>249</v>
      </c>
      <c r="V749" s="323" t="s">
        <v>282</v>
      </c>
      <c r="W749" s="324" t="s">
        <v>282</v>
      </c>
      <c r="X749" s="324" t="s">
        <v>282</v>
      </c>
      <c r="Y749" s="325" t="s">
        <v>282</v>
      </c>
    </row>
    <row r="750" spans="1:25">
      <c r="A750" s="319">
        <v>14</v>
      </c>
      <c r="B750" s="320" t="str">
        <f>VLOOKUP(Tabel10[[#This Row],[Code]],Ruimtegroepen[[Code]:[Ruimte omschrijving]],2,FALSE)</f>
        <v>Praktijklokalen</v>
      </c>
      <c r="C750" s="321" t="s">
        <v>907</v>
      </c>
      <c r="D750" s="320" t="s">
        <v>14</v>
      </c>
      <c r="E750" s="321" t="s">
        <v>101</v>
      </c>
      <c r="F750" s="321" t="s">
        <v>910</v>
      </c>
      <c r="G750" s="326" t="s">
        <v>282</v>
      </c>
      <c r="H750" s="322" t="s">
        <v>282</v>
      </c>
      <c r="I750" s="322" t="s">
        <v>282</v>
      </c>
      <c r="J750" s="322" t="s">
        <v>17</v>
      </c>
      <c r="K750" s="322" t="s">
        <v>16</v>
      </c>
      <c r="L750" s="322" t="s">
        <v>282</v>
      </c>
      <c r="M750" s="322" t="s">
        <v>282</v>
      </c>
      <c r="N750" s="322" t="s">
        <v>282</v>
      </c>
      <c r="O750" s="323" t="s">
        <v>17</v>
      </c>
      <c r="P750" s="323" t="s">
        <v>17</v>
      </c>
      <c r="Q750" s="323" t="s">
        <v>15</v>
      </c>
      <c r="R750" s="323" t="s">
        <v>15</v>
      </c>
      <c r="S750" s="323" t="s">
        <v>16</v>
      </c>
      <c r="T750" s="323" t="s">
        <v>329</v>
      </c>
      <c r="U750" s="323" t="s">
        <v>249</v>
      </c>
      <c r="V750" s="323" t="s">
        <v>282</v>
      </c>
      <c r="W750" s="324" t="s">
        <v>282</v>
      </c>
      <c r="X750" s="324" t="s">
        <v>282</v>
      </c>
      <c r="Y750" s="325" t="s">
        <v>282</v>
      </c>
    </row>
    <row r="751" spans="1:25">
      <c r="A751" s="319">
        <v>14</v>
      </c>
      <c r="B751" s="320" t="str">
        <f>VLOOKUP(Tabel10[[#This Row],[Code]],Ruimtegroepen[[Code]:[Ruimte omschrijving]],2,FALSE)</f>
        <v>Praktijklokalen</v>
      </c>
      <c r="C751" s="321" t="s">
        <v>907</v>
      </c>
      <c r="D751" s="320" t="s">
        <v>14</v>
      </c>
      <c r="E751" s="321" t="s">
        <v>102</v>
      </c>
      <c r="F751" s="321" t="s">
        <v>911</v>
      </c>
      <c r="G751" s="326" t="s">
        <v>282</v>
      </c>
      <c r="H751" s="322" t="s">
        <v>282</v>
      </c>
      <c r="I751" s="322" t="s">
        <v>282</v>
      </c>
      <c r="J751" s="322" t="s">
        <v>17</v>
      </c>
      <c r="K751" s="322" t="s">
        <v>16</v>
      </c>
      <c r="L751" s="322" t="s">
        <v>282</v>
      </c>
      <c r="M751" s="322" t="s">
        <v>282</v>
      </c>
      <c r="N751" s="322" t="s">
        <v>282</v>
      </c>
      <c r="O751" s="323" t="s">
        <v>17</v>
      </c>
      <c r="P751" s="323" t="s">
        <v>17</v>
      </c>
      <c r="Q751" s="323" t="s">
        <v>15</v>
      </c>
      <c r="R751" s="323" t="s">
        <v>15</v>
      </c>
      <c r="S751" s="323" t="s">
        <v>16</v>
      </c>
      <c r="T751" s="323" t="s">
        <v>329</v>
      </c>
      <c r="U751" s="323" t="s">
        <v>249</v>
      </c>
      <c r="V751" s="323" t="s">
        <v>282</v>
      </c>
      <c r="W751" s="324" t="s">
        <v>282</v>
      </c>
      <c r="X751" s="324" t="s">
        <v>282</v>
      </c>
      <c r="Y751" s="325" t="s">
        <v>282</v>
      </c>
    </row>
    <row r="752" spans="1:25">
      <c r="A752" s="319">
        <v>14</v>
      </c>
      <c r="B752" s="320" t="str">
        <f>VLOOKUP(Tabel10[[#This Row],[Code]],Ruimtegroepen[[Code]:[Ruimte omschrijving]],2,FALSE)</f>
        <v>Praktijklokalen</v>
      </c>
      <c r="C752" s="321" t="s">
        <v>907</v>
      </c>
      <c r="D752" s="320" t="s">
        <v>14</v>
      </c>
      <c r="E752" s="321" t="s">
        <v>99</v>
      </c>
      <c r="F752" s="321" t="s">
        <v>909</v>
      </c>
      <c r="G752" s="322" t="s">
        <v>15</v>
      </c>
      <c r="H752" s="322" t="s">
        <v>15</v>
      </c>
      <c r="I752" s="322" t="s">
        <v>282</v>
      </c>
      <c r="J752" s="322" t="s">
        <v>282</v>
      </c>
      <c r="K752" s="322" t="s">
        <v>282</v>
      </c>
      <c r="L752" s="322" t="s">
        <v>282</v>
      </c>
      <c r="M752" s="322" t="s">
        <v>282</v>
      </c>
      <c r="N752" s="322" t="s">
        <v>282</v>
      </c>
      <c r="O752" s="323" t="s">
        <v>282</v>
      </c>
      <c r="P752" s="323" t="s">
        <v>282</v>
      </c>
      <c r="Q752" s="323" t="s">
        <v>282</v>
      </c>
      <c r="R752" s="323" t="s">
        <v>282</v>
      </c>
      <c r="S752" s="323" t="s">
        <v>282</v>
      </c>
      <c r="T752" s="323" t="s">
        <v>282</v>
      </c>
      <c r="U752" s="323" t="s">
        <v>282</v>
      </c>
      <c r="V752" s="323" t="s">
        <v>282</v>
      </c>
      <c r="W752" s="324" t="s">
        <v>282</v>
      </c>
      <c r="X752" s="324" t="s">
        <v>282</v>
      </c>
      <c r="Y752" s="325" t="s">
        <v>282</v>
      </c>
    </row>
    <row r="753" spans="1:25">
      <c r="A753" s="319">
        <v>14</v>
      </c>
      <c r="B753" s="320" t="str">
        <f>VLOOKUP(Tabel10[[#This Row],[Code]],Ruimtegroepen[[Code]:[Ruimte omschrijving]],2,FALSE)</f>
        <v>Praktijklokalen</v>
      </c>
      <c r="C753" s="321" t="s">
        <v>907</v>
      </c>
      <c r="D753" s="320" t="s">
        <v>14</v>
      </c>
      <c r="E753" s="321" t="s">
        <v>1306</v>
      </c>
      <c r="F753" s="321" t="s">
        <v>1400</v>
      </c>
      <c r="G753" s="326" t="s">
        <v>282</v>
      </c>
      <c r="H753" s="322" t="s">
        <v>282</v>
      </c>
      <c r="I753" s="322" t="s">
        <v>282</v>
      </c>
      <c r="J753" s="322" t="s">
        <v>17</v>
      </c>
      <c r="K753" s="322" t="s">
        <v>16</v>
      </c>
      <c r="L753" s="322" t="s">
        <v>282</v>
      </c>
      <c r="M753" s="322" t="s">
        <v>282</v>
      </c>
      <c r="N753" s="322" t="s">
        <v>282</v>
      </c>
      <c r="O753" s="323" t="s">
        <v>17</v>
      </c>
      <c r="P753" s="323" t="s">
        <v>17</v>
      </c>
      <c r="Q753" s="323" t="s">
        <v>15</v>
      </c>
      <c r="R753" s="323" t="s">
        <v>15</v>
      </c>
      <c r="S753" s="323" t="s">
        <v>16</v>
      </c>
      <c r="T753" s="323" t="s">
        <v>329</v>
      </c>
      <c r="U753" s="323" t="s">
        <v>249</v>
      </c>
      <c r="V753" s="323" t="s">
        <v>282</v>
      </c>
      <c r="W753" s="324" t="s">
        <v>282</v>
      </c>
      <c r="X753" s="324" t="s">
        <v>282</v>
      </c>
      <c r="Y753" s="325" t="s">
        <v>282</v>
      </c>
    </row>
    <row r="754" spans="1:25">
      <c r="A754" s="319">
        <v>14</v>
      </c>
      <c r="B754" s="320" t="str">
        <f>VLOOKUP(Tabel10[[#This Row],[Code]],Ruimtegroepen[[Code]:[Ruimte omschrijving]],2,FALSE)</f>
        <v>Praktijklokalen</v>
      </c>
      <c r="C754" s="321" t="s">
        <v>912</v>
      </c>
      <c r="D754" s="320" t="s">
        <v>13</v>
      </c>
      <c r="E754" s="321" t="s">
        <v>100</v>
      </c>
      <c r="F754" s="321" t="s">
        <v>913</v>
      </c>
      <c r="G754" s="326" t="s">
        <v>282</v>
      </c>
      <c r="H754" s="322" t="s">
        <v>282</v>
      </c>
      <c r="I754" s="322" t="s">
        <v>282</v>
      </c>
      <c r="J754" s="322" t="s">
        <v>15</v>
      </c>
      <c r="K754" s="322" t="s">
        <v>282</v>
      </c>
      <c r="L754" s="322" t="s">
        <v>282</v>
      </c>
      <c r="M754" s="322" t="s">
        <v>282</v>
      </c>
      <c r="N754" s="322" t="s">
        <v>282</v>
      </c>
      <c r="O754" s="323" t="s">
        <v>15</v>
      </c>
      <c r="P754" s="323" t="s">
        <v>15</v>
      </c>
      <c r="Q754" s="323" t="s">
        <v>15</v>
      </c>
      <c r="R754" s="323" t="s">
        <v>15</v>
      </c>
      <c r="S754" s="323" t="s">
        <v>16</v>
      </c>
      <c r="T754" s="323" t="s">
        <v>329</v>
      </c>
      <c r="U754" s="323" t="s">
        <v>249</v>
      </c>
      <c r="V754" s="323" t="s">
        <v>282</v>
      </c>
      <c r="W754" s="324" t="s">
        <v>282</v>
      </c>
      <c r="X754" s="324" t="s">
        <v>282</v>
      </c>
      <c r="Y754" s="325" t="s">
        <v>282</v>
      </c>
    </row>
    <row r="755" spans="1:25">
      <c r="A755" s="319">
        <v>14</v>
      </c>
      <c r="B755" s="320" t="str">
        <f>VLOOKUP(Tabel10[[#This Row],[Code]],Ruimtegroepen[[Code]:[Ruimte omschrijving]],2,FALSE)</f>
        <v>Praktijklokalen</v>
      </c>
      <c r="C755" s="321" t="s">
        <v>912</v>
      </c>
      <c r="D755" s="320" t="s">
        <v>13</v>
      </c>
      <c r="E755" s="321" t="s">
        <v>99</v>
      </c>
      <c r="F755" s="321" t="s">
        <v>914</v>
      </c>
      <c r="G755" s="326" t="s">
        <v>282</v>
      </c>
      <c r="H755" s="322" t="s">
        <v>15</v>
      </c>
      <c r="I755" s="322" t="s">
        <v>282</v>
      </c>
      <c r="J755" s="322" t="s">
        <v>282</v>
      </c>
      <c r="K755" s="322" t="s">
        <v>282</v>
      </c>
      <c r="L755" s="322" t="s">
        <v>282</v>
      </c>
      <c r="M755" s="322" t="s">
        <v>282</v>
      </c>
      <c r="N755" s="322" t="s">
        <v>282</v>
      </c>
      <c r="O755" s="323" t="s">
        <v>15</v>
      </c>
      <c r="P755" s="323" t="s">
        <v>15</v>
      </c>
      <c r="Q755" s="323" t="s">
        <v>15</v>
      </c>
      <c r="R755" s="323" t="s">
        <v>15</v>
      </c>
      <c r="S755" s="323" t="s">
        <v>16</v>
      </c>
      <c r="T755" s="323" t="s">
        <v>329</v>
      </c>
      <c r="U755" s="323" t="s">
        <v>249</v>
      </c>
      <c r="V755" s="323" t="s">
        <v>282</v>
      </c>
      <c r="W755" s="324" t="s">
        <v>282</v>
      </c>
      <c r="X755" s="324" t="s">
        <v>282</v>
      </c>
      <c r="Y755" s="325" t="s">
        <v>282</v>
      </c>
    </row>
    <row r="756" spans="1:25">
      <c r="A756" s="319">
        <v>14</v>
      </c>
      <c r="B756" s="320" t="str">
        <f>VLOOKUP(Tabel10[[#This Row],[Code]],Ruimtegroepen[[Code]:[Ruimte omschrijving]],2,FALSE)</f>
        <v>Praktijklokalen</v>
      </c>
      <c r="C756" s="321" t="s">
        <v>912</v>
      </c>
      <c r="D756" s="320" t="s">
        <v>13</v>
      </c>
      <c r="E756" s="321" t="s">
        <v>101</v>
      </c>
      <c r="F756" s="321" t="s">
        <v>915</v>
      </c>
      <c r="G756" s="326" t="s">
        <v>282</v>
      </c>
      <c r="H756" s="322" t="s">
        <v>282</v>
      </c>
      <c r="I756" s="322" t="s">
        <v>282</v>
      </c>
      <c r="J756" s="322" t="s">
        <v>15</v>
      </c>
      <c r="K756" s="322" t="s">
        <v>16</v>
      </c>
      <c r="L756" s="322" t="s">
        <v>282</v>
      </c>
      <c r="M756" s="322" t="s">
        <v>282</v>
      </c>
      <c r="N756" s="322" t="s">
        <v>282</v>
      </c>
      <c r="O756" s="323" t="s">
        <v>15</v>
      </c>
      <c r="P756" s="323" t="s">
        <v>15</v>
      </c>
      <c r="Q756" s="323" t="s">
        <v>15</v>
      </c>
      <c r="R756" s="323" t="s">
        <v>15</v>
      </c>
      <c r="S756" s="323" t="s">
        <v>16</v>
      </c>
      <c r="T756" s="323" t="s">
        <v>329</v>
      </c>
      <c r="U756" s="323" t="s">
        <v>249</v>
      </c>
      <c r="V756" s="323" t="s">
        <v>282</v>
      </c>
      <c r="W756" s="324" t="s">
        <v>282</v>
      </c>
      <c r="X756" s="324" t="s">
        <v>282</v>
      </c>
      <c r="Y756" s="325" t="s">
        <v>282</v>
      </c>
    </row>
    <row r="757" spans="1:25">
      <c r="A757" s="319">
        <v>14</v>
      </c>
      <c r="B757" s="320" t="str">
        <f>VLOOKUP(Tabel10[[#This Row],[Code]],Ruimtegroepen[[Code]:[Ruimte omschrijving]],2,FALSE)</f>
        <v>Praktijklokalen</v>
      </c>
      <c r="C757" s="321" t="s">
        <v>912</v>
      </c>
      <c r="D757" s="320" t="s">
        <v>13</v>
      </c>
      <c r="E757" s="321" t="s">
        <v>102</v>
      </c>
      <c r="F757" s="321" t="s">
        <v>916</v>
      </c>
      <c r="G757" s="326" t="s">
        <v>282</v>
      </c>
      <c r="H757" s="322" t="s">
        <v>282</v>
      </c>
      <c r="I757" s="322" t="s">
        <v>282</v>
      </c>
      <c r="J757" s="322" t="s">
        <v>15</v>
      </c>
      <c r="K757" s="322" t="s">
        <v>16</v>
      </c>
      <c r="L757" s="322" t="s">
        <v>282</v>
      </c>
      <c r="M757" s="322" t="s">
        <v>282</v>
      </c>
      <c r="N757" s="322" t="s">
        <v>282</v>
      </c>
      <c r="O757" s="323" t="s">
        <v>15</v>
      </c>
      <c r="P757" s="323" t="s">
        <v>15</v>
      </c>
      <c r="Q757" s="323" t="s">
        <v>15</v>
      </c>
      <c r="R757" s="323" t="s">
        <v>15</v>
      </c>
      <c r="S757" s="323" t="s">
        <v>16</v>
      </c>
      <c r="T757" s="323" t="s">
        <v>329</v>
      </c>
      <c r="U757" s="323" t="s">
        <v>249</v>
      </c>
      <c r="V757" s="323" t="s">
        <v>282</v>
      </c>
      <c r="W757" s="324" t="s">
        <v>282</v>
      </c>
      <c r="X757" s="324" t="s">
        <v>282</v>
      </c>
      <c r="Y757" s="325" t="s">
        <v>282</v>
      </c>
    </row>
    <row r="758" spans="1:25">
      <c r="A758" s="319">
        <v>14</v>
      </c>
      <c r="B758" s="320" t="str">
        <f>VLOOKUP(Tabel10[[#This Row],[Code]],Ruimtegroepen[[Code]:[Ruimte omschrijving]],2,FALSE)</f>
        <v>Praktijklokalen</v>
      </c>
      <c r="C758" s="321" t="s">
        <v>912</v>
      </c>
      <c r="D758" s="320" t="s">
        <v>13</v>
      </c>
      <c r="E758" s="321" t="s">
        <v>99</v>
      </c>
      <c r="F758" s="321" t="s">
        <v>914</v>
      </c>
      <c r="G758" s="326" t="s">
        <v>282</v>
      </c>
      <c r="H758" s="322" t="s">
        <v>15</v>
      </c>
      <c r="I758" s="322" t="s">
        <v>282</v>
      </c>
      <c r="J758" s="322" t="s">
        <v>282</v>
      </c>
      <c r="K758" s="322" t="s">
        <v>282</v>
      </c>
      <c r="L758" s="322" t="s">
        <v>282</v>
      </c>
      <c r="M758" s="322" t="s">
        <v>282</v>
      </c>
      <c r="N758" s="322" t="s">
        <v>282</v>
      </c>
      <c r="O758" s="323" t="s">
        <v>282</v>
      </c>
      <c r="P758" s="323" t="s">
        <v>282</v>
      </c>
      <c r="Q758" s="323" t="s">
        <v>282</v>
      </c>
      <c r="R758" s="323" t="s">
        <v>282</v>
      </c>
      <c r="S758" s="323" t="s">
        <v>282</v>
      </c>
      <c r="T758" s="323" t="s">
        <v>282</v>
      </c>
      <c r="U758" s="323" t="s">
        <v>282</v>
      </c>
      <c r="V758" s="323" t="s">
        <v>282</v>
      </c>
      <c r="W758" s="324" t="s">
        <v>282</v>
      </c>
      <c r="X758" s="324" t="s">
        <v>282</v>
      </c>
      <c r="Y758" s="325" t="s">
        <v>282</v>
      </c>
    </row>
    <row r="759" spans="1:25">
      <c r="A759" s="319">
        <v>14</v>
      </c>
      <c r="B759" s="320" t="str">
        <f>VLOOKUP(Tabel10[[#This Row],[Code]],Ruimtegroepen[[Code]:[Ruimte omschrijving]],2,FALSE)</f>
        <v>Praktijklokalen</v>
      </c>
      <c r="C759" s="321" t="s">
        <v>912</v>
      </c>
      <c r="D759" s="320" t="s">
        <v>13</v>
      </c>
      <c r="E759" s="321" t="s">
        <v>1306</v>
      </c>
      <c r="F759" s="321" t="s">
        <v>1367</v>
      </c>
      <c r="G759" s="326" t="s">
        <v>282</v>
      </c>
      <c r="H759" s="322" t="s">
        <v>282</v>
      </c>
      <c r="I759" s="322" t="s">
        <v>282</v>
      </c>
      <c r="J759" s="322" t="s">
        <v>15</v>
      </c>
      <c r="K759" s="322" t="s">
        <v>16</v>
      </c>
      <c r="L759" s="322" t="s">
        <v>282</v>
      </c>
      <c r="M759" s="322" t="s">
        <v>282</v>
      </c>
      <c r="N759" s="322" t="s">
        <v>282</v>
      </c>
      <c r="O759" s="323" t="s">
        <v>15</v>
      </c>
      <c r="P759" s="323" t="s">
        <v>15</v>
      </c>
      <c r="Q759" s="323" t="s">
        <v>15</v>
      </c>
      <c r="R759" s="323" t="s">
        <v>15</v>
      </c>
      <c r="S759" s="323" t="s">
        <v>16</v>
      </c>
      <c r="T759" s="323" t="s">
        <v>329</v>
      </c>
      <c r="U759" s="323" t="s">
        <v>249</v>
      </c>
      <c r="V759" s="323" t="s">
        <v>282</v>
      </c>
      <c r="W759" s="324" t="s">
        <v>282</v>
      </c>
      <c r="X759" s="324" t="s">
        <v>282</v>
      </c>
      <c r="Y759" s="325" t="s">
        <v>282</v>
      </c>
    </row>
    <row r="760" spans="1:25">
      <c r="A760" s="319">
        <v>14</v>
      </c>
      <c r="B760" s="320" t="str">
        <f>VLOOKUP(Tabel10[[#This Row],[Code]],Ruimtegroepen[[Code]:[Ruimte omschrijving]],2,FALSE)</f>
        <v>Praktijklokalen</v>
      </c>
      <c r="C760" s="321" t="s">
        <v>917</v>
      </c>
      <c r="D760" s="320" t="s">
        <v>0</v>
      </c>
      <c r="E760" s="321" t="s">
        <v>100</v>
      </c>
      <c r="F760" s="321" t="s">
        <v>918</v>
      </c>
      <c r="G760" s="326" t="s">
        <v>282</v>
      </c>
      <c r="H760" s="322" t="s">
        <v>282</v>
      </c>
      <c r="I760" s="322" t="s">
        <v>16</v>
      </c>
      <c r="J760" s="322" t="s">
        <v>282</v>
      </c>
      <c r="K760" s="322" t="s">
        <v>282</v>
      </c>
      <c r="L760" s="322" t="s">
        <v>282</v>
      </c>
      <c r="M760" s="322" t="s">
        <v>282</v>
      </c>
      <c r="N760" s="322" t="s">
        <v>282</v>
      </c>
      <c r="O760" s="323" t="s">
        <v>16</v>
      </c>
      <c r="P760" s="323" t="s">
        <v>16</v>
      </c>
      <c r="Q760" s="323" t="s">
        <v>16</v>
      </c>
      <c r="R760" s="323" t="s">
        <v>16</v>
      </c>
      <c r="S760" s="323" t="s">
        <v>16</v>
      </c>
      <c r="T760" s="323" t="s">
        <v>329</v>
      </c>
      <c r="U760" s="323" t="s">
        <v>249</v>
      </c>
      <c r="V760" s="323" t="s">
        <v>282</v>
      </c>
      <c r="W760" s="324" t="s">
        <v>282</v>
      </c>
      <c r="X760" s="324" t="s">
        <v>282</v>
      </c>
      <c r="Y760" s="325" t="s">
        <v>282</v>
      </c>
    </row>
    <row r="761" spans="1:25">
      <c r="A761" s="319">
        <v>14</v>
      </c>
      <c r="B761" s="320" t="str">
        <f>VLOOKUP(Tabel10[[#This Row],[Code]],Ruimtegroepen[[Code]:[Ruimte omschrijving]],2,FALSE)</f>
        <v>Praktijklokalen</v>
      </c>
      <c r="C761" s="321" t="s">
        <v>917</v>
      </c>
      <c r="D761" s="320" t="s">
        <v>0</v>
      </c>
      <c r="E761" s="321" t="s">
        <v>99</v>
      </c>
      <c r="F761" s="321" t="s">
        <v>919</v>
      </c>
      <c r="G761" s="326" t="s">
        <v>282</v>
      </c>
      <c r="H761" s="322" t="s">
        <v>16</v>
      </c>
      <c r="I761" s="322" t="s">
        <v>282</v>
      </c>
      <c r="J761" s="322" t="s">
        <v>282</v>
      </c>
      <c r="K761" s="322" t="s">
        <v>282</v>
      </c>
      <c r="L761" s="322" t="s">
        <v>282</v>
      </c>
      <c r="M761" s="322" t="s">
        <v>282</v>
      </c>
      <c r="N761" s="322" t="s">
        <v>282</v>
      </c>
      <c r="O761" s="323" t="s">
        <v>16</v>
      </c>
      <c r="P761" s="323" t="s">
        <v>16</v>
      </c>
      <c r="Q761" s="323" t="s">
        <v>16</v>
      </c>
      <c r="R761" s="323" t="s">
        <v>16</v>
      </c>
      <c r="S761" s="323" t="s">
        <v>16</v>
      </c>
      <c r="T761" s="323" t="s">
        <v>329</v>
      </c>
      <c r="U761" s="323" t="s">
        <v>249</v>
      </c>
      <c r="V761" s="323" t="s">
        <v>282</v>
      </c>
      <c r="W761" s="324" t="s">
        <v>282</v>
      </c>
      <c r="X761" s="324" t="s">
        <v>282</v>
      </c>
      <c r="Y761" s="325" t="s">
        <v>282</v>
      </c>
    </row>
    <row r="762" spans="1:25">
      <c r="A762" s="319">
        <v>14</v>
      </c>
      <c r="B762" s="320" t="str">
        <f>VLOOKUP(Tabel10[[#This Row],[Code]],Ruimtegroepen[[Code]:[Ruimte omschrijving]],2,FALSE)</f>
        <v>Praktijklokalen</v>
      </c>
      <c r="C762" s="321" t="s">
        <v>917</v>
      </c>
      <c r="D762" s="320" t="s">
        <v>0</v>
      </c>
      <c r="E762" s="321" t="s">
        <v>101</v>
      </c>
      <c r="F762" s="321" t="s">
        <v>920</v>
      </c>
      <c r="G762" s="326" t="s">
        <v>282</v>
      </c>
      <c r="H762" s="322" t="s">
        <v>282</v>
      </c>
      <c r="I762" s="322" t="s">
        <v>282</v>
      </c>
      <c r="J762" s="322" t="s">
        <v>361</v>
      </c>
      <c r="K762" s="322" t="s">
        <v>16</v>
      </c>
      <c r="L762" s="322" t="s">
        <v>282</v>
      </c>
      <c r="M762" s="322" t="s">
        <v>282</v>
      </c>
      <c r="N762" s="322" t="s">
        <v>282</v>
      </c>
      <c r="O762" s="323" t="s">
        <v>16</v>
      </c>
      <c r="P762" s="323" t="s">
        <v>16</v>
      </c>
      <c r="Q762" s="323" t="s">
        <v>16</v>
      </c>
      <c r="R762" s="323" t="s">
        <v>16</v>
      </c>
      <c r="S762" s="323" t="s">
        <v>16</v>
      </c>
      <c r="T762" s="323" t="s">
        <v>329</v>
      </c>
      <c r="U762" s="323" t="s">
        <v>249</v>
      </c>
      <c r="V762" s="323" t="s">
        <v>282</v>
      </c>
      <c r="W762" s="324" t="s">
        <v>282</v>
      </c>
      <c r="X762" s="324" t="s">
        <v>282</v>
      </c>
      <c r="Y762" s="325" t="s">
        <v>282</v>
      </c>
    </row>
    <row r="763" spans="1:25">
      <c r="A763" s="319">
        <v>14</v>
      </c>
      <c r="B763" s="320" t="str">
        <f>VLOOKUP(Tabel10[[#This Row],[Code]],Ruimtegroepen[[Code]:[Ruimte omschrijving]],2,FALSE)</f>
        <v>Praktijklokalen</v>
      </c>
      <c r="C763" s="321" t="s">
        <v>917</v>
      </c>
      <c r="D763" s="320" t="s">
        <v>0</v>
      </c>
      <c r="E763" s="321" t="s">
        <v>102</v>
      </c>
      <c r="F763" s="321" t="s">
        <v>921</v>
      </c>
      <c r="G763" s="326" t="s">
        <v>282</v>
      </c>
      <c r="H763" s="322" t="s">
        <v>282</v>
      </c>
      <c r="I763" s="322" t="s">
        <v>16</v>
      </c>
      <c r="J763" s="322" t="s">
        <v>282</v>
      </c>
      <c r="K763" s="322" t="s">
        <v>16</v>
      </c>
      <c r="L763" s="322" t="s">
        <v>282</v>
      </c>
      <c r="M763" s="322" t="s">
        <v>282</v>
      </c>
      <c r="N763" s="322" t="s">
        <v>282</v>
      </c>
      <c r="O763" s="323" t="s">
        <v>16</v>
      </c>
      <c r="P763" s="323" t="s">
        <v>16</v>
      </c>
      <c r="Q763" s="323" t="s">
        <v>16</v>
      </c>
      <c r="R763" s="323" t="s">
        <v>16</v>
      </c>
      <c r="S763" s="323" t="s">
        <v>16</v>
      </c>
      <c r="T763" s="323" t="s">
        <v>329</v>
      </c>
      <c r="U763" s="323" t="s">
        <v>249</v>
      </c>
      <c r="V763" s="323" t="s">
        <v>282</v>
      </c>
      <c r="W763" s="324" t="s">
        <v>282</v>
      </c>
      <c r="X763" s="324" t="s">
        <v>282</v>
      </c>
      <c r="Y763" s="325" t="s">
        <v>282</v>
      </c>
    </row>
    <row r="764" spans="1:25">
      <c r="A764" s="319">
        <v>14</v>
      </c>
      <c r="B764" s="320" t="str">
        <f>VLOOKUP(Tabel10[[#This Row],[Code]],Ruimtegroepen[[Code]:[Ruimte omschrijving]],2,FALSE)</f>
        <v>Praktijklokalen</v>
      </c>
      <c r="C764" s="321" t="s">
        <v>917</v>
      </c>
      <c r="D764" s="320" t="s">
        <v>0</v>
      </c>
      <c r="E764" s="321" t="s">
        <v>99</v>
      </c>
      <c r="F764" s="321" t="s">
        <v>919</v>
      </c>
      <c r="G764" s="326" t="s">
        <v>282</v>
      </c>
      <c r="H764" s="322" t="s">
        <v>16</v>
      </c>
      <c r="I764" s="322" t="s">
        <v>282</v>
      </c>
      <c r="J764" s="322" t="s">
        <v>282</v>
      </c>
      <c r="K764" s="322" t="s">
        <v>282</v>
      </c>
      <c r="L764" s="322" t="s">
        <v>282</v>
      </c>
      <c r="M764" s="322" t="s">
        <v>282</v>
      </c>
      <c r="N764" s="322" t="s">
        <v>282</v>
      </c>
      <c r="O764" s="323" t="s">
        <v>282</v>
      </c>
      <c r="P764" s="323" t="s">
        <v>282</v>
      </c>
      <c r="Q764" s="323" t="s">
        <v>282</v>
      </c>
      <c r="R764" s="323" t="s">
        <v>282</v>
      </c>
      <c r="S764" s="323" t="s">
        <v>282</v>
      </c>
      <c r="T764" s="323" t="s">
        <v>282</v>
      </c>
      <c r="U764" s="323" t="s">
        <v>282</v>
      </c>
      <c r="V764" s="323" t="s">
        <v>282</v>
      </c>
      <c r="W764" s="324" t="s">
        <v>282</v>
      </c>
      <c r="X764" s="324" t="s">
        <v>282</v>
      </c>
      <c r="Y764" s="325" t="s">
        <v>282</v>
      </c>
    </row>
    <row r="765" spans="1:25">
      <c r="A765" s="319">
        <v>14</v>
      </c>
      <c r="B765" s="320" t="str">
        <f>VLOOKUP(Tabel10[[#This Row],[Code]],Ruimtegroepen[[Code]:[Ruimte omschrijving]],2,FALSE)</f>
        <v>Praktijklokalen</v>
      </c>
      <c r="C765" s="321" t="s">
        <v>917</v>
      </c>
      <c r="D765" s="320" t="s">
        <v>0</v>
      </c>
      <c r="E765" s="321" t="s">
        <v>1306</v>
      </c>
      <c r="F765" s="321" t="s">
        <v>1351</v>
      </c>
      <c r="G765" s="326" t="s">
        <v>282</v>
      </c>
      <c r="H765" s="322" t="s">
        <v>282</v>
      </c>
      <c r="I765" s="322" t="s">
        <v>16</v>
      </c>
      <c r="J765" s="322" t="s">
        <v>282</v>
      </c>
      <c r="K765" s="322" t="s">
        <v>16</v>
      </c>
      <c r="L765" s="322" t="s">
        <v>282</v>
      </c>
      <c r="M765" s="322" t="s">
        <v>282</v>
      </c>
      <c r="N765" s="322" t="s">
        <v>282</v>
      </c>
      <c r="O765" s="323" t="s">
        <v>16</v>
      </c>
      <c r="P765" s="323" t="s">
        <v>16</v>
      </c>
      <c r="Q765" s="323" t="s">
        <v>16</v>
      </c>
      <c r="R765" s="323" t="s">
        <v>16</v>
      </c>
      <c r="S765" s="323" t="s">
        <v>16</v>
      </c>
      <c r="T765" s="323" t="s">
        <v>329</v>
      </c>
      <c r="U765" s="323" t="s">
        <v>249</v>
      </c>
      <c r="V765" s="323" t="s">
        <v>282</v>
      </c>
      <c r="W765" s="324" t="s">
        <v>282</v>
      </c>
      <c r="X765" s="324" t="s">
        <v>282</v>
      </c>
      <c r="Y765" s="325" t="s">
        <v>282</v>
      </c>
    </row>
    <row r="766" spans="1:25">
      <c r="A766" s="319">
        <v>14</v>
      </c>
      <c r="B766" s="320" t="str">
        <f>VLOOKUP(Tabel10[[#This Row],[Code]],Ruimtegroepen[[Code]:[Ruimte omschrijving]],2,FALSE)</f>
        <v>Praktijklokalen</v>
      </c>
      <c r="C766" s="321" t="s">
        <v>922</v>
      </c>
      <c r="D766" s="320" t="s">
        <v>27</v>
      </c>
      <c r="E766" s="321" t="s">
        <v>100</v>
      </c>
      <c r="F766" s="321" t="s">
        <v>923</v>
      </c>
      <c r="G766" s="326" t="s">
        <v>282</v>
      </c>
      <c r="H766" s="322" t="s">
        <v>282</v>
      </c>
      <c r="I766" s="322" t="s">
        <v>15</v>
      </c>
      <c r="J766" s="322" t="s">
        <v>282</v>
      </c>
      <c r="K766" s="322" t="s">
        <v>282</v>
      </c>
      <c r="L766" s="322" t="s">
        <v>282</v>
      </c>
      <c r="M766" s="322" t="s">
        <v>282</v>
      </c>
      <c r="N766" s="322" t="s">
        <v>282</v>
      </c>
      <c r="O766" s="323" t="s">
        <v>15</v>
      </c>
      <c r="P766" s="323" t="s">
        <v>15</v>
      </c>
      <c r="Q766" s="323" t="s">
        <v>15</v>
      </c>
      <c r="R766" s="323" t="s">
        <v>282</v>
      </c>
      <c r="S766" s="323" t="s">
        <v>282</v>
      </c>
      <c r="T766" s="323" t="s">
        <v>282</v>
      </c>
      <c r="U766" s="323" t="s">
        <v>282</v>
      </c>
      <c r="V766" s="323" t="s">
        <v>282</v>
      </c>
      <c r="W766" s="324" t="s">
        <v>282</v>
      </c>
      <c r="X766" s="324" t="s">
        <v>282</v>
      </c>
      <c r="Y766" s="325" t="s">
        <v>282</v>
      </c>
    </row>
    <row r="767" spans="1:25">
      <c r="A767" s="319">
        <v>14</v>
      </c>
      <c r="B767" s="320" t="str">
        <f>VLOOKUP(Tabel10[[#This Row],[Code]],Ruimtegroepen[[Code]:[Ruimte omschrijving]],2,FALSE)</f>
        <v>Praktijklokalen</v>
      </c>
      <c r="C767" s="321" t="s">
        <v>922</v>
      </c>
      <c r="D767" s="320" t="s">
        <v>27</v>
      </c>
      <c r="E767" s="321" t="s">
        <v>99</v>
      </c>
      <c r="F767" s="321" t="s">
        <v>924</v>
      </c>
      <c r="G767" s="326" t="s">
        <v>282</v>
      </c>
      <c r="H767" s="322" t="s">
        <v>15</v>
      </c>
      <c r="I767" s="322" t="s">
        <v>282</v>
      </c>
      <c r="J767" s="322" t="s">
        <v>282</v>
      </c>
      <c r="K767" s="322" t="s">
        <v>282</v>
      </c>
      <c r="L767" s="322" t="s">
        <v>282</v>
      </c>
      <c r="M767" s="322" t="s">
        <v>282</v>
      </c>
      <c r="N767" s="322" t="s">
        <v>282</v>
      </c>
      <c r="O767" s="323" t="s">
        <v>15</v>
      </c>
      <c r="P767" s="323" t="s">
        <v>15</v>
      </c>
      <c r="Q767" s="323" t="s">
        <v>15</v>
      </c>
      <c r="R767" s="323" t="s">
        <v>282</v>
      </c>
      <c r="S767" s="323" t="s">
        <v>282</v>
      </c>
      <c r="T767" s="323" t="s">
        <v>282</v>
      </c>
      <c r="U767" s="323" t="s">
        <v>282</v>
      </c>
      <c r="V767" s="323" t="s">
        <v>282</v>
      </c>
      <c r="W767" s="324" t="s">
        <v>282</v>
      </c>
      <c r="X767" s="324" t="s">
        <v>282</v>
      </c>
      <c r="Y767" s="325" t="s">
        <v>282</v>
      </c>
    </row>
    <row r="768" spans="1:25">
      <c r="A768" s="319">
        <v>14</v>
      </c>
      <c r="B768" s="320" t="str">
        <f>VLOOKUP(Tabel10[[#This Row],[Code]],Ruimtegroepen[[Code]:[Ruimte omschrijving]],2,FALSE)</f>
        <v>Praktijklokalen</v>
      </c>
      <c r="C768" s="321" t="s">
        <v>922</v>
      </c>
      <c r="D768" s="320" t="s">
        <v>27</v>
      </c>
      <c r="E768" s="321" t="s">
        <v>101</v>
      </c>
      <c r="F768" s="321" t="s">
        <v>925</v>
      </c>
      <c r="G768" s="326" t="s">
        <v>282</v>
      </c>
      <c r="H768" s="322" t="s">
        <v>282</v>
      </c>
      <c r="I768" s="322" t="s">
        <v>15</v>
      </c>
      <c r="J768" s="322" t="s">
        <v>282</v>
      </c>
      <c r="K768" s="322" t="s">
        <v>282</v>
      </c>
      <c r="L768" s="322" t="s">
        <v>282</v>
      </c>
      <c r="M768" s="322" t="s">
        <v>282</v>
      </c>
      <c r="N768" s="322" t="s">
        <v>282</v>
      </c>
      <c r="O768" s="323" t="s">
        <v>15</v>
      </c>
      <c r="P768" s="323" t="s">
        <v>15</v>
      </c>
      <c r="Q768" s="323" t="s">
        <v>15</v>
      </c>
      <c r="R768" s="323" t="s">
        <v>282</v>
      </c>
      <c r="S768" s="323" t="s">
        <v>282</v>
      </c>
      <c r="T768" s="323" t="s">
        <v>282</v>
      </c>
      <c r="U768" s="323" t="s">
        <v>282</v>
      </c>
      <c r="V768" s="323" t="s">
        <v>282</v>
      </c>
      <c r="W768" s="324" t="s">
        <v>282</v>
      </c>
      <c r="X768" s="324" t="s">
        <v>282</v>
      </c>
      <c r="Y768" s="325" t="s">
        <v>282</v>
      </c>
    </row>
    <row r="769" spans="1:25">
      <c r="A769" s="319">
        <v>14</v>
      </c>
      <c r="B769" s="320" t="str">
        <f>VLOOKUP(Tabel10[[#This Row],[Code]],Ruimtegroepen[[Code]:[Ruimte omschrijving]],2,FALSE)</f>
        <v>Praktijklokalen</v>
      </c>
      <c r="C769" s="321" t="s">
        <v>922</v>
      </c>
      <c r="D769" s="320" t="s">
        <v>27</v>
      </c>
      <c r="E769" s="321" t="s">
        <v>102</v>
      </c>
      <c r="F769" s="321" t="s">
        <v>926</v>
      </c>
      <c r="G769" s="326" t="s">
        <v>282</v>
      </c>
      <c r="H769" s="322" t="s">
        <v>282</v>
      </c>
      <c r="I769" s="322" t="s">
        <v>15</v>
      </c>
      <c r="J769" s="322" t="s">
        <v>282</v>
      </c>
      <c r="K769" s="322" t="s">
        <v>282</v>
      </c>
      <c r="L769" s="322" t="s">
        <v>282</v>
      </c>
      <c r="M769" s="322" t="s">
        <v>282</v>
      </c>
      <c r="N769" s="322" t="s">
        <v>282</v>
      </c>
      <c r="O769" s="323" t="s">
        <v>15</v>
      </c>
      <c r="P769" s="323" t="s">
        <v>15</v>
      </c>
      <c r="Q769" s="323" t="s">
        <v>15</v>
      </c>
      <c r="R769" s="323" t="s">
        <v>282</v>
      </c>
      <c r="S769" s="323" t="s">
        <v>282</v>
      </c>
      <c r="T769" s="323" t="s">
        <v>282</v>
      </c>
      <c r="U769" s="323" t="s">
        <v>282</v>
      </c>
      <c r="V769" s="323" t="s">
        <v>282</v>
      </c>
      <c r="W769" s="324" t="s">
        <v>282</v>
      </c>
      <c r="X769" s="324" t="s">
        <v>282</v>
      </c>
      <c r="Y769" s="325" t="s">
        <v>282</v>
      </c>
    </row>
    <row r="770" spans="1:25">
      <c r="A770" s="319">
        <v>14</v>
      </c>
      <c r="B770" s="320" t="str">
        <f>VLOOKUP(Tabel10[[#This Row],[Code]],Ruimtegroepen[[Code]:[Ruimte omschrijving]],2,FALSE)</f>
        <v>Praktijklokalen</v>
      </c>
      <c r="C770" s="321" t="s">
        <v>922</v>
      </c>
      <c r="D770" s="320" t="s">
        <v>27</v>
      </c>
      <c r="E770" s="321" t="s">
        <v>99</v>
      </c>
      <c r="F770" s="321" t="s">
        <v>924</v>
      </c>
      <c r="G770" s="326" t="s">
        <v>282</v>
      </c>
      <c r="H770" s="322" t="s">
        <v>15</v>
      </c>
      <c r="I770" s="322" t="s">
        <v>282</v>
      </c>
      <c r="J770" s="322" t="s">
        <v>282</v>
      </c>
      <c r="K770" s="322" t="s">
        <v>282</v>
      </c>
      <c r="L770" s="322" t="s">
        <v>282</v>
      </c>
      <c r="M770" s="322" t="s">
        <v>282</v>
      </c>
      <c r="N770" s="322" t="s">
        <v>282</v>
      </c>
      <c r="O770" s="323" t="s">
        <v>15</v>
      </c>
      <c r="P770" s="323" t="s">
        <v>15</v>
      </c>
      <c r="Q770" s="323" t="s">
        <v>15</v>
      </c>
      <c r="R770" s="323" t="s">
        <v>282</v>
      </c>
      <c r="S770" s="323" t="s">
        <v>282</v>
      </c>
      <c r="T770" s="323" t="s">
        <v>282</v>
      </c>
      <c r="U770" s="323" t="s">
        <v>282</v>
      </c>
      <c r="V770" s="323" t="s">
        <v>282</v>
      </c>
      <c r="W770" s="324" t="s">
        <v>282</v>
      </c>
      <c r="X770" s="324" t="s">
        <v>282</v>
      </c>
      <c r="Y770" s="325" t="s">
        <v>282</v>
      </c>
    </row>
    <row r="771" spans="1:25">
      <c r="A771" s="319">
        <v>14</v>
      </c>
      <c r="B771" s="320" t="str">
        <f>VLOOKUP(Tabel10[[#This Row],[Code]],Ruimtegroepen[[Code]:[Ruimte omschrijving]],2,FALSE)</f>
        <v>Praktijklokalen</v>
      </c>
      <c r="C771" s="321" t="s">
        <v>922</v>
      </c>
      <c r="D771" s="320" t="s">
        <v>27</v>
      </c>
      <c r="E771" s="321" t="s">
        <v>1306</v>
      </c>
      <c r="F771" s="321" t="s">
        <v>1384</v>
      </c>
      <c r="G771" s="326" t="s">
        <v>282</v>
      </c>
      <c r="H771" s="322" t="s">
        <v>282</v>
      </c>
      <c r="I771" s="322" t="s">
        <v>15</v>
      </c>
      <c r="J771" s="322" t="s">
        <v>282</v>
      </c>
      <c r="K771" s="322" t="s">
        <v>282</v>
      </c>
      <c r="L771" s="322" t="s">
        <v>282</v>
      </c>
      <c r="M771" s="322" t="s">
        <v>282</v>
      </c>
      <c r="N771" s="322" t="s">
        <v>282</v>
      </c>
      <c r="O771" s="323" t="s">
        <v>15</v>
      </c>
      <c r="P771" s="323" t="s">
        <v>15</v>
      </c>
      <c r="Q771" s="323" t="s">
        <v>15</v>
      </c>
      <c r="R771" s="323" t="s">
        <v>282</v>
      </c>
      <c r="S771" s="323" t="s">
        <v>282</v>
      </c>
      <c r="T771" s="323" t="s">
        <v>282</v>
      </c>
      <c r="U771" s="323" t="s">
        <v>282</v>
      </c>
      <c r="V771" s="323" t="s">
        <v>282</v>
      </c>
      <c r="W771" s="324" t="s">
        <v>282</v>
      </c>
      <c r="X771" s="324" t="s">
        <v>282</v>
      </c>
      <c r="Y771" s="325" t="s">
        <v>282</v>
      </c>
    </row>
    <row r="772" spans="1:25">
      <c r="A772" s="319">
        <v>14</v>
      </c>
      <c r="B772" s="320" t="str">
        <f>VLOOKUP(Tabel10[[#This Row],[Code]],Ruimtegroepen[[Code]:[Ruimte omschrijving]],2,FALSE)</f>
        <v>Praktijklokalen</v>
      </c>
      <c r="C772" s="321" t="s">
        <v>927</v>
      </c>
      <c r="D772" s="320" t="s">
        <v>28</v>
      </c>
      <c r="E772" s="321" t="s">
        <v>100</v>
      </c>
      <c r="F772" s="321" t="s">
        <v>928</v>
      </c>
      <c r="G772" s="326" t="s">
        <v>282</v>
      </c>
      <c r="H772" s="322" t="s">
        <v>282</v>
      </c>
      <c r="I772" s="322" t="s">
        <v>17</v>
      </c>
      <c r="J772" s="322" t="s">
        <v>282</v>
      </c>
      <c r="K772" s="322" t="s">
        <v>282</v>
      </c>
      <c r="L772" s="322" t="s">
        <v>282</v>
      </c>
      <c r="M772" s="322" t="s">
        <v>282</v>
      </c>
      <c r="N772" s="322" t="s">
        <v>282</v>
      </c>
      <c r="O772" s="323" t="s">
        <v>17</v>
      </c>
      <c r="P772" s="323" t="s">
        <v>17</v>
      </c>
      <c r="Q772" s="323" t="s">
        <v>15</v>
      </c>
      <c r="R772" s="323" t="s">
        <v>282</v>
      </c>
      <c r="S772" s="323" t="s">
        <v>282</v>
      </c>
      <c r="T772" s="323" t="s">
        <v>282</v>
      </c>
      <c r="U772" s="323" t="s">
        <v>282</v>
      </c>
      <c r="V772" s="323" t="s">
        <v>282</v>
      </c>
      <c r="W772" s="324" t="s">
        <v>282</v>
      </c>
      <c r="X772" s="324" t="s">
        <v>282</v>
      </c>
      <c r="Y772" s="325" t="s">
        <v>282</v>
      </c>
    </row>
    <row r="773" spans="1:25">
      <c r="A773" s="319">
        <v>14</v>
      </c>
      <c r="B773" s="320" t="str">
        <f>VLOOKUP(Tabel10[[#This Row],[Code]],Ruimtegroepen[[Code]:[Ruimte omschrijving]],2,FALSE)</f>
        <v>Praktijklokalen</v>
      </c>
      <c r="C773" s="321" t="s">
        <v>927</v>
      </c>
      <c r="D773" s="320" t="s">
        <v>28</v>
      </c>
      <c r="E773" s="321" t="s">
        <v>99</v>
      </c>
      <c r="F773" s="321" t="s">
        <v>929</v>
      </c>
      <c r="G773" s="326" t="s">
        <v>282</v>
      </c>
      <c r="H773" s="322" t="s">
        <v>17</v>
      </c>
      <c r="I773" s="322" t="s">
        <v>282</v>
      </c>
      <c r="J773" s="322" t="s">
        <v>282</v>
      </c>
      <c r="K773" s="322" t="s">
        <v>282</v>
      </c>
      <c r="L773" s="322" t="s">
        <v>282</v>
      </c>
      <c r="M773" s="322" t="s">
        <v>282</v>
      </c>
      <c r="N773" s="322" t="s">
        <v>282</v>
      </c>
      <c r="O773" s="323" t="s">
        <v>17</v>
      </c>
      <c r="P773" s="323" t="s">
        <v>17</v>
      </c>
      <c r="Q773" s="323" t="s">
        <v>15</v>
      </c>
      <c r="R773" s="323" t="s">
        <v>282</v>
      </c>
      <c r="S773" s="323" t="s">
        <v>282</v>
      </c>
      <c r="T773" s="323" t="s">
        <v>282</v>
      </c>
      <c r="U773" s="323" t="s">
        <v>282</v>
      </c>
      <c r="V773" s="323" t="s">
        <v>282</v>
      </c>
      <c r="W773" s="324" t="s">
        <v>282</v>
      </c>
      <c r="X773" s="324" t="s">
        <v>282</v>
      </c>
      <c r="Y773" s="325" t="s">
        <v>282</v>
      </c>
    </row>
    <row r="774" spans="1:25">
      <c r="A774" s="319">
        <v>14</v>
      </c>
      <c r="B774" s="320" t="str">
        <f>VLOOKUP(Tabel10[[#This Row],[Code]],Ruimtegroepen[[Code]:[Ruimte omschrijving]],2,FALSE)</f>
        <v>Praktijklokalen</v>
      </c>
      <c r="C774" s="321" t="s">
        <v>927</v>
      </c>
      <c r="D774" s="320" t="s">
        <v>28</v>
      </c>
      <c r="E774" s="321" t="s">
        <v>101</v>
      </c>
      <c r="F774" s="321" t="s">
        <v>930</v>
      </c>
      <c r="G774" s="326" t="s">
        <v>282</v>
      </c>
      <c r="H774" s="322" t="s">
        <v>282</v>
      </c>
      <c r="I774" s="322" t="s">
        <v>17</v>
      </c>
      <c r="J774" s="322" t="s">
        <v>282</v>
      </c>
      <c r="K774" s="322" t="s">
        <v>282</v>
      </c>
      <c r="L774" s="322" t="s">
        <v>282</v>
      </c>
      <c r="M774" s="322" t="s">
        <v>282</v>
      </c>
      <c r="N774" s="322" t="s">
        <v>282</v>
      </c>
      <c r="O774" s="323" t="s">
        <v>17</v>
      </c>
      <c r="P774" s="323" t="s">
        <v>17</v>
      </c>
      <c r="Q774" s="323" t="s">
        <v>15</v>
      </c>
      <c r="R774" s="323" t="s">
        <v>282</v>
      </c>
      <c r="S774" s="323" t="s">
        <v>282</v>
      </c>
      <c r="T774" s="323" t="s">
        <v>282</v>
      </c>
      <c r="U774" s="323" t="s">
        <v>282</v>
      </c>
      <c r="V774" s="323" t="s">
        <v>282</v>
      </c>
      <c r="W774" s="324" t="s">
        <v>282</v>
      </c>
      <c r="X774" s="324" t="s">
        <v>282</v>
      </c>
      <c r="Y774" s="325" t="s">
        <v>282</v>
      </c>
    </row>
    <row r="775" spans="1:25">
      <c r="A775" s="319">
        <v>14</v>
      </c>
      <c r="B775" s="320" t="str">
        <f>VLOOKUP(Tabel10[[#This Row],[Code]],Ruimtegroepen[[Code]:[Ruimte omschrijving]],2,FALSE)</f>
        <v>Praktijklokalen</v>
      </c>
      <c r="C775" s="321" t="s">
        <v>927</v>
      </c>
      <c r="D775" s="320" t="s">
        <v>28</v>
      </c>
      <c r="E775" s="321" t="s">
        <v>102</v>
      </c>
      <c r="F775" s="321" t="s">
        <v>931</v>
      </c>
      <c r="G775" s="326" t="s">
        <v>282</v>
      </c>
      <c r="H775" s="322" t="s">
        <v>282</v>
      </c>
      <c r="I775" s="322" t="s">
        <v>17</v>
      </c>
      <c r="J775" s="322" t="s">
        <v>282</v>
      </c>
      <c r="K775" s="322" t="s">
        <v>282</v>
      </c>
      <c r="L775" s="322" t="s">
        <v>282</v>
      </c>
      <c r="M775" s="322" t="s">
        <v>282</v>
      </c>
      <c r="N775" s="322" t="s">
        <v>282</v>
      </c>
      <c r="O775" s="323" t="s">
        <v>17</v>
      </c>
      <c r="P775" s="323" t="s">
        <v>17</v>
      </c>
      <c r="Q775" s="323" t="s">
        <v>15</v>
      </c>
      <c r="R775" s="323" t="s">
        <v>282</v>
      </c>
      <c r="S775" s="323" t="s">
        <v>282</v>
      </c>
      <c r="T775" s="323" t="s">
        <v>282</v>
      </c>
      <c r="U775" s="323" t="s">
        <v>282</v>
      </c>
      <c r="V775" s="323" t="s">
        <v>282</v>
      </c>
      <c r="W775" s="324" t="s">
        <v>282</v>
      </c>
      <c r="X775" s="324" t="s">
        <v>282</v>
      </c>
      <c r="Y775" s="325" t="s">
        <v>282</v>
      </c>
    </row>
    <row r="776" spans="1:25">
      <c r="A776" s="319">
        <v>14</v>
      </c>
      <c r="B776" s="320" t="str">
        <f>VLOOKUP(Tabel10[[#This Row],[Code]],Ruimtegroepen[[Code]:[Ruimte omschrijving]],2,FALSE)</f>
        <v>Praktijklokalen</v>
      </c>
      <c r="C776" s="321" t="s">
        <v>927</v>
      </c>
      <c r="D776" s="320" t="s">
        <v>28</v>
      </c>
      <c r="E776" s="321" t="s">
        <v>99</v>
      </c>
      <c r="F776" s="321" t="s">
        <v>929</v>
      </c>
      <c r="G776" s="326" t="s">
        <v>282</v>
      </c>
      <c r="H776" s="322" t="s">
        <v>17</v>
      </c>
      <c r="I776" s="322" t="s">
        <v>282</v>
      </c>
      <c r="J776" s="322" t="s">
        <v>282</v>
      </c>
      <c r="K776" s="322" t="s">
        <v>282</v>
      </c>
      <c r="L776" s="322" t="s">
        <v>282</v>
      </c>
      <c r="M776" s="322" t="s">
        <v>282</v>
      </c>
      <c r="N776" s="322" t="s">
        <v>282</v>
      </c>
      <c r="O776" s="323" t="s">
        <v>17</v>
      </c>
      <c r="P776" s="323" t="s">
        <v>17</v>
      </c>
      <c r="Q776" s="323" t="s">
        <v>15</v>
      </c>
      <c r="R776" s="323" t="s">
        <v>282</v>
      </c>
      <c r="S776" s="323" t="s">
        <v>282</v>
      </c>
      <c r="T776" s="323" t="s">
        <v>282</v>
      </c>
      <c r="U776" s="323" t="s">
        <v>282</v>
      </c>
      <c r="V776" s="323" t="s">
        <v>282</v>
      </c>
      <c r="W776" s="324" t="s">
        <v>282</v>
      </c>
      <c r="X776" s="324" t="s">
        <v>282</v>
      </c>
      <c r="Y776" s="325" t="s">
        <v>282</v>
      </c>
    </row>
    <row r="777" spans="1:25">
      <c r="A777" s="319">
        <v>14</v>
      </c>
      <c r="B777" s="320" t="str">
        <f>VLOOKUP(Tabel10[[#This Row],[Code]],Ruimtegroepen[[Code]:[Ruimte omschrijving]],2,FALSE)</f>
        <v>Praktijklokalen</v>
      </c>
      <c r="C777" s="321" t="s">
        <v>927</v>
      </c>
      <c r="D777" s="320" t="s">
        <v>28</v>
      </c>
      <c r="E777" s="321" t="s">
        <v>1306</v>
      </c>
      <c r="F777" s="321" t="s">
        <v>1417</v>
      </c>
      <c r="G777" s="326" t="s">
        <v>282</v>
      </c>
      <c r="H777" s="322" t="s">
        <v>282</v>
      </c>
      <c r="I777" s="322" t="s">
        <v>17</v>
      </c>
      <c r="J777" s="322" t="s">
        <v>282</v>
      </c>
      <c r="K777" s="322" t="s">
        <v>282</v>
      </c>
      <c r="L777" s="322" t="s">
        <v>282</v>
      </c>
      <c r="M777" s="322" t="s">
        <v>282</v>
      </c>
      <c r="N777" s="322" t="s">
        <v>282</v>
      </c>
      <c r="O777" s="323" t="s">
        <v>17</v>
      </c>
      <c r="P777" s="323" t="s">
        <v>17</v>
      </c>
      <c r="Q777" s="323" t="s">
        <v>15</v>
      </c>
      <c r="R777" s="323" t="s">
        <v>282</v>
      </c>
      <c r="S777" s="323" t="s">
        <v>282</v>
      </c>
      <c r="T777" s="323" t="s">
        <v>282</v>
      </c>
      <c r="U777" s="323" t="s">
        <v>282</v>
      </c>
      <c r="V777" s="323" t="s">
        <v>282</v>
      </c>
      <c r="W777" s="324" t="s">
        <v>282</v>
      </c>
      <c r="X777" s="324" t="s">
        <v>282</v>
      </c>
      <c r="Y777" s="325" t="s">
        <v>282</v>
      </c>
    </row>
    <row r="778" spans="1:25">
      <c r="A778" s="319">
        <v>15</v>
      </c>
      <c r="B778" s="320" t="str">
        <f>VLOOKUP(Tabel10[[#This Row],[Code]],Ruimtegroepen[[Code]:[Ruimte omschrijving]],2,FALSE)</f>
        <v>Keuken/pantry</v>
      </c>
      <c r="C778" s="321" t="s">
        <v>932</v>
      </c>
      <c r="D778" s="320" t="s">
        <v>29</v>
      </c>
      <c r="E778" s="321" t="s">
        <v>100</v>
      </c>
      <c r="F778" s="321" t="s">
        <v>933</v>
      </c>
      <c r="G778" s="326" t="s">
        <v>282</v>
      </c>
      <c r="H778" s="322" t="s">
        <v>282</v>
      </c>
      <c r="I778" s="322" t="s">
        <v>282</v>
      </c>
      <c r="J778" s="322" t="s">
        <v>2</v>
      </c>
      <c r="K778" s="322" t="s">
        <v>282</v>
      </c>
      <c r="L778" s="322" t="s">
        <v>282</v>
      </c>
      <c r="M778" s="322" t="s">
        <v>282</v>
      </c>
      <c r="N778" s="322" t="s">
        <v>2</v>
      </c>
      <c r="O778" s="323" t="s">
        <v>2</v>
      </c>
      <c r="P778" s="323" t="s">
        <v>2</v>
      </c>
      <c r="Q778" s="323" t="s">
        <v>15</v>
      </c>
      <c r="R778" s="323" t="s">
        <v>15</v>
      </c>
      <c r="S778" s="323" t="s">
        <v>16</v>
      </c>
      <c r="T778" s="323" t="s">
        <v>329</v>
      </c>
      <c r="U778" s="323" t="s">
        <v>249</v>
      </c>
      <c r="V778" s="323" t="s">
        <v>2</v>
      </c>
      <c r="W778" s="324" t="s">
        <v>282</v>
      </c>
      <c r="X778" s="324" t="s">
        <v>282</v>
      </c>
      <c r="Y778" s="325" t="s">
        <v>282</v>
      </c>
    </row>
    <row r="779" spans="1:25">
      <c r="A779" s="319">
        <v>15</v>
      </c>
      <c r="B779" s="320" t="str">
        <f>VLOOKUP(Tabel10[[#This Row],[Code]],Ruimtegroepen[[Code]:[Ruimte omschrijving]],2,FALSE)</f>
        <v>Keuken/pantry</v>
      </c>
      <c r="C779" s="321" t="s">
        <v>932</v>
      </c>
      <c r="D779" s="320" t="s">
        <v>29</v>
      </c>
      <c r="E779" s="321" t="s">
        <v>99</v>
      </c>
      <c r="F779" s="321" t="s">
        <v>934</v>
      </c>
      <c r="G779" s="326" t="s">
        <v>282</v>
      </c>
      <c r="H779" s="322" t="s">
        <v>2</v>
      </c>
      <c r="I779" s="322" t="s">
        <v>282</v>
      </c>
      <c r="J779" s="322" t="s">
        <v>282</v>
      </c>
      <c r="K779" s="322" t="s">
        <v>282</v>
      </c>
      <c r="L779" s="322" t="s">
        <v>282</v>
      </c>
      <c r="M779" s="322" t="s">
        <v>282</v>
      </c>
      <c r="N779" s="322" t="s">
        <v>2</v>
      </c>
      <c r="O779" s="323" t="s">
        <v>2</v>
      </c>
      <c r="P779" s="323" t="s">
        <v>2</v>
      </c>
      <c r="Q779" s="323" t="s">
        <v>15</v>
      </c>
      <c r="R779" s="323" t="s">
        <v>15</v>
      </c>
      <c r="S779" s="323" t="s">
        <v>16</v>
      </c>
      <c r="T779" s="323" t="s">
        <v>329</v>
      </c>
      <c r="U779" s="323" t="s">
        <v>249</v>
      </c>
      <c r="V779" s="323" t="s">
        <v>2</v>
      </c>
      <c r="W779" s="324" t="s">
        <v>282</v>
      </c>
      <c r="X779" s="324" t="s">
        <v>282</v>
      </c>
      <c r="Y779" s="325" t="s">
        <v>282</v>
      </c>
    </row>
    <row r="780" spans="1:25">
      <c r="A780" s="319">
        <v>15</v>
      </c>
      <c r="B780" s="320" t="str">
        <f>VLOOKUP(Tabel10[[#This Row],[Code]],Ruimtegroepen[[Code]:[Ruimte omschrijving]],2,FALSE)</f>
        <v>Keuken/pantry</v>
      </c>
      <c r="C780" s="321" t="s">
        <v>932</v>
      </c>
      <c r="D780" s="320" t="s">
        <v>29</v>
      </c>
      <c r="E780" s="321" t="s">
        <v>101</v>
      </c>
      <c r="F780" s="321" t="s">
        <v>935</v>
      </c>
      <c r="G780" s="326" t="s">
        <v>282</v>
      </c>
      <c r="H780" s="322" t="s">
        <v>282</v>
      </c>
      <c r="I780" s="322" t="s">
        <v>2</v>
      </c>
      <c r="J780" s="322" t="s">
        <v>282</v>
      </c>
      <c r="K780" s="322" t="s">
        <v>2</v>
      </c>
      <c r="L780" s="322" t="s">
        <v>282</v>
      </c>
      <c r="M780" s="322" t="s">
        <v>282</v>
      </c>
      <c r="N780" s="322" t="s">
        <v>2</v>
      </c>
      <c r="O780" s="323" t="s">
        <v>2</v>
      </c>
      <c r="P780" s="323" t="s">
        <v>2</v>
      </c>
      <c r="Q780" s="323" t="s">
        <v>15</v>
      </c>
      <c r="R780" s="323" t="s">
        <v>15</v>
      </c>
      <c r="S780" s="323" t="s">
        <v>16</v>
      </c>
      <c r="T780" s="323" t="s">
        <v>329</v>
      </c>
      <c r="U780" s="323" t="s">
        <v>249</v>
      </c>
      <c r="V780" s="323" t="s">
        <v>2</v>
      </c>
      <c r="W780" s="324" t="s">
        <v>282</v>
      </c>
      <c r="X780" s="324" t="s">
        <v>282</v>
      </c>
      <c r="Y780" s="325" t="s">
        <v>282</v>
      </c>
    </row>
    <row r="781" spans="1:25">
      <c r="A781" s="319">
        <v>15</v>
      </c>
      <c r="B781" s="320" t="str">
        <f>VLOOKUP(Tabel10[[#This Row],[Code]],Ruimtegroepen[[Code]:[Ruimte omschrijving]],2,FALSE)</f>
        <v>Keuken/pantry</v>
      </c>
      <c r="C781" s="321" t="s">
        <v>932</v>
      </c>
      <c r="D781" s="320" t="s">
        <v>29</v>
      </c>
      <c r="E781" s="321" t="s">
        <v>102</v>
      </c>
      <c r="F781" s="321" t="s">
        <v>936</v>
      </c>
      <c r="G781" s="326" t="s">
        <v>282</v>
      </c>
      <c r="H781" s="322" t="s">
        <v>282</v>
      </c>
      <c r="I781" s="322" t="s">
        <v>2</v>
      </c>
      <c r="J781" s="322" t="s">
        <v>282</v>
      </c>
      <c r="K781" s="322" t="s">
        <v>2</v>
      </c>
      <c r="L781" s="322" t="s">
        <v>282</v>
      </c>
      <c r="M781" s="322" t="s">
        <v>282</v>
      </c>
      <c r="N781" s="322" t="s">
        <v>2</v>
      </c>
      <c r="O781" s="323" t="s">
        <v>2</v>
      </c>
      <c r="P781" s="323" t="s">
        <v>2</v>
      </c>
      <c r="Q781" s="323" t="s">
        <v>15</v>
      </c>
      <c r="R781" s="323" t="s">
        <v>15</v>
      </c>
      <c r="S781" s="323" t="s">
        <v>16</v>
      </c>
      <c r="T781" s="323" t="s">
        <v>329</v>
      </c>
      <c r="U781" s="323" t="s">
        <v>249</v>
      </c>
      <c r="V781" s="323" t="s">
        <v>2</v>
      </c>
      <c r="W781" s="324" t="s">
        <v>282</v>
      </c>
      <c r="X781" s="324" t="s">
        <v>282</v>
      </c>
      <c r="Y781" s="325" t="s">
        <v>282</v>
      </c>
    </row>
    <row r="782" spans="1:25">
      <c r="A782" s="319">
        <v>15</v>
      </c>
      <c r="B782" s="320" t="str">
        <f>VLOOKUP(Tabel10[[#This Row],[Code]],Ruimtegroepen[[Code]:[Ruimte omschrijving]],2,FALSE)</f>
        <v>Keuken/pantry</v>
      </c>
      <c r="C782" s="321" t="s">
        <v>932</v>
      </c>
      <c r="D782" s="320" t="s">
        <v>29</v>
      </c>
      <c r="E782" s="321" t="s">
        <v>99</v>
      </c>
      <c r="F782" s="321" t="s">
        <v>934</v>
      </c>
      <c r="G782" s="326" t="s">
        <v>282</v>
      </c>
      <c r="H782" s="322" t="s">
        <v>2</v>
      </c>
      <c r="I782" s="322" t="s">
        <v>282</v>
      </c>
      <c r="J782" s="322" t="s">
        <v>282</v>
      </c>
      <c r="K782" s="322" t="s">
        <v>282</v>
      </c>
      <c r="L782" s="322" t="s">
        <v>282</v>
      </c>
      <c r="M782" s="322" t="s">
        <v>282</v>
      </c>
      <c r="N782" s="322" t="s">
        <v>2</v>
      </c>
      <c r="O782" s="323" t="s">
        <v>2</v>
      </c>
      <c r="P782" s="323" t="s">
        <v>2</v>
      </c>
      <c r="Q782" s="323" t="s">
        <v>15</v>
      </c>
      <c r="R782" s="323" t="s">
        <v>15</v>
      </c>
      <c r="S782" s="323" t="s">
        <v>16</v>
      </c>
      <c r="T782" s="323" t="s">
        <v>329</v>
      </c>
      <c r="U782" s="323" t="s">
        <v>249</v>
      </c>
      <c r="V782" s="323" t="s">
        <v>2</v>
      </c>
      <c r="W782" s="324" t="s">
        <v>282</v>
      </c>
      <c r="X782" s="324" t="s">
        <v>282</v>
      </c>
      <c r="Y782" s="325" t="s">
        <v>282</v>
      </c>
    </row>
    <row r="783" spans="1:25">
      <c r="A783" s="319">
        <v>15</v>
      </c>
      <c r="B783" s="320" t="str">
        <f>VLOOKUP(Tabel10[[#This Row],[Code]],Ruimtegroepen[[Code]:[Ruimte omschrijving]],2,FALSE)</f>
        <v>Keuken/pantry</v>
      </c>
      <c r="C783" s="321" t="s">
        <v>932</v>
      </c>
      <c r="D783" s="320" t="s">
        <v>29</v>
      </c>
      <c r="E783" s="321" t="s">
        <v>1306</v>
      </c>
      <c r="F783" s="321" t="s">
        <v>1485</v>
      </c>
      <c r="G783" s="326" t="s">
        <v>282</v>
      </c>
      <c r="H783" s="322" t="s">
        <v>282</v>
      </c>
      <c r="I783" s="322" t="s">
        <v>2</v>
      </c>
      <c r="J783" s="322" t="s">
        <v>282</v>
      </c>
      <c r="K783" s="322" t="s">
        <v>2</v>
      </c>
      <c r="L783" s="322" t="s">
        <v>282</v>
      </c>
      <c r="M783" s="322" t="s">
        <v>282</v>
      </c>
      <c r="N783" s="322" t="s">
        <v>2</v>
      </c>
      <c r="O783" s="323" t="s">
        <v>2</v>
      </c>
      <c r="P783" s="323" t="s">
        <v>2</v>
      </c>
      <c r="Q783" s="323" t="s">
        <v>15</v>
      </c>
      <c r="R783" s="323" t="s">
        <v>15</v>
      </c>
      <c r="S783" s="323" t="s">
        <v>16</v>
      </c>
      <c r="T783" s="323" t="s">
        <v>329</v>
      </c>
      <c r="U783" s="323" t="s">
        <v>249</v>
      </c>
      <c r="V783" s="323" t="s">
        <v>2</v>
      </c>
      <c r="W783" s="324" t="s">
        <v>282</v>
      </c>
      <c r="X783" s="324" t="s">
        <v>282</v>
      </c>
      <c r="Y783" s="325" t="s">
        <v>282</v>
      </c>
    </row>
    <row r="784" spans="1:25">
      <c r="A784" s="319">
        <v>15</v>
      </c>
      <c r="B784" s="320" t="str">
        <f>VLOOKUP(Tabel10[[#This Row],[Code]],Ruimtegroepen[[Code]:[Ruimte omschrijving]],2,FALSE)</f>
        <v>Keuken/pantry</v>
      </c>
      <c r="C784" s="321" t="s">
        <v>937</v>
      </c>
      <c r="D784" s="320" t="s">
        <v>1</v>
      </c>
      <c r="E784" s="321" t="s">
        <v>100</v>
      </c>
      <c r="F784" s="321" t="s">
        <v>938</v>
      </c>
      <c r="G784" s="326" t="s">
        <v>282</v>
      </c>
      <c r="H784" s="322" t="s">
        <v>282</v>
      </c>
      <c r="I784" s="322" t="s">
        <v>282</v>
      </c>
      <c r="J784" s="322" t="s">
        <v>2</v>
      </c>
      <c r="K784" s="322" t="s">
        <v>282</v>
      </c>
      <c r="L784" s="322" t="s">
        <v>282</v>
      </c>
      <c r="M784" s="322" t="s">
        <v>282</v>
      </c>
      <c r="N784" s="322" t="s">
        <v>282</v>
      </c>
      <c r="O784" s="323" t="s">
        <v>2</v>
      </c>
      <c r="P784" s="323" t="s">
        <v>2</v>
      </c>
      <c r="Q784" s="323" t="s">
        <v>15</v>
      </c>
      <c r="R784" s="323" t="s">
        <v>15</v>
      </c>
      <c r="S784" s="323" t="s">
        <v>16</v>
      </c>
      <c r="T784" s="323" t="s">
        <v>329</v>
      </c>
      <c r="U784" s="323" t="s">
        <v>249</v>
      </c>
      <c r="V784" s="323" t="s">
        <v>282</v>
      </c>
      <c r="W784" s="324" t="s">
        <v>282</v>
      </c>
      <c r="X784" s="324" t="s">
        <v>282</v>
      </c>
      <c r="Y784" s="325" t="s">
        <v>282</v>
      </c>
    </row>
    <row r="785" spans="1:25">
      <c r="A785" s="319">
        <v>15</v>
      </c>
      <c r="B785" s="320" t="str">
        <f>VLOOKUP(Tabel10[[#This Row],[Code]],Ruimtegroepen[[Code]:[Ruimte omschrijving]],2,FALSE)</f>
        <v>Keuken/pantry</v>
      </c>
      <c r="C785" s="321" t="s">
        <v>937</v>
      </c>
      <c r="D785" s="320" t="s">
        <v>1</v>
      </c>
      <c r="E785" s="321" t="s">
        <v>99</v>
      </c>
      <c r="F785" s="321" t="s">
        <v>939</v>
      </c>
      <c r="G785" s="326" t="s">
        <v>282</v>
      </c>
      <c r="H785" s="322" t="s">
        <v>2</v>
      </c>
      <c r="I785" s="322" t="s">
        <v>282</v>
      </c>
      <c r="J785" s="322" t="s">
        <v>282</v>
      </c>
      <c r="K785" s="322" t="s">
        <v>282</v>
      </c>
      <c r="L785" s="322" t="s">
        <v>282</v>
      </c>
      <c r="M785" s="322" t="s">
        <v>282</v>
      </c>
      <c r="N785" s="322" t="s">
        <v>282</v>
      </c>
      <c r="O785" s="323" t="s">
        <v>2</v>
      </c>
      <c r="P785" s="323" t="s">
        <v>2</v>
      </c>
      <c r="Q785" s="323" t="s">
        <v>15</v>
      </c>
      <c r="R785" s="323" t="s">
        <v>15</v>
      </c>
      <c r="S785" s="323" t="s">
        <v>16</v>
      </c>
      <c r="T785" s="323" t="s">
        <v>329</v>
      </c>
      <c r="U785" s="323" t="s">
        <v>249</v>
      </c>
      <c r="V785" s="323" t="s">
        <v>282</v>
      </c>
      <c r="W785" s="324" t="s">
        <v>282</v>
      </c>
      <c r="X785" s="324" t="s">
        <v>282</v>
      </c>
      <c r="Y785" s="325" t="s">
        <v>282</v>
      </c>
    </row>
    <row r="786" spans="1:25">
      <c r="A786" s="319">
        <v>15</v>
      </c>
      <c r="B786" s="320" t="str">
        <f>VLOOKUP(Tabel10[[#This Row],[Code]],Ruimtegroepen[[Code]:[Ruimte omschrijving]],2,FALSE)</f>
        <v>Keuken/pantry</v>
      </c>
      <c r="C786" s="321" t="s">
        <v>937</v>
      </c>
      <c r="D786" s="320" t="s">
        <v>1</v>
      </c>
      <c r="E786" s="321" t="s">
        <v>101</v>
      </c>
      <c r="F786" s="321" t="s">
        <v>940</v>
      </c>
      <c r="G786" s="326" t="s">
        <v>282</v>
      </c>
      <c r="H786" s="322" t="s">
        <v>282</v>
      </c>
      <c r="I786" s="322" t="s">
        <v>2</v>
      </c>
      <c r="J786" s="322" t="s">
        <v>282</v>
      </c>
      <c r="K786" s="322" t="s">
        <v>2</v>
      </c>
      <c r="L786" s="322" t="s">
        <v>282</v>
      </c>
      <c r="M786" s="322" t="s">
        <v>282</v>
      </c>
      <c r="N786" s="322" t="s">
        <v>282</v>
      </c>
      <c r="O786" s="323" t="s">
        <v>2</v>
      </c>
      <c r="P786" s="323" t="s">
        <v>2</v>
      </c>
      <c r="Q786" s="323" t="s">
        <v>15</v>
      </c>
      <c r="R786" s="323" t="s">
        <v>15</v>
      </c>
      <c r="S786" s="323" t="s">
        <v>16</v>
      </c>
      <c r="T786" s="323" t="s">
        <v>329</v>
      </c>
      <c r="U786" s="323" t="s">
        <v>249</v>
      </c>
      <c r="V786" s="323" t="s">
        <v>282</v>
      </c>
      <c r="W786" s="324" t="s">
        <v>282</v>
      </c>
      <c r="X786" s="324" t="s">
        <v>282</v>
      </c>
      <c r="Y786" s="325" t="s">
        <v>282</v>
      </c>
    </row>
    <row r="787" spans="1:25">
      <c r="A787" s="319">
        <v>15</v>
      </c>
      <c r="B787" s="320" t="str">
        <f>VLOOKUP(Tabel10[[#This Row],[Code]],Ruimtegroepen[[Code]:[Ruimte omschrijving]],2,FALSE)</f>
        <v>Keuken/pantry</v>
      </c>
      <c r="C787" s="321" t="s">
        <v>937</v>
      </c>
      <c r="D787" s="320" t="s">
        <v>1</v>
      </c>
      <c r="E787" s="321" t="s">
        <v>102</v>
      </c>
      <c r="F787" s="321" t="s">
        <v>941</v>
      </c>
      <c r="G787" s="326" t="s">
        <v>282</v>
      </c>
      <c r="H787" s="322" t="s">
        <v>282</v>
      </c>
      <c r="I787" s="322" t="s">
        <v>2</v>
      </c>
      <c r="J787" s="322" t="s">
        <v>282</v>
      </c>
      <c r="K787" s="322" t="s">
        <v>2</v>
      </c>
      <c r="L787" s="322" t="s">
        <v>282</v>
      </c>
      <c r="M787" s="322" t="s">
        <v>282</v>
      </c>
      <c r="N787" s="322" t="s">
        <v>282</v>
      </c>
      <c r="O787" s="323" t="s">
        <v>2</v>
      </c>
      <c r="P787" s="323" t="s">
        <v>2</v>
      </c>
      <c r="Q787" s="323" t="s">
        <v>15</v>
      </c>
      <c r="R787" s="323" t="s">
        <v>15</v>
      </c>
      <c r="S787" s="323" t="s">
        <v>16</v>
      </c>
      <c r="T787" s="323" t="s">
        <v>329</v>
      </c>
      <c r="U787" s="323" t="s">
        <v>249</v>
      </c>
      <c r="V787" s="323" t="s">
        <v>282</v>
      </c>
      <c r="W787" s="324" t="s">
        <v>282</v>
      </c>
      <c r="X787" s="324" t="s">
        <v>282</v>
      </c>
      <c r="Y787" s="325" t="s">
        <v>282</v>
      </c>
    </row>
    <row r="788" spans="1:25">
      <c r="A788" s="319">
        <v>15</v>
      </c>
      <c r="B788" s="320" t="str">
        <f>VLOOKUP(Tabel10[[#This Row],[Code]],Ruimtegroepen[[Code]:[Ruimte omschrijving]],2,FALSE)</f>
        <v>Keuken/pantry</v>
      </c>
      <c r="C788" s="321" t="s">
        <v>937</v>
      </c>
      <c r="D788" s="320" t="s">
        <v>1</v>
      </c>
      <c r="E788" s="321" t="s">
        <v>99</v>
      </c>
      <c r="F788" s="321" t="s">
        <v>939</v>
      </c>
      <c r="G788" s="326" t="s">
        <v>282</v>
      </c>
      <c r="H788" s="322" t="s">
        <v>2</v>
      </c>
      <c r="I788" s="322" t="s">
        <v>282</v>
      </c>
      <c r="J788" s="322" t="s">
        <v>282</v>
      </c>
      <c r="K788" s="322" t="s">
        <v>282</v>
      </c>
      <c r="L788" s="322" t="s">
        <v>282</v>
      </c>
      <c r="M788" s="322" t="s">
        <v>282</v>
      </c>
      <c r="N788" s="322" t="s">
        <v>282</v>
      </c>
      <c r="O788" s="323" t="s">
        <v>2</v>
      </c>
      <c r="P788" s="323" t="s">
        <v>2</v>
      </c>
      <c r="Q788" s="323" t="s">
        <v>15</v>
      </c>
      <c r="R788" s="323" t="s">
        <v>15</v>
      </c>
      <c r="S788" s="323" t="s">
        <v>16</v>
      </c>
      <c r="T788" s="323" t="s">
        <v>329</v>
      </c>
      <c r="U788" s="323" t="s">
        <v>249</v>
      </c>
      <c r="V788" s="323" t="s">
        <v>282</v>
      </c>
      <c r="W788" s="324" t="s">
        <v>282</v>
      </c>
      <c r="X788" s="324" t="s">
        <v>282</v>
      </c>
      <c r="Y788" s="325" t="s">
        <v>282</v>
      </c>
    </row>
    <row r="789" spans="1:25">
      <c r="A789" s="319">
        <v>15</v>
      </c>
      <c r="B789" s="320" t="str">
        <f>VLOOKUP(Tabel10[[#This Row],[Code]],Ruimtegroepen[[Code]:[Ruimte omschrijving]],2,FALSE)</f>
        <v>Keuken/pantry</v>
      </c>
      <c r="C789" s="321" t="s">
        <v>937</v>
      </c>
      <c r="D789" s="320" t="s">
        <v>1</v>
      </c>
      <c r="E789" s="321" t="s">
        <v>1306</v>
      </c>
      <c r="F789" s="321" t="s">
        <v>1469</v>
      </c>
      <c r="G789" s="326" t="s">
        <v>282</v>
      </c>
      <c r="H789" s="322" t="s">
        <v>282</v>
      </c>
      <c r="I789" s="322" t="s">
        <v>2</v>
      </c>
      <c r="J789" s="322" t="s">
        <v>282</v>
      </c>
      <c r="K789" s="322" t="s">
        <v>2</v>
      </c>
      <c r="L789" s="322" t="s">
        <v>282</v>
      </c>
      <c r="M789" s="322" t="s">
        <v>282</v>
      </c>
      <c r="N789" s="322" t="s">
        <v>282</v>
      </c>
      <c r="O789" s="323" t="s">
        <v>2</v>
      </c>
      <c r="P789" s="323" t="s">
        <v>2</v>
      </c>
      <c r="Q789" s="323" t="s">
        <v>15</v>
      </c>
      <c r="R789" s="323" t="s">
        <v>15</v>
      </c>
      <c r="S789" s="323" t="s">
        <v>16</v>
      </c>
      <c r="T789" s="323" t="s">
        <v>329</v>
      </c>
      <c r="U789" s="323" t="s">
        <v>249</v>
      </c>
      <c r="V789" s="323" t="s">
        <v>282</v>
      </c>
      <c r="W789" s="324" t="s">
        <v>282</v>
      </c>
      <c r="X789" s="324" t="s">
        <v>282</v>
      </c>
      <c r="Y789" s="325" t="s">
        <v>282</v>
      </c>
    </row>
    <row r="790" spans="1:25">
      <c r="A790" s="319">
        <v>15</v>
      </c>
      <c r="B790" s="320" t="str">
        <f>VLOOKUP(Tabel10[[#This Row],[Code]],Ruimtegroepen[[Code]:[Ruimte omschrijving]],2,FALSE)</f>
        <v>Keuken/pantry</v>
      </c>
      <c r="C790" s="321" t="s">
        <v>942</v>
      </c>
      <c r="D790" s="320" t="s">
        <v>21</v>
      </c>
      <c r="E790" s="321" t="s">
        <v>100</v>
      </c>
      <c r="F790" s="321" t="s">
        <v>943</v>
      </c>
      <c r="G790" s="326" t="s">
        <v>282</v>
      </c>
      <c r="H790" s="322" t="s">
        <v>282</v>
      </c>
      <c r="I790" s="322" t="s">
        <v>282</v>
      </c>
      <c r="J790" s="322" t="s">
        <v>20</v>
      </c>
      <c r="K790" s="322" t="s">
        <v>282</v>
      </c>
      <c r="L790" s="322" t="s">
        <v>282</v>
      </c>
      <c r="M790" s="322" t="s">
        <v>282</v>
      </c>
      <c r="N790" s="322" t="s">
        <v>282</v>
      </c>
      <c r="O790" s="323" t="s">
        <v>20</v>
      </c>
      <c r="P790" s="323" t="s">
        <v>20</v>
      </c>
      <c r="Q790" s="323" t="s">
        <v>15</v>
      </c>
      <c r="R790" s="323" t="s">
        <v>15</v>
      </c>
      <c r="S790" s="323" t="s">
        <v>16</v>
      </c>
      <c r="T790" s="323" t="s">
        <v>329</v>
      </c>
      <c r="U790" s="323" t="s">
        <v>249</v>
      </c>
      <c r="V790" s="323" t="s">
        <v>282</v>
      </c>
      <c r="W790" s="324" t="s">
        <v>282</v>
      </c>
      <c r="X790" s="324" t="s">
        <v>282</v>
      </c>
      <c r="Y790" s="325" t="s">
        <v>282</v>
      </c>
    </row>
    <row r="791" spans="1:25">
      <c r="A791" s="319">
        <v>15</v>
      </c>
      <c r="B791" s="320" t="str">
        <f>VLOOKUP(Tabel10[[#This Row],[Code]],Ruimtegroepen[[Code]:[Ruimte omschrijving]],2,FALSE)</f>
        <v>Keuken/pantry</v>
      </c>
      <c r="C791" s="321" t="s">
        <v>942</v>
      </c>
      <c r="D791" s="320" t="s">
        <v>21</v>
      </c>
      <c r="E791" s="321" t="s">
        <v>99</v>
      </c>
      <c r="F791" s="321" t="s">
        <v>944</v>
      </c>
      <c r="G791" s="326" t="s">
        <v>282</v>
      </c>
      <c r="H791" s="322" t="s">
        <v>20</v>
      </c>
      <c r="I791" s="322" t="s">
        <v>282</v>
      </c>
      <c r="J791" s="322" t="s">
        <v>282</v>
      </c>
      <c r="K791" s="322" t="s">
        <v>282</v>
      </c>
      <c r="L791" s="322" t="s">
        <v>282</v>
      </c>
      <c r="M791" s="322" t="s">
        <v>282</v>
      </c>
      <c r="N791" s="322" t="s">
        <v>282</v>
      </c>
      <c r="O791" s="323" t="s">
        <v>20</v>
      </c>
      <c r="P791" s="323" t="s">
        <v>20</v>
      </c>
      <c r="Q791" s="323" t="s">
        <v>15</v>
      </c>
      <c r="R791" s="323" t="s">
        <v>15</v>
      </c>
      <c r="S791" s="323" t="s">
        <v>16</v>
      </c>
      <c r="T791" s="323" t="s">
        <v>329</v>
      </c>
      <c r="U791" s="323" t="s">
        <v>249</v>
      </c>
      <c r="V791" s="323" t="s">
        <v>282</v>
      </c>
      <c r="W791" s="324" t="s">
        <v>282</v>
      </c>
      <c r="X791" s="324" t="s">
        <v>282</v>
      </c>
      <c r="Y791" s="325" t="s">
        <v>282</v>
      </c>
    </row>
    <row r="792" spans="1:25">
      <c r="A792" s="319">
        <v>15</v>
      </c>
      <c r="B792" s="320" t="str">
        <f>VLOOKUP(Tabel10[[#This Row],[Code]],Ruimtegroepen[[Code]:[Ruimte omschrijving]],2,FALSE)</f>
        <v>Keuken/pantry</v>
      </c>
      <c r="C792" s="321" t="s">
        <v>942</v>
      </c>
      <c r="D792" s="320" t="s">
        <v>21</v>
      </c>
      <c r="E792" s="321" t="s">
        <v>101</v>
      </c>
      <c r="F792" s="321" t="s">
        <v>945</v>
      </c>
      <c r="G792" s="326" t="s">
        <v>282</v>
      </c>
      <c r="H792" s="322" t="s">
        <v>282</v>
      </c>
      <c r="I792" s="322" t="s">
        <v>20</v>
      </c>
      <c r="J792" s="322" t="s">
        <v>282</v>
      </c>
      <c r="K792" s="322" t="s">
        <v>20</v>
      </c>
      <c r="L792" s="322" t="s">
        <v>282</v>
      </c>
      <c r="M792" s="322" t="s">
        <v>282</v>
      </c>
      <c r="N792" s="322" t="s">
        <v>282</v>
      </c>
      <c r="O792" s="323" t="s">
        <v>20</v>
      </c>
      <c r="P792" s="323" t="s">
        <v>20</v>
      </c>
      <c r="Q792" s="323" t="s">
        <v>15</v>
      </c>
      <c r="R792" s="323" t="s">
        <v>15</v>
      </c>
      <c r="S792" s="323" t="s">
        <v>16</v>
      </c>
      <c r="T792" s="323" t="s">
        <v>329</v>
      </c>
      <c r="U792" s="323" t="s">
        <v>249</v>
      </c>
      <c r="V792" s="323" t="s">
        <v>282</v>
      </c>
      <c r="W792" s="324" t="s">
        <v>282</v>
      </c>
      <c r="X792" s="324" t="s">
        <v>282</v>
      </c>
      <c r="Y792" s="325" t="s">
        <v>282</v>
      </c>
    </row>
    <row r="793" spans="1:25">
      <c r="A793" s="319">
        <v>15</v>
      </c>
      <c r="B793" s="320" t="str">
        <f>VLOOKUP(Tabel10[[#This Row],[Code]],Ruimtegroepen[[Code]:[Ruimte omschrijving]],2,FALSE)</f>
        <v>Keuken/pantry</v>
      </c>
      <c r="C793" s="321" t="s">
        <v>942</v>
      </c>
      <c r="D793" s="320" t="s">
        <v>21</v>
      </c>
      <c r="E793" s="321" t="s">
        <v>102</v>
      </c>
      <c r="F793" s="321" t="s">
        <v>946</v>
      </c>
      <c r="G793" s="326" t="s">
        <v>282</v>
      </c>
      <c r="H793" s="322" t="s">
        <v>282</v>
      </c>
      <c r="I793" s="322" t="s">
        <v>20</v>
      </c>
      <c r="J793" s="322" t="s">
        <v>282</v>
      </c>
      <c r="K793" s="322" t="s">
        <v>20</v>
      </c>
      <c r="L793" s="322" t="s">
        <v>282</v>
      </c>
      <c r="M793" s="322" t="s">
        <v>282</v>
      </c>
      <c r="N793" s="322" t="s">
        <v>282</v>
      </c>
      <c r="O793" s="323" t="s">
        <v>20</v>
      </c>
      <c r="P793" s="323" t="s">
        <v>20</v>
      </c>
      <c r="Q793" s="323" t="s">
        <v>15</v>
      </c>
      <c r="R793" s="323" t="s">
        <v>15</v>
      </c>
      <c r="S793" s="323" t="s">
        <v>16</v>
      </c>
      <c r="T793" s="323" t="s">
        <v>329</v>
      </c>
      <c r="U793" s="323" t="s">
        <v>249</v>
      </c>
      <c r="V793" s="323" t="s">
        <v>282</v>
      </c>
      <c r="W793" s="324" t="s">
        <v>282</v>
      </c>
      <c r="X793" s="324" t="s">
        <v>282</v>
      </c>
      <c r="Y793" s="325" t="s">
        <v>282</v>
      </c>
    </row>
    <row r="794" spans="1:25">
      <c r="A794" s="319">
        <v>15</v>
      </c>
      <c r="B794" s="320" t="str">
        <f>VLOOKUP(Tabel10[[#This Row],[Code]],Ruimtegroepen[[Code]:[Ruimte omschrijving]],2,FALSE)</f>
        <v>Keuken/pantry</v>
      </c>
      <c r="C794" s="321" t="s">
        <v>942</v>
      </c>
      <c r="D794" s="320" t="s">
        <v>21</v>
      </c>
      <c r="E794" s="321" t="s">
        <v>99</v>
      </c>
      <c r="F794" s="321" t="s">
        <v>944</v>
      </c>
      <c r="G794" s="326" t="s">
        <v>282</v>
      </c>
      <c r="H794" s="322" t="s">
        <v>20</v>
      </c>
      <c r="I794" s="322" t="s">
        <v>282</v>
      </c>
      <c r="J794" s="322" t="s">
        <v>282</v>
      </c>
      <c r="K794" s="322" t="s">
        <v>282</v>
      </c>
      <c r="L794" s="322" t="s">
        <v>282</v>
      </c>
      <c r="M794" s="322" t="s">
        <v>282</v>
      </c>
      <c r="N794" s="322" t="s">
        <v>282</v>
      </c>
      <c r="O794" s="323" t="s">
        <v>20</v>
      </c>
      <c r="P794" s="323" t="s">
        <v>20</v>
      </c>
      <c r="Q794" s="323" t="s">
        <v>15</v>
      </c>
      <c r="R794" s="323" t="s">
        <v>15</v>
      </c>
      <c r="S794" s="323" t="s">
        <v>16</v>
      </c>
      <c r="T794" s="323" t="s">
        <v>329</v>
      </c>
      <c r="U794" s="323" t="s">
        <v>249</v>
      </c>
      <c r="V794" s="323" t="s">
        <v>282</v>
      </c>
      <c r="W794" s="324" t="s">
        <v>282</v>
      </c>
      <c r="X794" s="324" t="s">
        <v>282</v>
      </c>
      <c r="Y794" s="325" t="s">
        <v>282</v>
      </c>
    </row>
    <row r="795" spans="1:25">
      <c r="A795" s="319">
        <v>15</v>
      </c>
      <c r="B795" s="320" t="str">
        <f>VLOOKUP(Tabel10[[#This Row],[Code]],Ruimtegroepen[[Code]:[Ruimte omschrijving]],2,FALSE)</f>
        <v>Keuken/pantry</v>
      </c>
      <c r="C795" s="321" t="s">
        <v>942</v>
      </c>
      <c r="D795" s="320" t="s">
        <v>21</v>
      </c>
      <c r="E795" s="321" t="s">
        <v>1306</v>
      </c>
      <c r="F795" s="321" t="s">
        <v>1452</v>
      </c>
      <c r="G795" s="326" t="s">
        <v>282</v>
      </c>
      <c r="H795" s="322" t="s">
        <v>282</v>
      </c>
      <c r="I795" s="322" t="s">
        <v>20</v>
      </c>
      <c r="J795" s="322" t="s">
        <v>282</v>
      </c>
      <c r="K795" s="322" t="s">
        <v>20</v>
      </c>
      <c r="L795" s="322" t="s">
        <v>282</v>
      </c>
      <c r="M795" s="322" t="s">
        <v>282</v>
      </c>
      <c r="N795" s="322" t="s">
        <v>282</v>
      </c>
      <c r="O795" s="323" t="s">
        <v>20</v>
      </c>
      <c r="P795" s="323" t="s">
        <v>20</v>
      </c>
      <c r="Q795" s="323" t="s">
        <v>15</v>
      </c>
      <c r="R795" s="323" t="s">
        <v>15</v>
      </c>
      <c r="S795" s="323" t="s">
        <v>16</v>
      </c>
      <c r="T795" s="323" t="s">
        <v>329</v>
      </c>
      <c r="U795" s="323" t="s">
        <v>249</v>
      </c>
      <c r="V795" s="323" t="s">
        <v>282</v>
      </c>
      <c r="W795" s="324" t="s">
        <v>282</v>
      </c>
      <c r="X795" s="324" t="s">
        <v>282</v>
      </c>
      <c r="Y795" s="325" t="s">
        <v>282</v>
      </c>
    </row>
    <row r="796" spans="1:25">
      <c r="A796" s="319">
        <v>15</v>
      </c>
      <c r="B796" s="320" t="str">
        <f>VLOOKUP(Tabel10[[#This Row],[Code]],Ruimtegroepen[[Code]:[Ruimte omschrijving]],2,FALSE)</f>
        <v>Keuken/pantry</v>
      </c>
      <c r="C796" s="321" t="s">
        <v>947</v>
      </c>
      <c r="D796" s="320" t="s">
        <v>12</v>
      </c>
      <c r="E796" s="321" t="s">
        <v>100</v>
      </c>
      <c r="F796" s="321" t="s">
        <v>948</v>
      </c>
      <c r="G796" s="326" t="s">
        <v>282</v>
      </c>
      <c r="H796" s="322" t="s">
        <v>282</v>
      </c>
      <c r="I796" s="322" t="s">
        <v>282</v>
      </c>
      <c r="J796" s="322" t="s">
        <v>18</v>
      </c>
      <c r="K796" s="322" t="s">
        <v>282</v>
      </c>
      <c r="L796" s="322" t="s">
        <v>282</v>
      </c>
      <c r="M796" s="322" t="s">
        <v>282</v>
      </c>
      <c r="N796" s="322" t="s">
        <v>282</v>
      </c>
      <c r="O796" s="323" t="s">
        <v>18</v>
      </c>
      <c r="P796" s="323" t="s">
        <v>18</v>
      </c>
      <c r="Q796" s="323" t="s">
        <v>15</v>
      </c>
      <c r="R796" s="323" t="s">
        <v>15</v>
      </c>
      <c r="S796" s="323" t="s">
        <v>16</v>
      </c>
      <c r="T796" s="323" t="s">
        <v>329</v>
      </c>
      <c r="U796" s="323" t="s">
        <v>249</v>
      </c>
      <c r="V796" s="323" t="s">
        <v>282</v>
      </c>
      <c r="W796" s="324" t="s">
        <v>282</v>
      </c>
      <c r="X796" s="324" t="s">
        <v>282</v>
      </c>
      <c r="Y796" s="325" t="s">
        <v>282</v>
      </c>
    </row>
    <row r="797" spans="1:25">
      <c r="A797" s="319">
        <v>15</v>
      </c>
      <c r="B797" s="320" t="str">
        <f>VLOOKUP(Tabel10[[#This Row],[Code]],Ruimtegroepen[[Code]:[Ruimte omschrijving]],2,FALSE)</f>
        <v>Keuken/pantry</v>
      </c>
      <c r="C797" s="321" t="s">
        <v>947</v>
      </c>
      <c r="D797" s="320" t="s">
        <v>12</v>
      </c>
      <c r="E797" s="321" t="s">
        <v>99</v>
      </c>
      <c r="F797" s="321" t="s">
        <v>949</v>
      </c>
      <c r="G797" s="326" t="s">
        <v>282</v>
      </c>
      <c r="H797" s="322" t="s">
        <v>18</v>
      </c>
      <c r="I797" s="322" t="s">
        <v>282</v>
      </c>
      <c r="J797" s="322" t="s">
        <v>282</v>
      </c>
      <c r="K797" s="322" t="s">
        <v>282</v>
      </c>
      <c r="L797" s="322" t="s">
        <v>282</v>
      </c>
      <c r="M797" s="322" t="s">
        <v>282</v>
      </c>
      <c r="N797" s="322" t="s">
        <v>282</v>
      </c>
      <c r="O797" s="323" t="s">
        <v>18</v>
      </c>
      <c r="P797" s="323" t="s">
        <v>18</v>
      </c>
      <c r="Q797" s="323" t="s">
        <v>15</v>
      </c>
      <c r="R797" s="323" t="s">
        <v>15</v>
      </c>
      <c r="S797" s="323" t="s">
        <v>16</v>
      </c>
      <c r="T797" s="323" t="s">
        <v>329</v>
      </c>
      <c r="U797" s="323" t="s">
        <v>249</v>
      </c>
      <c r="V797" s="323" t="s">
        <v>282</v>
      </c>
      <c r="W797" s="324" t="s">
        <v>282</v>
      </c>
      <c r="X797" s="324" t="s">
        <v>282</v>
      </c>
      <c r="Y797" s="325" t="s">
        <v>282</v>
      </c>
    </row>
    <row r="798" spans="1:25">
      <c r="A798" s="319">
        <v>15</v>
      </c>
      <c r="B798" s="320" t="str">
        <f>VLOOKUP(Tabel10[[#This Row],[Code]],Ruimtegroepen[[Code]:[Ruimte omschrijving]],2,FALSE)</f>
        <v>Keuken/pantry</v>
      </c>
      <c r="C798" s="321" t="s">
        <v>947</v>
      </c>
      <c r="D798" s="320" t="s">
        <v>12</v>
      </c>
      <c r="E798" s="321" t="s">
        <v>101</v>
      </c>
      <c r="F798" s="321" t="s">
        <v>950</v>
      </c>
      <c r="G798" s="326" t="s">
        <v>282</v>
      </c>
      <c r="H798" s="322" t="s">
        <v>282</v>
      </c>
      <c r="I798" s="322" t="s">
        <v>18</v>
      </c>
      <c r="J798" s="322" t="s">
        <v>282</v>
      </c>
      <c r="K798" s="322" t="s">
        <v>18</v>
      </c>
      <c r="L798" s="322" t="s">
        <v>282</v>
      </c>
      <c r="M798" s="322" t="s">
        <v>282</v>
      </c>
      <c r="N798" s="322" t="s">
        <v>282</v>
      </c>
      <c r="O798" s="323" t="s">
        <v>18</v>
      </c>
      <c r="P798" s="323" t="s">
        <v>18</v>
      </c>
      <c r="Q798" s="323" t="s">
        <v>15</v>
      </c>
      <c r="R798" s="323" t="s">
        <v>15</v>
      </c>
      <c r="S798" s="323" t="s">
        <v>16</v>
      </c>
      <c r="T798" s="323" t="s">
        <v>329</v>
      </c>
      <c r="U798" s="323" t="s">
        <v>249</v>
      </c>
      <c r="V798" s="323" t="s">
        <v>282</v>
      </c>
      <c r="W798" s="324" t="s">
        <v>282</v>
      </c>
      <c r="X798" s="324" t="s">
        <v>282</v>
      </c>
      <c r="Y798" s="325" t="s">
        <v>282</v>
      </c>
    </row>
    <row r="799" spans="1:25">
      <c r="A799" s="319">
        <v>15</v>
      </c>
      <c r="B799" s="320" t="str">
        <f>VLOOKUP(Tabel10[[#This Row],[Code]],Ruimtegroepen[[Code]:[Ruimte omschrijving]],2,FALSE)</f>
        <v>Keuken/pantry</v>
      </c>
      <c r="C799" s="321" t="s">
        <v>947</v>
      </c>
      <c r="D799" s="320" t="s">
        <v>12</v>
      </c>
      <c r="E799" s="321" t="s">
        <v>102</v>
      </c>
      <c r="F799" s="321" t="s">
        <v>951</v>
      </c>
      <c r="G799" s="326" t="s">
        <v>282</v>
      </c>
      <c r="H799" s="322" t="s">
        <v>282</v>
      </c>
      <c r="I799" s="322" t="s">
        <v>18</v>
      </c>
      <c r="J799" s="322" t="s">
        <v>282</v>
      </c>
      <c r="K799" s="322" t="s">
        <v>18</v>
      </c>
      <c r="L799" s="322" t="s">
        <v>282</v>
      </c>
      <c r="M799" s="322" t="s">
        <v>282</v>
      </c>
      <c r="N799" s="322" t="s">
        <v>282</v>
      </c>
      <c r="O799" s="323" t="s">
        <v>18</v>
      </c>
      <c r="P799" s="323" t="s">
        <v>18</v>
      </c>
      <c r="Q799" s="323" t="s">
        <v>15</v>
      </c>
      <c r="R799" s="323" t="s">
        <v>15</v>
      </c>
      <c r="S799" s="323" t="s">
        <v>16</v>
      </c>
      <c r="T799" s="323" t="s">
        <v>329</v>
      </c>
      <c r="U799" s="323" t="s">
        <v>249</v>
      </c>
      <c r="V799" s="323" t="s">
        <v>282</v>
      </c>
      <c r="W799" s="324" t="s">
        <v>282</v>
      </c>
      <c r="X799" s="324" t="s">
        <v>282</v>
      </c>
      <c r="Y799" s="325" t="s">
        <v>282</v>
      </c>
    </row>
    <row r="800" spans="1:25">
      <c r="A800" s="319">
        <v>15</v>
      </c>
      <c r="B800" s="320" t="str">
        <f>VLOOKUP(Tabel10[[#This Row],[Code]],Ruimtegroepen[[Code]:[Ruimte omschrijving]],2,FALSE)</f>
        <v>Keuken/pantry</v>
      </c>
      <c r="C800" s="321" t="s">
        <v>947</v>
      </c>
      <c r="D800" s="320" t="s">
        <v>12</v>
      </c>
      <c r="E800" s="321" t="s">
        <v>99</v>
      </c>
      <c r="F800" s="321" t="s">
        <v>949</v>
      </c>
      <c r="G800" s="326" t="s">
        <v>282</v>
      </c>
      <c r="H800" s="322" t="s">
        <v>18</v>
      </c>
      <c r="I800" s="322" t="s">
        <v>282</v>
      </c>
      <c r="J800" s="322" t="s">
        <v>282</v>
      </c>
      <c r="K800" s="322" t="s">
        <v>282</v>
      </c>
      <c r="L800" s="322" t="s">
        <v>282</v>
      </c>
      <c r="M800" s="322" t="s">
        <v>282</v>
      </c>
      <c r="N800" s="322" t="s">
        <v>282</v>
      </c>
      <c r="O800" s="323" t="s">
        <v>18</v>
      </c>
      <c r="P800" s="323" t="s">
        <v>18</v>
      </c>
      <c r="Q800" s="323" t="s">
        <v>15</v>
      </c>
      <c r="R800" s="323" t="s">
        <v>15</v>
      </c>
      <c r="S800" s="323" t="s">
        <v>16</v>
      </c>
      <c r="T800" s="323" t="s">
        <v>329</v>
      </c>
      <c r="U800" s="323" t="s">
        <v>249</v>
      </c>
      <c r="V800" s="323" t="s">
        <v>282</v>
      </c>
      <c r="W800" s="324" t="s">
        <v>282</v>
      </c>
      <c r="X800" s="324" t="s">
        <v>282</v>
      </c>
      <c r="Y800" s="325" t="s">
        <v>282</v>
      </c>
    </row>
    <row r="801" spans="1:25">
      <c r="A801" s="319">
        <v>15</v>
      </c>
      <c r="B801" s="320" t="str">
        <f>VLOOKUP(Tabel10[[#This Row],[Code]],Ruimtegroepen[[Code]:[Ruimte omschrijving]],2,FALSE)</f>
        <v>Keuken/pantry</v>
      </c>
      <c r="C801" s="321" t="s">
        <v>947</v>
      </c>
      <c r="D801" s="320" t="s">
        <v>12</v>
      </c>
      <c r="E801" s="321" t="s">
        <v>1306</v>
      </c>
      <c r="F801" s="321" t="s">
        <v>1434</v>
      </c>
      <c r="G801" s="326" t="s">
        <v>282</v>
      </c>
      <c r="H801" s="322" t="s">
        <v>282</v>
      </c>
      <c r="I801" s="322" t="s">
        <v>18</v>
      </c>
      <c r="J801" s="322" t="s">
        <v>282</v>
      </c>
      <c r="K801" s="322" t="s">
        <v>18</v>
      </c>
      <c r="L801" s="322" t="s">
        <v>282</v>
      </c>
      <c r="M801" s="322" t="s">
        <v>282</v>
      </c>
      <c r="N801" s="322" t="s">
        <v>282</v>
      </c>
      <c r="O801" s="323" t="s">
        <v>18</v>
      </c>
      <c r="P801" s="323" t="s">
        <v>18</v>
      </c>
      <c r="Q801" s="323" t="s">
        <v>15</v>
      </c>
      <c r="R801" s="323" t="s">
        <v>15</v>
      </c>
      <c r="S801" s="323" t="s">
        <v>16</v>
      </c>
      <c r="T801" s="323" t="s">
        <v>329</v>
      </c>
      <c r="U801" s="323" t="s">
        <v>249</v>
      </c>
      <c r="V801" s="323" t="s">
        <v>282</v>
      </c>
      <c r="W801" s="324" t="s">
        <v>282</v>
      </c>
      <c r="X801" s="324" t="s">
        <v>282</v>
      </c>
      <c r="Y801" s="325" t="s">
        <v>282</v>
      </c>
    </row>
    <row r="802" spans="1:25">
      <c r="A802" s="319">
        <v>15</v>
      </c>
      <c r="B802" s="320" t="str">
        <f>VLOOKUP(Tabel10[[#This Row],[Code]],Ruimtegroepen[[Code]:[Ruimte omschrijving]],2,FALSE)</f>
        <v>Keuken/pantry</v>
      </c>
      <c r="C802" s="321" t="s">
        <v>952</v>
      </c>
      <c r="D802" s="320" t="s">
        <v>14</v>
      </c>
      <c r="E802" s="321" t="s">
        <v>100</v>
      </c>
      <c r="F802" s="321" t="s">
        <v>953</v>
      </c>
      <c r="G802" s="326" t="s">
        <v>282</v>
      </c>
      <c r="H802" s="322" t="s">
        <v>282</v>
      </c>
      <c r="I802" s="322" t="s">
        <v>282</v>
      </c>
      <c r="J802" s="322" t="s">
        <v>17</v>
      </c>
      <c r="K802" s="322" t="s">
        <v>282</v>
      </c>
      <c r="L802" s="322" t="s">
        <v>282</v>
      </c>
      <c r="M802" s="322" t="s">
        <v>282</v>
      </c>
      <c r="N802" s="322" t="s">
        <v>282</v>
      </c>
      <c r="O802" s="323" t="s">
        <v>17</v>
      </c>
      <c r="P802" s="323" t="s">
        <v>17</v>
      </c>
      <c r="Q802" s="323" t="s">
        <v>15</v>
      </c>
      <c r="R802" s="323" t="s">
        <v>15</v>
      </c>
      <c r="S802" s="323" t="s">
        <v>16</v>
      </c>
      <c r="T802" s="323" t="s">
        <v>329</v>
      </c>
      <c r="U802" s="323" t="s">
        <v>249</v>
      </c>
      <c r="V802" s="323" t="s">
        <v>282</v>
      </c>
      <c r="W802" s="324" t="s">
        <v>282</v>
      </c>
      <c r="X802" s="324" t="s">
        <v>282</v>
      </c>
      <c r="Y802" s="325" t="s">
        <v>282</v>
      </c>
    </row>
    <row r="803" spans="1:25">
      <c r="A803" s="319">
        <v>15</v>
      </c>
      <c r="B803" s="320" t="str">
        <f>VLOOKUP(Tabel10[[#This Row],[Code]],Ruimtegroepen[[Code]:[Ruimte omschrijving]],2,FALSE)</f>
        <v>Keuken/pantry</v>
      </c>
      <c r="C803" s="321" t="s">
        <v>952</v>
      </c>
      <c r="D803" s="320" t="s">
        <v>14</v>
      </c>
      <c r="E803" s="321" t="s">
        <v>99</v>
      </c>
      <c r="F803" s="321" t="s">
        <v>954</v>
      </c>
      <c r="G803" s="326" t="s">
        <v>282</v>
      </c>
      <c r="H803" s="322" t="s">
        <v>17</v>
      </c>
      <c r="I803" s="322" t="s">
        <v>282</v>
      </c>
      <c r="J803" s="322" t="s">
        <v>282</v>
      </c>
      <c r="K803" s="322" t="s">
        <v>282</v>
      </c>
      <c r="L803" s="322" t="s">
        <v>282</v>
      </c>
      <c r="M803" s="322" t="s">
        <v>282</v>
      </c>
      <c r="N803" s="322" t="s">
        <v>282</v>
      </c>
      <c r="O803" s="323" t="s">
        <v>17</v>
      </c>
      <c r="P803" s="323" t="s">
        <v>17</v>
      </c>
      <c r="Q803" s="323" t="s">
        <v>15</v>
      </c>
      <c r="R803" s="323" t="s">
        <v>15</v>
      </c>
      <c r="S803" s="323" t="s">
        <v>16</v>
      </c>
      <c r="T803" s="323" t="s">
        <v>329</v>
      </c>
      <c r="U803" s="323" t="s">
        <v>249</v>
      </c>
      <c r="V803" s="323" t="s">
        <v>282</v>
      </c>
      <c r="W803" s="324" t="s">
        <v>282</v>
      </c>
      <c r="X803" s="324" t="s">
        <v>282</v>
      </c>
      <c r="Y803" s="325" t="s">
        <v>282</v>
      </c>
    </row>
    <row r="804" spans="1:25">
      <c r="A804" s="319">
        <v>15</v>
      </c>
      <c r="B804" s="320" t="str">
        <f>VLOOKUP(Tabel10[[#This Row],[Code]],Ruimtegroepen[[Code]:[Ruimte omschrijving]],2,FALSE)</f>
        <v>Keuken/pantry</v>
      </c>
      <c r="C804" s="321" t="s">
        <v>952</v>
      </c>
      <c r="D804" s="320" t="s">
        <v>14</v>
      </c>
      <c r="E804" s="321" t="s">
        <v>101</v>
      </c>
      <c r="F804" s="321" t="s">
        <v>955</v>
      </c>
      <c r="G804" s="326" t="s">
        <v>282</v>
      </c>
      <c r="H804" s="322" t="s">
        <v>282</v>
      </c>
      <c r="I804" s="322" t="s">
        <v>17</v>
      </c>
      <c r="J804" s="322" t="s">
        <v>282</v>
      </c>
      <c r="K804" s="322" t="s">
        <v>17</v>
      </c>
      <c r="L804" s="322" t="s">
        <v>282</v>
      </c>
      <c r="M804" s="322" t="s">
        <v>282</v>
      </c>
      <c r="N804" s="322" t="s">
        <v>282</v>
      </c>
      <c r="O804" s="323" t="s">
        <v>17</v>
      </c>
      <c r="P804" s="323" t="s">
        <v>17</v>
      </c>
      <c r="Q804" s="323" t="s">
        <v>15</v>
      </c>
      <c r="R804" s="323" t="s">
        <v>15</v>
      </c>
      <c r="S804" s="323" t="s">
        <v>16</v>
      </c>
      <c r="T804" s="323" t="s">
        <v>329</v>
      </c>
      <c r="U804" s="323" t="s">
        <v>249</v>
      </c>
      <c r="V804" s="323" t="s">
        <v>282</v>
      </c>
      <c r="W804" s="324" t="s">
        <v>282</v>
      </c>
      <c r="X804" s="324" t="s">
        <v>282</v>
      </c>
      <c r="Y804" s="325" t="s">
        <v>282</v>
      </c>
    </row>
    <row r="805" spans="1:25">
      <c r="A805" s="319">
        <v>15</v>
      </c>
      <c r="B805" s="320" t="str">
        <f>VLOOKUP(Tabel10[[#This Row],[Code]],Ruimtegroepen[[Code]:[Ruimte omschrijving]],2,FALSE)</f>
        <v>Keuken/pantry</v>
      </c>
      <c r="C805" s="321" t="s">
        <v>952</v>
      </c>
      <c r="D805" s="320" t="s">
        <v>14</v>
      </c>
      <c r="E805" s="321" t="s">
        <v>102</v>
      </c>
      <c r="F805" s="321" t="s">
        <v>956</v>
      </c>
      <c r="G805" s="326" t="s">
        <v>282</v>
      </c>
      <c r="H805" s="322" t="s">
        <v>282</v>
      </c>
      <c r="I805" s="322" t="s">
        <v>17</v>
      </c>
      <c r="J805" s="322" t="s">
        <v>282</v>
      </c>
      <c r="K805" s="322" t="s">
        <v>17</v>
      </c>
      <c r="L805" s="322" t="s">
        <v>282</v>
      </c>
      <c r="M805" s="322" t="s">
        <v>282</v>
      </c>
      <c r="N805" s="322" t="s">
        <v>282</v>
      </c>
      <c r="O805" s="323" t="s">
        <v>17</v>
      </c>
      <c r="P805" s="323" t="s">
        <v>17</v>
      </c>
      <c r="Q805" s="323" t="s">
        <v>15</v>
      </c>
      <c r="R805" s="323" t="s">
        <v>15</v>
      </c>
      <c r="S805" s="323" t="s">
        <v>16</v>
      </c>
      <c r="T805" s="323" t="s">
        <v>329</v>
      </c>
      <c r="U805" s="323" t="s">
        <v>249</v>
      </c>
      <c r="V805" s="323" t="s">
        <v>282</v>
      </c>
      <c r="W805" s="324" t="s">
        <v>282</v>
      </c>
      <c r="X805" s="324" t="s">
        <v>282</v>
      </c>
      <c r="Y805" s="325" t="s">
        <v>282</v>
      </c>
    </row>
    <row r="806" spans="1:25">
      <c r="A806" s="319">
        <v>15</v>
      </c>
      <c r="B806" s="320" t="str">
        <f>VLOOKUP(Tabel10[[#This Row],[Code]],Ruimtegroepen[[Code]:[Ruimte omschrijving]],2,FALSE)</f>
        <v>Keuken/pantry</v>
      </c>
      <c r="C806" s="321" t="s">
        <v>952</v>
      </c>
      <c r="D806" s="320" t="s">
        <v>14</v>
      </c>
      <c r="E806" s="321" t="s">
        <v>99</v>
      </c>
      <c r="F806" s="321" t="s">
        <v>954</v>
      </c>
      <c r="G806" s="326" t="s">
        <v>282</v>
      </c>
      <c r="H806" s="322" t="s">
        <v>17</v>
      </c>
      <c r="I806" s="322" t="s">
        <v>282</v>
      </c>
      <c r="J806" s="322" t="s">
        <v>282</v>
      </c>
      <c r="K806" s="322" t="s">
        <v>282</v>
      </c>
      <c r="L806" s="322" t="s">
        <v>282</v>
      </c>
      <c r="M806" s="322" t="s">
        <v>282</v>
      </c>
      <c r="N806" s="322" t="s">
        <v>282</v>
      </c>
      <c r="O806" s="323" t="s">
        <v>17</v>
      </c>
      <c r="P806" s="323" t="s">
        <v>17</v>
      </c>
      <c r="Q806" s="323" t="s">
        <v>15</v>
      </c>
      <c r="R806" s="323" t="s">
        <v>15</v>
      </c>
      <c r="S806" s="323" t="s">
        <v>16</v>
      </c>
      <c r="T806" s="323" t="s">
        <v>329</v>
      </c>
      <c r="U806" s="323" t="s">
        <v>249</v>
      </c>
      <c r="V806" s="323" t="s">
        <v>282</v>
      </c>
      <c r="W806" s="324" t="s">
        <v>282</v>
      </c>
      <c r="X806" s="324" t="s">
        <v>282</v>
      </c>
      <c r="Y806" s="325" t="s">
        <v>282</v>
      </c>
    </row>
    <row r="807" spans="1:25">
      <c r="A807" s="319">
        <v>15</v>
      </c>
      <c r="B807" s="320" t="str">
        <f>VLOOKUP(Tabel10[[#This Row],[Code]],Ruimtegroepen[[Code]:[Ruimte omschrijving]],2,FALSE)</f>
        <v>Keuken/pantry</v>
      </c>
      <c r="C807" s="321" t="s">
        <v>952</v>
      </c>
      <c r="D807" s="320" t="s">
        <v>14</v>
      </c>
      <c r="E807" s="321" t="s">
        <v>1306</v>
      </c>
      <c r="F807" s="321" t="s">
        <v>1401</v>
      </c>
      <c r="G807" s="326" t="s">
        <v>282</v>
      </c>
      <c r="H807" s="322" t="s">
        <v>282</v>
      </c>
      <c r="I807" s="322" t="s">
        <v>17</v>
      </c>
      <c r="J807" s="322" t="s">
        <v>282</v>
      </c>
      <c r="K807" s="322" t="s">
        <v>17</v>
      </c>
      <c r="L807" s="322" t="s">
        <v>282</v>
      </c>
      <c r="M807" s="322" t="s">
        <v>282</v>
      </c>
      <c r="N807" s="322" t="s">
        <v>282</v>
      </c>
      <c r="O807" s="323" t="s">
        <v>17</v>
      </c>
      <c r="P807" s="323" t="s">
        <v>17</v>
      </c>
      <c r="Q807" s="323" t="s">
        <v>15</v>
      </c>
      <c r="R807" s="323" t="s">
        <v>15</v>
      </c>
      <c r="S807" s="323" t="s">
        <v>16</v>
      </c>
      <c r="T807" s="323" t="s">
        <v>329</v>
      </c>
      <c r="U807" s="323" t="s">
        <v>249</v>
      </c>
      <c r="V807" s="323" t="s">
        <v>282</v>
      </c>
      <c r="W807" s="324" t="s">
        <v>282</v>
      </c>
      <c r="X807" s="324" t="s">
        <v>282</v>
      </c>
      <c r="Y807" s="325" t="s">
        <v>282</v>
      </c>
    </row>
    <row r="808" spans="1:25">
      <c r="A808" s="319">
        <v>15</v>
      </c>
      <c r="B808" s="320" t="str">
        <f>VLOOKUP(Tabel10[[#This Row],[Code]],Ruimtegroepen[[Code]:[Ruimte omschrijving]],2,FALSE)</f>
        <v>Keuken/pantry</v>
      </c>
      <c r="C808" s="321" t="s">
        <v>957</v>
      </c>
      <c r="D808" s="320" t="s">
        <v>13</v>
      </c>
      <c r="E808" s="321" t="s">
        <v>100</v>
      </c>
      <c r="F808" s="321" t="s">
        <v>958</v>
      </c>
      <c r="G808" s="326" t="s">
        <v>282</v>
      </c>
      <c r="H808" s="322" t="s">
        <v>282</v>
      </c>
      <c r="I808" s="322" t="s">
        <v>282</v>
      </c>
      <c r="J808" s="322" t="s">
        <v>15</v>
      </c>
      <c r="K808" s="322" t="s">
        <v>282</v>
      </c>
      <c r="L808" s="322" t="s">
        <v>282</v>
      </c>
      <c r="M808" s="322" t="s">
        <v>282</v>
      </c>
      <c r="N808" s="322" t="s">
        <v>282</v>
      </c>
      <c r="O808" s="323" t="s">
        <v>15</v>
      </c>
      <c r="P808" s="323" t="s">
        <v>15</v>
      </c>
      <c r="Q808" s="323" t="s">
        <v>15</v>
      </c>
      <c r="R808" s="323" t="s">
        <v>15</v>
      </c>
      <c r="S808" s="323" t="s">
        <v>16</v>
      </c>
      <c r="T808" s="323" t="s">
        <v>329</v>
      </c>
      <c r="U808" s="323" t="s">
        <v>249</v>
      </c>
      <c r="V808" s="323" t="s">
        <v>282</v>
      </c>
      <c r="W808" s="324" t="s">
        <v>282</v>
      </c>
      <c r="X808" s="324" t="s">
        <v>282</v>
      </c>
      <c r="Y808" s="325" t="s">
        <v>282</v>
      </c>
    </row>
    <row r="809" spans="1:25">
      <c r="A809" s="319">
        <v>15</v>
      </c>
      <c r="B809" s="320" t="str">
        <f>VLOOKUP(Tabel10[[#This Row],[Code]],Ruimtegroepen[[Code]:[Ruimte omschrijving]],2,FALSE)</f>
        <v>Keuken/pantry</v>
      </c>
      <c r="C809" s="321" t="s">
        <v>957</v>
      </c>
      <c r="D809" s="320" t="s">
        <v>13</v>
      </c>
      <c r="E809" s="321" t="s">
        <v>99</v>
      </c>
      <c r="F809" s="321" t="s">
        <v>959</v>
      </c>
      <c r="G809" s="326" t="s">
        <v>282</v>
      </c>
      <c r="H809" s="322" t="s">
        <v>15</v>
      </c>
      <c r="I809" s="322" t="s">
        <v>282</v>
      </c>
      <c r="J809" s="322" t="s">
        <v>282</v>
      </c>
      <c r="K809" s="322" t="s">
        <v>282</v>
      </c>
      <c r="L809" s="322" t="s">
        <v>282</v>
      </c>
      <c r="M809" s="322" t="s">
        <v>282</v>
      </c>
      <c r="N809" s="322" t="s">
        <v>282</v>
      </c>
      <c r="O809" s="323" t="s">
        <v>15</v>
      </c>
      <c r="P809" s="323" t="s">
        <v>15</v>
      </c>
      <c r="Q809" s="323" t="s">
        <v>15</v>
      </c>
      <c r="R809" s="323" t="s">
        <v>15</v>
      </c>
      <c r="S809" s="323" t="s">
        <v>16</v>
      </c>
      <c r="T809" s="323" t="s">
        <v>329</v>
      </c>
      <c r="U809" s="323" t="s">
        <v>249</v>
      </c>
      <c r="V809" s="323" t="s">
        <v>282</v>
      </c>
      <c r="W809" s="324" t="s">
        <v>282</v>
      </c>
      <c r="X809" s="324" t="s">
        <v>282</v>
      </c>
      <c r="Y809" s="325" t="s">
        <v>282</v>
      </c>
    </row>
    <row r="810" spans="1:25">
      <c r="A810" s="319">
        <v>15</v>
      </c>
      <c r="B810" s="320" t="str">
        <f>VLOOKUP(Tabel10[[#This Row],[Code]],Ruimtegroepen[[Code]:[Ruimte omschrijving]],2,FALSE)</f>
        <v>Keuken/pantry</v>
      </c>
      <c r="C810" s="321" t="s">
        <v>957</v>
      </c>
      <c r="D810" s="320" t="s">
        <v>13</v>
      </c>
      <c r="E810" s="321" t="s">
        <v>101</v>
      </c>
      <c r="F810" s="321" t="s">
        <v>960</v>
      </c>
      <c r="G810" s="326" t="s">
        <v>282</v>
      </c>
      <c r="H810" s="322" t="s">
        <v>282</v>
      </c>
      <c r="I810" s="322" t="s">
        <v>15</v>
      </c>
      <c r="J810" s="322" t="s">
        <v>282</v>
      </c>
      <c r="K810" s="322" t="s">
        <v>15</v>
      </c>
      <c r="L810" s="322" t="s">
        <v>282</v>
      </c>
      <c r="M810" s="322" t="s">
        <v>282</v>
      </c>
      <c r="N810" s="322" t="s">
        <v>282</v>
      </c>
      <c r="O810" s="323" t="s">
        <v>15</v>
      </c>
      <c r="P810" s="323" t="s">
        <v>15</v>
      </c>
      <c r="Q810" s="323" t="s">
        <v>15</v>
      </c>
      <c r="R810" s="323" t="s">
        <v>15</v>
      </c>
      <c r="S810" s="323" t="s">
        <v>16</v>
      </c>
      <c r="T810" s="323" t="s">
        <v>329</v>
      </c>
      <c r="U810" s="323" t="s">
        <v>249</v>
      </c>
      <c r="V810" s="323" t="s">
        <v>282</v>
      </c>
      <c r="W810" s="324" t="s">
        <v>282</v>
      </c>
      <c r="X810" s="324" t="s">
        <v>282</v>
      </c>
      <c r="Y810" s="325" t="s">
        <v>282</v>
      </c>
    </row>
    <row r="811" spans="1:25">
      <c r="A811" s="319">
        <v>15</v>
      </c>
      <c r="B811" s="320" t="str">
        <f>VLOOKUP(Tabel10[[#This Row],[Code]],Ruimtegroepen[[Code]:[Ruimte omschrijving]],2,FALSE)</f>
        <v>Keuken/pantry</v>
      </c>
      <c r="C811" s="321" t="s">
        <v>957</v>
      </c>
      <c r="D811" s="320" t="s">
        <v>13</v>
      </c>
      <c r="E811" s="321" t="s">
        <v>102</v>
      </c>
      <c r="F811" s="321" t="s">
        <v>961</v>
      </c>
      <c r="G811" s="326" t="s">
        <v>282</v>
      </c>
      <c r="H811" s="322" t="s">
        <v>282</v>
      </c>
      <c r="I811" s="322" t="s">
        <v>15</v>
      </c>
      <c r="J811" s="322" t="s">
        <v>282</v>
      </c>
      <c r="K811" s="322" t="s">
        <v>15</v>
      </c>
      <c r="L811" s="322" t="s">
        <v>282</v>
      </c>
      <c r="M811" s="322" t="s">
        <v>282</v>
      </c>
      <c r="N811" s="322" t="s">
        <v>282</v>
      </c>
      <c r="O811" s="323" t="s">
        <v>15</v>
      </c>
      <c r="P811" s="323" t="s">
        <v>15</v>
      </c>
      <c r="Q811" s="323" t="s">
        <v>15</v>
      </c>
      <c r="R811" s="323" t="s">
        <v>15</v>
      </c>
      <c r="S811" s="323" t="s">
        <v>16</v>
      </c>
      <c r="T811" s="323" t="s">
        <v>329</v>
      </c>
      <c r="U811" s="323" t="s">
        <v>249</v>
      </c>
      <c r="V811" s="323" t="s">
        <v>282</v>
      </c>
      <c r="W811" s="324" t="s">
        <v>282</v>
      </c>
      <c r="X811" s="324" t="s">
        <v>282</v>
      </c>
      <c r="Y811" s="325" t="s">
        <v>282</v>
      </c>
    </row>
    <row r="812" spans="1:25">
      <c r="A812" s="319">
        <v>15</v>
      </c>
      <c r="B812" s="320" t="str">
        <f>VLOOKUP(Tabel10[[#This Row],[Code]],Ruimtegroepen[[Code]:[Ruimte omschrijving]],2,FALSE)</f>
        <v>Keuken/pantry</v>
      </c>
      <c r="C812" s="321" t="s">
        <v>957</v>
      </c>
      <c r="D812" s="320" t="s">
        <v>13</v>
      </c>
      <c r="E812" s="321" t="s">
        <v>99</v>
      </c>
      <c r="F812" s="321" t="s">
        <v>959</v>
      </c>
      <c r="G812" s="326" t="s">
        <v>282</v>
      </c>
      <c r="H812" s="322" t="s">
        <v>15</v>
      </c>
      <c r="I812" s="322" t="s">
        <v>282</v>
      </c>
      <c r="J812" s="322" t="s">
        <v>282</v>
      </c>
      <c r="K812" s="322" t="s">
        <v>282</v>
      </c>
      <c r="L812" s="322" t="s">
        <v>282</v>
      </c>
      <c r="M812" s="322" t="s">
        <v>282</v>
      </c>
      <c r="N812" s="322" t="s">
        <v>282</v>
      </c>
      <c r="O812" s="323" t="s">
        <v>15</v>
      </c>
      <c r="P812" s="323" t="s">
        <v>15</v>
      </c>
      <c r="Q812" s="323" t="s">
        <v>15</v>
      </c>
      <c r="R812" s="323" t="s">
        <v>15</v>
      </c>
      <c r="S812" s="323" t="s">
        <v>16</v>
      </c>
      <c r="T812" s="323" t="s">
        <v>329</v>
      </c>
      <c r="U812" s="323" t="s">
        <v>249</v>
      </c>
      <c r="V812" s="323" t="s">
        <v>282</v>
      </c>
      <c r="W812" s="324" t="s">
        <v>282</v>
      </c>
      <c r="X812" s="324" t="s">
        <v>282</v>
      </c>
      <c r="Y812" s="325" t="s">
        <v>282</v>
      </c>
    </row>
    <row r="813" spans="1:25">
      <c r="A813" s="319">
        <v>15</v>
      </c>
      <c r="B813" s="320" t="str">
        <f>VLOOKUP(Tabel10[[#This Row],[Code]],Ruimtegroepen[[Code]:[Ruimte omschrijving]],2,FALSE)</f>
        <v>Keuken/pantry</v>
      </c>
      <c r="C813" s="321" t="s">
        <v>957</v>
      </c>
      <c r="D813" s="320" t="s">
        <v>13</v>
      </c>
      <c r="E813" s="321" t="s">
        <v>1306</v>
      </c>
      <c r="F813" s="321" t="s">
        <v>1368</v>
      </c>
      <c r="G813" s="326" t="s">
        <v>282</v>
      </c>
      <c r="H813" s="322" t="s">
        <v>282</v>
      </c>
      <c r="I813" s="322" t="s">
        <v>15</v>
      </c>
      <c r="J813" s="322" t="s">
        <v>282</v>
      </c>
      <c r="K813" s="322" t="s">
        <v>15</v>
      </c>
      <c r="L813" s="322" t="s">
        <v>282</v>
      </c>
      <c r="M813" s="322" t="s">
        <v>282</v>
      </c>
      <c r="N813" s="322" t="s">
        <v>282</v>
      </c>
      <c r="O813" s="323" t="s">
        <v>15</v>
      </c>
      <c r="P813" s="323" t="s">
        <v>15</v>
      </c>
      <c r="Q813" s="323" t="s">
        <v>15</v>
      </c>
      <c r="R813" s="323" t="s">
        <v>15</v>
      </c>
      <c r="S813" s="323" t="s">
        <v>16</v>
      </c>
      <c r="T813" s="323" t="s">
        <v>329</v>
      </c>
      <c r="U813" s="323" t="s">
        <v>249</v>
      </c>
      <c r="V813" s="323" t="s">
        <v>282</v>
      </c>
      <c r="W813" s="324" t="s">
        <v>282</v>
      </c>
      <c r="X813" s="324" t="s">
        <v>282</v>
      </c>
      <c r="Y813" s="325" t="s">
        <v>282</v>
      </c>
    </row>
    <row r="814" spans="1:25">
      <c r="A814" s="319">
        <v>15</v>
      </c>
      <c r="B814" s="320" t="str">
        <f>VLOOKUP(Tabel10[[#This Row],[Code]],Ruimtegroepen[[Code]:[Ruimte omschrijving]],2,FALSE)</f>
        <v>Keuken/pantry</v>
      </c>
      <c r="C814" s="321" t="s">
        <v>962</v>
      </c>
      <c r="D814" s="320" t="s">
        <v>0</v>
      </c>
      <c r="E814" s="321" t="s">
        <v>100</v>
      </c>
      <c r="F814" s="321" t="s">
        <v>963</v>
      </c>
      <c r="G814" s="326" t="s">
        <v>282</v>
      </c>
      <c r="H814" s="322" t="s">
        <v>282</v>
      </c>
      <c r="I814" s="322" t="s">
        <v>282</v>
      </c>
      <c r="J814" s="322" t="s">
        <v>16</v>
      </c>
      <c r="K814" s="322" t="s">
        <v>282</v>
      </c>
      <c r="L814" s="322" t="s">
        <v>282</v>
      </c>
      <c r="M814" s="322" t="s">
        <v>282</v>
      </c>
      <c r="N814" s="322" t="s">
        <v>282</v>
      </c>
      <c r="O814" s="323" t="s">
        <v>16</v>
      </c>
      <c r="P814" s="323" t="s">
        <v>16</v>
      </c>
      <c r="Q814" s="323" t="s">
        <v>16</v>
      </c>
      <c r="R814" s="323" t="s">
        <v>16</v>
      </c>
      <c r="S814" s="323" t="s">
        <v>16</v>
      </c>
      <c r="T814" s="323" t="s">
        <v>329</v>
      </c>
      <c r="U814" s="323" t="s">
        <v>249</v>
      </c>
      <c r="V814" s="323" t="s">
        <v>282</v>
      </c>
      <c r="W814" s="324" t="s">
        <v>282</v>
      </c>
      <c r="X814" s="324" t="s">
        <v>282</v>
      </c>
      <c r="Y814" s="325" t="s">
        <v>282</v>
      </c>
    </row>
    <row r="815" spans="1:25">
      <c r="A815" s="319">
        <v>15</v>
      </c>
      <c r="B815" s="320" t="str">
        <f>VLOOKUP(Tabel10[[#This Row],[Code]],Ruimtegroepen[[Code]:[Ruimte omschrijving]],2,FALSE)</f>
        <v>Keuken/pantry</v>
      </c>
      <c r="C815" s="321" t="s">
        <v>962</v>
      </c>
      <c r="D815" s="320" t="s">
        <v>0</v>
      </c>
      <c r="E815" s="321" t="s">
        <v>99</v>
      </c>
      <c r="F815" s="321" t="s">
        <v>964</v>
      </c>
      <c r="G815" s="326" t="s">
        <v>282</v>
      </c>
      <c r="H815" s="322" t="s">
        <v>16</v>
      </c>
      <c r="I815" s="322" t="s">
        <v>282</v>
      </c>
      <c r="J815" s="322" t="s">
        <v>282</v>
      </c>
      <c r="K815" s="322" t="s">
        <v>282</v>
      </c>
      <c r="L815" s="322" t="s">
        <v>282</v>
      </c>
      <c r="M815" s="322" t="s">
        <v>282</v>
      </c>
      <c r="N815" s="322" t="s">
        <v>282</v>
      </c>
      <c r="O815" s="323" t="s">
        <v>16</v>
      </c>
      <c r="P815" s="323" t="s">
        <v>16</v>
      </c>
      <c r="Q815" s="323" t="s">
        <v>16</v>
      </c>
      <c r="R815" s="323" t="s">
        <v>16</v>
      </c>
      <c r="S815" s="323" t="s">
        <v>16</v>
      </c>
      <c r="T815" s="323" t="s">
        <v>329</v>
      </c>
      <c r="U815" s="323" t="s">
        <v>249</v>
      </c>
      <c r="V815" s="323" t="s">
        <v>282</v>
      </c>
      <c r="W815" s="324" t="s">
        <v>282</v>
      </c>
      <c r="X815" s="324" t="s">
        <v>282</v>
      </c>
      <c r="Y815" s="325" t="s">
        <v>282</v>
      </c>
    </row>
    <row r="816" spans="1:25">
      <c r="A816" s="319">
        <v>15</v>
      </c>
      <c r="B816" s="320" t="str">
        <f>VLOOKUP(Tabel10[[#This Row],[Code]],Ruimtegroepen[[Code]:[Ruimte omschrijving]],2,FALSE)</f>
        <v>Keuken/pantry</v>
      </c>
      <c r="C816" s="321" t="s">
        <v>962</v>
      </c>
      <c r="D816" s="320" t="s">
        <v>0</v>
      </c>
      <c r="E816" s="321" t="s">
        <v>101</v>
      </c>
      <c r="F816" s="321" t="s">
        <v>965</v>
      </c>
      <c r="G816" s="326" t="s">
        <v>282</v>
      </c>
      <c r="H816" s="322" t="s">
        <v>282</v>
      </c>
      <c r="I816" s="322" t="s">
        <v>16</v>
      </c>
      <c r="J816" s="322" t="s">
        <v>361</v>
      </c>
      <c r="K816" s="322" t="s">
        <v>16</v>
      </c>
      <c r="L816" s="322" t="s">
        <v>282</v>
      </c>
      <c r="M816" s="322" t="s">
        <v>282</v>
      </c>
      <c r="N816" s="322" t="s">
        <v>282</v>
      </c>
      <c r="O816" s="323" t="s">
        <v>16</v>
      </c>
      <c r="P816" s="323" t="s">
        <v>16</v>
      </c>
      <c r="Q816" s="323" t="s">
        <v>16</v>
      </c>
      <c r="R816" s="323" t="s">
        <v>16</v>
      </c>
      <c r="S816" s="323" t="s">
        <v>16</v>
      </c>
      <c r="T816" s="323" t="s">
        <v>329</v>
      </c>
      <c r="U816" s="323" t="s">
        <v>249</v>
      </c>
      <c r="V816" s="323" t="s">
        <v>282</v>
      </c>
      <c r="W816" s="324" t="s">
        <v>282</v>
      </c>
      <c r="X816" s="324" t="s">
        <v>282</v>
      </c>
      <c r="Y816" s="325" t="s">
        <v>282</v>
      </c>
    </row>
    <row r="817" spans="1:25">
      <c r="A817" s="319">
        <v>15</v>
      </c>
      <c r="B817" s="320" t="str">
        <f>VLOOKUP(Tabel10[[#This Row],[Code]],Ruimtegroepen[[Code]:[Ruimte omschrijving]],2,FALSE)</f>
        <v>Keuken/pantry</v>
      </c>
      <c r="C817" s="321" t="s">
        <v>962</v>
      </c>
      <c r="D817" s="320" t="s">
        <v>0</v>
      </c>
      <c r="E817" s="321" t="s">
        <v>102</v>
      </c>
      <c r="F817" s="321" t="s">
        <v>966</v>
      </c>
      <c r="G817" s="326" t="s">
        <v>282</v>
      </c>
      <c r="H817" s="322" t="s">
        <v>282</v>
      </c>
      <c r="I817" s="322" t="s">
        <v>16</v>
      </c>
      <c r="J817" s="322" t="s">
        <v>282</v>
      </c>
      <c r="K817" s="322" t="s">
        <v>16</v>
      </c>
      <c r="L817" s="322" t="s">
        <v>282</v>
      </c>
      <c r="M817" s="322" t="s">
        <v>282</v>
      </c>
      <c r="N817" s="322" t="s">
        <v>282</v>
      </c>
      <c r="O817" s="323" t="s">
        <v>16</v>
      </c>
      <c r="P817" s="323" t="s">
        <v>16</v>
      </c>
      <c r="Q817" s="323" t="s">
        <v>16</v>
      </c>
      <c r="R817" s="323" t="s">
        <v>16</v>
      </c>
      <c r="S817" s="323" t="s">
        <v>16</v>
      </c>
      <c r="T817" s="323" t="s">
        <v>329</v>
      </c>
      <c r="U817" s="323" t="s">
        <v>249</v>
      </c>
      <c r="V817" s="323" t="s">
        <v>282</v>
      </c>
      <c r="W817" s="324" t="s">
        <v>282</v>
      </c>
      <c r="X817" s="324" t="s">
        <v>282</v>
      </c>
      <c r="Y817" s="325" t="s">
        <v>282</v>
      </c>
    </row>
    <row r="818" spans="1:25">
      <c r="A818" s="319">
        <v>15</v>
      </c>
      <c r="B818" s="320" t="str">
        <f>VLOOKUP(Tabel10[[#This Row],[Code]],Ruimtegroepen[[Code]:[Ruimte omschrijving]],2,FALSE)</f>
        <v>Keuken/pantry</v>
      </c>
      <c r="C818" s="321" t="s">
        <v>962</v>
      </c>
      <c r="D818" s="320" t="s">
        <v>0</v>
      </c>
      <c r="E818" s="321" t="s">
        <v>99</v>
      </c>
      <c r="F818" s="321" t="s">
        <v>964</v>
      </c>
      <c r="G818" s="326" t="s">
        <v>282</v>
      </c>
      <c r="H818" s="322" t="s">
        <v>16</v>
      </c>
      <c r="I818" s="322" t="s">
        <v>282</v>
      </c>
      <c r="J818" s="322" t="s">
        <v>282</v>
      </c>
      <c r="K818" s="322" t="s">
        <v>282</v>
      </c>
      <c r="L818" s="322" t="s">
        <v>282</v>
      </c>
      <c r="M818" s="322" t="s">
        <v>282</v>
      </c>
      <c r="N818" s="322" t="s">
        <v>282</v>
      </c>
      <c r="O818" s="323" t="s">
        <v>16</v>
      </c>
      <c r="P818" s="323" t="s">
        <v>16</v>
      </c>
      <c r="Q818" s="323" t="s">
        <v>16</v>
      </c>
      <c r="R818" s="323" t="s">
        <v>16</v>
      </c>
      <c r="S818" s="323" t="s">
        <v>16</v>
      </c>
      <c r="T818" s="323" t="s">
        <v>329</v>
      </c>
      <c r="U818" s="323" t="s">
        <v>249</v>
      </c>
      <c r="V818" s="323" t="s">
        <v>282</v>
      </c>
      <c r="W818" s="324" t="s">
        <v>282</v>
      </c>
      <c r="X818" s="324" t="s">
        <v>282</v>
      </c>
      <c r="Y818" s="325" t="s">
        <v>282</v>
      </c>
    </row>
    <row r="819" spans="1:25">
      <c r="A819" s="319">
        <v>15</v>
      </c>
      <c r="B819" s="320" t="str">
        <f>VLOOKUP(Tabel10[[#This Row],[Code]],Ruimtegroepen[[Code]:[Ruimte omschrijving]],2,FALSE)</f>
        <v>Keuken/pantry</v>
      </c>
      <c r="C819" s="321" t="s">
        <v>962</v>
      </c>
      <c r="D819" s="320" t="s">
        <v>0</v>
      </c>
      <c r="E819" s="321" t="s">
        <v>1306</v>
      </c>
      <c r="F819" s="321" t="s">
        <v>1352</v>
      </c>
      <c r="G819" s="326" t="s">
        <v>282</v>
      </c>
      <c r="H819" s="322" t="s">
        <v>282</v>
      </c>
      <c r="I819" s="322" t="s">
        <v>16</v>
      </c>
      <c r="J819" s="322" t="s">
        <v>282</v>
      </c>
      <c r="K819" s="322" t="s">
        <v>16</v>
      </c>
      <c r="L819" s="322" t="s">
        <v>282</v>
      </c>
      <c r="M819" s="322" t="s">
        <v>282</v>
      </c>
      <c r="N819" s="322" t="s">
        <v>282</v>
      </c>
      <c r="O819" s="323" t="s">
        <v>16</v>
      </c>
      <c r="P819" s="323" t="s">
        <v>16</v>
      </c>
      <c r="Q819" s="323" t="s">
        <v>16</v>
      </c>
      <c r="R819" s="323" t="s">
        <v>16</v>
      </c>
      <c r="S819" s="323" t="s">
        <v>16</v>
      </c>
      <c r="T819" s="323" t="s">
        <v>329</v>
      </c>
      <c r="U819" s="323" t="s">
        <v>249</v>
      </c>
      <c r="V819" s="323" t="s">
        <v>282</v>
      </c>
      <c r="W819" s="324" t="s">
        <v>282</v>
      </c>
      <c r="X819" s="324" t="s">
        <v>282</v>
      </c>
      <c r="Y819" s="325" t="s">
        <v>282</v>
      </c>
    </row>
    <row r="820" spans="1:25">
      <c r="A820" s="319">
        <v>15</v>
      </c>
      <c r="B820" s="320" t="str">
        <f>VLOOKUP(Tabel10[[#This Row],[Code]],Ruimtegroepen[[Code]:[Ruimte omschrijving]],2,FALSE)</f>
        <v>Keuken/pantry</v>
      </c>
      <c r="C820" s="321" t="s">
        <v>967</v>
      </c>
      <c r="D820" s="320" t="s">
        <v>27</v>
      </c>
      <c r="E820" s="321" t="s">
        <v>100</v>
      </c>
      <c r="F820" s="321" t="s">
        <v>968</v>
      </c>
      <c r="G820" s="326" t="s">
        <v>282</v>
      </c>
      <c r="H820" s="322" t="s">
        <v>282</v>
      </c>
      <c r="I820" s="322" t="s">
        <v>15</v>
      </c>
      <c r="J820" s="322" t="s">
        <v>282</v>
      </c>
      <c r="K820" s="322" t="s">
        <v>282</v>
      </c>
      <c r="L820" s="322" t="s">
        <v>282</v>
      </c>
      <c r="M820" s="322" t="s">
        <v>282</v>
      </c>
      <c r="N820" s="322" t="s">
        <v>282</v>
      </c>
      <c r="O820" s="323" t="s">
        <v>15</v>
      </c>
      <c r="P820" s="323" t="s">
        <v>15</v>
      </c>
      <c r="Q820" s="323" t="s">
        <v>15</v>
      </c>
      <c r="R820" s="323" t="s">
        <v>282</v>
      </c>
      <c r="S820" s="323" t="s">
        <v>282</v>
      </c>
      <c r="T820" s="323" t="s">
        <v>282</v>
      </c>
      <c r="U820" s="323" t="s">
        <v>282</v>
      </c>
      <c r="V820" s="323" t="s">
        <v>282</v>
      </c>
      <c r="W820" s="324" t="s">
        <v>282</v>
      </c>
      <c r="X820" s="324" t="s">
        <v>282</v>
      </c>
      <c r="Y820" s="325" t="s">
        <v>282</v>
      </c>
    </row>
    <row r="821" spans="1:25">
      <c r="A821" s="319">
        <v>15</v>
      </c>
      <c r="B821" s="320" t="str">
        <f>VLOOKUP(Tabel10[[#This Row],[Code]],Ruimtegroepen[[Code]:[Ruimte omschrijving]],2,FALSE)</f>
        <v>Keuken/pantry</v>
      </c>
      <c r="C821" s="321" t="s">
        <v>967</v>
      </c>
      <c r="D821" s="320" t="s">
        <v>27</v>
      </c>
      <c r="E821" s="321" t="s">
        <v>99</v>
      </c>
      <c r="F821" s="321" t="s">
        <v>969</v>
      </c>
      <c r="G821" s="326" t="s">
        <v>282</v>
      </c>
      <c r="H821" s="322" t="s">
        <v>15</v>
      </c>
      <c r="I821" s="322" t="s">
        <v>282</v>
      </c>
      <c r="J821" s="322" t="s">
        <v>282</v>
      </c>
      <c r="K821" s="322" t="s">
        <v>282</v>
      </c>
      <c r="L821" s="322" t="s">
        <v>282</v>
      </c>
      <c r="M821" s="322" t="s">
        <v>282</v>
      </c>
      <c r="N821" s="322" t="s">
        <v>282</v>
      </c>
      <c r="O821" s="323" t="s">
        <v>15</v>
      </c>
      <c r="P821" s="323" t="s">
        <v>15</v>
      </c>
      <c r="Q821" s="323" t="s">
        <v>15</v>
      </c>
      <c r="R821" s="323" t="s">
        <v>282</v>
      </c>
      <c r="S821" s="323" t="s">
        <v>282</v>
      </c>
      <c r="T821" s="323" t="s">
        <v>282</v>
      </c>
      <c r="U821" s="323" t="s">
        <v>282</v>
      </c>
      <c r="V821" s="323" t="s">
        <v>282</v>
      </c>
      <c r="W821" s="324" t="s">
        <v>282</v>
      </c>
      <c r="X821" s="324" t="s">
        <v>282</v>
      </c>
      <c r="Y821" s="325" t="s">
        <v>282</v>
      </c>
    </row>
    <row r="822" spans="1:25">
      <c r="A822" s="319">
        <v>15</v>
      </c>
      <c r="B822" s="320" t="str">
        <f>VLOOKUP(Tabel10[[#This Row],[Code]],Ruimtegroepen[[Code]:[Ruimte omschrijving]],2,FALSE)</f>
        <v>Keuken/pantry</v>
      </c>
      <c r="C822" s="321" t="s">
        <v>967</v>
      </c>
      <c r="D822" s="320" t="s">
        <v>27</v>
      </c>
      <c r="E822" s="321" t="s">
        <v>101</v>
      </c>
      <c r="F822" s="321" t="s">
        <v>970</v>
      </c>
      <c r="G822" s="326" t="s">
        <v>282</v>
      </c>
      <c r="H822" s="322" t="s">
        <v>282</v>
      </c>
      <c r="I822" s="322" t="s">
        <v>15</v>
      </c>
      <c r="J822" s="322" t="s">
        <v>282</v>
      </c>
      <c r="K822" s="322" t="s">
        <v>282</v>
      </c>
      <c r="L822" s="322" t="s">
        <v>282</v>
      </c>
      <c r="M822" s="322" t="s">
        <v>282</v>
      </c>
      <c r="N822" s="322" t="s">
        <v>282</v>
      </c>
      <c r="O822" s="323" t="s">
        <v>15</v>
      </c>
      <c r="P822" s="323" t="s">
        <v>15</v>
      </c>
      <c r="Q822" s="323" t="s">
        <v>15</v>
      </c>
      <c r="R822" s="323" t="s">
        <v>282</v>
      </c>
      <c r="S822" s="323" t="s">
        <v>282</v>
      </c>
      <c r="T822" s="323" t="s">
        <v>282</v>
      </c>
      <c r="U822" s="323" t="s">
        <v>282</v>
      </c>
      <c r="V822" s="323" t="s">
        <v>282</v>
      </c>
      <c r="W822" s="324" t="s">
        <v>282</v>
      </c>
      <c r="X822" s="324" t="s">
        <v>282</v>
      </c>
      <c r="Y822" s="325" t="s">
        <v>282</v>
      </c>
    </row>
    <row r="823" spans="1:25">
      <c r="A823" s="319">
        <v>15</v>
      </c>
      <c r="B823" s="320" t="str">
        <f>VLOOKUP(Tabel10[[#This Row],[Code]],Ruimtegroepen[[Code]:[Ruimte omschrijving]],2,FALSE)</f>
        <v>Keuken/pantry</v>
      </c>
      <c r="C823" s="321" t="s">
        <v>967</v>
      </c>
      <c r="D823" s="320" t="s">
        <v>27</v>
      </c>
      <c r="E823" s="321" t="s">
        <v>102</v>
      </c>
      <c r="F823" s="321" t="s">
        <v>971</v>
      </c>
      <c r="G823" s="326" t="s">
        <v>282</v>
      </c>
      <c r="H823" s="322" t="s">
        <v>282</v>
      </c>
      <c r="I823" s="322" t="s">
        <v>15</v>
      </c>
      <c r="J823" s="322" t="s">
        <v>282</v>
      </c>
      <c r="K823" s="322" t="s">
        <v>282</v>
      </c>
      <c r="L823" s="322" t="s">
        <v>282</v>
      </c>
      <c r="M823" s="322" t="s">
        <v>282</v>
      </c>
      <c r="N823" s="322" t="s">
        <v>282</v>
      </c>
      <c r="O823" s="323" t="s">
        <v>15</v>
      </c>
      <c r="P823" s="323" t="s">
        <v>15</v>
      </c>
      <c r="Q823" s="323" t="s">
        <v>15</v>
      </c>
      <c r="R823" s="323" t="s">
        <v>282</v>
      </c>
      <c r="S823" s="323" t="s">
        <v>282</v>
      </c>
      <c r="T823" s="323" t="s">
        <v>282</v>
      </c>
      <c r="U823" s="323" t="s">
        <v>282</v>
      </c>
      <c r="V823" s="323" t="s">
        <v>282</v>
      </c>
      <c r="W823" s="324" t="s">
        <v>282</v>
      </c>
      <c r="X823" s="324" t="s">
        <v>282</v>
      </c>
      <c r="Y823" s="325" t="s">
        <v>282</v>
      </c>
    </row>
    <row r="824" spans="1:25">
      <c r="A824" s="319">
        <v>15</v>
      </c>
      <c r="B824" s="320" t="str">
        <f>VLOOKUP(Tabel10[[#This Row],[Code]],Ruimtegroepen[[Code]:[Ruimte omschrijving]],2,FALSE)</f>
        <v>Keuken/pantry</v>
      </c>
      <c r="C824" s="321" t="s">
        <v>967</v>
      </c>
      <c r="D824" s="320" t="s">
        <v>27</v>
      </c>
      <c r="E824" s="321" t="s">
        <v>99</v>
      </c>
      <c r="F824" s="321" t="s">
        <v>969</v>
      </c>
      <c r="G824" s="326" t="s">
        <v>282</v>
      </c>
      <c r="H824" s="322" t="s">
        <v>15</v>
      </c>
      <c r="I824" s="322" t="s">
        <v>282</v>
      </c>
      <c r="J824" s="322" t="s">
        <v>282</v>
      </c>
      <c r="K824" s="322" t="s">
        <v>282</v>
      </c>
      <c r="L824" s="322" t="s">
        <v>282</v>
      </c>
      <c r="M824" s="322" t="s">
        <v>282</v>
      </c>
      <c r="N824" s="322" t="s">
        <v>282</v>
      </c>
      <c r="O824" s="323" t="s">
        <v>15</v>
      </c>
      <c r="P824" s="323" t="s">
        <v>15</v>
      </c>
      <c r="Q824" s="323" t="s">
        <v>15</v>
      </c>
      <c r="R824" s="323" t="s">
        <v>282</v>
      </c>
      <c r="S824" s="323" t="s">
        <v>282</v>
      </c>
      <c r="T824" s="323" t="s">
        <v>282</v>
      </c>
      <c r="U824" s="323" t="s">
        <v>282</v>
      </c>
      <c r="V824" s="323" t="s">
        <v>282</v>
      </c>
      <c r="W824" s="324" t="s">
        <v>282</v>
      </c>
      <c r="X824" s="324" t="s">
        <v>282</v>
      </c>
      <c r="Y824" s="325" t="s">
        <v>282</v>
      </c>
    </row>
    <row r="825" spans="1:25">
      <c r="A825" s="319">
        <v>15</v>
      </c>
      <c r="B825" s="320" t="str">
        <f>VLOOKUP(Tabel10[[#This Row],[Code]],Ruimtegroepen[[Code]:[Ruimte omschrijving]],2,FALSE)</f>
        <v>Keuken/pantry</v>
      </c>
      <c r="C825" s="321" t="s">
        <v>967</v>
      </c>
      <c r="D825" s="320" t="s">
        <v>27</v>
      </c>
      <c r="E825" s="321" t="s">
        <v>1306</v>
      </c>
      <c r="F825" s="321" t="s">
        <v>1385</v>
      </c>
      <c r="G825" s="326" t="s">
        <v>282</v>
      </c>
      <c r="H825" s="322" t="s">
        <v>282</v>
      </c>
      <c r="I825" s="322" t="s">
        <v>15</v>
      </c>
      <c r="J825" s="322" t="s">
        <v>282</v>
      </c>
      <c r="K825" s="322" t="s">
        <v>282</v>
      </c>
      <c r="L825" s="322" t="s">
        <v>282</v>
      </c>
      <c r="M825" s="322" t="s">
        <v>282</v>
      </c>
      <c r="N825" s="322" t="s">
        <v>282</v>
      </c>
      <c r="O825" s="323" t="s">
        <v>15</v>
      </c>
      <c r="P825" s="323" t="s">
        <v>15</v>
      </c>
      <c r="Q825" s="323" t="s">
        <v>15</v>
      </c>
      <c r="R825" s="323" t="s">
        <v>282</v>
      </c>
      <c r="S825" s="323" t="s">
        <v>282</v>
      </c>
      <c r="T825" s="323" t="s">
        <v>282</v>
      </c>
      <c r="U825" s="323" t="s">
        <v>282</v>
      </c>
      <c r="V825" s="323" t="s">
        <v>282</v>
      </c>
      <c r="W825" s="324" t="s">
        <v>282</v>
      </c>
      <c r="X825" s="324" t="s">
        <v>282</v>
      </c>
      <c r="Y825" s="325" t="s">
        <v>282</v>
      </c>
    </row>
    <row r="826" spans="1:25">
      <c r="A826" s="319">
        <v>15</v>
      </c>
      <c r="B826" s="320" t="str">
        <f>VLOOKUP(Tabel10[[#This Row],[Code]],Ruimtegroepen[[Code]:[Ruimte omschrijving]],2,FALSE)</f>
        <v>Keuken/pantry</v>
      </c>
      <c r="C826" s="321" t="s">
        <v>972</v>
      </c>
      <c r="D826" s="320" t="s">
        <v>28</v>
      </c>
      <c r="E826" s="321" t="s">
        <v>100</v>
      </c>
      <c r="F826" s="321" t="s">
        <v>973</v>
      </c>
      <c r="G826" s="326" t="s">
        <v>282</v>
      </c>
      <c r="H826" s="322" t="s">
        <v>282</v>
      </c>
      <c r="I826" s="322" t="s">
        <v>17</v>
      </c>
      <c r="J826" s="322" t="s">
        <v>282</v>
      </c>
      <c r="K826" s="322" t="s">
        <v>282</v>
      </c>
      <c r="L826" s="322" t="s">
        <v>282</v>
      </c>
      <c r="M826" s="322" t="s">
        <v>282</v>
      </c>
      <c r="N826" s="322" t="s">
        <v>282</v>
      </c>
      <c r="O826" s="323" t="s">
        <v>17</v>
      </c>
      <c r="P826" s="323" t="s">
        <v>17</v>
      </c>
      <c r="Q826" s="323" t="s">
        <v>15</v>
      </c>
      <c r="R826" s="323" t="s">
        <v>282</v>
      </c>
      <c r="S826" s="323" t="s">
        <v>282</v>
      </c>
      <c r="T826" s="323" t="s">
        <v>282</v>
      </c>
      <c r="U826" s="323" t="s">
        <v>282</v>
      </c>
      <c r="V826" s="323" t="s">
        <v>282</v>
      </c>
      <c r="W826" s="324" t="s">
        <v>282</v>
      </c>
      <c r="X826" s="324" t="s">
        <v>282</v>
      </c>
      <c r="Y826" s="325" t="s">
        <v>282</v>
      </c>
    </row>
    <row r="827" spans="1:25">
      <c r="A827" s="319">
        <v>15</v>
      </c>
      <c r="B827" s="320" t="str">
        <f>VLOOKUP(Tabel10[[#This Row],[Code]],Ruimtegroepen[[Code]:[Ruimte omschrijving]],2,FALSE)</f>
        <v>Keuken/pantry</v>
      </c>
      <c r="C827" s="321" t="s">
        <v>972</v>
      </c>
      <c r="D827" s="320" t="s">
        <v>28</v>
      </c>
      <c r="E827" s="321" t="s">
        <v>99</v>
      </c>
      <c r="F827" s="321" t="s">
        <v>974</v>
      </c>
      <c r="G827" s="326" t="s">
        <v>282</v>
      </c>
      <c r="H827" s="322" t="s">
        <v>17</v>
      </c>
      <c r="I827" s="322" t="s">
        <v>282</v>
      </c>
      <c r="J827" s="322" t="s">
        <v>282</v>
      </c>
      <c r="K827" s="322" t="s">
        <v>282</v>
      </c>
      <c r="L827" s="322" t="s">
        <v>282</v>
      </c>
      <c r="M827" s="322" t="s">
        <v>282</v>
      </c>
      <c r="N827" s="322" t="s">
        <v>282</v>
      </c>
      <c r="O827" s="323" t="s">
        <v>17</v>
      </c>
      <c r="P827" s="323" t="s">
        <v>17</v>
      </c>
      <c r="Q827" s="323" t="s">
        <v>15</v>
      </c>
      <c r="R827" s="323" t="s">
        <v>282</v>
      </c>
      <c r="S827" s="323" t="s">
        <v>282</v>
      </c>
      <c r="T827" s="323" t="s">
        <v>282</v>
      </c>
      <c r="U827" s="323" t="s">
        <v>282</v>
      </c>
      <c r="V827" s="323" t="s">
        <v>282</v>
      </c>
      <c r="W827" s="324" t="s">
        <v>282</v>
      </c>
      <c r="X827" s="324" t="s">
        <v>282</v>
      </c>
      <c r="Y827" s="325" t="s">
        <v>282</v>
      </c>
    </row>
    <row r="828" spans="1:25">
      <c r="A828" s="319">
        <v>15</v>
      </c>
      <c r="B828" s="320" t="str">
        <f>VLOOKUP(Tabel10[[#This Row],[Code]],Ruimtegroepen[[Code]:[Ruimte omschrijving]],2,FALSE)</f>
        <v>Keuken/pantry</v>
      </c>
      <c r="C828" s="321" t="s">
        <v>972</v>
      </c>
      <c r="D828" s="320" t="s">
        <v>28</v>
      </c>
      <c r="E828" s="321" t="s">
        <v>101</v>
      </c>
      <c r="F828" s="321" t="s">
        <v>975</v>
      </c>
      <c r="G828" s="326" t="s">
        <v>282</v>
      </c>
      <c r="H828" s="322" t="s">
        <v>282</v>
      </c>
      <c r="I828" s="322" t="s">
        <v>17</v>
      </c>
      <c r="J828" s="322" t="s">
        <v>282</v>
      </c>
      <c r="K828" s="322" t="s">
        <v>282</v>
      </c>
      <c r="L828" s="322" t="s">
        <v>282</v>
      </c>
      <c r="M828" s="322" t="s">
        <v>282</v>
      </c>
      <c r="N828" s="322" t="s">
        <v>282</v>
      </c>
      <c r="O828" s="323" t="s">
        <v>17</v>
      </c>
      <c r="P828" s="323" t="s">
        <v>17</v>
      </c>
      <c r="Q828" s="323" t="s">
        <v>15</v>
      </c>
      <c r="R828" s="323" t="s">
        <v>282</v>
      </c>
      <c r="S828" s="323" t="s">
        <v>282</v>
      </c>
      <c r="T828" s="323" t="s">
        <v>282</v>
      </c>
      <c r="U828" s="323" t="s">
        <v>282</v>
      </c>
      <c r="V828" s="323" t="s">
        <v>282</v>
      </c>
      <c r="W828" s="324" t="s">
        <v>282</v>
      </c>
      <c r="X828" s="324" t="s">
        <v>282</v>
      </c>
      <c r="Y828" s="325" t="s">
        <v>282</v>
      </c>
    </row>
    <row r="829" spans="1:25">
      <c r="A829" s="319">
        <v>15</v>
      </c>
      <c r="B829" s="320" t="str">
        <f>VLOOKUP(Tabel10[[#This Row],[Code]],Ruimtegroepen[[Code]:[Ruimte omschrijving]],2,FALSE)</f>
        <v>Keuken/pantry</v>
      </c>
      <c r="C829" s="321" t="s">
        <v>972</v>
      </c>
      <c r="D829" s="320" t="s">
        <v>28</v>
      </c>
      <c r="E829" s="321" t="s">
        <v>102</v>
      </c>
      <c r="F829" s="321" t="s">
        <v>976</v>
      </c>
      <c r="G829" s="326" t="s">
        <v>282</v>
      </c>
      <c r="H829" s="322" t="s">
        <v>282</v>
      </c>
      <c r="I829" s="322" t="s">
        <v>17</v>
      </c>
      <c r="J829" s="322" t="s">
        <v>282</v>
      </c>
      <c r="K829" s="322" t="s">
        <v>282</v>
      </c>
      <c r="L829" s="322" t="s">
        <v>282</v>
      </c>
      <c r="M829" s="322" t="s">
        <v>282</v>
      </c>
      <c r="N829" s="322" t="s">
        <v>282</v>
      </c>
      <c r="O829" s="323" t="s">
        <v>17</v>
      </c>
      <c r="P829" s="323" t="s">
        <v>17</v>
      </c>
      <c r="Q829" s="323" t="s">
        <v>15</v>
      </c>
      <c r="R829" s="323" t="s">
        <v>282</v>
      </c>
      <c r="S829" s="323" t="s">
        <v>282</v>
      </c>
      <c r="T829" s="323" t="s">
        <v>282</v>
      </c>
      <c r="U829" s="323" t="s">
        <v>282</v>
      </c>
      <c r="V829" s="323" t="s">
        <v>282</v>
      </c>
      <c r="W829" s="324" t="s">
        <v>282</v>
      </c>
      <c r="X829" s="324" t="s">
        <v>282</v>
      </c>
      <c r="Y829" s="325" t="s">
        <v>282</v>
      </c>
    </row>
    <row r="830" spans="1:25">
      <c r="A830" s="319">
        <v>15</v>
      </c>
      <c r="B830" s="320" t="str">
        <f>VLOOKUP(Tabel10[[#This Row],[Code]],Ruimtegroepen[[Code]:[Ruimte omschrijving]],2,FALSE)</f>
        <v>Keuken/pantry</v>
      </c>
      <c r="C830" s="321" t="s">
        <v>972</v>
      </c>
      <c r="D830" s="320" t="s">
        <v>28</v>
      </c>
      <c r="E830" s="321" t="s">
        <v>99</v>
      </c>
      <c r="F830" s="321" t="s">
        <v>974</v>
      </c>
      <c r="G830" s="326" t="s">
        <v>282</v>
      </c>
      <c r="H830" s="322" t="s">
        <v>17</v>
      </c>
      <c r="I830" s="322" t="s">
        <v>282</v>
      </c>
      <c r="J830" s="322" t="s">
        <v>282</v>
      </c>
      <c r="K830" s="322" t="s">
        <v>282</v>
      </c>
      <c r="L830" s="322" t="s">
        <v>282</v>
      </c>
      <c r="M830" s="322" t="s">
        <v>282</v>
      </c>
      <c r="N830" s="322" t="s">
        <v>282</v>
      </c>
      <c r="O830" s="323" t="s">
        <v>17</v>
      </c>
      <c r="P830" s="323" t="s">
        <v>17</v>
      </c>
      <c r="Q830" s="323" t="s">
        <v>15</v>
      </c>
      <c r="R830" s="323" t="s">
        <v>282</v>
      </c>
      <c r="S830" s="323" t="s">
        <v>282</v>
      </c>
      <c r="T830" s="323" t="s">
        <v>282</v>
      </c>
      <c r="U830" s="323" t="s">
        <v>282</v>
      </c>
      <c r="V830" s="323" t="s">
        <v>282</v>
      </c>
      <c r="W830" s="324" t="s">
        <v>282</v>
      </c>
      <c r="X830" s="324" t="s">
        <v>282</v>
      </c>
      <c r="Y830" s="325" t="s">
        <v>282</v>
      </c>
    </row>
    <row r="831" spans="1:25">
      <c r="A831" s="319">
        <v>15</v>
      </c>
      <c r="B831" s="320" t="str">
        <f>VLOOKUP(Tabel10[[#This Row],[Code]],Ruimtegroepen[[Code]:[Ruimte omschrijving]],2,FALSE)</f>
        <v>Keuken/pantry</v>
      </c>
      <c r="C831" s="321" t="s">
        <v>972</v>
      </c>
      <c r="D831" s="320" t="s">
        <v>28</v>
      </c>
      <c r="E831" s="321" t="s">
        <v>1306</v>
      </c>
      <c r="F831" s="321" t="s">
        <v>1418</v>
      </c>
      <c r="G831" s="326" t="s">
        <v>282</v>
      </c>
      <c r="H831" s="322" t="s">
        <v>282</v>
      </c>
      <c r="I831" s="322" t="s">
        <v>17</v>
      </c>
      <c r="J831" s="322" t="s">
        <v>282</v>
      </c>
      <c r="K831" s="322" t="s">
        <v>282</v>
      </c>
      <c r="L831" s="322" t="s">
        <v>282</v>
      </c>
      <c r="M831" s="322" t="s">
        <v>282</v>
      </c>
      <c r="N831" s="322" t="s">
        <v>282</v>
      </c>
      <c r="O831" s="323" t="s">
        <v>17</v>
      </c>
      <c r="P831" s="323" t="s">
        <v>17</v>
      </c>
      <c r="Q831" s="323" t="s">
        <v>15</v>
      </c>
      <c r="R831" s="323" t="s">
        <v>282</v>
      </c>
      <c r="S831" s="323" t="s">
        <v>282</v>
      </c>
      <c r="T831" s="323" t="s">
        <v>282</v>
      </c>
      <c r="U831" s="323" t="s">
        <v>282</v>
      </c>
      <c r="V831" s="323" t="s">
        <v>282</v>
      </c>
      <c r="W831" s="324" t="s">
        <v>282</v>
      </c>
      <c r="X831" s="324" t="s">
        <v>282</v>
      </c>
      <c r="Y831" s="325" t="s">
        <v>282</v>
      </c>
    </row>
    <row r="832" spans="1:25">
      <c r="A832" s="319">
        <v>16</v>
      </c>
      <c r="B832" s="320" t="str">
        <f>VLOOKUP(Tabel10[[#This Row],[Code]],Ruimtegroepen[[Code]:[Ruimte omschrijving]],2,FALSE)</f>
        <v>Leslokalen</v>
      </c>
      <c r="C832" s="321" t="s">
        <v>977</v>
      </c>
      <c r="D832" s="320" t="s">
        <v>29</v>
      </c>
      <c r="E832" s="321" t="s">
        <v>100</v>
      </c>
      <c r="F832" s="321" t="s">
        <v>978</v>
      </c>
      <c r="G832" s="326" t="s">
        <v>282</v>
      </c>
      <c r="H832" s="322" t="s">
        <v>282</v>
      </c>
      <c r="I832" s="322" t="s">
        <v>20</v>
      </c>
      <c r="J832" s="322" t="s">
        <v>15</v>
      </c>
      <c r="K832" s="322" t="s">
        <v>282</v>
      </c>
      <c r="L832" s="322" t="s">
        <v>282</v>
      </c>
      <c r="M832" s="322" t="s">
        <v>282</v>
      </c>
      <c r="N832" s="322" t="s">
        <v>2</v>
      </c>
      <c r="O832" s="323" t="s">
        <v>2</v>
      </c>
      <c r="P832" s="323" t="s">
        <v>2</v>
      </c>
      <c r="Q832" s="323" t="s">
        <v>15</v>
      </c>
      <c r="R832" s="323" t="s">
        <v>15</v>
      </c>
      <c r="S832" s="323" t="s">
        <v>16</v>
      </c>
      <c r="T832" s="323" t="s">
        <v>329</v>
      </c>
      <c r="U832" s="323" t="s">
        <v>249</v>
      </c>
      <c r="V832" s="323" t="s">
        <v>2</v>
      </c>
      <c r="W832" s="324" t="s">
        <v>282</v>
      </c>
      <c r="X832" s="324" t="s">
        <v>282</v>
      </c>
      <c r="Y832" s="325" t="s">
        <v>282</v>
      </c>
    </row>
    <row r="833" spans="1:25">
      <c r="A833" s="319">
        <v>16</v>
      </c>
      <c r="B833" s="320" t="str">
        <f>VLOOKUP(Tabel10[[#This Row],[Code]],Ruimtegroepen[[Code]:[Ruimte omschrijving]],2,FALSE)</f>
        <v>Leslokalen</v>
      </c>
      <c r="C833" s="321" t="s">
        <v>977</v>
      </c>
      <c r="D833" s="320" t="s">
        <v>29</v>
      </c>
      <c r="E833" s="321" t="s">
        <v>99</v>
      </c>
      <c r="F833" s="321" t="s">
        <v>979</v>
      </c>
      <c r="G833" s="322" t="s">
        <v>18</v>
      </c>
      <c r="H833" s="322" t="s">
        <v>17</v>
      </c>
      <c r="I833" s="322" t="s">
        <v>282</v>
      </c>
      <c r="J833" s="322" t="s">
        <v>282</v>
      </c>
      <c r="K833" s="322" t="s">
        <v>282</v>
      </c>
      <c r="L833" s="322" t="s">
        <v>282</v>
      </c>
      <c r="M833" s="322" t="s">
        <v>282</v>
      </c>
      <c r="N833" s="322" t="s">
        <v>2</v>
      </c>
      <c r="O833" s="323" t="s">
        <v>2</v>
      </c>
      <c r="P833" s="323" t="s">
        <v>2</v>
      </c>
      <c r="Q833" s="323" t="s">
        <v>15</v>
      </c>
      <c r="R833" s="323" t="s">
        <v>15</v>
      </c>
      <c r="S833" s="323" t="s">
        <v>16</v>
      </c>
      <c r="T833" s="323" t="s">
        <v>329</v>
      </c>
      <c r="U833" s="323" t="s">
        <v>249</v>
      </c>
      <c r="V833" s="323" t="s">
        <v>2</v>
      </c>
      <c r="W833" s="324" t="s">
        <v>282</v>
      </c>
      <c r="X833" s="324" t="s">
        <v>282</v>
      </c>
      <c r="Y833" s="325" t="s">
        <v>282</v>
      </c>
    </row>
    <row r="834" spans="1:25">
      <c r="A834" s="319">
        <v>16</v>
      </c>
      <c r="B834" s="320" t="str">
        <f>VLOOKUP(Tabel10[[#This Row],[Code]],Ruimtegroepen[[Code]:[Ruimte omschrijving]],2,FALSE)</f>
        <v>Leslokalen</v>
      </c>
      <c r="C834" s="321" t="s">
        <v>977</v>
      </c>
      <c r="D834" s="320" t="s">
        <v>29</v>
      </c>
      <c r="E834" s="321" t="s">
        <v>101</v>
      </c>
      <c r="F834" s="321" t="s">
        <v>980</v>
      </c>
      <c r="G834" s="326" t="s">
        <v>282</v>
      </c>
      <c r="H834" s="322" t="s">
        <v>282</v>
      </c>
      <c r="I834" s="322" t="s">
        <v>20</v>
      </c>
      <c r="J834" s="322" t="s">
        <v>15</v>
      </c>
      <c r="K834" s="322" t="s">
        <v>16</v>
      </c>
      <c r="L834" s="322" t="s">
        <v>282</v>
      </c>
      <c r="M834" s="322" t="s">
        <v>282</v>
      </c>
      <c r="N834" s="322" t="s">
        <v>2</v>
      </c>
      <c r="O834" s="323" t="s">
        <v>2</v>
      </c>
      <c r="P834" s="323" t="s">
        <v>2</v>
      </c>
      <c r="Q834" s="323" t="s">
        <v>15</v>
      </c>
      <c r="R834" s="323" t="s">
        <v>15</v>
      </c>
      <c r="S834" s="323" t="s">
        <v>16</v>
      </c>
      <c r="T834" s="323" t="s">
        <v>329</v>
      </c>
      <c r="U834" s="323" t="s">
        <v>249</v>
      </c>
      <c r="V834" s="323" t="s">
        <v>2</v>
      </c>
      <c r="W834" s="324" t="s">
        <v>282</v>
      </c>
      <c r="X834" s="324" t="s">
        <v>282</v>
      </c>
      <c r="Y834" s="325" t="s">
        <v>282</v>
      </c>
    </row>
    <row r="835" spans="1:25">
      <c r="A835" s="319">
        <v>16</v>
      </c>
      <c r="B835" s="320" t="str">
        <f>VLOOKUP(Tabel10[[#This Row],[Code]],Ruimtegroepen[[Code]:[Ruimte omschrijving]],2,FALSE)</f>
        <v>Leslokalen</v>
      </c>
      <c r="C835" s="321" t="s">
        <v>977</v>
      </c>
      <c r="D835" s="320" t="s">
        <v>29</v>
      </c>
      <c r="E835" s="321" t="s">
        <v>102</v>
      </c>
      <c r="F835" s="321" t="s">
        <v>981</v>
      </c>
      <c r="G835" s="326" t="s">
        <v>282</v>
      </c>
      <c r="H835" s="322" t="s">
        <v>282</v>
      </c>
      <c r="I835" s="322" t="s">
        <v>20</v>
      </c>
      <c r="J835" s="322" t="s">
        <v>15</v>
      </c>
      <c r="K835" s="322" t="s">
        <v>16</v>
      </c>
      <c r="L835" s="322" t="s">
        <v>282</v>
      </c>
      <c r="M835" s="322" t="s">
        <v>282</v>
      </c>
      <c r="N835" s="322" t="s">
        <v>2</v>
      </c>
      <c r="O835" s="323" t="s">
        <v>2</v>
      </c>
      <c r="P835" s="323" t="s">
        <v>2</v>
      </c>
      <c r="Q835" s="323" t="s">
        <v>15</v>
      </c>
      <c r="R835" s="323" t="s">
        <v>15</v>
      </c>
      <c r="S835" s="323" t="s">
        <v>16</v>
      </c>
      <c r="T835" s="323" t="s">
        <v>329</v>
      </c>
      <c r="U835" s="323" t="s">
        <v>249</v>
      </c>
      <c r="V835" s="323" t="s">
        <v>2</v>
      </c>
      <c r="W835" s="324" t="s">
        <v>282</v>
      </c>
      <c r="X835" s="324" t="s">
        <v>282</v>
      </c>
      <c r="Y835" s="325" t="s">
        <v>282</v>
      </c>
    </row>
    <row r="836" spans="1:25">
      <c r="A836" s="319">
        <v>16</v>
      </c>
      <c r="B836" s="320" t="str">
        <f>VLOOKUP(Tabel10[[#This Row],[Code]],Ruimtegroepen[[Code]:[Ruimte omschrijving]],2,FALSE)</f>
        <v>Leslokalen</v>
      </c>
      <c r="C836" s="321" t="s">
        <v>977</v>
      </c>
      <c r="D836" s="320" t="s">
        <v>29</v>
      </c>
      <c r="E836" s="321" t="s">
        <v>99</v>
      </c>
      <c r="F836" s="321" t="s">
        <v>979</v>
      </c>
      <c r="G836" s="322" t="s">
        <v>18</v>
      </c>
      <c r="H836" s="322" t="s">
        <v>17</v>
      </c>
      <c r="I836" s="322" t="s">
        <v>282</v>
      </c>
      <c r="J836" s="322" t="s">
        <v>282</v>
      </c>
      <c r="K836" s="322" t="s">
        <v>282</v>
      </c>
      <c r="L836" s="322" t="s">
        <v>282</v>
      </c>
      <c r="M836" s="322" t="s">
        <v>282</v>
      </c>
      <c r="N836" s="322" t="s">
        <v>282</v>
      </c>
      <c r="O836" s="323" t="s">
        <v>282</v>
      </c>
      <c r="P836" s="323" t="s">
        <v>282</v>
      </c>
      <c r="Q836" s="323" t="s">
        <v>282</v>
      </c>
      <c r="R836" s="323" t="s">
        <v>282</v>
      </c>
      <c r="S836" s="323" t="s">
        <v>282</v>
      </c>
      <c r="T836" s="323" t="s">
        <v>282</v>
      </c>
      <c r="U836" s="323" t="s">
        <v>282</v>
      </c>
      <c r="V836" s="323" t="s">
        <v>282</v>
      </c>
      <c r="W836" s="324" t="s">
        <v>282</v>
      </c>
      <c r="X836" s="324" t="s">
        <v>282</v>
      </c>
      <c r="Y836" s="325" t="s">
        <v>282</v>
      </c>
    </row>
    <row r="837" spans="1:25">
      <c r="A837" s="319">
        <v>16</v>
      </c>
      <c r="B837" s="320" t="str">
        <f>VLOOKUP(Tabel10[[#This Row],[Code]],Ruimtegroepen[[Code]:[Ruimte omschrijving]],2,FALSE)</f>
        <v>Leslokalen</v>
      </c>
      <c r="C837" s="321" t="s">
        <v>977</v>
      </c>
      <c r="D837" s="320" t="s">
        <v>29</v>
      </c>
      <c r="E837" s="321" t="s">
        <v>1306</v>
      </c>
      <c r="F837" s="321" t="s">
        <v>1486</v>
      </c>
      <c r="G837" s="326" t="s">
        <v>282</v>
      </c>
      <c r="H837" s="322" t="s">
        <v>282</v>
      </c>
      <c r="I837" s="322" t="s">
        <v>20</v>
      </c>
      <c r="J837" s="322" t="s">
        <v>15</v>
      </c>
      <c r="K837" s="322" t="s">
        <v>16</v>
      </c>
      <c r="L837" s="322" t="s">
        <v>282</v>
      </c>
      <c r="M837" s="322" t="s">
        <v>282</v>
      </c>
      <c r="N837" s="322" t="s">
        <v>2</v>
      </c>
      <c r="O837" s="323" t="s">
        <v>2</v>
      </c>
      <c r="P837" s="323" t="s">
        <v>2</v>
      </c>
      <c r="Q837" s="323" t="s">
        <v>15</v>
      </c>
      <c r="R837" s="323" t="s">
        <v>15</v>
      </c>
      <c r="S837" s="323" t="s">
        <v>16</v>
      </c>
      <c r="T837" s="323" t="s">
        <v>329</v>
      </c>
      <c r="U837" s="323" t="s">
        <v>249</v>
      </c>
      <c r="V837" s="323" t="s">
        <v>2</v>
      </c>
      <c r="W837" s="324" t="s">
        <v>282</v>
      </c>
      <c r="X837" s="324" t="s">
        <v>282</v>
      </c>
      <c r="Y837" s="325" t="s">
        <v>282</v>
      </c>
    </row>
    <row r="838" spans="1:25">
      <c r="A838" s="319">
        <v>16</v>
      </c>
      <c r="B838" s="320" t="str">
        <f>VLOOKUP(Tabel10[[#This Row],[Code]],Ruimtegroepen[[Code]:[Ruimte omschrijving]],2,FALSE)</f>
        <v>Leslokalen</v>
      </c>
      <c r="C838" s="321" t="s">
        <v>982</v>
      </c>
      <c r="D838" s="320" t="s">
        <v>1</v>
      </c>
      <c r="E838" s="321" t="s">
        <v>100</v>
      </c>
      <c r="F838" s="321" t="s">
        <v>983</v>
      </c>
      <c r="G838" s="326" t="s">
        <v>282</v>
      </c>
      <c r="H838" s="322" t="s">
        <v>282</v>
      </c>
      <c r="I838" s="322" t="s">
        <v>20</v>
      </c>
      <c r="J838" s="322" t="s">
        <v>15</v>
      </c>
      <c r="K838" s="322" t="s">
        <v>282</v>
      </c>
      <c r="L838" s="322" t="s">
        <v>282</v>
      </c>
      <c r="M838" s="322" t="s">
        <v>282</v>
      </c>
      <c r="N838" s="322" t="s">
        <v>282</v>
      </c>
      <c r="O838" s="323" t="s">
        <v>2</v>
      </c>
      <c r="P838" s="323" t="s">
        <v>2</v>
      </c>
      <c r="Q838" s="323" t="s">
        <v>15</v>
      </c>
      <c r="R838" s="323" t="s">
        <v>15</v>
      </c>
      <c r="S838" s="323" t="s">
        <v>16</v>
      </c>
      <c r="T838" s="323" t="s">
        <v>329</v>
      </c>
      <c r="U838" s="323" t="s">
        <v>249</v>
      </c>
      <c r="V838" s="323" t="s">
        <v>282</v>
      </c>
      <c r="W838" s="324" t="s">
        <v>282</v>
      </c>
      <c r="X838" s="324" t="s">
        <v>282</v>
      </c>
      <c r="Y838" s="325" t="s">
        <v>282</v>
      </c>
    </row>
    <row r="839" spans="1:25">
      <c r="A839" s="319">
        <v>16</v>
      </c>
      <c r="B839" s="320" t="str">
        <f>VLOOKUP(Tabel10[[#This Row],[Code]],Ruimtegroepen[[Code]:[Ruimte omschrijving]],2,FALSE)</f>
        <v>Leslokalen</v>
      </c>
      <c r="C839" s="321" t="s">
        <v>982</v>
      </c>
      <c r="D839" s="320" t="s">
        <v>1</v>
      </c>
      <c r="E839" s="321" t="s">
        <v>99</v>
      </c>
      <c r="F839" s="321" t="s">
        <v>984</v>
      </c>
      <c r="G839" s="322" t="s">
        <v>18</v>
      </c>
      <c r="H839" s="322" t="s">
        <v>17</v>
      </c>
      <c r="I839" s="322" t="s">
        <v>282</v>
      </c>
      <c r="J839" s="322" t="s">
        <v>282</v>
      </c>
      <c r="K839" s="322" t="s">
        <v>282</v>
      </c>
      <c r="L839" s="322" t="s">
        <v>282</v>
      </c>
      <c r="M839" s="322" t="s">
        <v>282</v>
      </c>
      <c r="N839" s="322" t="s">
        <v>282</v>
      </c>
      <c r="O839" s="323" t="s">
        <v>2</v>
      </c>
      <c r="P839" s="323" t="s">
        <v>2</v>
      </c>
      <c r="Q839" s="323" t="s">
        <v>15</v>
      </c>
      <c r="R839" s="323" t="s">
        <v>15</v>
      </c>
      <c r="S839" s="323" t="s">
        <v>16</v>
      </c>
      <c r="T839" s="323" t="s">
        <v>329</v>
      </c>
      <c r="U839" s="323" t="s">
        <v>249</v>
      </c>
      <c r="V839" s="323" t="s">
        <v>282</v>
      </c>
      <c r="W839" s="324" t="s">
        <v>282</v>
      </c>
      <c r="X839" s="324" t="s">
        <v>282</v>
      </c>
      <c r="Y839" s="325" t="s">
        <v>282</v>
      </c>
    </row>
    <row r="840" spans="1:25">
      <c r="A840" s="319">
        <v>16</v>
      </c>
      <c r="B840" s="320" t="str">
        <f>VLOOKUP(Tabel10[[#This Row],[Code]],Ruimtegroepen[[Code]:[Ruimte omschrijving]],2,FALSE)</f>
        <v>Leslokalen</v>
      </c>
      <c r="C840" s="321" t="s">
        <v>982</v>
      </c>
      <c r="D840" s="320" t="s">
        <v>1</v>
      </c>
      <c r="E840" s="321" t="s">
        <v>101</v>
      </c>
      <c r="F840" s="321" t="s">
        <v>985</v>
      </c>
      <c r="G840" s="326" t="s">
        <v>282</v>
      </c>
      <c r="H840" s="322" t="s">
        <v>282</v>
      </c>
      <c r="I840" s="322" t="s">
        <v>20</v>
      </c>
      <c r="J840" s="322" t="s">
        <v>15</v>
      </c>
      <c r="K840" s="322" t="s">
        <v>16</v>
      </c>
      <c r="L840" s="322" t="s">
        <v>282</v>
      </c>
      <c r="M840" s="322" t="s">
        <v>282</v>
      </c>
      <c r="N840" s="322" t="s">
        <v>282</v>
      </c>
      <c r="O840" s="323" t="s">
        <v>2</v>
      </c>
      <c r="P840" s="323" t="s">
        <v>2</v>
      </c>
      <c r="Q840" s="323" t="s">
        <v>15</v>
      </c>
      <c r="R840" s="323" t="s">
        <v>15</v>
      </c>
      <c r="S840" s="323" t="s">
        <v>16</v>
      </c>
      <c r="T840" s="323" t="s">
        <v>329</v>
      </c>
      <c r="U840" s="323" t="s">
        <v>249</v>
      </c>
      <c r="V840" s="323" t="s">
        <v>282</v>
      </c>
      <c r="W840" s="324" t="s">
        <v>282</v>
      </c>
      <c r="X840" s="324" t="s">
        <v>282</v>
      </c>
      <c r="Y840" s="325" t="s">
        <v>282</v>
      </c>
    </row>
    <row r="841" spans="1:25">
      <c r="A841" s="319">
        <v>16</v>
      </c>
      <c r="B841" s="320" t="str">
        <f>VLOOKUP(Tabel10[[#This Row],[Code]],Ruimtegroepen[[Code]:[Ruimte omschrijving]],2,FALSE)</f>
        <v>Leslokalen</v>
      </c>
      <c r="C841" s="321" t="s">
        <v>982</v>
      </c>
      <c r="D841" s="320" t="s">
        <v>1</v>
      </c>
      <c r="E841" s="321" t="s">
        <v>102</v>
      </c>
      <c r="F841" s="321" t="s">
        <v>986</v>
      </c>
      <c r="G841" s="326" t="s">
        <v>282</v>
      </c>
      <c r="H841" s="322" t="s">
        <v>282</v>
      </c>
      <c r="I841" s="322" t="s">
        <v>20</v>
      </c>
      <c r="J841" s="322" t="s">
        <v>15</v>
      </c>
      <c r="K841" s="322" t="s">
        <v>16</v>
      </c>
      <c r="L841" s="322" t="s">
        <v>282</v>
      </c>
      <c r="M841" s="322" t="s">
        <v>282</v>
      </c>
      <c r="N841" s="322" t="s">
        <v>282</v>
      </c>
      <c r="O841" s="323" t="s">
        <v>2</v>
      </c>
      <c r="P841" s="323" t="s">
        <v>2</v>
      </c>
      <c r="Q841" s="323" t="s">
        <v>15</v>
      </c>
      <c r="R841" s="323" t="s">
        <v>15</v>
      </c>
      <c r="S841" s="323" t="s">
        <v>16</v>
      </c>
      <c r="T841" s="323" t="s">
        <v>329</v>
      </c>
      <c r="U841" s="323" t="s">
        <v>249</v>
      </c>
      <c r="V841" s="323" t="s">
        <v>282</v>
      </c>
      <c r="W841" s="324" t="s">
        <v>282</v>
      </c>
      <c r="X841" s="324" t="s">
        <v>282</v>
      </c>
      <c r="Y841" s="325" t="s">
        <v>282</v>
      </c>
    </row>
    <row r="842" spans="1:25">
      <c r="A842" s="319">
        <v>16</v>
      </c>
      <c r="B842" s="320" t="str">
        <f>VLOOKUP(Tabel10[[#This Row],[Code]],Ruimtegroepen[[Code]:[Ruimte omschrijving]],2,FALSE)</f>
        <v>Leslokalen</v>
      </c>
      <c r="C842" s="321" t="s">
        <v>982</v>
      </c>
      <c r="D842" s="320" t="s">
        <v>1</v>
      </c>
      <c r="E842" s="321" t="s">
        <v>99</v>
      </c>
      <c r="F842" s="321" t="s">
        <v>984</v>
      </c>
      <c r="G842" s="322" t="s">
        <v>18</v>
      </c>
      <c r="H842" s="322" t="s">
        <v>17</v>
      </c>
      <c r="I842" s="322" t="s">
        <v>282</v>
      </c>
      <c r="J842" s="322" t="s">
        <v>282</v>
      </c>
      <c r="K842" s="322" t="s">
        <v>282</v>
      </c>
      <c r="L842" s="322" t="s">
        <v>282</v>
      </c>
      <c r="M842" s="322" t="s">
        <v>282</v>
      </c>
      <c r="N842" s="322" t="s">
        <v>282</v>
      </c>
      <c r="O842" s="323" t="s">
        <v>2</v>
      </c>
      <c r="P842" s="323" t="s">
        <v>2</v>
      </c>
      <c r="Q842" s="323" t="s">
        <v>15</v>
      </c>
      <c r="R842" s="323" t="s">
        <v>15</v>
      </c>
      <c r="S842" s="323" t="s">
        <v>16</v>
      </c>
      <c r="T842" s="323" t="s">
        <v>329</v>
      </c>
      <c r="U842" s="323" t="s">
        <v>249</v>
      </c>
      <c r="V842" s="323" t="s">
        <v>282</v>
      </c>
      <c r="W842" s="324" t="s">
        <v>282</v>
      </c>
      <c r="X842" s="324" t="s">
        <v>282</v>
      </c>
      <c r="Y842" s="325" t="s">
        <v>282</v>
      </c>
    </row>
    <row r="843" spans="1:25">
      <c r="A843" s="319">
        <v>16</v>
      </c>
      <c r="B843" s="320" t="str">
        <f>VLOOKUP(Tabel10[[#This Row],[Code]],Ruimtegroepen[[Code]:[Ruimte omschrijving]],2,FALSE)</f>
        <v>Leslokalen</v>
      </c>
      <c r="C843" s="321" t="s">
        <v>982</v>
      </c>
      <c r="D843" s="320" t="s">
        <v>1</v>
      </c>
      <c r="E843" s="321" t="s">
        <v>1306</v>
      </c>
      <c r="F843" s="321" t="s">
        <v>1470</v>
      </c>
      <c r="G843" s="326" t="s">
        <v>282</v>
      </c>
      <c r="H843" s="322" t="s">
        <v>282</v>
      </c>
      <c r="I843" s="322" t="s">
        <v>20</v>
      </c>
      <c r="J843" s="322" t="s">
        <v>15</v>
      </c>
      <c r="K843" s="322" t="s">
        <v>16</v>
      </c>
      <c r="L843" s="322" t="s">
        <v>282</v>
      </c>
      <c r="M843" s="322" t="s">
        <v>282</v>
      </c>
      <c r="N843" s="322" t="s">
        <v>282</v>
      </c>
      <c r="O843" s="323" t="s">
        <v>2</v>
      </c>
      <c r="P843" s="323" t="s">
        <v>2</v>
      </c>
      <c r="Q843" s="323" t="s">
        <v>15</v>
      </c>
      <c r="R843" s="323" t="s">
        <v>15</v>
      </c>
      <c r="S843" s="323" t="s">
        <v>16</v>
      </c>
      <c r="T843" s="323" t="s">
        <v>329</v>
      </c>
      <c r="U843" s="323" t="s">
        <v>249</v>
      </c>
      <c r="V843" s="323" t="s">
        <v>282</v>
      </c>
      <c r="W843" s="324" t="s">
        <v>282</v>
      </c>
      <c r="X843" s="324" t="s">
        <v>282</v>
      </c>
      <c r="Y843" s="325" t="s">
        <v>282</v>
      </c>
    </row>
    <row r="844" spans="1:25">
      <c r="A844" s="319">
        <v>16</v>
      </c>
      <c r="B844" s="320" t="str">
        <f>VLOOKUP(Tabel10[[#This Row],[Code]],Ruimtegroepen[[Code]:[Ruimte omschrijving]],2,FALSE)</f>
        <v>Leslokalen</v>
      </c>
      <c r="C844" s="321" t="s">
        <v>987</v>
      </c>
      <c r="D844" s="320" t="s">
        <v>21</v>
      </c>
      <c r="E844" s="321" t="s">
        <v>100</v>
      </c>
      <c r="F844" s="321" t="s">
        <v>988</v>
      </c>
      <c r="G844" s="326" t="s">
        <v>282</v>
      </c>
      <c r="H844" s="322" t="s">
        <v>282</v>
      </c>
      <c r="I844" s="322" t="s">
        <v>18</v>
      </c>
      <c r="J844" s="322" t="s">
        <v>15</v>
      </c>
      <c r="K844" s="322" t="s">
        <v>282</v>
      </c>
      <c r="L844" s="322" t="s">
        <v>282</v>
      </c>
      <c r="M844" s="322" t="s">
        <v>282</v>
      </c>
      <c r="N844" s="322" t="s">
        <v>282</v>
      </c>
      <c r="O844" s="323" t="s">
        <v>20</v>
      </c>
      <c r="P844" s="323" t="s">
        <v>20</v>
      </c>
      <c r="Q844" s="323" t="s">
        <v>15</v>
      </c>
      <c r="R844" s="323" t="s">
        <v>15</v>
      </c>
      <c r="S844" s="323" t="s">
        <v>16</v>
      </c>
      <c r="T844" s="323" t="s">
        <v>329</v>
      </c>
      <c r="U844" s="323" t="s">
        <v>249</v>
      </c>
      <c r="V844" s="323" t="s">
        <v>282</v>
      </c>
      <c r="W844" s="324" t="s">
        <v>282</v>
      </c>
      <c r="X844" s="324" t="s">
        <v>282</v>
      </c>
      <c r="Y844" s="325" t="s">
        <v>282</v>
      </c>
    </row>
    <row r="845" spans="1:25">
      <c r="A845" s="319">
        <v>16</v>
      </c>
      <c r="B845" s="320" t="str">
        <f>VLOOKUP(Tabel10[[#This Row],[Code]],Ruimtegroepen[[Code]:[Ruimte omschrijving]],2,FALSE)</f>
        <v>Leslokalen</v>
      </c>
      <c r="C845" s="321" t="s">
        <v>987</v>
      </c>
      <c r="D845" s="320" t="s">
        <v>21</v>
      </c>
      <c r="E845" s="321" t="s">
        <v>99</v>
      </c>
      <c r="F845" s="321" t="s">
        <v>989</v>
      </c>
      <c r="G845" s="322" t="s">
        <v>17</v>
      </c>
      <c r="H845" s="322" t="s">
        <v>17</v>
      </c>
      <c r="I845" s="322" t="s">
        <v>282</v>
      </c>
      <c r="J845" s="322" t="s">
        <v>282</v>
      </c>
      <c r="K845" s="322" t="s">
        <v>282</v>
      </c>
      <c r="L845" s="322" t="s">
        <v>282</v>
      </c>
      <c r="M845" s="322" t="s">
        <v>282</v>
      </c>
      <c r="N845" s="322" t="s">
        <v>282</v>
      </c>
      <c r="O845" s="323" t="s">
        <v>20</v>
      </c>
      <c r="P845" s="323" t="s">
        <v>20</v>
      </c>
      <c r="Q845" s="323" t="s">
        <v>15</v>
      </c>
      <c r="R845" s="323" t="s">
        <v>15</v>
      </c>
      <c r="S845" s="323" t="s">
        <v>16</v>
      </c>
      <c r="T845" s="323" t="s">
        <v>329</v>
      </c>
      <c r="U845" s="323" t="s">
        <v>249</v>
      </c>
      <c r="V845" s="323" t="s">
        <v>282</v>
      </c>
      <c r="W845" s="324" t="s">
        <v>282</v>
      </c>
      <c r="X845" s="324" t="s">
        <v>282</v>
      </c>
      <c r="Y845" s="325" t="s">
        <v>282</v>
      </c>
    </row>
    <row r="846" spans="1:25">
      <c r="A846" s="319">
        <v>16</v>
      </c>
      <c r="B846" s="320" t="str">
        <f>VLOOKUP(Tabel10[[#This Row],[Code]],Ruimtegroepen[[Code]:[Ruimte omschrijving]],2,FALSE)</f>
        <v>Leslokalen</v>
      </c>
      <c r="C846" s="321" t="s">
        <v>987</v>
      </c>
      <c r="D846" s="320" t="s">
        <v>21</v>
      </c>
      <c r="E846" s="321" t="s">
        <v>101</v>
      </c>
      <c r="F846" s="321" t="s">
        <v>990</v>
      </c>
      <c r="G846" s="326" t="s">
        <v>282</v>
      </c>
      <c r="H846" s="322" t="s">
        <v>282</v>
      </c>
      <c r="I846" s="322" t="s">
        <v>18</v>
      </c>
      <c r="J846" s="322" t="s">
        <v>15</v>
      </c>
      <c r="K846" s="322" t="s">
        <v>16</v>
      </c>
      <c r="L846" s="322" t="s">
        <v>282</v>
      </c>
      <c r="M846" s="322" t="s">
        <v>282</v>
      </c>
      <c r="N846" s="322" t="s">
        <v>282</v>
      </c>
      <c r="O846" s="323" t="s">
        <v>20</v>
      </c>
      <c r="P846" s="323" t="s">
        <v>20</v>
      </c>
      <c r="Q846" s="323" t="s">
        <v>15</v>
      </c>
      <c r="R846" s="323" t="s">
        <v>15</v>
      </c>
      <c r="S846" s="323" t="s">
        <v>16</v>
      </c>
      <c r="T846" s="323" t="s">
        <v>329</v>
      </c>
      <c r="U846" s="323" t="s">
        <v>249</v>
      </c>
      <c r="V846" s="323" t="s">
        <v>282</v>
      </c>
      <c r="W846" s="324" t="s">
        <v>282</v>
      </c>
      <c r="X846" s="324" t="s">
        <v>282</v>
      </c>
      <c r="Y846" s="325" t="s">
        <v>282</v>
      </c>
    </row>
    <row r="847" spans="1:25">
      <c r="A847" s="319">
        <v>16</v>
      </c>
      <c r="B847" s="320" t="str">
        <f>VLOOKUP(Tabel10[[#This Row],[Code]],Ruimtegroepen[[Code]:[Ruimte omschrijving]],2,FALSE)</f>
        <v>Leslokalen</v>
      </c>
      <c r="C847" s="321" t="s">
        <v>987</v>
      </c>
      <c r="D847" s="320" t="s">
        <v>21</v>
      </c>
      <c r="E847" s="321" t="s">
        <v>102</v>
      </c>
      <c r="F847" s="321" t="s">
        <v>991</v>
      </c>
      <c r="G847" s="326" t="s">
        <v>282</v>
      </c>
      <c r="H847" s="322" t="s">
        <v>282</v>
      </c>
      <c r="I847" s="322" t="s">
        <v>18</v>
      </c>
      <c r="J847" s="322" t="s">
        <v>15</v>
      </c>
      <c r="K847" s="322" t="s">
        <v>16</v>
      </c>
      <c r="L847" s="322" t="s">
        <v>282</v>
      </c>
      <c r="M847" s="322" t="s">
        <v>282</v>
      </c>
      <c r="N847" s="322" t="s">
        <v>282</v>
      </c>
      <c r="O847" s="323" t="s">
        <v>20</v>
      </c>
      <c r="P847" s="323" t="s">
        <v>20</v>
      </c>
      <c r="Q847" s="323" t="s">
        <v>15</v>
      </c>
      <c r="R847" s="323" t="s">
        <v>15</v>
      </c>
      <c r="S847" s="323" t="s">
        <v>16</v>
      </c>
      <c r="T847" s="323" t="s">
        <v>329</v>
      </c>
      <c r="U847" s="323" t="s">
        <v>249</v>
      </c>
      <c r="V847" s="323" t="s">
        <v>282</v>
      </c>
      <c r="W847" s="324" t="s">
        <v>282</v>
      </c>
      <c r="X847" s="324" t="s">
        <v>282</v>
      </c>
      <c r="Y847" s="325" t="s">
        <v>282</v>
      </c>
    </row>
    <row r="848" spans="1:25">
      <c r="A848" s="319">
        <v>16</v>
      </c>
      <c r="B848" s="320" t="str">
        <f>VLOOKUP(Tabel10[[#This Row],[Code]],Ruimtegroepen[[Code]:[Ruimte omschrijving]],2,FALSE)</f>
        <v>Leslokalen</v>
      </c>
      <c r="C848" s="321" t="s">
        <v>987</v>
      </c>
      <c r="D848" s="320" t="s">
        <v>21</v>
      </c>
      <c r="E848" s="321" t="s">
        <v>99</v>
      </c>
      <c r="F848" s="321" t="s">
        <v>989</v>
      </c>
      <c r="G848" s="322" t="s">
        <v>17</v>
      </c>
      <c r="H848" s="322" t="s">
        <v>17</v>
      </c>
      <c r="I848" s="322" t="s">
        <v>282</v>
      </c>
      <c r="J848" s="322" t="s">
        <v>282</v>
      </c>
      <c r="K848" s="322" t="s">
        <v>282</v>
      </c>
      <c r="L848" s="322" t="s">
        <v>282</v>
      </c>
      <c r="M848" s="322" t="s">
        <v>282</v>
      </c>
      <c r="N848" s="322" t="s">
        <v>282</v>
      </c>
      <c r="O848" s="323" t="s">
        <v>282</v>
      </c>
      <c r="P848" s="323" t="s">
        <v>282</v>
      </c>
      <c r="Q848" s="323" t="s">
        <v>282</v>
      </c>
      <c r="R848" s="323" t="s">
        <v>282</v>
      </c>
      <c r="S848" s="323" t="s">
        <v>282</v>
      </c>
      <c r="T848" s="323" t="s">
        <v>282</v>
      </c>
      <c r="U848" s="323" t="s">
        <v>282</v>
      </c>
      <c r="V848" s="323" t="s">
        <v>282</v>
      </c>
      <c r="W848" s="324" t="s">
        <v>282</v>
      </c>
      <c r="X848" s="324" t="s">
        <v>282</v>
      </c>
      <c r="Y848" s="325" t="s">
        <v>282</v>
      </c>
    </row>
    <row r="849" spans="1:25">
      <c r="A849" s="319">
        <v>16</v>
      </c>
      <c r="B849" s="320" t="str">
        <f>VLOOKUP(Tabel10[[#This Row],[Code]],Ruimtegroepen[[Code]:[Ruimte omschrijving]],2,FALSE)</f>
        <v>Leslokalen</v>
      </c>
      <c r="C849" s="321" t="s">
        <v>987</v>
      </c>
      <c r="D849" s="320" t="s">
        <v>21</v>
      </c>
      <c r="E849" s="321" t="s">
        <v>1306</v>
      </c>
      <c r="F849" s="321" t="s">
        <v>1453</v>
      </c>
      <c r="G849" s="326" t="s">
        <v>282</v>
      </c>
      <c r="H849" s="322" t="s">
        <v>282</v>
      </c>
      <c r="I849" s="322" t="s">
        <v>18</v>
      </c>
      <c r="J849" s="322" t="s">
        <v>15</v>
      </c>
      <c r="K849" s="322" t="s">
        <v>16</v>
      </c>
      <c r="L849" s="322" t="s">
        <v>282</v>
      </c>
      <c r="M849" s="322" t="s">
        <v>282</v>
      </c>
      <c r="N849" s="322" t="s">
        <v>282</v>
      </c>
      <c r="O849" s="323" t="s">
        <v>20</v>
      </c>
      <c r="P849" s="323" t="s">
        <v>20</v>
      </c>
      <c r="Q849" s="323" t="s">
        <v>15</v>
      </c>
      <c r="R849" s="323" t="s">
        <v>15</v>
      </c>
      <c r="S849" s="323" t="s">
        <v>16</v>
      </c>
      <c r="T849" s="323" t="s">
        <v>329</v>
      </c>
      <c r="U849" s="323" t="s">
        <v>249</v>
      </c>
      <c r="V849" s="323" t="s">
        <v>282</v>
      </c>
      <c r="W849" s="324" t="s">
        <v>282</v>
      </c>
      <c r="X849" s="324" t="s">
        <v>282</v>
      </c>
      <c r="Y849" s="325" t="s">
        <v>282</v>
      </c>
    </row>
    <row r="850" spans="1:25">
      <c r="A850" s="319">
        <v>16</v>
      </c>
      <c r="B850" s="320" t="str">
        <f>VLOOKUP(Tabel10[[#This Row],[Code]],Ruimtegroepen[[Code]:[Ruimte omschrijving]],2,FALSE)</f>
        <v>Leslokalen</v>
      </c>
      <c r="C850" s="321" t="s">
        <v>992</v>
      </c>
      <c r="D850" s="320" t="s">
        <v>12</v>
      </c>
      <c r="E850" s="321" t="s">
        <v>100</v>
      </c>
      <c r="F850" s="321" t="s">
        <v>993</v>
      </c>
      <c r="G850" s="326" t="s">
        <v>282</v>
      </c>
      <c r="H850" s="322" t="s">
        <v>282</v>
      </c>
      <c r="I850" s="322" t="s">
        <v>17</v>
      </c>
      <c r="J850" s="322" t="s">
        <v>15</v>
      </c>
      <c r="K850" s="322" t="s">
        <v>282</v>
      </c>
      <c r="L850" s="322" t="s">
        <v>282</v>
      </c>
      <c r="M850" s="322" t="s">
        <v>282</v>
      </c>
      <c r="N850" s="322" t="s">
        <v>282</v>
      </c>
      <c r="O850" s="323" t="s">
        <v>18</v>
      </c>
      <c r="P850" s="323" t="s">
        <v>18</v>
      </c>
      <c r="Q850" s="323" t="s">
        <v>15</v>
      </c>
      <c r="R850" s="323" t="s">
        <v>15</v>
      </c>
      <c r="S850" s="323" t="s">
        <v>16</v>
      </c>
      <c r="T850" s="323" t="s">
        <v>329</v>
      </c>
      <c r="U850" s="323" t="s">
        <v>249</v>
      </c>
      <c r="V850" s="323" t="s">
        <v>282</v>
      </c>
      <c r="W850" s="324" t="s">
        <v>282</v>
      </c>
      <c r="X850" s="324" t="s">
        <v>282</v>
      </c>
      <c r="Y850" s="325" t="s">
        <v>282</v>
      </c>
    </row>
    <row r="851" spans="1:25">
      <c r="A851" s="319">
        <v>16</v>
      </c>
      <c r="B851" s="320" t="str">
        <f>VLOOKUP(Tabel10[[#This Row],[Code]],Ruimtegroepen[[Code]:[Ruimte omschrijving]],2,FALSE)</f>
        <v>Leslokalen</v>
      </c>
      <c r="C851" s="321" t="s">
        <v>992</v>
      </c>
      <c r="D851" s="320" t="s">
        <v>12</v>
      </c>
      <c r="E851" s="321" t="s">
        <v>99</v>
      </c>
      <c r="F851" s="321" t="s">
        <v>994</v>
      </c>
      <c r="G851" s="322" t="s">
        <v>17</v>
      </c>
      <c r="H851" s="322" t="s">
        <v>15</v>
      </c>
      <c r="I851" s="322" t="s">
        <v>282</v>
      </c>
      <c r="J851" s="322" t="s">
        <v>282</v>
      </c>
      <c r="K851" s="322" t="s">
        <v>282</v>
      </c>
      <c r="L851" s="322" t="s">
        <v>282</v>
      </c>
      <c r="M851" s="322" t="s">
        <v>282</v>
      </c>
      <c r="N851" s="322" t="s">
        <v>282</v>
      </c>
      <c r="O851" s="323" t="s">
        <v>18</v>
      </c>
      <c r="P851" s="323" t="s">
        <v>18</v>
      </c>
      <c r="Q851" s="323" t="s">
        <v>15</v>
      </c>
      <c r="R851" s="323" t="s">
        <v>15</v>
      </c>
      <c r="S851" s="323" t="s">
        <v>16</v>
      </c>
      <c r="T851" s="323" t="s">
        <v>329</v>
      </c>
      <c r="U851" s="323" t="s">
        <v>249</v>
      </c>
      <c r="V851" s="323" t="s">
        <v>282</v>
      </c>
      <c r="W851" s="324" t="s">
        <v>282</v>
      </c>
      <c r="X851" s="324" t="s">
        <v>282</v>
      </c>
      <c r="Y851" s="325" t="s">
        <v>282</v>
      </c>
    </row>
    <row r="852" spans="1:25">
      <c r="A852" s="319">
        <v>16</v>
      </c>
      <c r="B852" s="320" t="str">
        <f>VLOOKUP(Tabel10[[#This Row],[Code]],Ruimtegroepen[[Code]:[Ruimte omschrijving]],2,FALSE)</f>
        <v>Leslokalen</v>
      </c>
      <c r="C852" s="321" t="s">
        <v>992</v>
      </c>
      <c r="D852" s="320" t="s">
        <v>12</v>
      </c>
      <c r="E852" s="321" t="s">
        <v>101</v>
      </c>
      <c r="F852" s="321" t="s">
        <v>995</v>
      </c>
      <c r="G852" s="326" t="s">
        <v>282</v>
      </c>
      <c r="H852" s="322" t="s">
        <v>282</v>
      </c>
      <c r="I852" s="322" t="s">
        <v>17</v>
      </c>
      <c r="J852" s="322" t="s">
        <v>15</v>
      </c>
      <c r="K852" s="322" t="s">
        <v>16</v>
      </c>
      <c r="L852" s="322" t="s">
        <v>282</v>
      </c>
      <c r="M852" s="322" t="s">
        <v>282</v>
      </c>
      <c r="N852" s="322" t="s">
        <v>282</v>
      </c>
      <c r="O852" s="323" t="s">
        <v>18</v>
      </c>
      <c r="P852" s="323" t="s">
        <v>18</v>
      </c>
      <c r="Q852" s="323" t="s">
        <v>15</v>
      </c>
      <c r="R852" s="323" t="s">
        <v>15</v>
      </c>
      <c r="S852" s="323" t="s">
        <v>16</v>
      </c>
      <c r="T852" s="323" t="s">
        <v>329</v>
      </c>
      <c r="U852" s="323" t="s">
        <v>249</v>
      </c>
      <c r="V852" s="323" t="s">
        <v>282</v>
      </c>
      <c r="W852" s="324" t="s">
        <v>282</v>
      </c>
      <c r="X852" s="324" t="s">
        <v>282</v>
      </c>
      <c r="Y852" s="325" t="s">
        <v>282</v>
      </c>
    </row>
    <row r="853" spans="1:25">
      <c r="A853" s="319">
        <v>16</v>
      </c>
      <c r="B853" s="320" t="str">
        <f>VLOOKUP(Tabel10[[#This Row],[Code]],Ruimtegroepen[[Code]:[Ruimte omschrijving]],2,FALSE)</f>
        <v>Leslokalen</v>
      </c>
      <c r="C853" s="321" t="s">
        <v>992</v>
      </c>
      <c r="D853" s="320" t="s">
        <v>12</v>
      </c>
      <c r="E853" s="321" t="s">
        <v>102</v>
      </c>
      <c r="F853" s="321" t="s">
        <v>996</v>
      </c>
      <c r="G853" s="326" t="s">
        <v>282</v>
      </c>
      <c r="H853" s="322" t="s">
        <v>282</v>
      </c>
      <c r="I853" s="322" t="s">
        <v>17</v>
      </c>
      <c r="J853" s="322" t="s">
        <v>15</v>
      </c>
      <c r="K853" s="322" t="s">
        <v>16</v>
      </c>
      <c r="L853" s="322" t="s">
        <v>282</v>
      </c>
      <c r="M853" s="322" t="s">
        <v>282</v>
      </c>
      <c r="N853" s="322" t="s">
        <v>282</v>
      </c>
      <c r="O853" s="323" t="s">
        <v>18</v>
      </c>
      <c r="P853" s="323" t="s">
        <v>18</v>
      </c>
      <c r="Q853" s="323" t="s">
        <v>15</v>
      </c>
      <c r="R853" s="323" t="s">
        <v>15</v>
      </c>
      <c r="S853" s="323" t="s">
        <v>16</v>
      </c>
      <c r="T853" s="323" t="s">
        <v>329</v>
      </c>
      <c r="U853" s="323" t="s">
        <v>249</v>
      </c>
      <c r="V853" s="323" t="s">
        <v>282</v>
      </c>
      <c r="W853" s="324" t="s">
        <v>282</v>
      </c>
      <c r="X853" s="324" t="s">
        <v>282</v>
      </c>
      <c r="Y853" s="325" t="s">
        <v>282</v>
      </c>
    </row>
    <row r="854" spans="1:25">
      <c r="A854" s="319">
        <v>16</v>
      </c>
      <c r="B854" s="320" t="str">
        <f>VLOOKUP(Tabel10[[#This Row],[Code]],Ruimtegroepen[[Code]:[Ruimte omschrijving]],2,FALSE)</f>
        <v>Leslokalen</v>
      </c>
      <c r="C854" s="321" t="s">
        <v>992</v>
      </c>
      <c r="D854" s="320" t="s">
        <v>12</v>
      </c>
      <c r="E854" s="321" t="s">
        <v>99</v>
      </c>
      <c r="F854" s="321" t="s">
        <v>994</v>
      </c>
      <c r="G854" s="322" t="s">
        <v>17</v>
      </c>
      <c r="H854" s="322" t="s">
        <v>15</v>
      </c>
      <c r="I854" s="322" t="s">
        <v>282</v>
      </c>
      <c r="J854" s="322" t="s">
        <v>282</v>
      </c>
      <c r="K854" s="322" t="s">
        <v>282</v>
      </c>
      <c r="L854" s="322" t="s">
        <v>282</v>
      </c>
      <c r="M854" s="322" t="s">
        <v>282</v>
      </c>
      <c r="N854" s="322" t="s">
        <v>282</v>
      </c>
      <c r="O854" s="323" t="s">
        <v>282</v>
      </c>
      <c r="P854" s="323" t="s">
        <v>282</v>
      </c>
      <c r="Q854" s="323" t="s">
        <v>282</v>
      </c>
      <c r="R854" s="323" t="s">
        <v>282</v>
      </c>
      <c r="S854" s="323" t="s">
        <v>282</v>
      </c>
      <c r="T854" s="323" t="s">
        <v>282</v>
      </c>
      <c r="U854" s="323" t="s">
        <v>282</v>
      </c>
      <c r="V854" s="323" t="s">
        <v>282</v>
      </c>
      <c r="W854" s="324" t="s">
        <v>282</v>
      </c>
      <c r="X854" s="324" t="s">
        <v>282</v>
      </c>
      <c r="Y854" s="325" t="s">
        <v>282</v>
      </c>
    </row>
    <row r="855" spans="1:25">
      <c r="A855" s="319">
        <v>16</v>
      </c>
      <c r="B855" s="320" t="str">
        <f>VLOOKUP(Tabel10[[#This Row],[Code]],Ruimtegroepen[[Code]:[Ruimte omschrijving]],2,FALSE)</f>
        <v>Leslokalen</v>
      </c>
      <c r="C855" s="321" t="s">
        <v>992</v>
      </c>
      <c r="D855" s="320" t="s">
        <v>12</v>
      </c>
      <c r="E855" s="321" t="s">
        <v>1306</v>
      </c>
      <c r="F855" s="321" t="s">
        <v>1435</v>
      </c>
      <c r="G855" s="326" t="s">
        <v>282</v>
      </c>
      <c r="H855" s="322" t="s">
        <v>282</v>
      </c>
      <c r="I855" s="322" t="s">
        <v>17</v>
      </c>
      <c r="J855" s="322" t="s">
        <v>15</v>
      </c>
      <c r="K855" s="322" t="s">
        <v>16</v>
      </c>
      <c r="L855" s="322" t="s">
        <v>282</v>
      </c>
      <c r="M855" s="322" t="s">
        <v>282</v>
      </c>
      <c r="N855" s="322" t="s">
        <v>282</v>
      </c>
      <c r="O855" s="323" t="s">
        <v>18</v>
      </c>
      <c r="P855" s="323" t="s">
        <v>18</v>
      </c>
      <c r="Q855" s="323" t="s">
        <v>15</v>
      </c>
      <c r="R855" s="323" t="s">
        <v>15</v>
      </c>
      <c r="S855" s="323" t="s">
        <v>16</v>
      </c>
      <c r="T855" s="323" t="s">
        <v>329</v>
      </c>
      <c r="U855" s="323" t="s">
        <v>249</v>
      </c>
      <c r="V855" s="323" t="s">
        <v>282</v>
      </c>
      <c r="W855" s="324" t="s">
        <v>282</v>
      </c>
      <c r="X855" s="324" t="s">
        <v>282</v>
      </c>
      <c r="Y855" s="325" t="s">
        <v>282</v>
      </c>
    </row>
    <row r="856" spans="1:25">
      <c r="A856" s="319">
        <v>16</v>
      </c>
      <c r="B856" s="320" t="str">
        <f>VLOOKUP(Tabel10[[#This Row],[Code]],Ruimtegroepen[[Code]:[Ruimte omschrijving]],2,FALSE)</f>
        <v>Leslokalen</v>
      </c>
      <c r="C856" s="321" t="s">
        <v>997</v>
      </c>
      <c r="D856" s="320" t="s">
        <v>14</v>
      </c>
      <c r="E856" s="321" t="s">
        <v>100</v>
      </c>
      <c r="F856" s="321" t="s">
        <v>998</v>
      </c>
      <c r="G856" s="326" t="s">
        <v>282</v>
      </c>
      <c r="H856" s="322" t="s">
        <v>282</v>
      </c>
      <c r="I856" s="322" t="s">
        <v>282</v>
      </c>
      <c r="J856" s="322" t="s">
        <v>17</v>
      </c>
      <c r="K856" s="322" t="s">
        <v>282</v>
      </c>
      <c r="L856" s="322" t="s">
        <v>282</v>
      </c>
      <c r="M856" s="322" t="s">
        <v>282</v>
      </c>
      <c r="N856" s="322" t="s">
        <v>282</v>
      </c>
      <c r="O856" s="323" t="s">
        <v>17</v>
      </c>
      <c r="P856" s="323" t="s">
        <v>17</v>
      </c>
      <c r="Q856" s="323" t="s">
        <v>15</v>
      </c>
      <c r="R856" s="323" t="s">
        <v>15</v>
      </c>
      <c r="S856" s="323" t="s">
        <v>16</v>
      </c>
      <c r="T856" s="323" t="s">
        <v>329</v>
      </c>
      <c r="U856" s="323" t="s">
        <v>249</v>
      </c>
      <c r="V856" s="323" t="s">
        <v>282</v>
      </c>
      <c r="W856" s="324" t="s">
        <v>282</v>
      </c>
      <c r="X856" s="324" t="s">
        <v>282</v>
      </c>
      <c r="Y856" s="325" t="s">
        <v>282</v>
      </c>
    </row>
    <row r="857" spans="1:25">
      <c r="A857" s="319">
        <v>16</v>
      </c>
      <c r="B857" s="320" t="str">
        <f>VLOOKUP(Tabel10[[#This Row],[Code]],Ruimtegroepen[[Code]:[Ruimte omschrijving]],2,FALSE)</f>
        <v>Leslokalen</v>
      </c>
      <c r="C857" s="321" t="s">
        <v>997</v>
      </c>
      <c r="D857" s="320" t="s">
        <v>14</v>
      </c>
      <c r="E857" s="321" t="s">
        <v>99</v>
      </c>
      <c r="F857" s="321" t="s">
        <v>999</v>
      </c>
      <c r="G857" s="322" t="s">
        <v>15</v>
      </c>
      <c r="H857" s="322" t="s">
        <v>15</v>
      </c>
      <c r="I857" s="322" t="s">
        <v>282</v>
      </c>
      <c r="J857" s="322" t="s">
        <v>282</v>
      </c>
      <c r="K857" s="322" t="s">
        <v>282</v>
      </c>
      <c r="L857" s="322" t="s">
        <v>282</v>
      </c>
      <c r="M857" s="322" t="s">
        <v>282</v>
      </c>
      <c r="N857" s="322" t="s">
        <v>282</v>
      </c>
      <c r="O857" s="323" t="s">
        <v>17</v>
      </c>
      <c r="P857" s="323" t="s">
        <v>17</v>
      </c>
      <c r="Q857" s="323" t="s">
        <v>15</v>
      </c>
      <c r="R857" s="323" t="s">
        <v>15</v>
      </c>
      <c r="S857" s="323" t="s">
        <v>16</v>
      </c>
      <c r="T857" s="323" t="s">
        <v>329</v>
      </c>
      <c r="U857" s="323" t="s">
        <v>249</v>
      </c>
      <c r="V857" s="323" t="s">
        <v>282</v>
      </c>
      <c r="W857" s="324" t="s">
        <v>282</v>
      </c>
      <c r="X857" s="324" t="s">
        <v>282</v>
      </c>
      <c r="Y857" s="325" t="s">
        <v>282</v>
      </c>
    </row>
    <row r="858" spans="1:25">
      <c r="A858" s="319">
        <v>16</v>
      </c>
      <c r="B858" s="320" t="str">
        <f>VLOOKUP(Tabel10[[#This Row],[Code]],Ruimtegroepen[[Code]:[Ruimte omschrijving]],2,FALSE)</f>
        <v>Leslokalen</v>
      </c>
      <c r="C858" s="321" t="s">
        <v>997</v>
      </c>
      <c r="D858" s="320" t="s">
        <v>14</v>
      </c>
      <c r="E858" s="321" t="s">
        <v>101</v>
      </c>
      <c r="F858" s="321" t="s">
        <v>1000</v>
      </c>
      <c r="G858" s="326" t="s">
        <v>282</v>
      </c>
      <c r="H858" s="322" t="s">
        <v>282</v>
      </c>
      <c r="I858" s="322" t="s">
        <v>282</v>
      </c>
      <c r="J858" s="322" t="s">
        <v>17</v>
      </c>
      <c r="K858" s="322" t="s">
        <v>16</v>
      </c>
      <c r="L858" s="322" t="s">
        <v>282</v>
      </c>
      <c r="M858" s="322" t="s">
        <v>282</v>
      </c>
      <c r="N858" s="322" t="s">
        <v>282</v>
      </c>
      <c r="O858" s="323" t="s">
        <v>17</v>
      </c>
      <c r="P858" s="323" t="s">
        <v>17</v>
      </c>
      <c r="Q858" s="323" t="s">
        <v>15</v>
      </c>
      <c r="R858" s="323" t="s">
        <v>15</v>
      </c>
      <c r="S858" s="323" t="s">
        <v>16</v>
      </c>
      <c r="T858" s="323" t="s">
        <v>329</v>
      </c>
      <c r="U858" s="323" t="s">
        <v>249</v>
      </c>
      <c r="V858" s="323" t="s">
        <v>282</v>
      </c>
      <c r="W858" s="324" t="s">
        <v>282</v>
      </c>
      <c r="X858" s="324" t="s">
        <v>282</v>
      </c>
      <c r="Y858" s="325" t="s">
        <v>282</v>
      </c>
    </row>
    <row r="859" spans="1:25">
      <c r="A859" s="319">
        <v>16</v>
      </c>
      <c r="B859" s="320" t="str">
        <f>VLOOKUP(Tabel10[[#This Row],[Code]],Ruimtegroepen[[Code]:[Ruimte omschrijving]],2,FALSE)</f>
        <v>Leslokalen</v>
      </c>
      <c r="C859" s="321" t="s">
        <v>997</v>
      </c>
      <c r="D859" s="320" t="s">
        <v>14</v>
      </c>
      <c r="E859" s="321" t="s">
        <v>102</v>
      </c>
      <c r="F859" s="321" t="s">
        <v>1001</v>
      </c>
      <c r="G859" s="326" t="s">
        <v>282</v>
      </c>
      <c r="H859" s="322" t="s">
        <v>282</v>
      </c>
      <c r="I859" s="322" t="s">
        <v>282</v>
      </c>
      <c r="J859" s="322" t="s">
        <v>17</v>
      </c>
      <c r="K859" s="322" t="s">
        <v>16</v>
      </c>
      <c r="L859" s="322" t="s">
        <v>282</v>
      </c>
      <c r="M859" s="322" t="s">
        <v>282</v>
      </c>
      <c r="N859" s="322" t="s">
        <v>282</v>
      </c>
      <c r="O859" s="323" t="s">
        <v>17</v>
      </c>
      <c r="P859" s="323" t="s">
        <v>17</v>
      </c>
      <c r="Q859" s="323" t="s">
        <v>15</v>
      </c>
      <c r="R859" s="323" t="s">
        <v>15</v>
      </c>
      <c r="S859" s="323" t="s">
        <v>16</v>
      </c>
      <c r="T859" s="323" t="s">
        <v>329</v>
      </c>
      <c r="U859" s="323" t="s">
        <v>249</v>
      </c>
      <c r="V859" s="323" t="s">
        <v>282</v>
      </c>
      <c r="W859" s="324" t="s">
        <v>282</v>
      </c>
      <c r="X859" s="324" t="s">
        <v>282</v>
      </c>
      <c r="Y859" s="325" t="s">
        <v>282</v>
      </c>
    </row>
    <row r="860" spans="1:25">
      <c r="A860" s="319">
        <v>16</v>
      </c>
      <c r="B860" s="320" t="str">
        <f>VLOOKUP(Tabel10[[#This Row],[Code]],Ruimtegroepen[[Code]:[Ruimte omschrijving]],2,FALSE)</f>
        <v>Leslokalen</v>
      </c>
      <c r="C860" s="321" t="s">
        <v>997</v>
      </c>
      <c r="D860" s="320" t="s">
        <v>14</v>
      </c>
      <c r="E860" s="321" t="s">
        <v>99</v>
      </c>
      <c r="F860" s="321" t="s">
        <v>999</v>
      </c>
      <c r="G860" s="322" t="s">
        <v>15</v>
      </c>
      <c r="H860" s="322" t="s">
        <v>15</v>
      </c>
      <c r="I860" s="322" t="s">
        <v>282</v>
      </c>
      <c r="J860" s="322" t="s">
        <v>282</v>
      </c>
      <c r="K860" s="322" t="s">
        <v>282</v>
      </c>
      <c r="L860" s="322" t="s">
        <v>282</v>
      </c>
      <c r="M860" s="322" t="s">
        <v>282</v>
      </c>
      <c r="N860" s="322" t="s">
        <v>282</v>
      </c>
      <c r="O860" s="323" t="s">
        <v>282</v>
      </c>
      <c r="P860" s="323" t="s">
        <v>282</v>
      </c>
      <c r="Q860" s="323" t="s">
        <v>282</v>
      </c>
      <c r="R860" s="323" t="s">
        <v>282</v>
      </c>
      <c r="S860" s="323" t="s">
        <v>282</v>
      </c>
      <c r="T860" s="323" t="s">
        <v>282</v>
      </c>
      <c r="U860" s="323" t="s">
        <v>282</v>
      </c>
      <c r="V860" s="323" t="s">
        <v>282</v>
      </c>
      <c r="W860" s="324" t="s">
        <v>282</v>
      </c>
      <c r="X860" s="324" t="s">
        <v>282</v>
      </c>
      <c r="Y860" s="325" t="s">
        <v>282</v>
      </c>
    </row>
    <row r="861" spans="1:25">
      <c r="A861" s="319">
        <v>16</v>
      </c>
      <c r="B861" s="320" t="str">
        <f>VLOOKUP(Tabel10[[#This Row],[Code]],Ruimtegroepen[[Code]:[Ruimte omschrijving]],2,FALSE)</f>
        <v>Leslokalen</v>
      </c>
      <c r="C861" s="321" t="s">
        <v>997</v>
      </c>
      <c r="D861" s="320" t="s">
        <v>14</v>
      </c>
      <c r="E861" s="321" t="s">
        <v>1306</v>
      </c>
      <c r="F861" s="321" t="s">
        <v>1402</v>
      </c>
      <c r="G861" s="326" t="s">
        <v>282</v>
      </c>
      <c r="H861" s="322" t="s">
        <v>282</v>
      </c>
      <c r="I861" s="322" t="s">
        <v>282</v>
      </c>
      <c r="J861" s="322" t="s">
        <v>17</v>
      </c>
      <c r="K861" s="322" t="s">
        <v>16</v>
      </c>
      <c r="L861" s="322" t="s">
        <v>282</v>
      </c>
      <c r="M861" s="322" t="s">
        <v>282</v>
      </c>
      <c r="N861" s="322" t="s">
        <v>282</v>
      </c>
      <c r="O861" s="323" t="s">
        <v>17</v>
      </c>
      <c r="P861" s="323" t="s">
        <v>17</v>
      </c>
      <c r="Q861" s="323" t="s">
        <v>15</v>
      </c>
      <c r="R861" s="323" t="s">
        <v>15</v>
      </c>
      <c r="S861" s="323" t="s">
        <v>16</v>
      </c>
      <c r="T861" s="323" t="s">
        <v>329</v>
      </c>
      <c r="U861" s="323" t="s">
        <v>249</v>
      </c>
      <c r="V861" s="323" t="s">
        <v>282</v>
      </c>
      <c r="W861" s="324" t="s">
        <v>282</v>
      </c>
      <c r="X861" s="324" t="s">
        <v>282</v>
      </c>
      <c r="Y861" s="325" t="s">
        <v>282</v>
      </c>
    </row>
    <row r="862" spans="1:25">
      <c r="A862" s="319">
        <v>16</v>
      </c>
      <c r="B862" s="320" t="str">
        <f>VLOOKUP(Tabel10[[#This Row],[Code]],Ruimtegroepen[[Code]:[Ruimte omschrijving]],2,FALSE)</f>
        <v>Leslokalen</v>
      </c>
      <c r="C862" s="321" t="s">
        <v>1002</v>
      </c>
      <c r="D862" s="320" t="s">
        <v>13</v>
      </c>
      <c r="E862" s="321" t="s">
        <v>100</v>
      </c>
      <c r="F862" s="321" t="s">
        <v>1003</v>
      </c>
      <c r="G862" s="326" t="s">
        <v>282</v>
      </c>
      <c r="H862" s="322" t="s">
        <v>282</v>
      </c>
      <c r="I862" s="322" t="s">
        <v>282</v>
      </c>
      <c r="J862" s="322" t="s">
        <v>15</v>
      </c>
      <c r="K862" s="322" t="s">
        <v>282</v>
      </c>
      <c r="L862" s="322" t="s">
        <v>282</v>
      </c>
      <c r="M862" s="322" t="s">
        <v>282</v>
      </c>
      <c r="N862" s="322" t="s">
        <v>282</v>
      </c>
      <c r="O862" s="323" t="s">
        <v>15</v>
      </c>
      <c r="P862" s="323" t="s">
        <v>15</v>
      </c>
      <c r="Q862" s="323" t="s">
        <v>15</v>
      </c>
      <c r="R862" s="323" t="s">
        <v>15</v>
      </c>
      <c r="S862" s="323" t="s">
        <v>16</v>
      </c>
      <c r="T862" s="323" t="s">
        <v>329</v>
      </c>
      <c r="U862" s="323" t="s">
        <v>249</v>
      </c>
      <c r="V862" s="323" t="s">
        <v>282</v>
      </c>
      <c r="W862" s="324" t="s">
        <v>282</v>
      </c>
      <c r="X862" s="324" t="s">
        <v>282</v>
      </c>
      <c r="Y862" s="325" t="s">
        <v>282</v>
      </c>
    </row>
    <row r="863" spans="1:25">
      <c r="A863" s="319">
        <v>16</v>
      </c>
      <c r="B863" s="320" t="str">
        <f>VLOOKUP(Tabel10[[#This Row],[Code]],Ruimtegroepen[[Code]:[Ruimte omschrijving]],2,FALSE)</f>
        <v>Leslokalen</v>
      </c>
      <c r="C863" s="321" t="s">
        <v>1002</v>
      </c>
      <c r="D863" s="320" t="s">
        <v>13</v>
      </c>
      <c r="E863" s="321" t="s">
        <v>99</v>
      </c>
      <c r="F863" s="321" t="s">
        <v>1004</v>
      </c>
      <c r="G863" s="326" t="s">
        <v>282</v>
      </c>
      <c r="H863" s="322" t="s">
        <v>15</v>
      </c>
      <c r="I863" s="322" t="s">
        <v>282</v>
      </c>
      <c r="J863" s="322" t="s">
        <v>282</v>
      </c>
      <c r="K863" s="322" t="s">
        <v>282</v>
      </c>
      <c r="L863" s="322" t="s">
        <v>282</v>
      </c>
      <c r="M863" s="322" t="s">
        <v>282</v>
      </c>
      <c r="N863" s="322" t="s">
        <v>282</v>
      </c>
      <c r="O863" s="323" t="s">
        <v>15</v>
      </c>
      <c r="P863" s="323" t="s">
        <v>15</v>
      </c>
      <c r="Q863" s="323" t="s">
        <v>15</v>
      </c>
      <c r="R863" s="323" t="s">
        <v>15</v>
      </c>
      <c r="S863" s="323" t="s">
        <v>16</v>
      </c>
      <c r="T863" s="323" t="s">
        <v>329</v>
      </c>
      <c r="U863" s="323" t="s">
        <v>249</v>
      </c>
      <c r="V863" s="323" t="s">
        <v>282</v>
      </c>
      <c r="W863" s="324" t="s">
        <v>282</v>
      </c>
      <c r="X863" s="324" t="s">
        <v>282</v>
      </c>
      <c r="Y863" s="325" t="s">
        <v>282</v>
      </c>
    </row>
    <row r="864" spans="1:25">
      <c r="A864" s="319">
        <v>16</v>
      </c>
      <c r="B864" s="320" t="str">
        <f>VLOOKUP(Tabel10[[#This Row],[Code]],Ruimtegroepen[[Code]:[Ruimte omschrijving]],2,FALSE)</f>
        <v>Leslokalen</v>
      </c>
      <c r="C864" s="321" t="s">
        <v>1002</v>
      </c>
      <c r="D864" s="320" t="s">
        <v>13</v>
      </c>
      <c r="E864" s="321" t="s">
        <v>101</v>
      </c>
      <c r="F864" s="321" t="s">
        <v>1005</v>
      </c>
      <c r="G864" s="326" t="s">
        <v>282</v>
      </c>
      <c r="H864" s="322" t="s">
        <v>282</v>
      </c>
      <c r="I864" s="322" t="s">
        <v>282</v>
      </c>
      <c r="J864" s="322" t="s">
        <v>15</v>
      </c>
      <c r="K864" s="322" t="s">
        <v>16</v>
      </c>
      <c r="L864" s="322" t="s">
        <v>282</v>
      </c>
      <c r="M864" s="322" t="s">
        <v>282</v>
      </c>
      <c r="N864" s="322" t="s">
        <v>282</v>
      </c>
      <c r="O864" s="323" t="s">
        <v>15</v>
      </c>
      <c r="P864" s="323" t="s">
        <v>15</v>
      </c>
      <c r="Q864" s="323" t="s">
        <v>15</v>
      </c>
      <c r="R864" s="323" t="s">
        <v>15</v>
      </c>
      <c r="S864" s="323" t="s">
        <v>16</v>
      </c>
      <c r="T864" s="323" t="s">
        <v>329</v>
      </c>
      <c r="U864" s="323" t="s">
        <v>249</v>
      </c>
      <c r="V864" s="323" t="s">
        <v>282</v>
      </c>
      <c r="W864" s="324" t="s">
        <v>282</v>
      </c>
      <c r="X864" s="324" t="s">
        <v>282</v>
      </c>
      <c r="Y864" s="325" t="s">
        <v>282</v>
      </c>
    </row>
    <row r="865" spans="1:25">
      <c r="A865" s="319">
        <v>16</v>
      </c>
      <c r="B865" s="320" t="str">
        <f>VLOOKUP(Tabel10[[#This Row],[Code]],Ruimtegroepen[[Code]:[Ruimte omschrijving]],2,FALSE)</f>
        <v>Leslokalen</v>
      </c>
      <c r="C865" s="321" t="s">
        <v>1002</v>
      </c>
      <c r="D865" s="320" t="s">
        <v>13</v>
      </c>
      <c r="E865" s="321" t="s">
        <v>102</v>
      </c>
      <c r="F865" s="321" t="s">
        <v>1006</v>
      </c>
      <c r="G865" s="326" t="s">
        <v>282</v>
      </c>
      <c r="H865" s="322" t="s">
        <v>282</v>
      </c>
      <c r="I865" s="322" t="s">
        <v>282</v>
      </c>
      <c r="J865" s="322" t="s">
        <v>15</v>
      </c>
      <c r="K865" s="322" t="s">
        <v>16</v>
      </c>
      <c r="L865" s="322" t="s">
        <v>282</v>
      </c>
      <c r="M865" s="322" t="s">
        <v>282</v>
      </c>
      <c r="N865" s="322" t="s">
        <v>282</v>
      </c>
      <c r="O865" s="323" t="s">
        <v>15</v>
      </c>
      <c r="P865" s="323" t="s">
        <v>15</v>
      </c>
      <c r="Q865" s="323" t="s">
        <v>15</v>
      </c>
      <c r="R865" s="323" t="s">
        <v>15</v>
      </c>
      <c r="S865" s="323" t="s">
        <v>16</v>
      </c>
      <c r="T865" s="323" t="s">
        <v>329</v>
      </c>
      <c r="U865" s="323" t="s">
        <v>249</v>
      </c>
      <c r="V865" s="323" t="s">
        <v>282</v>
      </c>
      <c r="W865" s="324" t="s">
        <v>282</v>
      </c>
      <c r="X865" s="324" t="s">
        <v>282</v>
      </c>
      <c r="Y865" s="325" t="s">
        <v>282</v>
      </c>
    </row>
    <row r="866" spans="1:25">
      <c r="A866" s="319">
        <v>16</v>
      </c>
      <c r="B866" s="320" t="str">
        <f>VLOOKUP(Tabel10[[#This Row],[Code]],Ruimtegroepen[[Code]:[Ruimte omschrijving]],2,FALSE)</f>
        <v>Leslokalen</v>
      </c>
      <c r="C866" s="321" t="s">
        <v>1002</v>
      </c>
      <c r="D866" s="320" t="s">
        <v>13</v>
      </c>
      <c r="E866" s="321" t="s">
        <v>99</v>
      </c>
      <c r="F866" s="321" t="s">
        <v>1004</v>
      </c>
      <c r="G866" s="326" t="s">
        <v>282</v>
      </c>
      <c r="H866" s="322" t="s">
        <v>15</v>
      </c>
      <c r="I866" s="322" t="s">
        <v>282</v>
      </c>
      <c r="J866" s="322" t="s">
        <v>282</v>
      </c>
      <c r="K866" s="322" t="s">
        <v>282</v>
      </c>
      <c r="L866" s="322" t="s">
        <v>282</v>
      </c>
      <c r="M866" s="322" t="s">
        <v>282</v>
      </c>
      <c r="N866" s="322" t="s">
        <v>282</v>
      </c>
      <c r="O866" s="323" t="s">
        <v>282</v>
      </c>
      <c r="P866" s="323" t="s">
        <v>282</v>
      </c>
      <c r="Q866" s="323" t="s">
        <v>282</v>
      </c>
      <c r="R866" s="323" t="s">
        <v>282</v>
      </c>
      <c r="S866" s="323" t="s">
        <v>282</v>
      </c>
      <c r="T866" s="323" t="s">
        <v>282</v>
      </c>
      <c r="U866" s="323" t="s">
        <v>282</v>
      </c>
      <c r="V866" s="323" t="s">
        <v>282</v>
      </c>
      <c r="W866" s="324" t="s">
        <v>282</v>
      </c>
      <c r="X866" s="324" t="s">
        <v>282</v>
      </c>
      <c r="Y866" s="325" t="s">
        <v>282</v>
      </c>
    </row>
    <row r="867" spans="1:25">
      <c r="A867" s="319">
        <v>16</v>
      </c>
      <c r="B867" s="320" t="str">
        <f>VLOOKUP(Tabel10[[#This Row],[Code]],Ruimtegroepen[[Code]:[Ruimte omschrijving]],2,FALSE)</f>
        <v>Leslokalen</v>
      </c>
      <c r="C867" s="321" t="s">
        <v>1002</v>
      </c>
      <c r="D867" s="320" t="s">
        <v>13</v>
      </c>
      <c r="E867" s="321" t="s">
        <v>1306</v>
      </c>
      <c r="F867" s="321" t="s">
        <v>1369</v>
      </c>
      <c r="G867" s="326" t="s">
        <v>282</v>
      </c>
      <c r="H867" s="322" t="s">
        <v>282</v>
      </c>
      <c r="I867" s="322" t="s">
        <v>282</v>
      </c>
      <c r="J867" s="322" t="s">
        <v>15</v>
      </c>
      <c r="K867" s="322" t="s">
        <v>16</v>
      </c>
      <c r="L867" s="322" t="s">
        <v>282</v>
      </c>
      <c r="M867" s="322" t="s">
        <v>282</v>
      </c>
      <c r="N867" s="322" t="s">
        <v>282</v>
      </c>
      <c r="O867" s="323" t="s">
        <v>15</v>
      </c>
      <c r="P867" s="323" t="s">
        <v>15</v>
      </c>
      <c r="Q867" s="323" t="s">
        <v>15</v>
      </c>
      <c r="R867" s="323" t="s">
        <v>15</v>
      </c>
      <c r="S867" s="323" t="s">
        <v>16</v>
      </c>
      <c r="T867" s="323" t="s">
        <v>329</v>
      </c>
      <c r="U867" s="323" t="s">
        <v>249</v>
      </c>
      <c r="V867" s="323" t="s">
        <v>282</v>
      </c>
      <c r="W867" s="324" t="s">
        <v>282</v>
      </c>
      <c r="X867" s="324" t="s">
        <v>282</v>
      </c>
      <c r="Y867" s="325" t="s">
        <v>282</v>
      </c>
    </row>
    <row r="868" spans="1:25">
      <c r="A868" s="319">
        <v>16</v>
      </c>
      <c r="B868" s="320" t="str">
        <f>VLOOKUP(Tabel10[[#This Row],[Code]],Ruimtegroepen[[Code]:[Ruimte omschrijving]],2,FALSE)</f>
        <v>Leslokalen</v>
      </c>
      <c r="C868" s="321" t="s">
        <v>1007</v>
      </c>
      <c r="D868" s="320" t="s">
        <v>0</v>
      </c>
      <c r="E868" s="321" t="s">
        <v>100</v>
      </c>
      <c r="F868" s="321" t="s">
        <v>1008</v>
      </c>
      <c r="G868" s="326" t="s">
        <v>282</v>
      </c>
      <c r="H868" s="322" t="s">
        <v>282</v>
      </c>
      <c r="I868" s="322" t="s">
        <v>16</v>
      </c>
      <c r="J868" s="322" t="s">
        <v>282</v>
      </c>
      <c r="K868" s="322" t="s">
        <v>282</v>
      </c>
      <c r="L868" s="322" t="s">
        <v>282</v>
      </c>
      <c r="M868" s="322" t="s">
        <v>282</v>
      </c>
      <c r="N868" s="322" t="s">
        <v>282</v>
      </c>
      <c r="O868" s="323" t="s">
        <v>16</v>
      </c>
      <c r="P868" s="323" t="s">
        <v>16</v>
      </c>
      <c r="Q868" s="323" t="s">
        <v>16</v>
      </c>
      <c r="R868" s="323" t="s">
        <v>16</v>
      </c>
      <c r="S868" s="323" t="s">
        <v>16</v>
      </c>
      <c r="T868" s="323" t="s">
        <v>329</v>
      </c>
      <c r="U868" s="323" t="s">
        <v>249</v>
      </c>
      <c r="V868" s="323" t="s">
        <v>282</v>
      </c>
      <c r="W868" s="324" t="s">
        <v>282</v>
      </c>
      <c r="X868" s="324" t="s">
        <v>282</v>
      </c>
      <c r="Y868" s="325" t="s">
        <v>282</v>
      </c>
    </row>
    <row r="869" spans="1:25">
      <c r="A869" s="319">
        <v>16</v>
      </c>
      <c r="B869" s="320" t="str">
        <f>VLOOKUP(Tabel10[[#This Row],[Code]],Ruimtegroepen[[Code]:[Ruimte omschrijving]],2,FALSE)</f>
        <v>Leslokalen</v>
      </c>
      <c r="C869" s="321" t="s">
        <v>1007</v>
      </c>
      <c r="D869" s="320" t="s">
        <v>0</v>
      </c>
      <c r="E869" s="321" t="s">
        <v>99</v>
      </c>
      <c r="F869" s="321" t="s">
        <v>1009</v>
      </c>
      <c r="G869" s="326" t="s">
        <v>282</v>
      </c>
      <c r="H869" s="322" t="s">
        <v>16</v>
      </c>
      <c r="I869" s="322" t="s">
        <v>282</v>
      </c>
      <c r="J869" s="322" t="s">
        <v>282</v>
      </c>
      <c r="K869" s="322" t="s">
        <v>282</v>
      </c>
      <c r="L869" s="322" t="s">
        <v>282</v>
      </c>
      <c r="M869" s="322" t="s">
        <v>282</v>
      </c>
      <c r="N869" s="322" t="s">
        <v>282</v>
      </c>
      <c r="O869" s="323" t="s">
        <v>16</v>
      </c>
      <c r="P869" s="323" t="s">
        <v>16</v>
      </c>
      <c r="Q869" s="323" t="s">
        <v>16</v>
      </c>
      <c r="R869" s="323" t="s">
        <v>16</v>
      </c>
      <c r="S869" s="323" t="s">
        <v>16</v>
      </c>
      <c r="T869" s="323" t="s">
        <v>329</v>
      </c>
      <c r="U869" s="323" t="s">
        <v>249</v>
      </c>
      <c r="V869" s="323" t="s">
        <v>282</v>
      </c>
      <c r="W869" s="324" t="s">
        <v>282</v>
      </c>
      <c r="X869" s="324" t="s">
        <v>282</v>
      </c>
      <c r="Y869" s="325" t="s">
        <v>282</v>
      </c>
    </row>
    <row r="870" spans="1:25">
      <c r="A870" s="319">
        <v>16</v>
      </c>
      <c r="B870" s="320" t="str">
        <f>VLOOKUP(Tabel10[[#This Row],[Code]],Ruimtegroepen[[Code]:[Ruimte omschrijving]],2,FALSE)</f>
        <v>Leslokalen</v>
      </c>
      <c r="C870" s="321" t="s">
        <v>1007</v>
      </c>
      <c r="D870" s="320" t="s">
        <v>0</v>
      </c>
      <c r="E870" s="321" t="s">
        <v>101</v>
      </c>
      <c r="F870" s="321" t="s">
        <v>1010</v>
      </c>
      <c r="G870" s="326" t="s">
        <v>282</v>
      </c>
      <c r="H870" s="322" t="s">
        <v>282</v>
      </c>
      <c r="I870" s="322" t="s">
        <v>282</v>
      </c>
      <c r="J870" s="322" t="s">
        <v>361</v>
      </c>
      <c r="K870" s="322" t="s">
        <v>16</v>
      </c>
      <c r="L870" s="322" t="s">
        <v>282</v>
      </c>
      <c r="M870" s="322" t="s">
        <v>282</v>
      </c>
      <c r="N870" s="322" t="s">
        <v>282</v>
      </c>
      <c r="O870" s="323" t="s">
        <v>16</v>
      </c>
      <c r="P870" s="323" t="s">
        <v>16</v>
      </c>
      <c r="Q870" s="323" t="s">
        <v>16</v>
      </c>
      <c r="R870" s="323" t="s">
        <v>16</v>
      </c>
      <c r="S870" s="323" t="s">
        <v>16</v>
      </c>
      <c r="T870" s="323" t="s">
        <v>329</v>
      </c>
      <c r="U870" s="323" t="s">
        <v>249</v>
      </c>
      <c r="V870" s="323" t="s">
        <v>282</v>
      </c>
      <c r="W870" s="324" t="s">
        <v>282</v>
      </c>
      <c r="X870" s="324" t="s">
        <v>282</v>
      </c>
      <c r="Y870" s="325" t="s">
        <v>282</v>
      </c>
    </row>
    <row r="871" spans="1:25">
      <c r="A871" s="319">
        <v>16</v>
      </c>
      <c r="B871" s="320" t="str">
        <f>VLOOKUP(Tabel10[[#This Row],[Code]],Ruimtegroepen[[Code]:[Ruimte omschrijving]],2,FALSE)</f>
        <v>Leslokalen</v>
      </c>
      <c r="C871" s="321" t="s">
        <v>1007</v>
      </c>
      <c r="D871" s="320" t="s">
        <v>0</v>
      </c>
      <c r="E871" s="321" t="s">
        <v>102</v>
      </c>
      <c r="F871" s="321" t="s">
        <v>1011</v>
      </c>
      <c r="G871" s="326" t="s">
        <v>282</v>
      </c>
      <c r="H871" s="322" t="s">
        <v>282</v>
      </c>
      <c r="I871" s="322" t="s">
        <v>16</v>
      </c>
      <c r="J871" s="322" t="s">
        <v>282</v>
      </c>
      <c r="K871" s="322" t="s">
        <v>16</v>
      </c>
      <c r="L871" s="322" t="s">
        <v>282</v>
      </c>
      <c r="M871" s="322" t="s">
        <v>282</v>
      </c>
      <c r="N871" s="322" t="s">
        <v>282</v>
      </c>
      <c r="O871" s="323" t="s">
        <v>16</v>
      </c>
      <c r="P871" s="323" t="s">
        <v>16</v>
      </c>
      <c r="Q871" s="323" t="s">
        <v>16</v>
      </c>
      <c r="R871" s="323" t="s">
        <v>16</v>
      </c>
      <c r="S871" s="323" t="s">
        <v>16</v>
      </c>
      <c r="T871" s="323" t="s">
        <v>329</v>
      </c>
      <c r="U871" s="323" t="s">
        <v>249</v>
      </c>
      <c r="V871" s="323" t="s">
        <v>282</v>
      </c>
      <c r="W871" s="324" t="s">
        <v>282</v>
      </c>
      <c r="X871" s="324" t="s">
        <v>282</v>
      </c>
      <c r="Y871" s="325" t="s">
        <v>282</v>
      </c>
    </row>
    <row r="872" spans="1:25">
      <c r="A872" s="319">
        <v>16</v>
      </c>
      <c r="B872" s="320" t="str">
        <f>VLOOKUP(Tabel10[[#This Row],[Code]],Ruimtegroepen[[Code]:[Ruimte omschrijving]],2,FALSE)</f>
        <v>Leslokalen</v>
      </c>
      <c r="C872" s="321" t="s">
        <v>1007</v>
      </c>
      <c r="D872" s="320" t="s">
        <v>0</v>
      </c>
      <c r="E872" s="321" t="s">
        <v>99</v>
      </c>
      <c r="F872" s="321" t="s">
        <v>1009</v>
      </c>
      <c r="G872" s="326" t="s">
        <v>282</v>
      </c>
      <c r="H872" s="322" t="s">
        <v>16</v>
      </c>
      <c r="I872" s="322" t="s">
        <v>282</v>
      </c>
      <c r="J872" s="322" t="s">
        <v>282</v>
      </c>
      <c r="K872" s="322" t="s">
        <v>282</v>
      </c>
      <c r="L872" s="322" t="s">
        <v>282</v>
      </c>
      <c r="M872" s="322" t="s">
        <v>282</v>
      </c>
      <c r="N872" s="322" t="s">
        <v>282</v>
      </c>
      <c r="O872" s="323" t="s">
        <v>282</v>
      </c>
      <c r="P872" s="323" t="s">
        <v>282</v>
      </c>
      <c r="Q872" s="323" t="s">
        <v>282</v>
      </c>
      <c r="R872" s="323" t="s">
        <v>282</v>
      </c>
      <c r="S872" s="323" t="s">
        <v>282</v>
      </c>
      <c r="T872" s="323" t="s">
        <v>282</v>
      </c>
      <c r="U872" s="323" t="s">
        <v>282</v>
      </c>
      <c r="V872" s="323" t="s">
        <v>282</v>
      </c>
      <c r="W872" s="324" t="s">
        <v>282</v>
      </c>
      <c r="X872" s="324" t="s">
        <v>282</v>
      </c>
      <c r="Y872" s="325" t="s">
        <v>282</v>
      </c>
    </row>
    <row r="873" spans="1:25">
      <c r="A873" s="319">
        <v>16</v>
      </c>
      <c r="B873" s="320" t="str">
        <f>VLOOKUP(Tabel10[[#This Row],[Code]],Ruimtegroepen[[Code]:[Ruimte omschrijving]],2,FALSE)</f>
        <v>Leslokalen</v>
      </c>
      <c r="C873" s="321" t="s">
        <v>1007</v>
      </c>
      <c r="D873" s="320" t="s">
        <v>0</v>
      </c>
      <c r="E873" s="321" t="s">
        <v>1306</v>
      </c>
      <c r="F873" s="321" t="s">
        <v>1353</v>
      </c>
      <c r="G873" s="326" t="s">
        <v>282</v>
      </c>
      <c r="H873" s="322" t="s">
        <v>282</v>
      </c>
      <c r="I873" s="322" t="s">
        <v>16</v>
      </c>
      <c r="J873" s="322" t="s">
        <v>282</v>
      </c>
      <c r="K873" s="322" t="s">
        <v>16</v>
      </c>
      <c r="L873" s="322" t="s">
        <v>282</v>
      </c>
      <c r="M873" s="322" t="s">
        <v>282</v>
      </c>
      <c r="N873" s="322" t="s">
        <v>282</v>
      </c>
      <c r="O873" s="323" t="s">
        <v>16</v>
      </c>
      <c r="P873" s="323" t="s">
        <v>16</v>
      </c>
      <c r="Q873" s="323" t="s">
        <v>16</v>
      </c>
      <c r="R873" s="323" t="s">
        <v>16</v>
      </c>
      <c r="S873" s="323" t="s">
        <v>16</v>
      </c>
      <c r="T873" s="323" t="s">
        <v>329</v>
      </c>
      <c r="U873" s="323" t="s">
        <v>249</v>
      </c>
      <c r="V873" s="323" t="s">
        <v>282</v>
      </c>
      <c r="W873" s="324" t="s">
        <v>282</v>
      </c>
      <c r="X873" s="324" t="s">
        <v>282</v>
      </c>
      <c r="Y873" s="325" t="s">
        <v>282</v>
      </c>
    </row>
    <row r="874" spans="1:25">
      <c r="A874" s="319">
        <v>16</v>
      </c>
      <c r="B874" s="320" t="str">
        <f>VLOOKUP(Tabel10[[#This Row],[Code]],Ruimtegroepen[[Code]:[Ruimte omschrijving]],2,FALSE)</f>
        <v>Leslokalen</v>
      </c>
      <c r="C874" s="321" t="s">
        <v>1012</v>
      </c>
      <c r="D874" s="320" t="s">
        <v>27</v>
      </c>
      <c r="E874" s="321" t="s">
        <v>100</v>
      </c>
      <c r="F874" s="321" t="s">
        <v>1013</v>
      </c>
      <c r="G874" s="326" t="s">
        <v>282</v>
      </c>
      <c r="H874" s="322" t="s">
        <v>282</v>
      </c>
      <c r="I874" s="322" t="s">
        <v>15</v>
      </c>
      <c r="J874" s="322" t="s">
        <v>282</v>
      </c>
      <c r="K874" s="322" t="s">
        <v>282</v>
      </c>
      <c r="L874" s="322" t="s">
        <v>282</v>
      </c>
      <c r="M874" s="322" t="s">
        <v>282</v>
      </c>
      <c r="N874" s="322" t="s">
        <v>282</v>
      </c>
      <c r="O874" s="323" t="s">
        <v>15</v>
      </c>
      <c r="P874" s="323" t="s">
        <v>15</v>
      </c>
      <c r="Q874" s="323" t="s">
        <v>15</v>
      </c>
      <c r="R874" s="323" t="s">
        <v>282</v>
      </c>
      <c r="S874" s="323" t="s">
        <v>282</v>
      </c>
      <c r="T874" s="323" t="s">
        <v>282</v>
      </c>
      <c r="U874" s="323" t="s">
        <v>282</v>
      </c>
      <c r="V874" s="323" t="s">
        <v>282</v>
      </c>
      <c r="W874" s="324" t="s">
        <v>282</v>
      </c>
      <c r="X874" s="324" t="s">
        <v>282</v>
      </c>
      <c r="Y874" s="325" t="s">
        <v>282</v>
      </c>
    </row>
    <row r="875" spans="1:25">
      <c r="A875" s="319">
        <v>16</v>
      </c>
      <c r="B875" s="320" t="str">
        <f>VLOOKUP(Tabel10[[#This Row],[Code]],Ruimtegroepen[[Code]:[Ruimte omschrijving]],2,FALSE)</f>
        <v>Leslokalen</v>
      </c>
      <c r="C875" s="321" t="s">
        <v>1012</v>
      </c>
      <c r="D875" s="320" t="s">
        <v>27</v>
      </c>
      <c r="E875" s="321" t="s">
        <v>99</v>
      </c>
      <c r="F875" s="321" t="s">
        <v>1014</v>
      </c>
      <c r="G875" s="326" t="s">
        <v>282</v>
      </c>
      <c r="H875" s="322" t="s">
        <v>15</v>
      </c>
      <c r="I875" s="322" t="s">
        <v>282</v>
      </c>
      <c r="J875" s="322" t="s">
        <v>282</v>
      </c>
      <c r="K875" s="322" t="s">
        <v>282</v>
      </c>
      <c r="L875" s="322" t="s">
        <v>282</v>
      </c>
      <c r="M875" s="322" t="s">
        <v>282</v>
      </c>
      <c r="N875" s="322" t="s">
        <v>282</v>
      </c>
      <c r="O875" s="323" t="s">
        <v>15</v>
      </c>
      <c r="P875" s="323" t="s">
        <v>15</v>
      </c>
      <c r="Q875" s="323" t="s">
        <v>15</v>
      </c>
      <c r="R875" s="323" t="s">
        <v>282</v>
      </c>
      <c r="S875" s="323" t="s">
        <v>282</v>
      </c>
      <c r="T875" s="323" t="s">
        <v>282</v>
      </c>
      <c r="U875" s="323" t="s">
        <v>282</v>
      </c>
      <c r="V875" s="323" t="s">
        <v>282</v>
      </c>
      <c r="W875" s="324" t="s">
        <v>282</v>
      </c>
      <c r="X875" s="324" t="s">
        <v>282</v>
      </c>
      <c r="Y875" s="325" t="s">
        <v>282</v>
      </c>
    </row>
    <row r="876" spans="1:25">
      <c r="A876" s="319">
        <v>16</v>
      </c>
      <c r="B876" s="320" t="str">
        <f>VLOOKUP(Tabel10[[#This Row],[Code]],Ruimtegroepen[[Code]:[Ruimte omschrijving]],2,FALSE)</f>
        <v>Leslokalen</v>
      </c>
      <c r="C876" s="321" t="s">
        <v>1012</v>
      </c>
      <c r="D876" s="320" t="s">
        <v>27</v>
      </c>
      <c r="E876" s="321" t="s">
        <v>101</v>
      </c>
      <c r="F876" s="321" t="s">
        <v>1015</v>
      </c>
      <c r="G876" s="326" t="s">
        <v>282</v>
      </c>
      <c r="H876" s="322" t="s">
        <v>282</v>
      </c>
      <c r="I876" s="322" t="s">
        <v>15</v>
      </c>
      <c r="J876" s="322" t="s">
        <v>282</v>
      </c>
      <c r="K876" s="322" t="s">
        <v>282</v>
      </c>
      <c r="L876" s="322" t="s">
        <v>282</v>
      </c>
      <c r="M876" s="322" t="s">
        <v>282</v>
      </c>
      <c r="N876" s="322" t="s">
        <v>282</v>
      </c>
      <c r="O876" s="323" t="s">
        <v>15</v>
      </c>
      <c r="P876" s="323" t="s">
        <v>15</v>
      </c>
      <c r="Q876" s="323" t="s">
        <v>15</v>
      </c>
      <c r="R876" s="323" t="s">
        <v>282</v>
      </c>
      <c r="S876" s="323" t="s">
        <v>282</v>
      </c>
      <c r="T876" s="323" t="s">
        <v>282</v>
      </c>
      <c r="U876" s="323" t="s">
        <v>282</v>
      </c>
      <c r="V876" s="323" t="s">
        <v>282</v>
      </c>
      <c r="W876" s="324" t="s">
        <v>282</v>
      </c>
      <c r="X876" s="324" t="s">
        <v>282</v>
      </c>
      <c r="Y876" s="325" t="s">
        <v>282</v>
      </c>
    </row>
    <row r="877" spans="1:25">
      <c r="A877" s="319">
        <v>16</v>
      </c>
      <c r="B877" s="320" t="str">
        <f>VLOOKUP(Tabel10[[#This Row],[Code]],Ruimtegroepen[[Code]:[Ruimte omschrijving]],2,FALSE)</f>
        <v>Leslokalen</v>
      </c>
      <c r="C877" s="321" t="s">
        <v>1012</v>
      </c>
      <c r="D877" s="320" t="s">
        <v>27</v>
      </c>
      <c r="E877" s="321" t="s">
        <v>102</v>
      </c>
      <c r="F877" s="321" t="s">
        <v>1016</v>
      </c>
      <c r="G877" s="326" t="s">
        <v>282</v>
      </c>
      <c r="H877" s="322" t="s">
        <v>282</v>
      </c>
      <c r="I877" s="322" t="s">
        <v>15</v>
      </c>
      <c r="J877" s="322" t="s">
        <v>282</v>
      </c>
      <c r="K877" s="322" t="s">
        <v>282</v>
      </c>
      <c r="L877" s="322" t="s">
        <v>282</v>
      </c>
      <c r="M877" s="322" t="s">
        <v>282</v>
      </c>
      <c r="N877" s="322" t="s">
        <v>282</v>
      </c>
      <c r="O877" s="323" t="s">
        <v>15</v>
      </c>
      <c r="P877" s="323" t="s">
        <v>15</v>
      </c>
      <c r="Q877" s="323" t="s">
        <v>15</v>
      </c>
      <c r="R877" s="323" t="s">
        <v>282</v>
      </c>
      <c r="S877" s="323" t="s">
        <v>282</v>
      </c>
      <c r="T877" s="323" t="s">
        <v>282</v>
      </c>
      <c r="U877" s="323" t="s">
        <v>282</v>
      </c>
      <c r="V877" s="323" t="s">
        <v>282</v>
      </c>
      <c r="W877" s="324" t="s">
        <v>282</v>
      </c>
      <c r="X877" s="324" t="s">
        <v>282</v>
      </c>
      <c r="Y877" s="325" t="s">
        <v>282</v>
      </c>
    </row>
    <row r="878" spans="1:25">
      <c r="A878" s="319">
        <v>16</v>
      </c>
      <c r="B878" s="320" t="str">
        <f>VLOOKUP(Tabel10[[#This Row],[Code]],Ruimtegroepen[[Code]:[Ruimte omschrijving]],2,FALSE)</f>
        <v>Leslokalen</v>
      </c>
      <c r="C878" s="321" t="s">
        <v>1012</v>
      </c>
      <c r="D878" s="320" t="s">
        <v>27</v>
      </c>
      <c r="E878" s="321" t="s">
        <v>99</v>
      </c>
      <c r="F878" s="321" t="s">
        <v>1014</v>
      </c>
      <c r="G878" s="326" t="s">
        <v>282</v>
      </c>
      <c r="H878" s="322" t="s">
        <v>15</v>
      </c>
      <c r="I878" s="322" t="s">
        <v>282</v>
      </c>
      <c r="J878" s="322" t="s">
        <v>282</v>
      </c>
      <c r="K878" s="322" t="s">
        <v>282</v>
      </c>
      <c r="L878" s="322" t="s">
        <v>282</v>
      </c>
      <c r="M878" s="322" t="s">
        <v>282</v>
      </c>
      <c r="N878" s="322" t="s">
        <v>282</v>
      </c>
      <c r="O878" s="323" t="s">
        <v>15</v>
      </c>
      <c r="P878" s="323" t="s">
        <v>15</v>
      </c>
      <c r="Q878" s="323" t="s">
        <v>15</v>
      </c>
      <c r="R878" s="323" t="s">
        <v>282</v>
      </c>
      <c r="S878" s="323" t="s">
        <v>282</v>
      </c>
      <c r="T878" s="323" t="s">
        <v>282</v>
      </c>
      <c r="U878" s="323" t="s">
        <v>282</v>
      </c>
      <c r="V878" s="323" t="s">
        <v>282</v>
      </c>
      <c r="W878" s="324" t="s">
        <v>282</v>
      </c>
      <c r="X878" s="324" t="s">
        <v>282</v>
      </c>
      <c r="Y878" s="325" t="s">
        <v>282</v>
      </c>
    </row>
    <row r="879" spans="1:25">
      <c r="A879" s="319">
        <v>16</v>
      </c>
      <c r="B879" s="320" t="str">
        <f>VLOOKUP(Tabel10[[#This Row],[Code]],Ruimtegroepen[[Code]:[Ruimte omschrijving]],2,FALSE)</f>
        <v>Leslokalen</v>
      </c>
      <c r="C879" s="321" t="s">
        <v>1012</v>
      </c>
      <c r="D879" s="320" t="s">
        <v>27</v>
      </c>
      <c r="E879" s="321" t="s">
        <v>1306</v>
      </c>
      <c r="F879" s="321" t="s">
        <v>1386</v>
      </c>
      <c r="G879" s="326" t="s">
        <v>282</v>
      </c>
      <c r="H879" s="322" t="s">
        <v>282</v>
      </c>
      <c r="I879" s="322" t="s">
        <v>15</v>
      </c>
      <c r="J879" s="322" t="s">
        <v>282</v>
      </c>
      <c r="K879" s="322" t="s">
        <v>282</v>
      </c>
      <c r="L879" s="322" t="s">
        <v>282</v>
      </c>
      <c r="M879" s="322" t="s">
        <v>282</v>
      </c>
      <c r="N879" s="322" t="s">
        <v>282</v>
      </c>
      <c r="O879" s="323" t="s">
        <v>15</v>
      </c>
      <c r="P879" s="323" t="s">
        <v>15</v>
      </c>
      <c r="Q879" s="323" t="s">
        <v>15</v>
      </c>
      <c r="R879" s="323" t="s">
        <v>282</v>
      </c>
      <c r="S879" s="323" t="s">
        <v>282</v>
      </c>
      <c r="T879" s="323" t="s">
        <v>282</v>
      </c>
      <c r="U879" s="323" t="s">
        <v>282</v>
      </c>
      <c r="V879" s="323" t="s">
        <v>282</v>
      </c>
      <c r="W879" s="324" t="s">
        <v>282</v>
      </c>
      <c r="X879" s="324" t="s">
        <v>282</v>
      </c>
      <c r="Y879" s="325" t="s">
        <v>282</v>
      </c>
    </row>
    <row r="880" spans="1:25">
      <c r="A880" s="319">
        <v>16</v>
      </c>
      <c r="B880" s="320" t="str">
        <f>VLOOKUP(Tabel10[[#This Row],[Code]],Ruimtegroepen[[Code]:[Ruimte omschrijving]],2,FALSE)</f>
        <v>Leslokalen</v>
      </c>
      <c r="C880" s="321" t="s">
        <v>1017</v>
      </c>
      <c r="D880" s="320" t="s">
        <v>28</v>
      </c>
      <c r="E880" s="321" t="s">
        <v>100</v>
      </c>
      <c r="F880" s="321" t="s">
        <v>1018</v>
      </c>
      <c r="G880" s="326" t="s">
        <v>282</v>
      </c>
      <c r="H880" s="322" t="s">
        <v>282</v>
      </c>
      <c r="I880" s="322" t="s">
        <v>17</v>
      </c>
      <c r="J880" s="322" t="s">
        <v>282</v>
      </c>
      <c r="K880" s="322" t="s">
        <v>282</v>
      </c>
      <c r="L880" s="322" t="s">
        <v>282</v>
      </c>
      <c r="M880" s="322" t="s">
        <v>282</v>
      </c>
      <c r="N880" s="322" t="s">
        <v>282</v>
      </c>
      <c r="O880" s="323" t="s">
        <v>17</v>
      </c>
      <c r="P880" s="323" t="s">
        <v>17</v>
      </c>
      <c r="Q880" s="323" t="s">
        <v>15</v>
      </c>
      <c r="R880" s="323" t="s">
        <v>282</v>
      </c>
      <c r="S880" s="323" t="s">
        <v>282</v>
      </c>
      <c r="T880" s="323" t="s">
        <v>282</v>
      </c>
      <c r="U880" s="323" t="s">
        <v>282</v>
      </c>
      <c r="V880" s="323" t="s">
        <v>282</v>
      </c>
      <c r="W880" s="324" t="s">
        <v>282</v>
      </c>
      <c r="X880" s="324" t="s">
        <v>282</v>
      </c>
      <c r="Y880" s="325" t="s">
        <v>282</v>
      </c>
    </row>
    <row r="881" spans="1:25">
      <c r="A881" s="319">
        <v>16</v>
      </c>
      <c r="B881" s="320" t="str">
        <f>VLOOKUP(Tabel10[[#This Row],[Code]],Ruimtegroepen[[Code]:[Ruimte omschrijving]],2,FALSE)</f>
        <v>Leslokalen</v>
      </c>
      <c r="C881" s="321" t="s">
        <v>1017</v>
      </c>
      <c r="D881" s="320" t="s">
        <v>28</v>
      </c>
      <c r="E881" s="321" t="s">
        <v>99</v>
      </c>
      <c r="F881" s="321" t="s">
        <v>1019</v>
      </c>
      <c r="G881" s="326" t="s">
        <v>282</v>
      </c>
      <c r="H881" s="322" t="s">
        <v>17</v>
      </c>
      <c r="I881" s="322" t="s">
        <v>282</v>
      </c>
      <c r="J881" s="322" t="s">
        <v>282</v>
      </c>
      <c r="K881" s="322" t="s">
        <v>282</v>
      </c>
      <c r="L881" s="322" t="s">
        <v>282</v>
      </c>
      <c r="M881" s="322" t="s">
        <v>282</v>
      </c>
      <c r="N881" s="322" t="s">
        <v>282</v>
      </c>
      <c r="O881" s="323" t="s">
        <v>17</v>
      </c>
      <c r="P881" s="323" t="s">
        <v>17</v>
      </c>
      <c r="Q881" s="323" t="s">
        <v>15</v>
      </c>
      <c r="R881" s="323" t="s">
        <v>282</v>
      </c>
      <c r="S881" s="323" t="s">
        <v>282</v>
      </c>
      <c r="T881" s="323" t="s">
        <v>282</v>
      </c>
      <c r="U881" s="323" t="s">
        <v>282</v>
      </c>
      <c r="V881" s="323" t="s">
        <v>282</v>
      </c>
      <c r="W881" s="324" t="s">
        <v>282</v>
      </c>
      <c r="X881" s="324" t="s">
        <v>282</v>
      </c>
      <c r="Y881" s="325" t="s">
        <v>282</v>
      </c>
    </row>
    <row r="882" spans="1:25">
      <c r="A882" s="319">
        <v>16</v>
      </c>
      <c r="B882" s="320" t="str">
        <f>VLOOKUP(Tabel10[[#This Row],[Code]],Ruimtegroepen[[Code]:[Ruimte omschrijving]],2,FALSE)</f>
        <v>Leslokalen</v>
      </c>
      <c r="C882" s="321" t="s">
        <v>1017</v>
      </c>
      <c r="D882" s="320" t="s">
        <v>28</v>
      </c>
      <c r="E882" s="321" t="s">
        <v>101</v>
      </c>
      <c r="F882" s="321" t="s">
        <v>1020</v>
      </c>
      <c r="G882" s="326" t="s">
        <v>282</v>
      </c>
      <c r="H882" s="322" t="s">
        <v>282</v>
      </c>
      <c r="I882" s="322" t="s">
        <v>17</v>
      </c>
      <c r="J882" s="322" t="s">
        <v>282</v>
      </c>
      <c r="K882" s="322" t="s">
        <v>282</v>
      </c>
      <c r="L882" s="322" t="s">
        <v>282</v>
      </c>
      <c r="M882" s="322" t="s">
        <v>282</v>
      </c>
      <c r="N882" s="322" t="s">
        <v>282</v>
      </c>
      <c r="O882" s="323" t="s">
        <v>17</v>
      </c>
      <c r="P882" s="323" t="s">
        <v>17</v>
      </c>
      <c r="Q882" s="323" t="s">
        <v>15</v>
      </c>
      <c r="R882" s="323" t="s">
        <v>282</v>
      </c>
      <c r="S882" s="323" t="s">
        <v>282</v>
      </c>
      <c r="T882" s="323" t="s">
        <v>282</v>
      </c>
      <c r="U882" s="323" t="s">
        <v>282</v>
      </c>
      <c r="V882" s="323" t="s">
        <v>282</v>
      </c>
      <c r="W882" s="324" t="s">
        <v>282</v>
      </c>
      <c r="X882" s="324" t="s">
        <v>282</v>
      </c>
      <c r="Y882" s="325" t="s">
        <v>282</v>
      </c>
    </row>
    <row r="883" spans="1:25">
      <c r="A883" s="319">
        <v>16</v>
      </c>
      <c r="B883" s="320" t="str">
        <f>VLOOKUP(Tabel10[[#This Row],[Code]],Ruimtegroepen[[Code]:[Ruimte omschrijving]],2,FALSE)</f>
        <v>Leslokalen</v>
      </c>
      <c r="C883" s="321" t="s">
        <v>1017</v>
      </c>
      <c r="D883" s="320" t="s">
        <v>28</v>
      </c>
      <c r="E883" s="321" t="s">
        <v>102</v>
      </c>
      <c r="F883" s="321" t="s">
        <v>1021</v>
      </c>
      <c r="G883" s="326" t="s">
        <v>282</v>
      </c>
      <c r="H883" s="322" t="s">
        <v>282</v>
      </c>
      <c r="I883" s="322" t="s">
        <v>17</v>
      </c>
      <c r="J883" s="322" t="s">
        <v>282</v>
      </c>
      <c r="K883" s="322" t="s">
        <v>282</v>
      </c>
      <c r="L883" s="322" t="s">
        <v>282</v>
      </c>
      <c r="M883" s="322" t="s">
        <v>282</v>
      </c>
      <c r="N883" s="322" t="s">
        <v>282</v>
      </c>
      <c r="O883" s="323" t="s">
        <v>17</v>
      </c>
      <c r="P883" s="323" t="s">
        <v>17</v>
      </c>
      <c r="Q883" s="323" t="s">
        <v>15</v>
      </c>
      <c r="R883" s="323" t="s">
        <v>282</v>
      </c>
      <c r="S883" s="323" t="s">
        <v>282</v>
      </c>
      <c r="T883" s="323" t="s">
        <v>282</v>
      </c>
      <c r="U883" s="323" t="s">
        <v>282</v>
      </c>
      <c r="V883" s="323" t="s">
        <v>282</v>
      </c>
      <c r="W883" s="324" t="s">
        <v>282</v>
      </c>
      <c r="X883" s="324" t="s">
        <v>282</v>
      </c>
      <c r="Y883" s="325" t="s">
        <v>282</v>
      </c>
    </row>
    <row r="884" spans="1:25">
      <c r="A884" s="319">
        <v>16</v>
      </c>
      <c r="B884" s="320" t="str">
        <f>VLOOKUP(Tabel10[[#This Row],[Code]],Ruimtegroepen[[Code]:[Ruimte omschrijving]],2,FALSE)</f>
        <v>Leslokalen</v>
      </c>
      <c r="C884" s="321" t="s">
        <v>1017</v>
      </c>
      <c r="D884" s="320" t="s">
        <v>28</v>
      </c>
      <c r="E884" s="321" t="s">
        <v>99</v>
      </c>
      <c r="F884" s="321" t="s">
        <v>1019</v>
      </c>
      <c r="G884" s="326" t="s">
        <v>282</v>
      </c>
      <c r="H884" s="322" t="s">
        <v>17</v>
      </c>
      <c r="I884" s="322" t="s">
        <v>282</v>
      </c>
      <c r="J884" s="322" t="s">
        <v>282</v>
      </c>
      <c r="K884" s="322" t="s">
        <v>282</v>
      </c>
      <c r="L884" s="322" t="s">
        <v>282</v>
      </c>
      <c r="M884" s="322" t="s">
        <v>282</v>
      </c>
      <c r="N884" s="322" t="s">
        <v>282</v>
      </c>
      <c r="O884" s="323" t="s">
        <v>17</v>
      </c>
      <c r="P884" s="323" t="s">
        <v>17</v>
      </c>
      <c r="Q884" s="323" t="s">
        <v>15</v>
      </c>
      <c r="R884" s="323" t="s">
        <v>282</v>
      </c>
      <c r="S884" s="323" t="s">
        <v>282</v>
      </c>
      <c r="T884" s="323" t="s">
        <v>282</v>
      </c>
      <c r="U884" s="323" t="s">
        <v>282</v>
      </c>
      <c r="V884" s="323" t="s">
        <v>282</v>
      </c>
      <c r="W884" s="324" t="s">
        <v>282</v>
      </c>
      <c r="X884" s="324" t="s">
        <v>282</v>
      </c>
      <c r="Y884" s="325" t="s">
        <v>282</v>
      </c>
    </row>
    <row r="885" spans="1:25">
      <c r="A885" s="319">
        <v>16</v>
      </c>
      <c r="B885" s="320" t="str">
        <f>VLOOKUP(Tabel10[[#This Row],[Code]],Ruimtegroepen[[Code]:[Ruimte omschrijving]],2,FALSE)</f>
        <v>Leslokalen</v>
      </c>
      <c r="C885" s="321" t="s">
        <v>1017</v>
      </c>
      <c r="D885" s="320" t="s">
        <v>28</v>
      </c>
      <c r="E885" s="321" t="s">
        <v>1306</v>
      </c>
      <c r="F885" s="321" t="s">
        <v>1419</v>
      </c>
      <c r="G885" s="326" t="s">
        <v>282</v>
      </c>
      <c r="H885" s="322" t="s">
        <v>282</v>
      </c>
      <c r="I885" s="322" t="s">
        <v>17</v>
      </c>
      <c r="J885" s="322" t="s">
        <v>282</v>
      </c>
      <c r="K885" s="322" t="s">
        <v>282</v>
      </c>
      <c r="L885" s="322" t="s">
        <v>282</v>
      </c>
      <c r="M885" s="322" t="s">
        <v>282</v>
      </c>
      <c r="N885" s="322" t="s">
        <v>282</v>
      </c>
      <c r="O885" s="323" t="s">
        <v>17</v>
      </c>
      <c r="P885" s="323" t="s">
        <v>17</v>
      </c>
      <c r="Q885" s="323" t="s">
        <v>15</v>
      </c>
      <c r="R885" s="323" t="s">
        <v>282</v>
      </c>
      <c r="S885" s="323" t="s">
        <v>282</v>
      </c>
      <c r="T885" s="323" t="s">
        <v>282</v>
      </c>
      <c r="U885" s="323" t="s">
        <v>282</v>
      </c>
      <c r="V885" s="323" t="s">
        <v>282</v>
      </c>
      <c r="W885" s="324" t="s">
        <v>282</v>
      </c>
      <c r="X885" s="324" t="s">
        <v>282</v>
      </c>
      <c r="Y885" s="325" t="s">
        <v>282</v>
      </c>
    </row>
    <row r="886" spans="1:25">
      <c r="A886" s="319">
        <v>17</v>
      </c>
      <c r="B886" s="320" t="str">
        <f>VLOOKUP(Tabel10[[#This Row],[Code]],Ruimtegroepen[[Code]:[Ruimte omschrijving]],2,FALSE)</f>
        <v>Toestelberging</v>
      </c>
      <c r="C886" s="321" t="s">
        <v>1022</v>
      </c>
      <c r="D886" s="320" t="s">
        <v>29</v>
      </c>
      <c r="E886" s="321" t="s">
        <v>100</v>
      </c>
      <c r="F886" s="321" t="s">
        <v>1023</v>
      </c>
      <c r="G886" s="326" t="s">
        <v>282</v>
      </c>
      <c r="H886" s="322" t="s">
        <v>282</v>
      </c>
      <c r="I886" s="322" t="s">
        <v>20</v>
      </c>
      <c r="J886" s="322" t="s">
        <v>15</v>
      </c>
      <c r="K886" s="322" t="s">
        <v>282</v>
      </c>
      <c r="L886" s="322" t="s">
        <v>282</v>
      </c>
      <c r="M886" s="322" t="s">
        <v>282</v>
      </c>
      <c r="N886" s="322" t="s">
        <v>2</v>
      </c>
      <c r="O886" s="323" t="s">
        <v>2</v>
      </c>
      <c r="P886" s="323" t="s">
        <v>2</v>
      </c>
      <c r="Q886" s="323" t="s">
        <v>15</v>
      </c>
      <c r="R886" s="323" t="s">
        <v>15</v>
      </c>
      <c r="S886" s="323" t="s">
        <v>16</v>
      </c>
      <c r="T886" s="323" t="s">
        <v>329</v>
      </c>
      <c r="U886" s="323" t="s">
        <v>249</v>
      </c>
      <c r="V886" s="323" t="s">
        <v>2</v>
      </c>
      <c r="W886" s="324" t="s">
        <v>282</v>
      </c>
      <c r="X886" s="324" t="s">
        <v>282</v>
      </c>
      <c r="Y886" s="325" t="s">
        <v>282</v>
      </c>
    </row>
    <row r="887" spans="1:25">
      <c r="A887" s="319">
        <v>17</v>
      </c>
      <c r="B887" s="320" t="str">
        <f>VLOOKUP(Tabel10[[#This Row],[Code]],Ruimtegroepen[[Code]:[Ruimte omschrijving]],2,FALSE)</f>
        <v>Toestelberging</v>
      </c>
      <c r="C887" s="321" t="s">
        <v>1022</v>
      </c>
      <c r="D887" s="320" t="s">
        <v>29</v>
      </c>
      <c r="E887" s="321" t="s">
        <v>99</v>
      </c>
      <c r="F887" s="321" t="s">
        <v>1024</v>
      </c>
      <c r="G887" s="322" t="s">
        <v>20</v>
      </c>
      <c r="H887" s="322" t="s">
        <v>15</v>
      </c>
      <c r="I887" s="322" t="s">
        <v>282</v>
      </c>
      <c r="J887" s="322" t="s">
        <v>282</v>
      </c>
      <c r="K887" s="322" t="s">
        <v>282</v>
      </c>
      <c r="L887" s="322" t="s">
        <v>282</v>
      </c>
      <c r="M887" s="322" t="s">
        <v>282</v>
      </c>
      <c r="N887" s="322" t="s">
        <v>2</v>
      </c>
      <c r="O887" s="323" t="s">
        <v>2</v>
      </c>
      <c r="P887" s="323" t="s">
        <v>2</v>
      </c>
      <c r="Q887" s="323" t="s">
        <v>15</v>
      </c>
      <c r="R887" s="323" t="s">
        <v>15</v>
      </c>
      <c r="S887" s="323" t="s">
        <v>16</v>
      </c>
      <c r="T887" s="323" t="s">
        <v>329</v>
      </c>
      <c r="U887" s="323" t="s">
        <v>249</v>
      </c>
      <c r="V887" s="323" t="s">
        <v>2</v>
      </c>
      <c r="W887" s="324" t="s">
        <v>282</v>
      </c>
      <c r="X887" s="324" t="s">
        <v>282</v>
      </c>
      <c r="Y887" s="325" t="s">
        <v>282</v>
      </c>
    </row>
    <row r="888" spans="1:25">
      <c r="A888" s="319">
        <v>17</v>
      </c>
      <c r="B888" s="320" t="str">
        <f>VLOOKUP(Tabel10[[#This Row],[Code]],Ruimtegroepen[[Code]:[Ruimte omschrijving]],2,FALSE)</f>
        <v>Toestelberging</v>
      </c>
      <c r="C888" s="321" t="s">
        <v>1022</v>
      </c>
      <c r="D888" s="320" t="s">
        <v>29</v>
      </c>
      <c r="E888" s="321" t="s">
        <v>101</v>
      </c>
      <c r="F888" s="321" t="s">
        <v>1025</v>
      </c>
      <c r="G888" s="326" t="s">
        <v>282</v>
      </c>
      <c r="H888" s="322" t="s">
        <v>282</v>
      </c>
      <c r="I888" s="322" t="s">
        <v>20</v>
      </c>
      <c r="J888" s="322" t="s">
        <v>15</v>
      </c>
      <c r="K888" s="322" t="s">
        <v>283</v>
      </c>
      <c r="L888" s="322" t="s">
        <v>282</v>
      </c>
      <c r="M888" s="322" t="s">
        <v>282</v>
      </c>
      <c r="N888" s="322" t="s">
        <v>2</v>
      </c>
      <c r="O888" s="323" t="s">
        <v>2</v>
      </c>
      <c r="P888" s="323" t="s">
        <v>2</v>
      </c>
      <c r="Q888" s="323" t="s">
        <v>15</v>
      </c>
      <c r="R888" s="323" t="s">
        <v>15</v>
      </c>
      <c r="S888" s="323" t="s">
        <v>16</v>
      </c>
      <c r="T888" s="323" t="s">
        <v>329</v>
      </c>
      <c r="U888" s="323" t="s">
        <v>249</v>
      </c>
      <c r="V888" s="323" t="s">
        <v>2</v>
      </c>
      <c r="W888" s="324" t="s">
        <v>282</v>
      </c>
      <c r="X888" s="324" t="s">
        <v>282</v>
      </c>
      <c r="Y888" s="325" t="s">
        <v>282</v>
      </c>
    </row>
    <row r="889" spans="1:25">
      <c r="A889" s="319">
        <v>17</v>
      </c>
      <c r="B889" s="320" t="str">
        <f>VLOOKUP(Tabel10[[#This Row],[Code]],Ruimtegroepen[[Code]:[Ruimte omschrijving]],2,FALSE)</f>
        <v>Toestelberging</v>
      </c>
      <c r="C889" s="321" t="s">
        <v>1022</v>
      </c>
      <c r="D889" s="320" t="s">
        <v>29</v>
      </c>
      <c r="E889" s="321" t="s">
        <v>102</v>
      </c>
      <c r="F889" s="321" t="s">
        <v>1026</v>
      </c>
      <c r="G889" s="326" t="s">
        <v>282</v>
      </c>
      <c r="H889" s="322" t="s">
        <v>282</v>
      </c>
      <c r="I889" s="322" t="s">
        <v>20</v>
      </c>
      <c r="J889" s="322" t="s">
        <v>15</v>
      </c>
      <c r="K889" s="322" t="s">
        <v>283</v>
      </c>
      <c r="L889" s="322" t="s">
        <v>282</v>
      </c>
      <c r="M889" s="322" t="s">
        <v>282</v>
      </c>
      <c r="N889" s="322" t="s">
        <v>2</v>
      </c>
      <c r="O889" s="323" t="s">
        <v>2</v>
      </c>
      <c r="P889" s="323" t="s">
        <v>2</v>
      </c>
      <c r="Q889" s="323" t="s">
        <v>15</v>
      </c>
      <c r="R889" s="323" t="s">
        <v>15</v>
      </c>
      <c r="S889" s="323" t="s">
        <v>16</v>
      </c>
      <c r="T889" s="323" t="s">
        <v>329</v>
      </c>
      <c r="U889" s="323" t="s">
        <v>249</v>
      </c>
      <c r="V889" s="323" t="s">
        <v>2</v>
      </c>
      <c r="W889" s="324" t="s">
        <v>282</v>
      </c>
      <c r="X889" s="324" t="s">
        <v>282</v>
      </c>
      <c r="Y889" s="325" t="s">
        <v>282</v>
      </c>
    </row>
    <row r="890" spans="1:25">
      <c r="A890" s="319">
        <v>17</v>
      </c>
      <c r="B890" s="320" t="str">
        <f>VLOOKUP(Tabel10[[#This Row],[Code]],Ruimtegroepen[[Code]:[Ruimte omschrijving]],2,FALSE)</f>
        <v>Toestelberging</v>
      </c>
      <c r="C890" s="321" t="s">
        <v>1022</v>
      </c>
      <c r="D890" s="320" t="s">
        <v>29</v>
      </c>
      <c r="E890" s="321" t="s">
        <v>99</v>
      </c>
      <c r="F890" s="321" t="s">
        <v>1024</v>
      </c>
      <c r="G890" s="326" t="s">
        <v>282</v>
      </c>
      <c r="H890" s="322" t="s">
        <v>2</v>
      </c>
      <c r="I890" s="322" t="s">
        <v>282</v>
      </c>
      <c r="J890" s="322" t="s">
        <v>282</v>
      </c>
      <c r="K890" s="322" t="s">
        <v>282</v>
      </c>
      <c r="L890" s="322" t="s">
        <v>282</v>
      </c>
      <c r="M890" s="322" t="s">
        <v>282</v>
      </c>
      <c r="N890" s="322" t="s">
        <v>2</v>
      </c>
      <c r="O890" s="323" t="s">
        <v>2</v>
      </c>
      <c r="P890" s="323" t="s">
        <v>2</v>
      </c>
      <c r="Q890" s="323" t="s">
        <v>15</v>
      </c>
      <c r="R890" s="323" t="s">
        <v>15</v>
      </c>
      <c r="S890" s="323" t="s">
        <v>16</v>
      </c>
      <c r="T890" s="323" t="s">
        <v>329</v>
      </c>
      <c r="U890" s="323" t="s">
        <v>249</v>
      </c>
      <c r="V890" s="323" t="s">
        <v>2</v>
      </c>
      <c r="W890" s="324" t="s">
        <v>282</v>
      </c>
      <c r="X890" s="324" t="s">
        <v>282</v>
      </c>
      <c r="Y890" s="325" t="s">
        <v>282</v>
      </c>
    </row>
    <row r="891" spans="1:25">
      <c r="A891" s="319">
        <v>17</v>
      </c>
      <c r="B891" s="320" t="str">
        <f>VLOOKUP(Tabel10[[#This Row],[Code]],Ruimtegroepen[[Code]:[Ruimte omschrijving]],2,FALSE)</f>
        <v>Toestelberging</v>
      </c>
      <c r="C891" s="321" t="s">
        <v>1022</v>
      </c>
      <c r="D891" s="320" t="s">
        <v>29</v>
      </c>
      <c r="E891" s="321" t="s">
        <v>1306</v>
      </c>
      <c r="F891" s="321" t="s">
        <v>1487</v>
      </c>
      <c r="G891" s="326" t="s">
        <v>282</v>
      </c>
      <c r="H891" s="322" t="s">
        <v>282</v>
      </c>
      <c r="I891" s="322" t="s">
        <v>20</v>
      </c>
      <c r="J891" s="322" t="s">
        <v>15</v>
      </c>
      <c r="K891" s="322" t="s">
        <v>283</v>
      </c>
      <c r="L891" s="322" t="s">
        <v>282</v>
      </c>
      <c r="M891" s="322" t="s">
        <v>282</v>
      </c>
      <c r="N891" s="322" t="s">
        <v>2</v>
      </c>
      <c r="O891" s="323" t="s">
        <v>2</v>
      </c>
      <c r="P891" s="323" t="s">
        <v>2</v>
      </c>
      <c r="Q891" s="323" t="s">
        <v>15</v>
      </c>
      <c r="R891" s="323" t="s">
        <v>15</v>
      </c>
      <c r="S891" s="323" t="s">
        <v>16</v>
      </c>
      <c r="T891" s="323" t="s">
        <v>329</v>
      </c>
      <c r="U891" s="323" t="s">
        <v>249</v>
      </c>
      <c r="V891" s="323" t="s">
        <v>2</v>
      </c>
      <c r="W891" s="324" t="s">
        <v>282</v>
      </c>
      <c r="X891" s="324" t="s">
        <v>282</v>
      </c>
      <c r="Y891" s="325" t="s">
        <v>282</v>
      </c>
    </row>
    <row r="892" spans="1:25">
      <c r="A892" s="319">
        <v>17</v>
      </c>
      <c r="B892" s="320" t="str">
        <f>VLOOKUP(Tabel10[[#This Row],[Code]],Ruimtegroepen[[Code]:[Ruimte omschrijving]],2,FALSE)</f>
        <v>Toestelberging</v>
      </c>
      <c r="C892" s="321" t="s">
        <v>1027</v>
      </c>
      <c r="D892" s="320" t="s">
        <v>1</v>
      </c>
      <c r="E892" s="321" t="s">
        <v>100</v>
      </c>
      <c r="F892" s="321" t="s">
        <v>1028</v>
      </c>
      <c r="G892" s="326" t="s">
        <v>282</v>
      </c>
      <c r="H892" s="322" t="s">
        <v>282</v>
      </c>
      <c r="I892" s="322" t="s">
        <v>20</v>
      </c>
      <c r="J892" s="322" t="s">
        <v>15</v>
      </c>
      <c r="K892" s="322" t="s">
        <v>282</v>
      </c>
      <c r="L892" s="322" t="s">
        <v>282</v>
      </c>
      <c r="M892" s="322" t="s">
        <v>282</v>
      </c>
      <c r="N892" s="322" t="s">
        <v>282</v>
      </c>
      <c r="O892" s="323" t="s">
        <v>2</v>
      </c>
      <c r="P892" s="323" t="s">
        <v>2</v>
      </c>
      <c r="Q892" s="323" t="s">
        <v>15</v>
      </c>
      <c r="R892" s="323" t="s">
        <v>15</v>
      </c>
      <c r="S892" s="323" t="s">
        <v>16</v>
      </c>
      <c r="T892" s="323" t="s">
        <v>329</v>
      </c>
      <c r="U892" s="323" t="s">
        <v>249</v>
      </c>
      <c r="V892" s="323" t="s">
        <v>282</v>
      </c>
      <c r="W892" s="324" t="s">
        <v>282</v>
      </c>
      <c r="X892" s="324" t="s">
        <v>282</v>
      </c>
      <c r="Y892" s="325" t="s">
        <v>282</v>
      </c>
    </row>
    <row r="893" spans="1:25">
      <c r="A893" s="319">
        <v>17</v>
      </c>
      <c r="B893" s="320" t="str">
        <f>VLOOKUP(Tabel10[[#This Row],[Code]],Ruimtegroepen[[Code]:[Ruimte omschrijving]],2,FALSE)</f>
        <v>Toestelberging</v>
      </c>
      <c r="C893" s="321" t="s">
        <v>1027</v>
      </c>
      <c r="D893" s="320" t="s">
        <v>1</v>
      </c>
      <c r="E893" s="321" t="s">
        <v>99</v>
      </c>
      <c r="F893" s="321" t="s">
        <v>1029</v>
      </c>
      <c r="G893" s="322" t="s">
        <v>20</v>
      </c>
      <c r="H893" s="322" t="s">
        <v>15</v>
      </c>
      <c r="I893" s="322" t="s">
        <v>282</v>
      </c>
      <c r="J893" s="322" t="s">
        <v>282</v>
      </c>
      <c r="K893" s="322" t="s">
        <v>282</v>
      </c>
      <c r="L893" s="322" t="s">
        <v>282</v>
      </c>
      <c r="M893" s="322" t="s">
        <v>282</v>
      </c>
      <c r="N893" s="322" t="s">
        <v>282</v>
      </c>
      <c r="O893" s="323" t="s">
        <v>2</v>
      </c>
      <c r="P893" s="323" t="s">
        <v>2</v>
      </c>
      <c r="Q893" s="323" t="s">
        <v>15</v>
      </c>
      <c r="R893" s="323" t="s">
        <v>15</v>
      </c>
      <c r="S893" s="323" t="s">
        <v>16</v>
      </c>
      <c r="T893" s="323" t="s">
        <v>329</v>
      </c>
      <c r="U893" s="323" t="s">
        <v>249</v>
      </c>
      <c r="V893" s="323" t="s">
        <v>282</v>
      </c>
      <c r="W893" s="324" t="s">
        <v>282</v>
      </c>
      <c r="X893" s="324" t="s">
        <v>282</v>
      </c>
      <c r="Y893" s="325" t="s">
        <v>282</v>
      </c>
    </row>
    <row r="894" spans="1:25">
      <c r="A894" s="319">
        <v>17</v>
      </c>
      <c r="B894" s="320" t="str">
        <f>VLOOKUP(Tabel10[[#This Row],[Code]],Ruimtegroepen[[Code]:[Ruimte omschrijving]],2,FALSE)</f>
        <v>Toestelberging</v>
      </c>
      <c r="C894" s="321" t="s">
        <v>1027</v>
      </c>
      <c r="D894" s="320" t="s">
        <v>1</v>
      </c>
      <c r="E894" s="321" t="s">
        <v>101</v>
      </c>
      <c r="F894" s="321" t="s">
        <v>1030</v>
      </c>
      <c r="G894" s="326" t="s">
        <v>282</v>
      </c>
      <c r="H894" s="322" t="s">
        <v>282</v>
      </c>
      <c r="I894" s="322" t="s">
        <v>20</v>
      </c>
      <c r="J894" s="322" t="s">
        <v>15</v>
      </c>
      <c r="K894" s="322" t="s">
        <v>283</v>
      </c>
      <c r="L894" s="322" t="s">
        <v>282</v>
      </c>
      <c r="M894" s="322" t="s">
        <v>282</v>
      </c>
      <c r="N894" s="322" t="s">
        <v>282</v>
      </c>
      <c r="O894" s="323" t="s">
        <v>2</v>
      </c>
      <c r="P894" s="323" t="s">
        <v>2</v>
      </c>
      <c r="Q894" s="323" t="s">
        <v>15</v>
      </c>
      <c r="R894" s="323" t="s">
        <v>15</v>
      </c>
      <c r="S894" s="323" t="s">
        <v>16</v>
      </c>
      <c r="T894" s="323" t="s">
        <v>329</v>
      </c>
      <c r="U894" s="323" t="s">
        <v>249</v>
      </c>
      <c r="V894" s="323" t="s">
        <v>282</v>
      </c>
      <c r="W894" s="324" t="s">
        <v>282</v>
      </c>
      <c r="X894" s="324" t="s">
        <v>282</v>
      </c>
      <c r="Y894" s="325" t="s">
        <v>282</v>
      </c>
    </row>
    <row r="895" spans="1:25">
      <c r="A895" s="319">
        <v>17</v>
      </c>
      <c r="B895" s="320" t="str">
        <f>VLOOKUP(Tabel10[[#This Row],[Code]],Ruimtegroepen[[Code]:[Ruimte omschrijving]],2,FALSE)</f>
        <v>Toestelberging</v>
      </c>
      <c r="C895" s="321" t="s">
        <v>1027</v>
      </c>
      <c r="D895" s="320" t="s">
        <v>1</v>
      </c>
      <c r="E895" s="321" t="s">
        <v>102</v>
      </c>
      <c r="F895" s="321" t="s">
        <v>1031</v>
      </c>
      <c r="G895" s="326" t="s">
        <v>282</v>
      </c>
      <c r="H895" s="322" t="s">
        <v>282</v>
      </c>
      <c r="I895" s="322" t="s">
        <v>20</v>
      </c>
      <c r="J895" s="322" t="s">
        <v>15</v>
      </c>
      <c r="K895" s="322" t="s">
        <v>283</v>
      </c>
      <c r="L895" s="322" t="s">
        <v>282</v>
      </c>
      <c r="M895" s="322" t="s">
        <v>282</v>
      </c>
      <c r="N895" s="322" t="s">
        <v>282</v>
      </c>
      <c r="O895" s="323" t="s">
        <v>2</v>
      </c>
      <c r="P895" s="323" t="s">
        <v>2</v>
      </c>
      <c r="Q895" s="323" t="s">
        <v>15</v>
      </c>
      <c r="R895" s="323" t="s">
        <v>15</v>
      </c>
      <c r="S895" s="323" t="s">
        <v>16</v>
      </c>
      <c r="T895" s="323" t="s">
        <v>329</v>
      </c>
      <c r="U895" s="323" t="s">
        <v>249</v>
      </c>
      <c r="V895" s="323" t="s">
        <v>282</v>
      </c>
      <c r="W895" s="324" t="s">
        <v>282</v>
      </c>
      <c r="X895" s="324" t="s">
        <v>282</v>
      </c>
      <c r="Y895" s="325" t="s">
        <v>282</v>
      </c>
    </row>
    <row r="896" spans="1:25">
      <c r="A896" s="319">
        <v>17</v>
      </c>
      <c r="B896" s="320" t="str">
        <f>VLOOKUP(Tabel10[[#This Row],[Code]],Ruimtegroepen[[Code]:[Ruimte omschrijving]],2,FALSE)</f>
        <v>Toestelberging</v>
      </c>
      <c r="C896" s="321" t="s">
        <v>1027</v>
      </c>
      <c r="D896" s="320" t="s">
        <v>1</v>
      </c>
      <c r="E896" s="321" t="s">
        <v>99</v>
      </c>
      <c r="F896" s="321" t="s">
        <v>1029</v>
      </c>
      <c r="G896" s="326" t="s">
        <v>282</v>
      </c>
      <c r="H896" s="322" t="s">
        <v>2</v>
      </c>
      <c r="I896" s="322" t="s">
        <v>282</v>
      </c>
      <c r="J896" s="322" t="s">
        <v>282</v>
      </c>
      <c r="K896" s="322" t="s">
        <v>282</v>
      </c>
      <c r="L896" s="322" t="s">
        <v>282</v>
      </c>
      <c r="M896" s="322" t="s">
        <v>282</v>
      </c>
      <c r="N896" s="322" t="s">
        <v>282</v>
      </c>
      <c r="O896" s="323" t="s">
        <v>2</v>
      </c>
      <c r="P896" s="323" t="s">
        <v>2</v>
      </c>
      <c r="Q896" s="323" t="s">
        <v>15</v>
      </c>
      <c r="R896" s="323" t="s">
        <v>15</v>
      </c>
      <c r="S896" s="323" t="s">
        <v>16</v>
      </c>
      <c r="T896" s="323" t="s">
        <v>329</v>
      </c>
      <c r="U896" s="323" t="s">
        <v>249</v>
      </c>
      <c r="V896" s="323" t="s">
        <v>282</v>
      </c>
      <c r="W896" s="324" t="s">
        <v>282</v>
      </c>
      <c r="X896" s="324" t="s">
        <v>282</v>
      </c>
      <c r="Y896" s="325" t="s">
        <v>282</v>
      </c>
    </row>
    <row r="897" spans="1:25">
      <c r="A897" s="319">
        <v>17</v>
      </c>
      <c r="B897" s="320" t="str">
        <f>VLOOKUP(Tabel10[[#This Row],[Code]],Ruimtegroepen[[Code]:[Ruimte omschrijving]],2,FALSE)</f>
        <v>Toestelberging</v>
      </c>
      <c r="C897" s="321" t="s">
        <v>1027</v>
      </c>
      <c r="D897" s="320" t="s">
        <v>1</v>
      </c>
      <c r="E897" s="321" t="s">
        <v>1306</v>
      </c>
      <c r="F897" s="321" t="s">
        <v>1471</v>
      </c>
      <c r="G897" s="326" t="s">
        <v>282</v>
      </c>
      <c r="H897" s="322" t="s">
        <v>282</v>
      </c>
      <c r="I897" s="322" t="s">
        <v>20</v>
      </c>
      <c r="J897" s="322" t="s">
        <v>15</v>
      </c>
      <c r="K897" s="322" t="s">
        <v>283</v>
      </c>
      <c r="L897" s="322" t="s">
        <v>282</v>
      </c>
      <c r="M897" s="322" t="s">
        <v>282</v>
      </c>
      <c r="N897" s="322" t="s">
        <v>282</v>
      </c>
      <c r="O897" s="323" t="s">
        <v>2</v>
      </c>
      <c r="P897" s="323" t="s">
        <v>2</v>
      </c>
      <c r="Q897" s="323" t="s">
        <v>15</v>
      </c>
      <c r="R897" s="323" t="s">
        <v>15</v>
      </c>
      <c r="S897" s="323" t="s">
        <v>16</v>
      </c>
      <c r="T897" s="323" t="s">
        <v>329</v>
      </c>
      <c r="U897" s="323" t="s">
        <v>249</v>
      </c>
      <c r="V897" s="323" t="s">
        <v>282</v>
      </c>
      <c r="W897" s="324" t="s">
        <v>282</v>
      </c>
      <c r="X897" s="324" t="s">
        <v>282</v>
      </c>
      <c r="Y897" s="325" t="s">
        <v>282</v>
      </c>
    </row>
    <row r="898" spans="1:25">
      <c r="A898" s="319">
        <v>17</v>
      </c>
      <c r="B898" s="320" t="str">
        <f>VLOOKUP(Tabel10[[#This Row],[Code]],Ruimtegroepen[[Code]:[Ruimte omschrijving]],2,FALSE)</f>
        <v>Toestelberging</v>
      </c>
      <c r="C898" s="321" t="s">
        <v>1032</v>
      </c>
      <c r="D898" s="320" t="s">
        <v>21</v>
      </c>
      <c r="E898" s="321" t="s">
        <v>100</v>
      </c>
      <c r="F898" s="321" t="s">
        <v>1033</v>
      </c>
      <c r="G898" s="326" t="s">
        <v>282</v>
      </c>
      <c r="H898" s="322" t="s">
        <v>282</v>
      </c>
      <c r="I898" s="322" t="s">
        <v>18</v>
      </c>
      <c r="J898" s="322" t="s">
        <v>15</v>
      </c>
      <c r="K898" s="322" t="s">
        <v>282</v>
      </c>
      <c r="L898" s="322" t="s">
        <v>282</v>
      </c>
      <c r="M898" s="322" t="s">
        <v>282</v>
      </c>
      <c r="N898" s="322" t="s">
        <v>282</v>
      </c>
      <c r="O898" s="323" t="s">
        <v>20</v>
      </c>
      <c r="P898" s="323" t="s">
        <v>20</v>
      </c>
      <c r="Q898" s="323" t="s">
        <v>15</v>
      </c>
      <c r="R898" s="323" t="s">
        <v>15</v>
      </c>
      <c r="S898" s="323" t="s">
        <v>16</v>
      </c>
      <c r="T898" s="323" t="s">
        <v>329</v>
      </c>
      <c r="U898" s="323" t="s">
        <v>249</v>
      </c>
      <c r="V898" s="323" t="s">
        <v>282</v>
      </c>
      <c r="W898" s="324" t="s">
        <v>282</v>
      </c>
      <c r="X898" s="324" t="s">
        <v>282</v>
      </c>
      <c r="Y898" s="325" t="s">
        <v>282</v>
      </c>
    </row>
    <row r="899" spans="1:25">
      <c r="A899" s="319">
        <v>17</v>
      </c>
      <c r="B899" s="320" t="str">
        <f>VLOOKUP(Tabel10[[#This Row],[Code]],Ruimtegroepen[[Code]:[Ruimte omschrijving]],2,FALSE)</f>
        <v>Toestelberging</v>
      </c>
      <c r="C899" s="321" t="s">
        <v>1032</v>
      </c>
      <c r="D899" s="320" t="s">
        <v>21</v>
      </c>
      <c r="E899" s="321" t="s">
        <v>99</v>
      </c>
      <c r="F899" s="321" t="s">
        <v>1034</v>
      </c>
      <c r="G899" s="322" t="s">
        <v>18</v>
      </c>
      <c r="H899" s="322" t="s">
        <v>15</v>
      </c>
      <c r="I899" s="322" t="s">
        <v>282</v>
      </c>
      <c r="J899" s="322" t="s">
        <v>282</v>
      </c>
      <c r="K899" s="322" t="s">
        <v>282</v>
      </c>
      <c r="L899" s="322" t="s">
        <v>282</v>
      </c>
      <c r="M899" s="322" t="s">
        <v>282</v>
      </c>
      <c r="N899" s="322" t="s">
        <v>282</v>
      </c>
      <c r="O899" s="323" t="s">
        <v>20</v>
      </c>
      <c r="P899" s="323" t="s">
        <v>20</v>
      </c>
      <c r="Q899" s="323" t="s">
        <v>15</v>
      </c>
      <c r="R899" s="323" t="s">
        <v>15</v>
      </c>
      <c r="S899" s="323" t="s">
        <v>16</v>
      </c>
      <c r="T899" s="323" t="s">
        <v>329</v>
      </c>
      <c r="U899" s="323" t="s">
        <v>249</v>
      </c>
      <c r="V899" s="323" t="s">
        <v>282</v>
      </c>
      <c r="W899" s="324" t="s">
        <v>282</v>
      </c>
      <c r="X899" s="324" t="s">
        <v>282</v>
      </c>
      <c r="Y899" s="325" t="s">
        <v>282</v>
      </c>
    </row>
    <row r="900" spans="1:25">
      <c r="A900" s="319">
        <v>17</v>
      </c>
      <c r="B900" s="320" t="str">
        <f>VLOOKUP(Tabel10[[#This Row],[Code]],Ruimtegroepen[[Code]:[Ruimte omschrijving]],2,FALSE)</f>
        <v>Toestelberging</v>
      </c>
      <c r="C900" s="321" t="s">
        <v>1032</v>
      </c>
      <c r="D900" s="320" t="s">
        <v>21</v>
      </c>
      <c r="E900" s="321" t="s">
        <v>101</v>
      </c>
      <c r="F900" s="321" t="s">
        <v>1035</v>
      </c>
      <c r="G900" s="326" t="s">
        <v>282</v>
      </c>
      <c r="H900" s="322" t="s">
        <v>282</v>
      </c>
      <c r="I900" s="322" t="s">
        <v>18</v>
      </c>
      <c r="J900" s="322" t="s">
        <v>15</v>
      </c>
      <c r="K900" s="322" t="s">
        <v>283</v>
      </c>
      <c r="L900" s="322" t="s">
        <v>282</v>
      </c>
      <c r="M900" s="322" t="s">
        <v>282</v>
      </c>
      <c r="N900" s="322" t="s">
        <v>282</v>
      </c>
      <c r="O900" s="323" t="s">
        <v>20</v>
      </c>
      <c r="P900" s="323" t="s">
        <v>20</v>
      </c>
      <c r="Q900" s="323" t="s">
        <v>15</v>
      </c>
      <c r="R900" s="323" t="s">
        <v>15</v>
      </c>
      <c r="S900" s="323" t="s">
        <v>16</v>
      </c>
      <c r="T900" s="323" t="s">
        <v>329</v>
      </c>
      <c r="U900" s="323" t="s">
        <v>249</v>
      </c>
      <c r="V900" s="323" t="s">
        <v>282</v>
      </c>
      <c r="W900" s="324" t="s">
        <v>282</v>
      </c>
      <c r="X900" s="324" t="s">
        <v>282</v>
      </c>
      <c r="Y900" s="325" t="s">
        <v>282</v>
      </c>
    </row>
    <row r="901" spans="1:25">
      <c r="A901" s="319">
        <v>17</v>
      </c>
      <c r="B901" s="320" t="str">
        <f>VLOOKUP(Tabel10[[#This Row],[Code]],Ruimtegroepen[[Code]:[Ruimte omschrijving]],2,FALSE)</f>
        <v>Toestelberging</v>
      </c>
      <c r="C901" s="321" t="s">
        <v>1032</v>
      </c>
      <c r="D901" s="320" t="s">
        <v>21</v>
      </c>
      <c r="E901" s="321" t="s">
        <v>102</v>
      </c>
      <c r="F901" s="321" t="s">
        <v>1036</v>
      </c>
      <c r="G901" s="326" t="s">
        <v>282</v>
      </c>
      <c r="H901" s="322" t="s">
        <v>282</v>
      </c>
      <c r="I901" s="322" t="s">
        <v>18</v>
      </c>
      <c r="J901" s="322" t="s">
        <v>15</v>
      </c>
      <c r="K901" s="322" t="s">
        <v>283</v>
      </c>
      <c r="L901" s="322" t="s">
        <v>282</v>
      </c>
      <c r="M901" s="322" t="s">
        <v>282</v>
      </c>
      <c r="N901" s="322" t="s">
        <v>282</v>
      </c>
      <c r="O901" s="323" t="s">
        <v>20</v>
      </c>
      <c r="P901" s="323" t="s">
        <v>20</v>
      </c>
      <c r="Q901" s="323" t="s">
        <v>15</v>
      </c>
      <c r="R901" s="323" t="s">
        <v>15</v>
      </c>
      <c r="S901" s="323" t="s">
        <v>16</v>
      </c>
      <c r="T901" s="323" t="s">
        <v>329</v>
      </c>
      <c r="U901" s="323" t="s">
        <v>249</v>
      </c>
      <c r="V901" s="323" t="s">
        <v>282</v>
      </c>
      <c r="W901" s="324" t="s">
        <v>282</v>
      </c>
      <c r="X901" s="324" t="s">
        <v>282</v>
      </c>
      <c r="Y901" s="325" t="s">
        <v>282</v>
      </c>
    </row>
    <row r="902" spans="1:25">
      <c r="A902" s="319">
        <v>17</v>
      </c>
      <c r="B902" s="320" t="str">
        <f>VLOOKUP(Tabel10[[#This Row],[Code]],Ruimtegroepen[[Code]:[Ruimte omschrijving]],2,FALSE)</f>
        <v>Toestelberging</v>
      </c>
      <c r="C902" s="321" t="s">
        <v>1032</v>
      </c>
      <c r="D902" s="320" t="s">
        <v>21</v>
      </c>
      <c r="E902" s="321" t="s">
        <v>99</v>
      </c>
      <c r="F902" s="321" t="s">
        <v>1034</v>
      </c>
      <c r="G902" s="326" t="s">
        <v>282</v>
      </c>
      <c r="H902" s="322" t="s">
        <v>20</v>
      </c>
      <c r="I902" s="322" t="s">
        <v>282</v>
      </c>
      <c r="J902" s="322" t="s">
        <v>282</v>
      </c>
      <c r="K902" s="322" t="s">
        <v>282</v>
      </c>
      <c r="L902" s="322" t="s">
        <v>282</v>
      </c>
      <c r="M902" s="322" t="s">
        <v>282</v>
      </c>
      <c r="N902" s="322" t="s">
        <v>282</v>
      </c>
      <c r="O902" s="323" t="s">
        <v>20</v>
      </c>
      <c r="P902" s="323" t="s">
        <v>20</v>
      </c>
      <c r="Q902" s="323" t="s">
        <v>15</v>
      </c>
      <c r="R902" s="323" t="s">
        <v>15</v>
      </c>
      <c r="S902" s="323" t="s">
        <v>16</v>
      </c>
      <c r="T902" s="323" t="s">
        <v>329</v>
      </c>
      <c r="U902" s="323" t="s">
        <v>249</v>
      </c>
      <c r="V902" s="323" t="s">
        <v>282</v>
      </c>
      <c r="W902" s="324" t="s">
        <v>282</v>
      </c>
      <c r="X902" s="324" t="s">
        <v>282</v>
      </c>
      <c r="Y902" s="325" t="s">
        <v>282</v>
      </c>
    </row>
    <row r="903" spans="1:25">
      <c r="A903" s="319">
        <v>17</v>
      </c>
      <c r="B903" s="320" t="str">
        <f>VLOOKUP(Tabel10[[#This Row],[Code]],Ruimtegroepen[[Code]:[Ruimte omschrijving]],2,FALSE)</f>
        <v>Toestelberging</v>
      </c>
      <c r="C903" s="321" t="s">
        <v>1032</v>
      </c>
      <c r="D903" s="320" t="s">
        <v>21</v>
      </c>
      <c r="E903" s="321" t="s">
        <v>1306</v>
      </c>
      <c r="F903" s="321" t="s">
        <v>1454</v>
      </c>
      <c r="G903" s="326" t="s">
        <v>282</v>
      </c>
      <c r="H903" s="322" t="s">
        <v>282</v>
      </c>
      <c r="I903" s="322" t="s">
        <v>18</v>
      </c>
      <c r="J903" s="322" t="s">
        <v>15</v>
      </c>
      <c r="K903" s="322" t="s">
        <v>283</v>
      </c>
      <c r="L903" s="322" t="s">
        <v>282</v>
      </c>
      <c r="M903" s="322" t="s">
        <v>282</v>
      </c>
      <c r="N903" s="322" t="s">
        <v>282</v>
      </c>
      <c r="O903" s="323" t="s">
        <v>20</v>
      </c>
      <c r="P903" s="323" t="s">
        <v>20</v>
      </c>
      <c r="Q903" s="323" t="s">
        <v>15</v>
      </c>
      <c r="R903" s="323" t="s">
        <v>15</v>
      </c>
      <c r="S903" s="323" t="s">
        <v>16</v>
      </c>
      <c r="T903" s="323" t="s">
        <v>329</v>
      </c>
      <c r="U903" s="323" t="s">
        <v>249</v>
      </c>
      <c r="V903" s="323" t="s">
        <v>282</v>
      </c>
      <c r="W903" s="324" t="s">
        <v>282</v>
      </c>
      <c r="X903" s="324" t="s">
        <v>282</v>
      </c>
      <c r="Y903" s="325" t="s">
        <v>282</v>
      </c>
    </row>
    <row r="904" spans="1:25">
      <c r="A904" s="319">
        <v>17</v>
      </c>
      <c r="B904" s="320" t="str">
        <f>VLOOKUP(Tabel10[[#This Row],[Code]],Ruimtegroepen[[Code]:[Ruimte omschrijving]],2,FALSE)</f>
        <v>Toestelberging</v>
      </c>
      <c r="C904" s="321" t="s">
        <v>1037</v>
      </c>
      <c r="D904" s="320" t="s">
        <v>12</v>
      </c>
      <c r="E904" s="321" t="s">
        <v>100</v>
      </c>
      <c r="F904" s="321" t="s">
        <v>1038</v>
      </c>
      <c r="G904" s="326" t="s">
        <v>282</v>
      </c>
      <c r="H904" s="322" t="s">
        <v>282</v>
      </c>
      <c r="I904" s="322" t="s">
        <v>17</v>
      </c>
      <c r="J904" s="322" t="s">
        <v>15</v>
      </c>
      <c r="K904" s="322" t="s">
        <v>282</v>
      </c>
      <c r="L904" s="322" t="s">
        <v>282</v>
      </c>
      <c r="M904" s="322" t="s">
        <v>282</v>
      </c>
      <c r="N904" s="322" t="s">
        <v>282</v>
      </c>
      <c r="O904" s="323" t="s">
        <v>18</v>
      </c>
      <c r="P904" s="323" t="s">
        <v>18</v>
      </c>
      <c r="Q904" s="323" t="s">
        <v>15</v>
      </c>
      <c r="R904" s="323" t="s">
        <v>15</v>
      </c>
      <c r="S904" s="323" t="s">
        <v>16</v>
      </c>
      <c r="T904" s="323" t="s">
        <v>329</v>
      </c>
      <c r="U904" s="323" t="s">
        <v>249</v>
      </c>
      <c r="V904" s="323" t="s">
        <v>282</v>
      </c>
      <c r="W904" s="324" t="s">
        <v>282</v>
      </c>
      <c r="X904" s="324" t="s">
        <v>282</v>
      </c>
      <c r="Y904" s="325" t="s">
        <v>282</v>
      </c>
    </row>
    <row r="905" spans="1:25">
      <c r="A905" s="319">
        <v>17</v>
      </c>
      <c r="B905" s="320" t="str">
        <f>VLOOKUP(Tabel10[[#This Row],[Code]],Ruimtegroepen[[Code]:[Ruimte omschrijving]],2,FALSE)</f>
        <v>Toestelberging</v>
      </c>
      <c r="C905" s="321" t="s">
        <v>1037</v>
      </c>
      <c r="D905" s="320" t="s">
        <v>12</v>
      </c>
      <c r="E905" s="321" t="s">
        <v>99</v>
      </c>
      <c r="F905" s="321" t="s">
        <v>1039</v>
      </c>
      <c r="G905" s="322" t="s">
        <v>17</v>
      </c>
      <c r="H905" s="322" t="s">
        <v>15</v>
      </c>
      <c r="I905" s="322" t="s">
        <v>282</v>
      </c>
      <c r="J905" s="322" t="s">
        <v>282</v>
      </c>
      <c r="K905" s="322" t="s">
        <v>282</v>
      </c>
      <c r="L905" s="322" t="s">
        <v>282</v>
      </c>
      <c r="M905" s="322" t="s">
        <v>282</v>
      </c>
      <c r="N905" s="322" t="s">
        <v>282</v>
      </c>
      <c r="O905" s="323" t="s">
        <v>18</v>
      </c>
      <c r="P905" s="323" t="s">
        <v>18</v>
      </c>
      <c r="Q905" s="323" t="s">
        <v>15</v>
      </c>
      <c r="R905" s="323" t="s">
        <v>15</v>
      </c>
      <c r="S905" s="323" t="s">
        <v>16</v>
      </c>
      <c r="T905" s="323" t="s">
        <v>329</v>
      </c>
      <c r="U905" s="323" t="s">
        <v>249</v>
      </c>
      <c r="V905" s="323" t="s">
        <v>282</v>
      </c>
      <c r="W905" s="324" t="s">
        <v>282</v>
      </c>
      <c r="X905" s="324" t="s">
        <v>282</v>
      </c>
      <c r="Y905" s="325" t="s">
        <v>282</v>
      </c>
    </row>
    <row r="906" spans="1:25">
      <c r="A906" s="319">
        <v>17</v>
      </c>
      <c r="B906" s="320" t="str">
        <f>VLOOKUP(Tabel10[[#This Row],[Code]],Ruimtegroepen[[Code]:[Ruimte omschrijving]],2,FALSE)</f>
        <v>Toestelberging</v>
      </c>
      <c r="C906" s="321" t="s">
        <v>1037</v>
      </c>
      <c r="D906" s="320" t="s">
        <v>12</v>
      </c>
      <c r="E906" s="321" t="s">
        <v>101</v>
      </c>
      <c r="F906" s="321" t="s">
        <v>1040</v>
      </c>
      <c r="G906" s="326" t="s">
        <v>282</v>
      </c>
      <c r="H906" s="322" t="s">
        <v>282</v>
      </c>
      <c r="I906" s="322" t="s">
        <v>17</v>
      </c>
      <c r="J906" s="322" t="s">
        <v>15</v>
      </c>
      <c r="K906" s="322" t="s">
        <v>283</v>
      </c>
      <c r="L906" s="322" t="s">
        <v>282</v>
      </c>
      <c r="M906" s="322" t="s">
        <v>282</v>
      </c>
      <c r="N906" s="322" t="s">
        <v>282</v>
      </c>
      <c r="O906" s="323" t="s">
        <v>18</v>
      </c>
      <c r="P906" s="323" t="s">
        <v>18</v>
      </c>
      <c r="Q906" s="323" t="s">
        <v>15</v>
      </c>
      <c r="R906" s="323" t="s">
        <v>15</v>
      </c>
      <c r="S906" s="323" t="s">
        <v>16</v>
      </c>
      <c r="T906" s="323" t="s">
        <v>329</v>
      </c>
      <c r="U906" s="323" t="s">
        <v>249</v>
      </c>
      <c r="V906" s="323" t="s">
        <v>282</v>
      </c>
      <c r="W906" s="324" t="s">
        <v>282</v>
      </c>
      <c r="X906" s="324" t="s">
        <v>282</v>
      </c>
      <c r="Y906" s="325" t="s">
        <v>282</v>
      </c>
    </row>
    <row r="907" spans="1:25">
      <c r="A907" s="319">
        <v>17</v>
      </c>
      <c r="B907" s="320" t="str">
        <f>VLOOKUP(Tabel10[[#This Row],[Code]],Ruimtegroepen[[Code]:[Ruimte omschrijving]],2,FALSE)</f>
        <v>Toestelberging</v>
      </c>
      <c r="C907" s="321" t="s">
        <v>1037</v>
      </c>
      <c r="D907" s="320" t="s">
        <v>12</v>
      </c>
      <c r="E907" s="321" t="s">
        <v>102</v>
      </c>
      <c r="F907" s="321" t="s">
        <v>1041</v>
      </c>
      <c r="G907" s="326" t="s">
        <v>282</v>
      </c>
      <c r="H907" s="322" t="s">
        <v>282</v>
      </c>
      <c r="I907" s="322" t="s">
        <v>17</v>
      </c>
      <c r="J907" s="322" t="s">
        <v>15</v>
      </c>
      <c r="K907" s="322" t="s">
        <v>283</v>
      </c>
      <c r="L907" s="322" t="s">
        <v>282</v>
      </c>
      <c r="M907" s="322" t="s">
        <v>282</v>
      </c>
      <c r="N907" s="322" t="s">
        <v>282</v>
      </c>
      <c r="O907" s="323" t="s">
        <v>18</v>
      </c>
      <c r="P907" s="323" t="s">
        <v>18</v>
      </c>
      <c r="Q907" s="323" t="s">
        <v>15</v>
      </c>
      <c r="R907" s="323" t="s">
        <v>15</v>
      </c>
      <c r="S907" s="323" t="s">
        <v>16</v>
      </c>
      <c r="T907" s="323" t="s">
        <v>329</v>
      </c>
      <c r="U907" s="323" t="s">
        <v>249</v>
      </c>
      <c r="V907" s="323" t="s">
        <v>282</v>
      </c>
      <c r="W907" s="324" t="s">
        <v>282</v>
      </c>
      <c r="X907" s="324" t="s">
        <v>282</v>
      </c>
      <c r="Y907" s="325" t="s">
        <v>282</v>
      </c>
    </row>
    <row r="908" spans="1:25">
      <c r="A908" s="319">
        <v>17</v>
      </c>
      <c r="B908" s="320" t="str">
        <f>VLOOKUP(Tabel10[[#This Row],[Code]],Ruimtegroepen[[Code]:[Ruimte omschrijving]],2,FALSE)</f>
        <v>Toestelberging</v>
      </c>
      <c r="C908" s="321" t="s">
        <v>1037</v>
      </c>
      <c r="D908" s="320" t="s">
        <v>12</v>
      </c>
      <c r="E908" s="321" t="s">
        <v>99</v>
      </c>
      <c r="F908" s="321" t="s">
        <v>1039</v>
      </c>
      <c r="G908" s="326" t="s">
        <v>282</v>
      </c>
      <c r="H908" s="322" t="s">
        <v>18</v>
      </c>
      <c r="I908" s="322" t="s">
        <v>282</v>
      </c>
      <c r="J908" s="322" t="s">
        <v>282</v>
      </c>
      <c r="K908" s="322" t="s">
        <v>282</v>
      </c>
      <c r="L908" s="322" t="s">
        <v>282</v>
      </c>
      <c r="M908" s="322" t="s">
        <v>282</v>
      </c>
      <c r="N908" s="322" t="s">
        <v>282</v>
      </c>
      <c r="O908" s="323" t="s">
        <v>18</v>
      </c>
      <c r="P908" s="323" t="s">
        <v>18</v>
      </c>
      <c r="Q908" s="323" t="s">
        <v>15</v>
      </c>
      <c r="R908" s="323" t="s">
        <v>15</v>
      </c>
      <c r="S908" s="323" t="s">
        <v>16</v>
      </c>
      <c r="T908" s="323" t="s">
        <v>329</v>
      </c>
      <c r="U908" s="323" t="s">
        <v>249</v>
      </c>
      <c r="V908" s="323" t="s">
        <v>282</v>
      </c>
      <c r="W908" s="324" t="s">
        <v>282</v>
      </c>
      <c r="X908" s="324" t="s">
        <v>282</v>
      </c>
      <c r="Y908" s="325" t="s">
        <v>282</v>
      </c>
    </row>
    <row r="909" spans="1:25">
      <c r="A909" s="319">
        <v>17</v>
      </c>
      <c r="B909" s="320" t="str">
        <f>VLOOKUP(Tabel10[[#This Row],[Code]],Ruimtegroepen[[Code]:[Ruimte omschrijving]],2,FALSE)</f>
        <v>Toestelberging</v>
      </c>
      <c r="C909" s="321" t="s">
        <v>1037</v>
      </c>
      <c r="D909" s="320" t="s">
        <v>12</v>
      </c>
      <c r="E909" s="321" t="s">
        <v>1306</v>
      </c>
      <c r="F909" s="321" t="s">
        <v>1436</v>
      </c>
      <c r="G909" s="326" t="s">
        <v>282</v>
      </c>
      <c r="H909" s="322" t="s">
        <v>282</v>
      </c>
      <c r="I909" s="322" t="s">
        <v>17</v>
      </c>
      <c r="J909" s="322" t="s">
        <v>15</v>
      </c>
      <c r="K909" s="322" t="s">
        <v>283</v>
      </c>
      <c r="L909" s="322" t="s">
        <v>282</v>
      </c>
      <c r="M909" s="322" t="s">
        <v>282</v>
      </c>
      <c r="N909" s="322" t="s">
        <v>282</v>
      </c>
      <c r="O909" s="323" t="s">
        <v>18</v>
      </c>
      <c r="P909" s="323" t="s">
        <v>18</v>
      </c>
      <c r="Q909" s="323" t="s">
        <v>15</v>
      </c>
      <c r="R909" s="323" t="s">
        <v>15</v>
      </c>
      <c r="S909" s="323" t="s">
        <v>16</v>
      </c>
      <c r="T909" s="323" t="s">
        <v>329</v>
      </c>
      <c r="U909" s="323" t="s">
        <v>249</v>
      </c>
      <c r="V909" s="323" t="s">
        <v>282</v>
      </c>
      <c r="W909" s="324" t="s">
        <v>282</v>
      </c>
      <c r="X909" s="324" t="s">
        <v>282</v>
      </c>
      <c r="Y909" s="325" t="s">
        <v>282</v>
      </c>
    </row>
    <row r="910" spans="1:25">
      <c r="A910" s="319">
        <v>17</v>
      </c>
      <c r="B910" s="320" t="str">
        <f>VLOOKUP(Tabel10[[#This Row],[Code]],Ruimtegroepen[[Code]:[Ruimte omschrijving]],2,FALSE)</f>
        <v>Toestelberging</v>
      </c>
      <c r="C910" s="321" t="s">
        <v>1042</v>
      </c>
      <c r="D910" s="320" t="s">
        <v>14</v>
      </c>
      <c r="E910" s="321" t="s">
        <v>100</v>
      </c>
      <c r="F910" s="321" t="s">
        <v>1043</v>
      </c>
      <c r="G910" s="326" t="s">
        <v>282</v>
      </c>
      <c r="H910" s="322" t="s">
        <v>282</v>
      </c>
      <c r="I910" s="322" t="s">
        <v>15</v>
      </c>
      <c r="J910" s="322" t="s">
        <v>15</v>
      </c>
      <c r="K910" s="322" t="s">
        <v>282</v>
      </c>
      <c r="L910" s="322" t="s">
        <v>282</v>
      </c>
      <c r="M910" s="322" t="s">
        <v>282</v>
      </c>
      <c r="N910" s="322" t="s">
        <v>282</v>
      </c>
      <c r="O910" s="323" t="s">
        <v>17</v>
      </c>
      <c r="P910" s="323" t="s">
        <v>17</v>
      </c>
      <c r="Q910" s="323" t="s">
        <v>15</v>
      </c>
      <c r="R910" s="323" t="s">
        <v>15</v>
      </c>
      <c r="S910" s="323" t="s">
        <v>16</v>
      </c>
      <c r="T910" s="323" t="s">
        <v>329</v>
      </c>
      <c r="U910" s="323" t="s">
        <v>249</v>
      </c>
      <c r="V910" s="323" t="s">
        <v>282</v>
      </c>
      <c r="W910" s="324" t="s">
        <v>282</v>
      </c>
      <c r="X910" s="324" t="s">
        <v>282</v>
      </c>
      <c r="Y910" s="325" t="s">
        <v>282</v>
      </c>
    </row>
    <row r="911" spans="1:25">
      <c r="A911" s="319">
        <v>17</v>
      </c>
      <c r="B911" s="320" t="str">
        <f>VLOOKUP(Tabel10[[#This Row],[Code]],Ruimtegroepen[[Code]:[Ruimte omschrijving]],2,FALSE)</f>
        <v>Toestelberging</v>
      </c>
      <c r="C911" s="321" t="s">
        <v>1042</v>
      </c>
      <c r="D911" s="320" t="s">
        <v>14</v>
      </c>
      <c r="E911" s="321" t="s">
        <v>99</v>
      </c>
      <c r="F911" s="321" t="s">
        <v>1044</v>
      </c>
      <c r="G911" s="322" t="s">
        <v>15</v>
      </c>
      <c r="H911" s="322" t="s">
        <v>15</v>
      </c>
      <c r="I911" s="322" t="s">
        <v>282</v>
      </c>
      <c r="J911" s="322" t="s">
        <v>282</v>
      </c>
      <c r="K911" s="322" t="s">
        <v>282</v>
      </c>
      <c r="L911" s="322" t="s">
        <v>282</v>
      </c>
      <c r="M911" s="322" t="s">
        <v>282</v>
      </c>
      <c r="N911" s="322" t="s">
        <v>282</v>
      </c>
      <c r="O911" s="323" t="s">
        <v>17</v>
      </c>
      <c r="P911" s="323" t="s">
        <v>17</v>
      </c>
      <c r="Q911" s="323" t="s">
        <v>15</v>
      </c>
      <c r="R911" s="323" t="s">
        <v>15</v>
      </c>
      <c r="S911" s="323" t="s">
        <v>16</v>
      </c>
      <c r="T911" s="323" t="s">
        <v>329</v>
      </c>
      <c r="U911" s="323" t="s">
        <v>249</v>
      </c>
      <c r="V911" s="323" t="s">
        <v>282</v>
      </c>
      <c r="W911" s="324" t="s">
        <v>282</v>
      </c>
      <c r="X911" s="324" t="s">
        <v>282</v>
      </c>
      <c r="Y911" s="325" t="s">
        <v>282</v>
      </c>
    </row>
    <row r="912" spans="1:25">
      <c r="A912" s="319">
        <v>17</v>
      </c>
      <c r="B912" s="320" t="str">
        <f>VLOOKUP(Tabel10[[#This Row],[Code]],Ruimtegroepen[[Code]:[Ruimte omschrijving]],2,FALSE)</f>
        <v>Toestelberging</v>
      </c>
      <c r="C912" s="321" t="s">
        <v>1042</v>
      </c>
      <c r="D912" s="320" t="s">
        <v>14</v>
      </c>
      <c r="E912" s="321" t="s">
        <v>101</v>
      </c>
      <c r="F912" s="321" t="s">
        <v>1045</v>
      </c>
      <c r="G912" s="326" t="s">
        <v>282</v>
      </c>
      <c r="H912" s="322" t="s">
        <v>282</v>
      </c>
      <c r="I912" s="322" t="s">
        <v>15</v>
      </c>
      <c r="J912" s="322" t="s">
        <v>15</v>
      </c>
      <c r="K912" s="322" t="s">
        <v>283</v>
      </c>
      <c r="L912" s="322" t="s">
        <v>282</v>
      </c>
      <c r="M912" s="322" t="s">
        <v>282</v>
      </c>
      <c r="N912" s="322" t="s">
        <v>282</v>
      </c>
      <c r="O912" s="323" t="s">
        <v>17</v>
      </c>
      <c r="P912" s="323" t="s">
        <v>17</v>
      </c>
      <c r="Q912" s="323" t="s">
        <v>15</v>
      </c>
      <c r="R912" s="323" t="s">
        <v>15</v>
      </c>
      <c r="S912" s="323" t="s">
        <v>16</v>
      </c>
      <c r="T912" s="323" t="s">
        <v>329</v>
      </c>
      <c r="U912" s="323" t="s">
        <v>249</v>
      </c>
      <c r="V912" s="323" t="s">
        <v>282</v>
      </c>
      <c r="W912" s="324" t="s">
        <v>282</v>
      </c>
      <c r="X912" s="324" t="s">
        <v>282</v>
      </c>
      <c r="Y912" s="325" t="s">
        <v>282</v>
      </c>
    </row>
    <row r="913" spans="1:25">
      <c r="A913" s="319">
        <v>17</v>
      </c>
      <c r="B913" s="320" t="str">
        <f>VLOOKUP(Tabel10[[#This Row],[Code]],Ruimtegroepen[[Code]:[Ruimte omschrijving]],2,FALSE)</f>
        <v>Toestelberging</v>
      </c>
      <c r="C913" s="321" t="s">
        <v>1042</v>
      </c>
      <c r="D913" s="320" t="s">
        <v>14</v>
      </c>
      <c r="E913" s="321" t="s">
        <v>102</v>
      </c>
      <c r="F913" s="321" t="s">
        <v>1046</v>
      </c>
      <c r="G913" s="326" t="s">
        <v>282</v>
      </c>
      <c r="H913" s="322" t="s">
        <v>282</v>
      </c>
      <c r="I913" s="322" t="s">
        <v>15</v>
      </c>
      <c r="J913" s="322" t="s">
        <v>15</v>
      </c>
      <c r="K913" s="322" t="s">
        <v>283</v>
      </c>
      <c r="L913" s="322" t="s">
        <v>282</v>
      </c>
      <c r="M913" s="322" t="s">
        <v>282</v>
      </c>
      <c r="N913" s="322" t="s">
        <v>282</v>
      </c>
      <c r="O913" s="323" t="s">
        <v>17</v>
      </c>
      <c r="P913" s="323" t="s">
        <v>17</v>
      </c>
      <c r="Q913" s="323" t="s">
        <v>15</v>
      </c>
      <c r="R913" s="323" t="s">
        <v>15</v>
      </c>
      <c r="S913" s="323" t="s">
        <v>16</v>
      </c>
      <c r="T913" s="323" t="s">
        <v>329</v>
      </c>
      <c r="U913" s="323" t="s">
        <v>249</v>
      </c>
      <c r="V913" s="323" t="s">
        <v>282</v>
      </c>
      <c r="W913" s="324" t="s">
        <v>282</v>
      </c>
      <c r="X913" s="324" t="s">
        <v>282</v>
      </c>
      <c r="Y913" s="325" t="s">
        <v>282</v>
      </c>
    </row>
    <row r="914" spans="1:25">
      <c r="A914" s="319">
        <v>17</v>
      </c>
      <c r="B914" s="320" t="str">
        <f>VLOOKUP(Tabel10[[#This Row],[Code]],Ruimtegroepen[[Code]:[Ruimte omschrijving]],2,FALSE)</f>
        <v>Toestelberging</v>
      </c>
      <c r="C914" s="321" t="s">
        <v>1042</v>
      </c>
      <c r="D914" s="320" t="s">
        <v>14</v>
      </c>
      <c r="E914" s="321" t="s">
        <v>99</v>
      </c>
      <c r="F914" s="321" t="s">
        <v>1044</v>
      </c>
      <c r="G914" s="326" t="s">
        <v>282</v>
      </c>
      <c r="H914" s="322" t="s">
        <v>17</v>
      </c>
      <c r="I914" s="322" t="s">
        <v>282</v>
      </c>
      <c r="J914" s="322" t="s">
        <v>282</v>
      </c>
      <c r="K914" s="322" t="s">
        <v>282</v>
      </c>
      <c r="L914" s="322" t="s">
        <v>282</v>
      </c>
      <c r="M914" s="322" t="s">
        <v>282</v>
      </c>
      <c r="N914" s="322" t="s">
        <v>282</v>
      </c>
      <c r="O914" s="323" t="s">
        <v>17</v>
      </c>
      <c r="P914" s="323" t="s">
        <v>17</v>
      </c>
      <c r="Q914" s="323" t="s">
        <v>15</v>
      </c>
      <c r="R914" s="323" t="s">
        <v>15</v>
      </c>
      <c r="S914" s="323" t="s">
        <v>16</v>
      </c>
      <c r="T914" s="323" t="s">
        <v>329</v>
      </c>
      <c r="U914" s="323" t="s">
        <v>249</v>
      </c>
      <c r="V914" s="323" t="s">
        <v>282</v>
      </c>
      <c r="W914" s="324" t="s">
        <v>282</v>
      </c>
      <c r="X914" s="324" t="s">
        <v>282</v>
      </c>
      <c r="Y914" s="325" t="s">
        <v>282</v>
      </c>
    </row>
    <row r="915" spans="1:25">
      <c r="A915" s="319">
        <v>17</v>
      </c>
      <c r="B915" s="320" t="str">
        <f>VLOOKUP(Tabel10[[#This Row],[Code]],Ruimtegroepen[[Code]:[Ruimte omschrijving]],2,FALSE)</f>
        <v>Toestelberging</v>
      </c>
      <c r="C915" s="321" t="s">
        <v>1042</v>
      </c>
      <c r="D915" s="320" t="s">
        <v>14</v>
      </c>
      <c r="E915" s="321" t="s">
        <v>1306</v>
      </c>
      <c r="F915" s="321" t="s">
        <v>1403</v>
      </c>
      <c r="G915" s="326" t="s">
        <v>282</v>
      </c>
      <c r="H915" s="322" t="s">
        <v>282</v>
      </c>
      <c r="I915" s="322" t="s">
        <v>15</v>
      </c>
      <c r="J915" s="322" t="s">
        <v>15</v>
      </c>
      <c r="K915" s="322" t="s">
        <v>283</v>
      </c>
      <c r="L915" s="322" t="s">
        <v>282</v>
      </c>
      <c r="M915" s="322" t="s">
        <v>282</v>
      </c>
      <c r="N915" s="322" t="s">
        <v>282</v>
      </c>
      <c r="O915" s="323" t="s">
        <v>17</v>
      </c>
      <c r="P915" s="323" t="s">
        <v>17</v>
      </c>
      <c r="Q915" s="323" t="s">
        <v>15</v>
      </c>
      <c r="R915" s="323" t="s">
        <v>15</v>
      </c>
      <c r="S915" s="323" t="s">
        <v>16</v>
      </c>
      <c r="T915" s="323" t="s">
        <v>329</v>
      </c>
      <c r="U915" s="323" t="s">
        <v>249</v>
      </c>
      <c r="V915" s="323" t="s">
        <v>282</v>
      </c>
      <c r="W915" s="324" t="s">
        <v>282</v>
      </c>
      <c r="X915" s="324" t="s">
        <v>282</v>
      </c>
      <c r="Y915" s="325" t="s">
        <v>282</v>
      </c>
    </row>
    <row r="916" spans="1:25">
      <c r="A916" s="319">
        <v>17</v>
      </c>
      <c r="B916" s="320" t="str">
        <f>VLOOKUP(Tabel10[[#This Row],[Code]],Ruimtegroepen[[Code]:[Ruimte omschrijving]],2,FALSE)</f>
        <v>Toestelberging</v>
      </c>
      <c r="C916" s="321" t="s">
        <v>1047</v>
      </c>
      <c r="D916" s="320" t="s">
        <v>13</v>
      </c>
      <c r="E916" s="321" t="s">
        <v>100</v>
      </c>
      <c r="F916" s="321" t="s">
        <v>1048</v>
      </c>
      <c r="G916" s="326" t="s">
        <v>282</v>
      </c>
      <c r="H916" s="322" t="s">
        <v>282</v>
      </c>
      <c r="I916" s="322" t="s">
        <v>282</v>
      </c>
      <c r="J916" s="322" t="s">
        <v>15</v>
      </c>
      <c r="K916" s="322" t="s">
        <v>282</v>
      </c>
      <c r="L916" s="322" t="s">
        <v>282</v>
      </c>
      <c r="M916" s="322" t="s">
        <v>282</v>
      </c>
      <c r="N916" s="322" t="s">
        <v>282</v>
      </c>
      <c r="O916" s="323" t="s">
        <v>15</v>
      </c>
      <c r="P916" s="323" t="s">
        <v>15</v>
      </c>
      <c r="Q916" s="323" t="s">
        <v>15</v>
      </c>
      <c r="R916" s="323" t="s">
        <v>15</v>
      </c>
      <c r="S916" s="323" t="s">
        <v>16</v>
      </c>
      <c r="T916" s="323" t="s">
        <v>329</v>
      </c>
      <c r="U916" s="323" t="s">
        <v>249</v>
      </c>
      <c r="V916" s="323" t="s">
        <v>282</v>
      </c>
      <c r="W916" s="324" t="s">
        <v>282</v>
      </c>
      <c r="X916" s="324" t="s">
        <v>282</v>
      </c>
      <c r="Y916" s="325" t="s">
        <v>282</v>
      </c>
    </row>
    <row r="917" spans="1:25">
      <c r="A917" s="319">
        <v>17</v>
      </c>
      <c r="B917" s="320" t="str">
        <f>VLOOKUP(Tabel10[[#This Row],[Code]],Ruimtegroepen[[Code]:[Ruimte omschrijving]],2,FALSE)</f>
        <v>Toestelberging</v>
      </c>
      <c r="C917" s="321" t="s">
        <v>1047</v>
      </c>
      <c r="D917" s="320" t="s">
        <v>13</v>
      </c>
      <c r="E917" s="321" t="s">
        <v>99</v>
      </c>
      <c r="F917" s="321" t="s">
        <v>1049</v>
      </c>
      <c r="G917" s="326" t="s">
        <v>282</v>
      </c>
      <c r="H917" s="322" t="s">
        <v>15</v>
      </c>
      <c r="I917" s="322" t="s">
        <v>282</v>
      </c>
      <c r="J917" s="322" t="s">
        <v>282</v>
      </c>
      <c r="K917" s="322" t="s">
        <v>282</v>
      </c>
      <c r="L917" s="322" t="s">
        <v>282</v>
      </c>
      <c r="M917" s="322" t="s">
        <v>282</v>
      </c>
      <c r="N917" s="322" t="s">
        <v>282</v>
      </c>
      <c r="O917" s="323" t="s">
        <v>15</v>
      </c>
      <c r="P917" s="323" t="s">
        <v>15</v>
      </c>
      <c r="Q917" s="323" t="s">
        <v>15</v>
      </c>
      <c r="R917" s="323" t="s">
        <v>15</v>
      </c>
      <c r="S917" s="323" t="s">
        <v>16</v>
      </c>
      <c r="T917" s="323" t="s">
        <v>329</v>
      </c>
      <c r="U917" s="323" t="s">
        <v>249</v>
      </c>
      <c r="V917" s="323" t="s">
        <v>282</v>
      </c>
      <c r="W917" s="324" t="s">
        <v>282</v>
      </c>
      <c r="X917" s="324" t="s">
        <v>282</v>
      </c>
      <c r="Y917" s="325" t="s">
        <v>282</v>
      </c>
    </row>
    <row r="918" spans="1:25">
      <c r="A918" s="319">
        <v>17</v>
      </c>
      <c r="B918" s="320" t="str">
        <f>VLOOKUP(Tabel10[[#This Row],[Code]],Ruimtegroepen[[Code]:[Ruimte omschrijving]],2,FALSE)</f>
        <v>Toestelberging</v>
      </c>
      <c r="C918" s="321" t="s">
        <v>1047</v>
      </c>
      <c r="D918" s="320" t="s">
        <v>13</v>
      </c>
      <c r="E918" s="321" t="s">
        <v>101</v>
      </c>
      <c r="F918" s="321" t="s">
        <v>1050</v>
      </c>
      <c r="G918" s="326" t="s">
        <v>282</v>
      </c>
      <c r="H918" s="322" t="s">
        <v>282</v>
      </c>
      <c r="I918" s="322" t="s">
        <v>282</v>
      </c>
      <c r="J918" s="322" t="s">
        <v>15</v>
      </c>
      <c r="K918" s="322" t="s">
        <v>283</v>
      </c>
      <c r="L918" s="322" t="s">
        <v>282</v>
      </c>
      <c r="M918" s="322" t="s">
        <v>282</v>
      </c>
      <c r="N918" s="322" t="s">
        <v>282</v>
      </c>
      <c r="O918" s="323" t="s">
        <v>15</v>
      </c>
      <c r="P918" s="323" t="s">
        <v>15</v>
      </c>
      <c r="Q918" s="323" t="s">
        <v>15</v>
      </c>
      <c r="R918" s="323" t="s">
        <v>15</v>
      </c>
      <c r="S918" s="323" t="s">
        <v>16</v>
      </c>
      <c r="T918" s="323" t="s">
        <v>329</v>
      </c>
      <c r="U918" s="323" t="s">
        <v>249</v>
      </c>
      <c r="V918" s="323" t="s">
        <v>282</v>
      </c>
      <c r="W918" s="324" t="s">
        <v>282</v>
      </c>
      <c r="X918" s="324" t="s">
        <v>282</v>
      </c>
      <c r="Y918" s="325" t="s">
        <v>282</v>
      </c>
    </row>
    <row r="919" spans="1:25">
      <c r="A919" s="319">
        <v>17</v>
      </c>
      <c r="B919" s="320" t="str">
        <f>VLOOKUP(Tabel10[[#This Row],[Code]],Ruimtegroepen[[Code]:[Ruimte omschrijving]],2,FALSE)</f>
        <v>Toestelberging</v>
      </c>
      <c r="C919" s="321" t="s">
        <v>1047</v>
      </c>
      <c r="D919" s="320" t="s">
        <v>13</v>
      </c>
      <c r="E919" s="321" t="s">
        <v>102</v>
      </c>
      <c r="F919" s="321" t="s">
        <v>1051</v>
      </c>
      <c r="G919" s="326" t="s">
        <v>282</v>
      </c>
      <c r="H919" s="322" t="s">
        <v>282</v>
      </c>
      <c r="I919" s="322" t="s">
        <v>282</v>
      </c>
      <c r="J919" s="322" t="s">
        <v>15</v>
      </c>
      <c r="K919" s="322" t="s">
        <v>283</v>
      </c>
      <c r="L919" s="322" t="s">
        <v>282</v>
      </c>
      <c r="M919" s="322" t="s">
        <v>282</v>
      </c>
      <c r="N919" s="322" t="s">
        <v>282</v>
      </c>
      <c r="O919" s="323" t="s">
        <v>15</v>
      </c>
      <c r="P919" s="323" t="s">
        <v>15</v>
      </c>
      <c r="Q919" s="323" t="s">
        <v>15</v>
      </c>
      <c r="R919" s="323" t="s">
        <v>15</v>
      </c>
      <c r="S919" s="323" t="s">
        <v>16</v>
      </c>
      <c r="T919" s="323" t="s">
        <v>329</v>
      </c>
      <c r="U919" s="323" t="s">
        <v>249</v>
      </c>
      <c r="V919" s="323" t="s">
        <v>282</v>
      </c>
      <c r="W919" s="324" t="s">
        <v>282</v>
      </c>
      <c r="X919" s="324" t="s">
        <v>282</v>
      </c>
      <c r="Y919" s="325" t="s">
        <v>282</v>
      </c>
    </row>
    <row r="920" spans="1:25">
      <c r="A920" s="319">
        <v>17</v>
      </c>
      <c r="B920" s="320" t="str">
        <f>VLOOKUP(Tabel10[[#This Row],[Code]],Ruimtegroepen[[Code]:[Ruimte omschrijving]],2,FALSE)</f>
        <v>Toestelberging</v>
      </c>
      <c r="C920" s="321" t="s">
        <v>1047</v>
      </c>
      <c r="D920" s="320" t="s">
        <v>13</v>
      </c>
      <c r="E920" s="321" t="s">
        <v>99</v>
      </c>
      <c r="F920" s="321" t="s">
        <v>1049</v>
      </c>
      <c r="G920" s="326" t="s">
        <v>282</v>
      </c>
      <c r="H920" s="322" t="s">
        <v>15</v>
      </c>
      <c r="I920" s="322" t="s">
        <v>282</v>
      </c>
      <c r="J920" s="322" t="s">
        <v>282</v>
      </c>
      <c r="K920" s="322" t="s">
        <v>282</v>
      </c>
      <c r="L920" s="322" t="s">
        <v>282</v>
      </c>
      <c r="M920" s="322" t="s">
        <v>282</v>
      </c>
      <c r="N920" s="322" t="s">
        <v>282</v>
      </c>
      <c r="O920" s="323" t="s">
        <v>15</v>
      </c>
      <c r="P920" s="323" t="s">
        <v>15</v>
      </c>
      <c r="Q920" s="323" t="s">
        <v>15</v>
      </c>
      <c r="R920" s="323" t="s">
        <v>15</v>
      </c>
      <c r="S920" s="323" t="s">
        <v>16</v>
      </c>
      <c r="T920" s="323" t="s">
        <v>329</v>
      </c>
      <c r="U920" s="323" t="s">
        <v>249</v>
      </c>
      <c r="V920" s="323" t="s">
        <v>282</v>
      </c>
      <c r="W920" s="324" t="s">
        <v>282</v>
      </c>
      <c r="X920" s="324" t="s">
        <v>282</v>
      </c>
      <c r="Y920" s="325" t="s">
        <v>282</v>
      </c>
    </row>
    <row r="921" spans="1:25">
      <c r="A921" s="319">
        <v>17</v>
      </c>
      <c r="B921" s="320" t="str">
        <f>VLOOKUP(Tabel10[[#This Row],[Code]],Ruimtegroepen[[Code]:[Ruimte omschrijving]],2,FALSE)</f>
        <v>Toestelberging</v>
      </c>
      <c r="C921" s="321" t="s">
        <v>1047</v>
      </c>
      <c r="D921" s="320" t="s">
        <v>13</v>
      </c>
      <c r="E921" s="321" t="s">
        <v>1306</v>
      </c>
      <c r="F921" s="321" t="s">
        <v>1370</v>
      </c>
      <c r="G921" s="326" t="s">
        <v>282</v>
      </c>
      <c r="H921" s="322" t="s">
        <v>282</v>
      </c>
      <c r="I921" s="322" t="s">
        <v>282</v>
      </c>
      <c r="J921" s="322" t="s">
        <v>15</v>
      </c>
      <c r="K921" s="322" t="s">
        <v>283</v>
      </c>
      <c r="L921" s="322" t="s">
        <v>282</v>
      </c>
      <c r="M921" s="322" t="s">
        <v>282</v>
      </c>
      <c r="N921" s="322" t="s">
        <v>282</v>
      </c>
      <c r="O921" s="323" t="s">
        <v>15</v>
      </c>
      <c r="P921" s="323" t="s">
        <v>15</v>
      </c>
      <c r="Q921" s="323" t="s">
        <v>15</v>
      </c>
      <c r="R921" s="323" t="s">
        <v>15</v>
      </c>
      <c r="S921" s="323" t="s">
        <v>16</v>
      </c>
      <c r="T921" s="323" t="s">
        <v>329</v>
      </c>
      <c r="U921" s="323" t="s">
        <v>249</v>
      </c>
      <c r="V921" s="323" t="s">
        <v>282</v>
      </c>
      <c r="W921" s="324" t="s">
        <v>282</v>
      </c>
      <c r="X921" s="324" t="s">
        <v>282</v>
      </c>
      <c r="Y921" s="325" t="s">
        <v>282</v>
      </c>
    </row>
    <row r="922" spans="1:25">
      <c r="A922" s="319">
        <v>17</v>
      </c>
      <c r="B922" s="320" t="str">
        <f>VLOOKUP(Tabel10[[#This Row],[Code]],Ruimtegroepen[[Code]:[Ruimte omschrijving]],2,FALSE)</f>
        <v>Toestelberging</v>
      </c>
      <c r="C922" s="321" t="s">
        <v>1052</v>
      </c>
      <c r="D922" s="320" t="s">
        <v>0</v>
      </c>
      <c r="E922" s="321" t="s">
        <v>100</v>
      </c>
      <c r="F922" s="321" t="s">
        <v>1053</v>
      </c>
      <c r="G922" s="326" t="s">
        <v>282</v>
      </c>
      <c r="H922" s="322" t="s">
        <v>282</v>
      </c>
      <c r="I922" s="322" t="s">
        <v>16</v>
      </c>
      <c r="J922" s="322" t="s">
        <v>282</v>
      </c>
      <c r="K922" s="322" t="s">
        <v>282</v>
      </c>
      <c r="L922" s="322" t="s">
        <v>282</v>
      </c>
      <c r="M922" s="322" t="s">
        <v>282</v>
      </c>
      <c r="N922" s="322" t="s">
        <v>282</v>
      </c>
      <c r="O922" s="323" t="s">
        <v>16</v>
      </c>
      <c r="P922" s="323" t="s">
        <v>16</v>
      </c>
      <c r="Q922" s="323" t="s">
        <v>16</v>
      </c>
      <c r="R922" s="323" t="s">
        <v>16</v>
      </c>
      <c r="S922" s="323" t="s">
        <v>16</v>
      </c>
      <c r="T922" s="323" t="s">
        <v>329</v>
      </c>
      <c r="U922" s="323" t="s">
        <v>249</v>
      </c>
      <c r="V922" s="323" t="s">
        <v>282</v>
      </c>
      <c r="W922" s="324" t="s">
        <v>282</v>
      </c>
      <c r="X922" s="324" t="s">
        <v>282</v>
      </c>
      <c r="Y922" s="325" t="s">
        <v>282</v>
      </c>
    </row>
    <row r="923" spans="1:25">
      <c r="A923" s="319">
        <v>17</v>
      </c>
      <c r="B923" s="320" t="str">
        <f>VLOOKUP(Tabel10[[#This Row],[Code]],Ruimtegroepen[[Code]:[Ruimte omschrijving]],2,FALSE)</f>
        <v>Toestelberging</v>
      </c>
      <c r="C923" s="321" t="s">
        <v>1052</v>
      </c>
      <c r="D923" s="320" t="s">
        <v>0</v>
      </c>
      <c r="E923" s="321" t="s">
        <v>99</v>
      </c>
      <c r="F923" s="321" t="s">
        <v>1054</v>
      </c>
      <c r="G923" s="326" t="s">
        <v>282</v>
      </c>
      <c r="H923" s="322" t="s">
        <v>16</v>
      </c>
      <c r="I923" s="322" t="s">
        <v>282</v>
      </c>
      <c r="J923" s="322" t="s">
        <v>282</v>
      </c>
      <c r="K923" s="322" t="s">
        <v>282</v>
      </c>
      <c r="L923" s="322" t="s">
        <v>282</v>
      </c>
      <c r="M923" s="322" t="s">
        <v>282</v>
      </c>
      <c r="N923" s="322" t="s">
        <v>282</v>
      </c>
      <c r="O923" s="323" t="s">
        <v>16</v>
      </c>
      <c r="P923" s="323" t="s">
        <v>16</v>
      </c>
      <c r="Q923" s="323" t="s">
        <v>16</v>
      </c>
      <c r="R923" s="323" t="s">
        <v>16</v>
      </c>
      <c r="S923" s="323" t="s">
        <v>16</v>
      </c>
      <c r="T923" s="323" t="s">
        <v>329</v>
      </c>
      <c r="U923" s="323" t="s">
        <v>249</v>
      </c>
      <c r="V923" s="323" t="s">
        <v>282</v>
      </c>
      <c r="W923" s="324" t="s">
        <v>282</v>
      </c>
      <c r="X923" s="324" t="s">
        <v>282</v>
      </c>
      <c r="Y923" s="325" t="s">
        <v>282</v>
      </c>
    </row>
    <row r="924" spans="1:25">
      <c r="A924" s="319">
        <v>17</v>
      </c>
      <c r="B924" s="320" t="str">
        <f>VLOOKUP(Tabel10[[#This Row],[Code]],Ruimtegroepen[[Code]:[Ruimte omschrijving]],2,FALSE)</f>
        <v>Toestelberging</v>
      </c>
      <c r="C924" s="321" t="s">
        <v>1052</v>
      </c>
      <c r="D924" s="320" t="s">
        <v>0</v>
      </c>
      <c r="E924" s="321" t="s">
        <v>101</v>
      </c>
      <c r="F924" s="321" t="s">
        <v>1055</v>
      </c>
      <c r="G924" s="326" t="s">
        <v>282</v>
      </c>
      <c r="H924" s="322" t="s">
        <v>282</v>
      </c>
      <c r="I924" s="322" t="s">
        <v>16</v>
      </c>
      <c r="J924" s="322" t="s">
        <v>282</v>
      </c>
      <c r="K924" s="322" t="s">
        <v>283</v>
      </c>
      <c r="L924" s="322" t="s">
        <v>282</v>
      </c>
      <c r="M924" s="322" t="s">
        <v>282</v>
      </c>
      <c r="N924" s="322" t="s">
        <v>282</v>
      </c>
      <c r="O924" s="323" t="s">
        <v>16</v>
      </c>
      <c r="P924" s="323" t="s">
        <v>16</v>
      </c>
      <c r="Q924" s="323" t="s">
        <v>16</v>
      </c>
      <c r="R924" s="323" t="s">
        <v>16</v>
      </c>
      <c r="S924" s="323" t="s">
        <v>16</v>
      </c>
      <c r="T924" s="323" t="s">
        <v>329</v>
      </c>
      <c r="U924" s="323" t="s">
        <v>249</v>
      </c>
      <c r="V924" s="323" t="s">
        <v>282</v>
      </c>
      <c r="W924" s="324" t="s">
        <v>282</v>
      </c>
      <c r="X924" s="324" t="s">
        <v>282</v>
      </c>
      <c r="Y924" s="325" t="s">
        <v>282</v>
      </c>
    </row>
    <row r="925" spans="1:25">
      <c r="A925" s="319">
        <v>17</v>
      </c>
      <c r="B925" s="320" t="str">
        <f>VLOOKUP(Tabel10[[#This Row],[Code]],Ruimtegroepen[[Code]:[Ruimte omschrijving]],2,FALSE)</f>
        <v>Toestelberging</v>
      </c>
      <c r="C925" s="321" t="s">
        <v>1052</v>
      </c>
      <c r="D925" s="320" t="s">
        <v>0</v>
      </c>
      <c r="E925" s="321" t="s">
        <v>102</v>
      </c>
      <c r="F925" s="321" t="s">
        <v>1056</v>
      </c>
      <c r="G925" s="326" t="s">
        <v>282</v>
      </c>
      <c r="H925" s="322" t="s">
        <v>282</v>
      </c>
      <c r="I925" s="322" t="s">
        <v>16</v>
      </c>
      <c r="J925" s="322" t="s">
        <v>282</v>
      </c>
      <c r="K925" s="322" t="s">
        <v>283</v>
      </c>
      <c r="L925" s="322" t="s">
        <v>282</v>
      </c>
      <c r="M925" s="322" t="s">
        <v>282</v>
      </c>
      <c r="N925" s="322" t="s">
        <v>282</v>
      </c>
      <c r="O925" s="323" t="s">
        <v>16</v>
      </c>
      <c r="P925" s="323" t="s">
        <v>16</v>
      </c>
      <c r="Q925" s="323" t="s">
        <v>16</v>
      </c>
      <c r="R925" s="323" t="s">
        <v>16</v>
      </c>
      <c r="S925" s="323" t="s">
        <v>16</v>
      </c>
      <c r="T925" s="323" t="s">
        <v>329</v>
      </c>
      <c r="U925" s="323" t="s">
        <v>249</v>
      </c>
      <c r="V925" s="323" t="s">
        <v>282</v>
      </c>
      <c r="W925" s="324" t="s">
        <v>282</v>
      </c>
      <c r="X925" s="324" t="s">
        <v>282</v>
      </c>
      <c r="Y925" s="325" t="s">
        <v>282</v>
      </c>
    </row>
    <row r="926" spans="1:25">
      <c r="A926" s="319">
        <v>17</v>
      </c>
      <c r="B926" s="320" t="str">
        <f>VLOOKUP(Tabel10[[#This Row],[Code]],Ruimtegroepen[[Code]:[Ruimte omschrijving]],2,FALSE)</f>
        <v>Toestelberging</v>
      </c>
      <c r="C926" s="321" t="s">
        <v>1052</v>
      </c>
      <c r="D926" s="320" t="s">
        <v>0</v>
      </c>
      <c r="E926" s="321" t="s">
        <v>99</v>
      </c>
      <c r="F926" s="321" t="s">
        <v>1054</v>
      </c>
      <c r="G926" s="326" t="s">
        <v>282</v>
      </c>
      <c r="H926" s="322" t="s">
        <v>16</v>
      </c>
      <c r="I926" s="322" t="s">
        <v>282</v>
      </c>
      <c r="J926" s="322" t="s">
        <v>282</v>
      </c>
      <c r="K926" s="322" t="s">
        <v>282</v>
      </c>
      <c r="L926" s="322" t="s">
        <v>282</v>
      </c>
      <c r="M926" s="322" t="s">
        <v>282</v>
      </c>
      <c r="N926" s="322" t="s">
        <v>282</v>
      </c>
      <c r="O926" s="323" t="s">
        <v>16</v>
      </c>
      <c r="P926" s="323" t="s">
        <v>16</v>
      </c>
      <c r="Q926" s="323" t="s">
        <v>16</v>
      </c>
      <c r="R926" s="323" t="s">
        <v>16</v>
      </c>
      <c r="S926" s="323" t="s">
        <v>16</v>
      </c>
      <c r="T926" s="323" t="s">
        <v>329</v>
      </c>
      <c r="U926" s="323" t="s">
        <v>249</v>
      </c>
      <c r="V926" s="323" t="s">
        <v>282</v>
      </c>
      <c r="W926" s="324" t="s">
        <v>282</v>
      </c>
      <c r="X926" s="324" t="s">
        <v>282</v>
      </c>
      <c r="Y926" s="325" t="s">
        <v>282</v>
      </c>
    </row>
    <row r="927" spans="1:25">
      <c r="A927" s="319">
        <v>17</v>
      </c>
      <c r="B927" s="320" t="str">
        <f>VLOOKUP(Tabel10[[#This Row],[Code]],Ruimtegroepen[[Code]:[Ruimte omschrijving]],2,FALSE)</f>
        <v>Toestelberging</v>
      </c>
      <c r="C927" s="321" t="s">
        <v>1052</v>
      </c>
      <c r="D927" s="320" t="s">
        <v>0</v>
      </c>
      <c r="E927" s="321" t="s">
        <v>1306</v>
      </c>
      <c r="F927" s="321" t="s">
        <v>1354</v>
      </c>
      <c r="G927" s="326" t="s">
        <v>282</v>
      </c>
      <c r="H927" s="322" t="s">
        <v>282</v>
      </c>
      <c r="I927" s="322" t="s">
        <v>16</v>
      </c>
      <c r="J927" s="322" t="s">
        <v>282</v>
      </c>
      <c r="K927" s="322" t="s">
        <v>283</v>
      </c>
      <c r="L927" s="322" t="s">
        <v>282</v>
      </c>
      <c r="M927" s="322" t="s">
        <v>282</v>
      </c>
      <c r="N927" s="322" t="s">
        <v>282</v>
      </c>
      <c r="O927" s="323" t="s">
        <v>16</v>
      </c>
      <c r="P927" s="323" t="s">
        <v>16</v>
      </c>
      <c r="Q927" s="323" t="s">
        <v>16</v>
      </c>
      <c r="R927" s="323" t="s">
        <v>16</v>
      </c>
      <c r="S927" s="323" t="s">
        <v>16</v>
      </c>
      <c r="T927" s="323" t="s">
        <v>329</v>
      </c>
      <c r="U927" s="323" t="s">
        <v>249</v>
      </c>
      <c r="V927" s="323" t="s">
        <v>282</v>
      </c>
      <c r="W927" s="324" t="s">
        <v>282</v>
      </c>
      <c r="X927" s="324" t="s">
        <v>282</v>
      </c>
      <c r="Y927" s="325" t="s">
        <v>282</v>
      </c>
    </row>
    <row r="928" spans="1:25">
      <c r="A928" s="319">
        <v>17</v>
      </c>
      <c r="B928" s="320" t="str">
        <f>VLOOKUP(Tabel10[[#This Row],[Code]],Ruimtegroepen[[Code]:[Ruimte omschrijving]],2,FALSE)</f>
        <v>Toestelberging</v>
      </c>
      <c r="C928" s="321" t="s">
        <v>1057</v>
      </c>
      <c r="D928" s="320" t="s">
        <v>27</v>
      </c>
      <c r="E928" s="321" t="s">
        <v>100</v>
      </c>
      <c r="F928" s="321" t="s">
        <v>1058</v>
      </c>
      <c r="G928" s="326" t="s">
        <v>282</v>
      </c>
      <c r="H928" s="322" t="s">
        <v>282</v>
      </c>
      <c r="I928" s="322" t="s">
        <v>15</v>
      </c>
      <c r="J928" s="322" t="s">
        <v>282</v>
      </c>
      <c r="K928" s="322" t="s">
        <v>282</v>
      </c>
      <c r="L928" s="322" t="s">
        <v>282</v>
      </c>
      <c r="M928" s="322" t="s">
        <v>282</v>
      </c>
      <c r="N928" s="322" t="s">
        <v>282</v>
      </c>
      <c r="O928" s="323" t="s">
        <v>15</v>
      </c>
      <c r="P928" s="323" t="s">
        <v>15</v>
      </c>
      <c r="Q928" s="323" t="s">
        <v>15</v>
      </c>
      <c r="R928" s="323" t="s">
        <v>282</v>
      </c>
      <c r="S928" s="323" t="s">
        <v>282</v>
      </c>
      <c r="T928" s="323" t="s">
        <v>282</v>
      </c>
      <c r="U928" s="323" t="s">
        <v>282</v>
      </c>
      <c r="V928" s="323" t="s">
        <v>282</v>
      </c>
      <c r="W928" s="324" t="s">
        <v>282</v>
      </c>
      <c r="X928" s="324" t="s">
        <v>282</v>
      </c>
      <c r="Y928" s="325" t="s">
        <v>282</v>
      </c>
    </row>
    <row r="929" spans="1:25">
      <c r="A929" s="319">
        <v>17</v>
      </c>
      <c r="B929" s="320" t="str">
        <f>VLOOKUP(Tabel10[[#This Row],[Code]],Ruimtegroepen[[Code]:[Ruimte omschrijving]],2,FALSE)</f>
        <v>Toestelberging</v>
      </c>
      <c r="C929" s="321" t="s">
        <v>1057</v>
      </c>
      <c r="D929" s="320" t="s">
        <v>27</v>
      </c>
      <c r="E929" s="321" t="s">
        <v>99</v>
      </c>
      <c r="F929" s="321" t="s">
        <v>1059</v>
      </c>
      <c r="G929" s="326" t="s">
        <v>282</v>
      </c>
      <c r="H929" s="322" t="s">
        <v>15</v>
      </c>
      <c r="I929" s="322" t="s">
        <v>282</v>
      </c>
      <c r="J929" s="322" t="s">
        <v>282</v>
      </c>
      <c r="K929" s="322" t="s">
        <v>282</v>
      </c>
      <c r="L929" s="322" t="s">
        <v>282</v>
      </c>
      <c r="M929" s="322" t="s">
        <v>282</v>
      </c>
      <c r="N929" s="322" t="s">
        <v>282</v>
      </c>
      <c r="O929" s="323" t="s">
        <v>15</v>
      </c>
      <c r="P929" s="323" t="s">
        <v>15</v>
      </c>
      <c r="Q929" s="323" t="s">
        <v>15</v>
      </c>
      <c r="R929" s="323" t="s">
        <v>282</v>
      </c>
      <c r="S929" s="323" t="s">
        <v>282</v>
      </c>
      <c r="T929" s="323" t="s">
        <v>282</v>
      </c>
      <c r="U929" s="323" t="s">
        <v>282</v>
      </c>
      <c r="V929" s="323" t="s">
        <v>282</v>
      </c>
      <c r="W929" s="324" t="s">
        <v>282</v>
      </c>
      <c r="X929" s="324" t="s">
        <v>282</v>
      </c>
      <c r="Y929" s="325" t="s">
        <v>282</v>
      </c>
    </row>
    <row r="930" spans="1:25">
      <c r="A930" s="319">
        <v>17</v>
      </c>
      <c r="B930" s="320" t="str">
        <f>VLOOKUP(Tabel10[[#This Row],[Code]],Ruimtegroepen[[Code]:[Ruimte omschrijving]],2,FALSE)</f>
        <v>Toestelberging</v>
      </c>
      <c r="C930" s="321" t="s">
        <v>1057</v>
      </c>
      <c r="D930" s="320" t="s">
        <v>27</v>
      </c>
      <c r="E930" s="321" t="s">
        <v>101</v>
      </c>
      <c r="F930" s="321" t="s">
        <v>1060</v>
      </c>
      <c r="G930" s="326" t="s">
        <v>282</v>
      </c>
      <c r="H930" s="322" t="s">
        <v>282</v>
      </c>
      <c r="I930" s="322" t="s">
        <v>15</v>
      </c>
      <c r="J930" s="322" t="s">
        <v>282</v>
      </c>
      <c r="K930" s="322" t="s">
        <v>282</v>
      </c>
      <c r="L930" s="322" t="s">
        <v>282</v>
      </c>
      <c r="M930" s="322" t="s">
        <v>282</v>
      </c>
      <c r="N930" s="322" t="s">
        <v>282</v>
      </c>
      <c r="O930" s="323" t="s">
        <v>15</v>
      </c>
      <c r="P930" s="323" t="s">
        <v>15</v>
      </c>
      <c r="Q930" s="323" t="s">
        <v>15</v>
      </c>
      <c r="R930" s="323" t="s">
        <v>282</v>
      </c>
      <c r="S930" s="323" t="s">
        <v>282</v>
      </c>
      <c r="T930" s="323" t="s">
        <v>282</v>
      </c>
      <c r="U930" s="323" t="s">
        <v>282</v>
      </c>
      <c r="V930" s="323" t="s">
        <v>282</v>
      </c>
      <c r="W930" s="324" t="s">
        <v>282</v>
      </c>
      <c r="X930" s="324" t="s">
        <v>282</v>
      </c>
      <c r="Y930" s="325" t="s">
        <v>282</v>
      </c>
    </row>
    <row r="931" spans="1:25">
      <c r="A931" s="319">
        <v>17</v>
      </c>
      <c r="B931" s="320" t="str">
        <f>VLOOKUP(Tabel10[[#This Row],[Code]],Ruimtegroepen[[Code]:[Ruimte omschrijving]],2,FALSE)</f>
        <v>Toestelberging</v>
      </c>
      <c r="C931" s="321" t="s">
        <v>1057</v>
      </c>
      <c r="D931" s="320" t="s">
        <v>27</v>
      </c>
      <c r="E931" s="321" t="s">
        <v>102</v>
      </c>
      <c r="F931" s="321" t="s">
        <v>1061</v>
      </c>
      <c r="G931" s="326" t="s">
        <v>282</v>
      </c>
      <c r="H931" s="322" t="s">
        <v>282</v>
      </c>
      <c r="I931" s="322" t="s">
        <v>15</v>
      </c>
      <c r="J931" s="322" t="s">
        <v>282</v>
      </c>
      <c r="K931" s="322" t="s">
        <v>282</v>
      </c>
      <c r="L931" s="322" t="s">
        <v>282</v>
      </c>
      <c r="M931" s="322" t="s">
        <v>282</v>
      </c>
      <c r="N931" s="322" t="s">
        <v>282</v>
      </c>
      <c r="O931" s="323" t="s">
        <v>15</v>
      </c>
      <c r="P931" s="323" t="s">
        <v>15</v>
      </c>
      <c r="Q931" s="323" t="s">
        <v>15</v>
      </c>
      <c r="R931" s="323" t="s">
        <v>282</v>
      </c>
      <c r="S931" s="323" t="s">
        <v>282</v>
      </c>
      <c r="T931" s="323" t="s">
        <v>282</v>
      </c>
      <c r="U931" s="323" t="s">
        <v>282</v>
      </c>
      <c r="V931" s="323" t="s">
        <v>282</v>
      </c>
      <c r="W931" s="324" t="s">
        <v>282</v>
      </c>
      <c r="X931" s="324" t="s">
        <v>282</v>
      </c>
      <c r="Y931" s="325" t="s">
        <v>282</v>
      </c>
    </row>
    <row r="932" spans="1:25">
      <c r="A932" s="319">
        <v>17</v>
      </c>
      <c r="B932" s="320" t="str">
        <f>VLOOKUP(Tabel10[[#This Row],[Code]],Ruimtegroepen[[Code]:[Ruimte omschrijving]],2,FALSE)</f>
        <v>Toestelberging</v>
      </c>
      <c r="C932" s="321" t="s">
        <v>1057</v>
      </c>
      <c r="D932" s="320" t="s">
        <v>27</v>
      </c>
      <c r="E932" s="321" t="s">
        <v>99</v>
      </c>
      <c r="F932" s="321" t="s">
        <v>1059</v>
      </c>
      <c r="G932" s="326" t="s">
        <v>282</v>
      </c>
      <c r="H932" s="322" t="s">
        <v>15</v>
      </c>
      <c r="I932" s="322" t="s">
        <v>282</v>
      </c>
      <c r="J932" s="322" t="s">
        <v>282</v>
      </c>
      <c r="K932" s="322" t="s">
        <v>282</v>
      </c>
      <c r="L932" s="322" t="s">
        <v>282</v>
      </c>
      <c r="M932" s="322" t="s">
        <v>282</v>
      </c>
      <c r="N932" s="322" t="s">
        <v>282</v>
      </c>
      <c r="O932" s="323" t="s">
        <v>15</v>
      </c>
      <c r="P932" s="323" t="s">
        <v>15</v>
      </c>
      <c r="Q932" s="323" t="s">
        <v>15</v>
      </c>
      <c r="R932" s="323" t="s">
        <v>282</v>
      </c>
      <c r="S932" s="323" t="s">
        <v>282</v>
      </c>
      <c r="T932" s="323" t="s">
        <v>282</v>
      </c>
      <c r="U932" s="323" t="s">
        <v>282</v>
      </c>
      <c r="V932" s="323" t="s">
        <v>282</v>
      </c>
      <c r="W932" s="324" t="s">
        <v>282</v>
      </c>
      <c r="X932" s="324" t="s">
        <v>282</v>
      </c>
      <c r="Y932" s="325" t="s">
        <v>282</v>
      </c>
    </row>
    <row r="933" spans="1:25">
      <c r="A933" s="319">
        <v>17</v>
      </c>
      <c r="B933" s="320" t="str">
        <f>VLOOKUP(Tabel10[[#This Row],[Code]],Ruimtegroepen[[Code]:[Ruimte omschrijving]],2,FALSE)</f>
        <v>Toestelberging</v>
      </c>
      <c r="C933" s="321" t="s">
        <v>1057</v>
      </c>
      <c r="D933" s="320" t="s">
        <v>27</v>
      </c>
      <c r="E933" s="321" t="s">
        <v>1306</v>
      </c>
      <c r="F933" s="321" t="s">
        <v>1387</v>
      </c>
      <c r="G933" s="326" t="s">
        <v>282</v>
      </c>
      <c r="H933" s="322" t="s">
        <v>282</v>
      </c>
      <c r="I933" s="322" t="s">
        <v>15</v>
      </c>
      <c r="J933" s="322" t="s">
        <v>282</v>
      </c>
      <c r="K933" s="322" t="s">
        <v>282</v>
      </c>
      <c r="L933" s="322" t="s">
        <v>282</v>
      </c>
      <c r="M933" s="322" t="s">
        <v>282</v>
      </c>
      <c r="N933" s="322" t="s">
        <v>282</v>
      </c>
      <c r="O933" s="323" t="s">
        <v>15</v>
      </c>
      <c r="P933" s="323" t="s">
        <v>15</v>
      </c>
      <c r="Q933" s="323" t="s">
        <v>15</v>
      </c>
      <c r="R933" s="323" t="s">
        <v>282</v>
      </c>
      <c r="S933" s="323" t="s">
        <v>282</v>
      </c>
      <c r="T933" s="323" t="s">
        <v>282</v>
      </c>
      <c r="U933" s="323" t="s">
        <v>282</v>
      </c>
      <c r="V933" s="323" t="s">
        <v>282</v>
      </c>
      <c r="W933" s="324" t="s">
        <v>282</v>
      </c>
      <c r="X933" s="324" t="s">
        <v>282</v>
      </c>
      <c r="Y933" s="325" t="s">
        <v>282</v>
      </c>
    </row>
    <row r="934" spans="1:25">
      <c r="A934" s="319">
        <v>17</v>
      </c>
      <c r="B934" s="320" t="str">
        <f>VLOOKUP(Tabel10[[#This Row],[Code]],Ruimtegroepen[[Code]:[Ruimte omschrijving]],2,FALSE)</f>
        <v>Toestelberging</v>
      </c>
      <c r="C934" s="321" t="s">
        <v>1062</v>
      </c>
      <c r="D934" s="320" t="s">
        <v>28</v>
      </c>
      <c r="E934" s="321" t="s">
        <v>100</v>
      </c>
      <c r="F934" s="321" t="s">
        <v>1063</v>
      </c>
      <c r="G934" s="326" t="s">
        <v>282</v>
      </c>
      <c r="H934" s="322" t="s">
        <v>282</v>
      </c>
      <c r="I934" s="322" t="s">
        <v>17</v>
      </c>
      <c r="J934" s="322" t="s">
        <v>282</v>
      </c>
      <c r="K934" s="322" t="s">
        <v>282</v>
      </c>
      <c r="L934" s="322" t="s">
        <v>282</v>
      </c>
      <c r="M934" s="322" t="s">
        <v>282</v>
      </c>
      <c r="N934" s="322" t="s">
        <v>282</v>
      </c>
      <c r="O934" s="323" t="s">
        <v>17</v>
      </c>
      <c r="P934" s="323" t="s">
        <v>17</v>
      </c>
      <c r="Q934" s="323" t="s">
        <v>15</v>
      </c>
      <c r="R934" s="323" t="s">
        <v>282</v>
      </c>
      <c r="S934" s="323" t="s">
        <v>282</v>
      </c>
      <c r="T934" s="323" t="s">
        <v>282</v>
      </c>
      <c r="U934" s="323" t="s">
        <v>282</v>
      </c>
      <c r="V934" s="323" t="s">
        <v>282</v>
      </c>
      <c r="W934" s="324" t="s">
        <v>282</v>
      </c>
      <c r="X934" s="324" t="s">
        <v>282</v>
      </c>
      <c r="Y934" s="325" t="s">
        <v>282</v>
      </c>
    </row>
    <row r="935" spans="1:25">
      <c r="A935" s="319">
        <v>17</v>
      </c>
      <c r="B935" s="320" t="str">
        <f>VLOOKUP(Tabel10[[#This Row],[Code]],Ruimtegroepen[[Code]:[Ruimte omschrijving]],2,FALSE)</f>
        <v>Toestelberging</v>
      </c>
      <c r="C935" s="321" t="s">
        <v>1062</v>
      </c>
      <c r="D935" s="320" t="s">
        <v>28</v>
      </c>
      <c r="E935" s="321" t="s">
        <v>99</v>
      </c>
      <c r="F935" s="321" t="s">
        <v>1064</v>
      </c>
      <c r="G935" s="326" t="s">
        <v>282</v>
      </c>
      <c r="H935" s="322" t="s">
        <v>17</v>
      </c>
      <c r="I935" s="322" t="s">
        <v>282</v>
      </c>
      <c r="J935" s="322" t="s">
        <v>282</v>
      </c>
      <c r="K935" s="322" t="s">
        <v>282</v>
      </c>
      <c r="L935" s="322" t="s">
        <v>282</v>
      </c>
      <c r="M935" s="322" t="s">
        <v>282</v>
      </c>
      <c r="N935" s="322" t="s">
        <v>282</v>
      </c>
      <c r="O935" s="323" t="s">
        <v>17</v>
      </c>
      <c r="P935" s="323" t="s">
        <v>17</v>
      </c>
      <c r="Q935" s="323" t="s">
        <v>15</v>
      </c>
      <c r="R935" s="323" t="s">
        <v>282</v>
      </c>
      <c r="S935" s="323" t="s">
        <v>282</v>
      </c>
      <c r="T935" s="323" t="s">
        <v>282</v>
      </c>
      <c r="U935" s="323" t="s">
        <v>282</v>
      </c>
      <c r="V935" s="323" t="s">
        <v>282</v>
      </c>
      <c r="W935" s="324" t="s">
        <v>282</v>
      </c>
      <c r="X935" s="324" t="s">
        <v>282</v>
      </c>
      <c r="Y935" s="325" t="s">
        <v>282</v>
      </c>
    </row>
    <row r="936" spans="1:25">
      <c r="A936" s="319">
        <v>17</v>
      </c>
      <c r="B936" s="320" t="str">
        <f>VLOOKUP(Tabel10[[#This Row],[Code]],Ruimtegroepen[[Code]:[Ruimte omschrijving]],2,FALSE)</f>
        <v>Toestelberging</v>
      </c>
      <c r="C936" s="321" t="s">
        <v>1062</v>
      </c>
      <c r="D936" s="320" t="s">
        <v>28</v>
      </c>
      <c r="E936" s="321" t="s">
        <v>101</v>
      </c>
      <c r="F936" s="321" t="s">
        <v>1065</v>
      </c>
      <c r="G936" s="326" t="s">
        <v>282</v>
      </c>
      <c r="H936" s="322" t="s">
        <v>282</v>
      </c>
      <c r="I936" s="322" t="s">
        <v>17</v>
      </c>
      <c r="J936" s="322" t="s">
        <v>282</v>
      </c>
      <c r="K936" s="322" t="s">
        <v>282</v>
      </c>
      <c r="L936" s="322" t="s">
        <v>282</v>
      </c>
      <c r="M936" s="322" t="s">
        <v>282</v>
      </c>
      <c r="N936" s="322" t="s">
        <v>282</v>
      </c>
      <c r="O936" s="323" t="s">
        <v>17</v>
      </c>
      <c r="P936" s="323" t="s">
        <v>17</v>
      </c>
      <c r="Q936" s="323" t="s">
        <v>15</v>
      </c>
      <c r="R936" s="323" t="s">
        <v>282</v>
      </c>
      <c r="S936" s="323" t="s">
        <v>282</v>
      </c>
      <c r="T936" s="323" t="s">
        <v>282</v>
      </c>
      <c r="U936" s="323" t="s">
        <v>282</v>
      </c>
      <c r="V936" s="323" t="s">
        <v>282</v>
      </c>
      <c r="W936" s="324" t="s">
        <v>282</v>
      </c>
      <c r="X936" s="324" t="s">
        <v>282</v>
      </c>
      <c r="Y936" s="325" t="s">
        <v>282</v>
      </c>
    </row>
    <row r="937" spans="1:25">
      <c r="A937" s="319">
        <v>17</v>
      </c>
      <c r="B937" s="320" t="str">
        <f>VLOOKUP(Tabel10[[#This Row],[Code]],Ruimtegroepen[[Code]:[Ruimte omschrijving]],2,FALSE)</f>
        <v>Toestelberging</v>
      </c>
      <c r="C937" s="321" t="s">
        <v>1062</v>
      </c>
      <c r="D937" s="320" t="s">
        <v>28</v>
      </c>
      <c r="E937" s="321" t="s">
        <v>102</v>
      </c>
      <c r="F937" s="321" t="s">
        <v>1066</v>
      </c>
      <c r="G937" s="326" t="s">
        <v>282</v>
      </c>
      <c r="H937" s="322" t="s">
        <v>282</v>
      </c>
      <c r="I937" s="322" t="s">
        <v>17</v>
      </c>
      <c r="J937" s="322" t="s">
        <v>282</v>
      </c>
      <c r="K937" s="322" t="s">
        <v>282</v>
      </c>
      <c r="L937" s="322" t="s">
        <v>282</v>
      </c>
      <c r="M937" s="322" t="s">
        <v>282</v>
      </c>
      <c r="N937" s="322" t="s">
        <v>282</v>
      </c>
      <c r="O937" s="323" t="s">
        <v>17</v>
      </c>
      <c r="P937" s="323" t="s">
        <v>17</v>
      </c>
      <c r="Q937" s="323" t="s">
        <v>15</v>
      </c>
      <c r="R937" s="323" t="s">
        <v>282</v>
      </c>
      <c r="S937" s="323" t="s">
        <v>282</v>
      </c>
      <c r="T937" s="323" t="s">
        <v>282</v>
      </c>
      <c r="U937" s="323" t="s">
        <v>282</v>
      </c>
      <c r="V937" s="323" t="s">
        <v>282</v>
      </c>
      <c r="W937" s="324" t="s">
        <v>282</v>
      </c>
      <c r="X937" s="324" t="s">
        <v>282</v>
      </c>
      <c r="Y937" s="325" t="s">
        <v>282</v>
      </c>
    </row>
    <row r="938" spans="1:25">
      <c r="A938" s="319">
        <v>17</v>
      </c>
      <c r="B938" s="320" t="str">
        <f>VLOOKUP(Tabel10[[#This Row],[Code]],Ruimtegroepen[[Code]:[Ruimte omschrijving]],2,FALSE)</f>
        <v>Toestelberging</v>
      </c>
      <c r="C938" s="321" t="s">
        <v>1062</v>
      </c>
      <c r="D938" s="320" t="s">
        <v>28</v>
      </c>
      <c r="E938" s="321" t="s">
        <v>99</v>
      </c>
      <c r="F938" s="321" t="s">
        <v>1064</v>
      </c>
      <c r="G938" s="326" t="s">
        <v>282</v>
      </c>
      <c r="H938" s="322" t="s">
        <v>17</v>
      </c>
      <c r="I938" s="322" t="s">
        <v>282</v>
      </c>
      <c r="J938" s="322" t="s">
        <v>282</v>
      </c>
      <c r="K938" s="322" t="s">
        <v>282</v>
      </c>
      <c r="L938" s="322" t="s">
        <v>282</v>
      </c>
      <c r="M938" s="322" t="s">
        <v>282</v>
      </c>
      <c r="N938" s="322" t="s">
        <v>282</v>
      </c>
      <c r="O938" s="323" t="s">
        <v>17</v>
      </c>
      <c r="P938" s="323" t="s">
        <v>17</v>
      </c>
      <c r="Q938" s="323" t="s">
        <v>15</v>
      </c>
      <c r="R938" s="323" t="s">
        <v>282</v>
      </c>
      <c r="S938" s="323" t="s">
        <v>282</v>
      </c>
      <c r="T938" s="323" t="s">
        <v>282</v>
      </c>
      <c r="U938" s="323" t="s">
        <v>282</v>
      </c>
      <c r="V938" s="323" t="s">
        <v>282</v>
      </c>
      <c r="W938" s="324" t="s">
        <v>282</v>
      </c>
      <c r="X938" s="324" t="s">
        <v>282</v>
      </c>
      <c r="Y938" s="325" t="s">
        <v>282</v>
      </c>
    </row>
    <row r="939" spans="1:25">
      <c r="A939" s="319">
        <v>17</v>
      </c>
      <c r="B939" s="320" t="str">
        <f>VLOOKUP(Tabel10[[#This Row],[Code]],Ruimtegroepen[[Code]:[Ruimte omschrijving]],2,FALSE)</f>
        <v>Toestelberging</v>
      </c>
      <c r="C939" s="321" t="s">
        <v>1062</v>
      </c>
      <c r="D939" s="320" t="s">
        <v>28</v>
      </c>
      <c r="E939" s="321" t="s">
        <v>1306</v>
      </c>
      <c r="F939" s="321" t="s">
        <v>1420</v>
      </c>
      <c r="G939" s="326" t="s">
        <v>282</v>
      </c>
      <c r="H939" s="322" t="s">
        <v>282</v>
      </c>
      <c r="I939" s="322" t="s">
        <v>17</v>
      </c>
      <c r="J939" s="322" t="s">
        <v>282</v>
      </c>
      <c r="K939" s="322" t="s">
        <v>282</v>
      </c>
      <c r="L939" s="322" t="s">
        <v>282</v>
      </c>
      <c r="M939" s="322" t="s">
        <v>282</v>
      </c>
      <c r="N939" s="322" t="s">
        <v>282</v>
      </c>
      <c r="O939" s="323" t="s">
        <v>17</v>
      </c>
      <c r="P939" s="323" t="s">
        <v>17</v>
      </c>
      <c r="Q939" s="323" t="s">
        <v>15</v>
      </c>
      <c r="R939" s="323" t="s">
        <v>282</v>
      </c>
      <c r="S939" s="323" t="s">
        <v>282</v>
      </c>
      <c r="T939" s="323" t="s">
        <v>282</v>
      </c>
      <c r="U939" s="323" t="s">
        <v>282</v>
      </c>
      <c r="V939" s="323" t="s">
        <v>282</v>
      </c>
      <c r="W939" s="324" t="s">
        <v>282</v>
      </c>
      <c r="X939" s="324" t="s">
        <v>282</v>
      </c>
      <c r="Y939" s="325" t="s">
        <v>282</v>
      </c>
    </row>
    <row r="940" spans="1:25">
      <c r="A940" s="319">
        <v>18</v>
      </c>
      <c r="B940" s="320" t="str">
        <f>VLOOKUP(Tabel10[[#This Row],[Code]],Ruimtegroepen[[Code]:[Ruimte omschrijving]],2,FALSE)</f>
        <v>Gymzaal</v>
      </c>
      <c r="C940" s="321" t="s">
        <v>1067</v>
      </c>
      <c r="D940" s="320" t="s">
        <v>29</v>
      </c>
      <c r="E940" s="321" t="s">
        <v>100</v>
      </c>
      <c r="F940" s="321" t="s">
        <v>1068</v>
      </c>
      <c r="G940" s="326" t="s">
        <v>282</v>
      </c>
      <c r="H940" s="322" t="s">
        <v>282</v>
      </c>
      <c r="I940" s="322" t="s">
        <v>20</v>
      </c>
      <c r="J940" s="322" t="s">
        <v>15</v>
      </c>
      <c r="K940" s="322" t="s">
        <v>282</v>
      </c>
      <c r="L940" s="322" t="s">
        <v>282</v>
      </c>
      <c r="M940" s="322" t="s">
        <v>282</v>
      </c>
      <c r="N940" s="322" t="s">
        <v>2</v>
      </c>
      <c r="O940" s="323" t="s">
        <v>2</v>
      </c>
      <c r="P940" s="323" t="s">
        <v>2</v>
      </c>
      <c r="Q940" s="323" t="s">
        <v>2</v>
      </c>
      <c r="R940" s="323" t="s">
        <v>2</v>
      </c>
      <c r="S940" s="323" t="s">
        <v>16</v>
      </c>
      <c r="T940" s="323" t="s">
        <v>329</v>
      </c>
      <c r="U940" s="323" t="s">
        <v>249</v>
      </c>
      <c r="V940" s="323" t="s">
        <v>2</v>
      </c>
      <c r="W940" s="324" t="s">
        <v>282</v>
      </c>
      <c r="X940" s="324" t="s">
        <v>282</v>
      </c>
      <c r="Y940" s="325" t="s">
        <v>282</v>
      </c>
    </row>
    <row r="941" spans="1:25">
      <c r="A941" s="319">
        <v>18</v>
      </c>
      <c r="B941" s="320" t="str">
        <f>VLOOKUP(Tabel10[[#This Row],[Code]],Ruimtegroepen[[Code]:[Ruimte omschrijving]],2,FALSE)</f>
        <v>Gymzaal</v>
      </c>
      <c r="C941" s="321" t="s">
        <v>1067</v>
      </c>
      <c r="D941" s="320" t="s">
        <v>29</v>
      </c>
      <c r="E941" s="321" t="s">
        <v>99</v>
      </c>
      <c r="F941" s="321" t="s">
        <v>1069</v>
      </c>
      <c r="G941" s="322" t="s">
        <v>20</v>
      </c>
      <c r="H941" s="322" t="s">
        <v>15</v>
      </c>
      <c r="I941" s="322" t="s">
        <v>282</v>
      </c>
      <c r="J941" s="322" t="s">
        <v>282</v>
      </c>
      <c r="K941" s="322" t="s">
        <v>282</v>
      </c>
      <c r="L941" s="322" t="s">
        <v>282</v>
      </c>
      <c r="M941" s="322" t="s">
        <v>282</v>
      </c>
      <c r="N941" s="322" t="s">
        <v>2</v>
      </c>
      <c r="O941" s="323" t="s">
        <v>2</v>
      </c>
      <c r="P941" s="323" t="s">
        <v>2</v>
      </c>
      <c r="Q941" s="323" t="s">
        <v>2</v>
      </c>
      <c r="R941" s="323" t="s">
        <v>2</v>
      </c>
      <c r="S941" s="323" t="s">
        <v>16</v>
      </c>
      <c r="T941" s="323" t="s">
        <v>329</v>
      </c>
      <c r="U941" s="323" t="s">
        <v>249</v>
      </c>
      <c r="V941" s="323" t="s">
        <v>2</v>
      </c>
      <c r="W941" s="324" t="s">
        <v>282</v>
      </c>
      <c r="X941" s="324" t="s">
        <v>282</v>
      </c>
      <c r="Y941" s="325" t="s">
        <v>282</v>
      </c>
    </row>
    <row r="942" spans="1:25">
      <c r="A942" s="319">
        <v>18</v>
      </c>
      <c r="B942" s="320" t="str">
        <f>VLOOKUP(Tabel10[[#This Row],[Code]],Ruimtegroepen[[Code]:[Ruimte omschrijving]],2,FALSE)</f>
        <v>Gymzaal</v>
      </c>
      <c r="C942" s="321" t="s">
        <v>1067</v>
      </c>
      <c r="D942" s="320" t="s">
        <v>29</v>
      </c>
      <c r="E942" s="321" t="s">
        <v>101</v>
      </c>
      <c r="F942" s="321" t="s">
        <v>1070</v>
      </c>
      <c r="G942" s="326" t="s">
        <v>282</v>
      </c>
      <c r="H942" s="322" t="s">
        <v>282</v>
      </c>
      <c r="I942" s="322" t="s">
        <v>20</v>
      </c>
      <c r="J942" s="322" t="s">
        <v>15</v>
      </c>
      <c r="K942" s="322" t="s">
        <v>283</v>
      </c>
      <c r="L942" s="322" t="s">
        <v>282</v>
      </c>
      <c r="M942" s="322" t="s">
        <v>282</v>
      </c>
      <c r="N942" s="322" t="s">
        <v>2</v>
      </c>
      <c r="O942" s="323" t="s">
        <v>2</v>
      </c>
      <c r="P942" s="323" t="s">
        <v>2</v>
      </c>
      <c r="Q942" s="323" t="s">
        <v>2</v>
      </c>
      <c r="R942" s="323" t="s">
        <v>2</v>
      </c>
      <c r="S942" s="323" t="s">
        <v>16</v>
      </c>
      <c r="T942" s="323" t="s">
        <v>329</v>
      </c>
      <c r="U942" s="323" t="s">
        <v>249</v>
      </c>
      <c r="V942" s="323" t="s">
        <v>2</v>
      </c>
      <c r="W942" s="324" t="s">
        <v>282</v>
      </c>
      <c r="X942" s="324" t="s">
        <v>282</v>
      </c>
      <c r="Y942" s="325" t="s">
        <v>282</v>
      </c>
    </row>
    <row r="943" spans="1:25">
      <c r="A943" s="319">
        <v>18</v>
      </c>
      <c r="B943" s="320" t="str">
        <f>VLOOKUP(Tabel10[[#This Row],[Code]],Ruimtegroepen[[Code]:[Ruimte omschrijving]],2,FALSE)</f>
        <v>Gymzaal</v>
      </c>
      <c r="C943" s="321" t="s">
        <v>1067</v>
      </c>
      <c r="D943" s="320" t="s">
        <v>29</v>
      </c>
      <c r="E943" s="321" t="s">
        <v>102</v>
      </c>
      <c r="F943" s="321" t="s">
        <v>1071</v>
      </c>
      <c r="G943" s="326" t="s">
        <v>282</v>
      </c>
      <c r="H943" s="322" t="s">
        <v>282</v>
      </c>
      <c r="I943" s="322" t="s">
        <v>20</v>
      </c>
      <c r="J943" s="322" t="s">
        <v>15</v>
      </c>
      <c r="K943" s="322" t="s">
        <v>283</v>
      </c>
      <c r="L943" s="322" t="s">
        <v>282</v>
      </c>
      <c r="M943" s="322" t="s">
        <v>282</v>
      </c>
      <c r="N943" s="322" t="s">
        <v>2</v>
      </c>
      <c r="O943" s="323" t="s">
        <v>2</v>
      </c>
      <c r="P943" s="323" t="s">
        <v>2</v>
      </c>
      <c r="Q943" s="323" t="s">
        <v>2</v>
      </c>
      <c r="R943" s="323" t="s">
        <v>2</v>
      </c>
      <c r="S943" s="323" t="s">
        <v>16</v>
      </c>
      <c r="T943" s="323" t="s">
        <v>329</v>
      </c>
      <c r="U943" s="323" t="s">
        <v>249</v>
      </c>
      <c r="V943" s="323" t="s">
        <v>2</v>
      </c>
      <c r="W943" s="324" t="s">
        <v>282</v>
      </c>
      <c r="X943" s="324" t="s">
        <v>282</v>
      </c>
      <c r="Y943" s="325" t="s">
        <v>282</v>
      </c>
    </row>
    <row r="944" spans="1:25">
      <c r="A944" s="319">
        <v>18</v>
      </c>
      <c r="B944" s="320" t="str">
        <f>VLOOKUP(Tabel10[[#This Row],[Code]],Ruimtegroepen[[Code]:[Ruimte omschrijving]],2,FALSE)</f>
        <v>Gymzaal</v>
      </c>
      <c r="C944" s="321" t="s">
        <v>1067</v>
      </c>
      <c r="D944" s="320" t="s">
        <v>29</v>
      </c>
      <c r="E944" s="321" t="s">
        <v>99</v>
      </c>
      <c r="F944" s="321" t="s">
        <v>1069</v>
      </c>
      <c r="G944" s="326" t="s">
        <v>282</v>
      </c>
      <c r="H944" s="322" t="s">
        <v>2</v>
      </c>
      <c r="I944" s="322" t="s">
        <v>282</v>
      </c>
      <c r="J944" s="322" t="s">
        <v>282</v>
      </c>
      <c r="K944" s="322" t="s">
        <v>282</v>
      </c>
      <c r="L944" s="322" t="s">
        <v>282</v>
      </c>
      <c r="M944" s="322" t="s">
        <v>282</v>
      </c>
      <c r="N944" s="322" t="s">
        <v>2</v>
      </c>
      <c r="O944" s="323" t="s">
        <v>2</v>
      </c>
      <c r="P944" s="323" t="s">
        <v>2</v>
      </c>
      <c r="Q944" s="323" t="s">
        <v>2</v>
      </c>
      <c r="R944" s="323" t="s">
        <v>2</v>
      </c>
      <c r="S944" s="323" t="s">
        <v>16</v>
      </c>
      <c r="T944" s="323" t="s">
        <v>329</v>
      </c>
      <c r="U944" s="323" t="s">
        <v>249</v>
      </c>
      <c r="V944" s="323" t="s">
        <v>2</v>
      </c>
      <c r="W944" s="324" t="s">
        <v>282</v>
      </c>
      <c r="X944" s="324" t="s">
        <v>282</v>
      </c>
      <c r="Y944" s="325" t="s">
        <v>282</v>
      </c>
    </row>
    <row r="945" spans="1:25">
      <c r="A945" s="319">
        <v>18</v>
      </c>
      <c r="B945" s="320" t="str">
        <f>VLOOKUP(Tabel10[[#This Row],[Code]],Ruimtegroepen[[Code]:[Ruimte omschrijving]],2,FALSE)</f>
        <v>Gymzaal</v>
      </c>
      <c r="C945" s="321" t="s">
        <v>1067</v>
      </c>
      <c r="D945" s="320" t="s">
        <v>29</v>
      </c>
      <c r="E945" s="321" t="s">
        <v>1306</v>
      </c>
      <c r="F945" s="321" t="s">
        <v>1488</v>
      </c>
      <c r="G945" s="326" t="s">
        <v>282</v>
      </c>
      <c r="H945" s="322" t="s">
        <v>282</v>
      </c>
      <c r="I945" s="322" t="s">
        <v>20</v>
      </c>
      <c r="J945" s="322" t="s">
        <v>15</v>
      </c>
      <c r="K945" s="322" t="s">
        <v>283</v>
      </c>
      <c r="L945" s="322" t="s">
        <v>282</v>
      </c>
      <c r="M945" s="322" t="s">
        <v>282</v>
      </c>
      <c r="N945" s="322" t="s">
        <v>2</v>
      </c>
      <c r="O945" s="323" t="s">
        <v>2</v>
      </c>
      <c r="P945" s="323" t="s">
        <v>2</v>
      </c>
      <c r="Q945" s="323" t="s">
        <v>2</v>
      </c>
      <c r="R945" s="323" t="s">
        <v>2</v>
      </c>
      <c r="S945" s="323" t="s">
        <v>16</v>
      </c>
      <c r="T945" s="323" t="s">
        <v>329</v>
      </c>
      <c r="U945" s="323" t="s">
        <v>249</v>
      </c>
      <c r="V945" s="323" t="s">
        <v>2</v>
      </c>
      <c r="W945" s="324" t="s">
        <v>282</v>
      </c>
      <c r="X945" s="324" t="s">
        <v>282</v>
      </c>
      <c r="Y945" s="325" t="s">
        <v>282</v>
      </c>
    </row>
    <row r="946" spans="1:25">
      <c r="A946" s="319">
        <v>18</v>
      </c>
      <c r="B946" s="320" t="str">
        <f>VLOOKUP(Tabel10[[#This Row],[Code]],Ruimtegroepen[[Code]:[Ruimte omschrijving]],2,FALSE)</f>
        <v>Gymzaal</v>
      </c>
      <c r="C946" s="321" t="s">
        <v>1072</v>
      </c>
      <c r="D946" s="320" t="s">
        <v>1</v>
      </c>
      <c r="E946" s="321" t="s">
        <v>100</v>
      </c>
      <c r="F946" s="321" t="s">
        <v>1073</v>
      </c>
      <c r="G946" s="326" t="s">
        <v>282</v>
      </c>
      <c r="H946" s="322" t="s">
        <v>282</v>
      </c>
      <c r="I946" s="322" t="s">
        <v>20</v>
      </c>
      <c r="J946" s="322" t="s">
        <v>15</v>
      </c>
      <c r="K946" s="322" t="s">
        <v>282</v>
      </c>
      <c r="L946" s="322" t="s">
        <v>282</v>
      </c>
      <c r="M946" s="322" t="s">
        <v>282</v>
      </c>
      <c r="N946" s="322" t="s">
        <v>282</v>
      </c>
      <c r="O946" s="323" t="s">
        <v>2</v>
      </c>
      <c r="P946" s="323" t="s">
        <v>2</v>
      </c>
      <c r="Q946" s="323" t="s">
        <v>2</v>
      </c>
      <c r="R946" s="323" t="s">
        <v>2</v>
      </c>
      <c r="S946" s="323" t="s">
        <v>16</v>
      </c>
      <c r="T946" s="323" t="s">
        <v>329</v>
      </c>
      <c r="U946" s="323" t="s">
        <v>249</v>
      </c>
      <c r="V946" s="323" t="s">
        <v>282</v>
      </c>
      <c r="W946" s="324" t="s">
        <v>282</v>
      </c>
      <c r="X946" s="324" t="s">
        <v>282</v>
      </c>
      <c r="Y946" s="325" t="s">
        <v>282</v>
      </c>
    </row>
    <row r="947" spans="1:25">
      <c r="A947" s="319">
        <v>18</v>
      </c>
      <c r="B947" s="320" t="str">
        <f>VLOOKUP(Tabel10[[#This Row],[Code]],Ruimtegroepen[[Code]:[Ruimte omschrijving]],2,FALSE)</f>
        <v>Gymzaal</v>
      </c>
      <c r="C947" s="321" t="s">
        <v>1072</v>
      </c>
      <c r="D947" s="320" t="s">
        <v>1</v>
      </c>
      <c r="E947" s="321" t="s">
        <v>99</v>
      </c>
      <c r="F947" s="321" t="s">
        <v>1074</v>
      </c>
      <c r="G947" s="322" t="s">
        <v>20</v>
      </c>
      <c r="H947" s="322" t="s">
        <v>15</v>
      </c>
      <c r="I947" s="322" t="s">
        <v>282</v>
      </c>
      <c r="J947" s="322" t="s">
        <v>282</v>
      </c>
      <c r="K947" s="322" t="s">
        <v>282</v>
      </c>
      <c r="L947" s="322" t="s">
        <v>282</v>
      </c>
      <c r="M947" s="322" t="s">
        <v>282</v>
      </c>
      <c r="N947" s="322" t="s">
        <v>282</v>
      </c>
      <c r="O947" s="323" t="s">
        <v>2</v>
      </c>
      <c r="P947" s="323" t="s">
        <v>2</v>
      </c>
      <c r="Q947" s="323" t="s">
        <v>2</v>
      </c>
      <c r="R947" s="323" t="s">
        <v>2</v>
      </c>
      <c r="S947" s="323" t="s">
        <v>16</v>
      </c>
      <c r="T947" s="323" t="s">
        <v>329</v>
      </c>
      <c r="U947" s="323" t="s">
        <v>249</v>
      </c>
      <c r="V947" s="323" t="s">
        <v>282</v>
      </c>
      <c r="W947" s="324" t="s">
        <v>282</v>
      </c>
      <c r="X947" s="324" t="s">
        <v>282</v>
      </c>
      <c r="Y947" s="325" t="s">
        <v>282</v>
      </c>
    </row>
    <row r="948" spans="1:25">
      <c r="A948" s="319">
        <v>18</v>
      </c>
      <c r="B948" s="320" t="str">
        <f>VLOOKUP(Tabel10[[#This Row],[Code]],Ruimtegroepen[[Code]:[Ruimte omschrijving]],2,FALSE)</f>
        <v>Gymzaal</v>
      </c>
      <c r="C948" s="321" t="s">
        <v>1072</v>
      </c>
      <c r="D948" s="320" t="s">
        <v>1</v>
      </c>
      <c r="E948" s="321" t="s">
        <v>101</v>
      </c>
      <c r="F948" s="321" t="s">
        <v>1075</v>
      </c>
      <c r="G948" s="326" t="s">
        <v>282</v>
      </c>
      <c r="H948" s="322" t="s">
        <v>282</v>
      </c>
      <c r="I948" s="322" t="s">
        <v>20</v>
      </c>
      <c r="J948" s="322" t="s">
        <v>15</v>
      </c>
      <c r="K948" s="322" t="s">
        <v>283</v>
      </c>
      <c r="L948" s="322" t="s">
        <v>282</v>
      </c>
      <c r="M948" s="322" t="s">
        <v>282</v>
      </c>
      <c r="N948" s="322" t="s">
        <v>282</v>
      </c>
      <c r="O948" s="323" t="s">
        <v>2</v>
      </c>
      <c r="P948" s="323" t="s">
        <v>2</v>
      </c>
      <c r="Q948" s="323" t="s">
        <v>2</v>
      </c>
      <c r="R948" s="323" t="s">
        <v>2</v>
      </c>
      <c r="S948" s="323" t="s">
        <v>16</v>
      </c>
      <c r="T948" s="323" t="s">
        <v>329</v>
      </c>
      <c r="U948" s="323" t="s">
        <v>249</v>
      </c>
      <c r="V948" s="323" t="s">
        <v>282</v>
      </c>
      <c r="W948" s="324" t="s">
        <v>282</v>
      </c>
      <c r="X948" s="324" t="s">
        <v>282</v>
      </c>
      <c r="Y948" s="325" t="s">
        <v>282</v>
      </c>
    </row>
    <row r="949" spans="1:25">
      <c r="A949" s="319">
        <v>18</v>
      </c>
      <c r="B949" s="320" t="str">
        <f>VLOOKUP(Tabel10[[#This Row],[Code]],Ruimtegroepen[[Code]:[Ruimte omschrijving]],2,FALSE)</f>
        <v>Gymzaal</v>
      </c>
      <c r="C949" s="321" t="s">
        <v>1072</v>
      </c>
      <c r="D949" s="320" t="s">
        <v>1</v>
      </c>
      <c r="E949" s="321" t="s">
        <v>102</v>
      </c>
      <c r="F949" s="321" t="s">
        <v>1076</v>
      </c>
      <c r="G949" s="326" t="s">
        <v>282</v>
      </c>
      <c r="H949" s="322" t="s">
        <v>282</v>
      </c>
      <c r="I949" s="322" t="s">
        <v>20</v>
      </c>
      <c r="J949" s="322" t="s">
        <v>15</v>
      </c>
      <c r="K949" s="322" t="s">
        <v>283</v>
      </c>
      <c r="L949" s="322" t="s">
        <v>282</v>
      </c>
      <c r="M949" s="322" t="s">
        <v>282</v>
      </c>
      <c r="N949" s="322" t="s">
        <v>282</v>
      </c>
      <c r="O949" s="323" t="s">
        <v>2</v>
      </c>
      <c r="P949" s="323" t="s">
        <v>2</v>
      </c>
      <c r="Q949" s="323" t="s">
        <v>2</v>
      </c>
      <c r="R949" s="323" t="s">
        <v>2</v>
      </c>
      <c r="S949" s="323" t="s">
        <v>16</v>
      </c>
      <c r="T949" s="323" t="s">
        <v>329</v>
      </c>
      <c r="U949" s="323" t="s">
        <v>249</v>
      </c>
      <c r="V949" s="323" t="s">
        <v>282</v>
      </c>
      <c r="W949" s="324" t="s">
        <v>282</v>
      </c>
      <c r="X949" s="324" t="s">
        <v>282</v>
      </c>
      <c r="Y949" s="325" t="s">
        <v>282</v>
      </c>
    </row>
    <row r="950" spans="1:25">
      <c r="A950" s="319">
        <v>18</v>
      </c>
      <c r="B950" s="320" t="str">
        <f>VLOOKUP(Tabel10[[#This Row],[Code]],Ruimtegroepen[[Code]:[Ruimte omschrijving]],2,FALSE)</f>
        <v>Gymzaal</v>
      </c>
      <c r="C950" s="321" t="s">
        <v>1072</v>
      </c>
      <c r="D950" s="320" t="s">
        <v>1</v>
      </c>
      <c r="E950" s="321" t="s">
        <v>99</v>
      </c>
      <c r="F950" s="321" t="s">
        <v>1074</v>
      </c>
      <c r="G950" s="326" t="s">
        <v>282</v>
      </c>
      <c r="H950" s="322" t="s">
        <v>2</v>
      </c>
      <c r="I950" s="322" t="s">
        <v>282</v>
      </c>
      <c r="J950" s="322" t="s">
        <v>282</v>
      </c>
      <c r="K950" s="322" t="s">
        <v>282</v>
      </c>
      <c r="L950" s="322" t="s">
        <v>282</v>
      </c>
      <c r="M950" s="322" t="s">
        <v>282</v>
      </c>
      <c r="N950" s="322" t="s">
        <v>282</v>
      </c>
      <c r="O950" s="323" t="s">
        <v>2</v>
      </c>
      <c r="P950" s="323" t="s">
        <v>2</v>
      </c>
      <c r="Q950" s="323" t="s">
        <v>2</v>
      </c>
      <c r="R950" s="323" t="s">
        <v>2</v>
      </c>
      <c r="S950" s="323" t="s">
        <v>16</v>
      </c>
      <c r="T950" s="323" t="s">
        <v>329</v>
      </c>
      <c r="U950" s="323" t="s">
        <v>249</v>
      </c>
      <c r="V950" s="323" t="s">
        <v>282</v>
      </c>
      <c r="W950" s="324" t="s">
        <v>282</v>
      </c>
      <c r="X950" s="324" t="s">
        <v>282</v>
      </c>
      <c r="Y950" s="325" t="s">
        <v>282</v>
      </c>
    </row>
    <row r="951" spans="1:25">
      <c r="A951" s="319">
        <v>18</v>
      </c>
      <c r="B951" s="320" t="str">
        <f>VLOOKUP(Tabel10[[#This Row],[Code]],Ruimtegroepen[[Code]:[Ruimte omschrijving]],2,FALSE)</f>
        <v>Gymzaal</v>
      </c>
      <c r="C951" s="321" t="s">
        <v>1072</v>
      </c>
      <c r="D951" s="320" t="s">
        <v>1</v>
      </c>
      <c r="E951" s="321" t="s">
        <v>1306</v>
      </c>
      <c r="F951" s="321" t="s">
        <v>1472</v>
      </c>
      <c r="G951" s="326" t="s">
        <v>282</v>
      </c>
      <c r="H951" s="322" t="s">
        <v>282</v>
      </c>
      <c r="I951" s="322" t="s">
        <v>20</v>
      </c>
      <c r="J951" s="322" t="s">
        <v>15</v>
      </c>
      <c r="K951" s="322" t="s">
        <v>283</v>
      </c>
      <c r="L951" s="322" t="s">
        <v>282</v>
      </c>
      <c r="M951" s="322" t="s">
        <v>282</v>
      </c>
      <c r="N951" s="322" t="s">
        <v>282</v>
      </c>
      <c r="O951" s="323" t="s">
        <v>2</v>
      </c>
      <c r="P951" s="323" t="s">
        <v>2</v>
      </c>
      <c r="Q951" s="323" t="s">
        <v>2</v>
      </c>
      <c r="R951" s="323" t="s">
        <v>2</v>
      </c>
      <c r="S951" s="323" t="s">
        <v>16</v>
      </c>
      <c r="T951" s="323" t="s">
        <v>329</v>
      </c>
      <c r="U951" s="323" t="s">
        <v>249</v>
      </c>
      <c r="V951" s="323" t="s">
        <v>282</v>
      </c>
      <c r="W951" s="324" t="s">
        <v>282</v>
      </c>
      <c r="X951" s="324" t="s">
        <v>282</v>
      </c>
      <c r="Y951" s="325" t="s">
        <v>282</v>
      </c>
    </row>
    <row r="952" spans="1:25">
      <c r="A952" s="319">
        <v>18</v>
      </c>
      <c r="B952" s="320" t="str">
        <f>VLOOKUP(Tabel10[[#This Row],[Code]],Ruimtegroepen[[Code]:[Ruimte omschrijving]],2,FALSE)</f>
        <v>Gymzaal</v>
      </c>
      <c r="C952" s="321" t="s">
        <v>1077</v>
      </c>
      <c r="D952" s="320" t="s">
        <v>21</v>
      </c>
      <c r="E952" s="321" t="s">
        <v>100</v>
      </c>
      <c r="F952" s="321" t="s">
        <v>1078</v>
      </c>
      <c r="G952" s="326" t="s">
        <v>282</v>
      </c>
      <c r="H952" s="322" t="s">
        <v>282</v>
      </c>
      <c r="I952" s="322" t="s">
        <v>18</v>
      </c>
      <c r="J952" s="322" t="s">
        <v>15</v>
      </c>
      <c r="K952" s="322" t="s">
        <v>282</v>
      </c>
      <c r="L952" s="322" t="s">
        <v>282</v>
      </c>
      <c r="M952" s="322" t="s">
        <v>282</v>
      </c>
      <c r="N952" s="322" t="s">
        <v>282</v>
      </c>
      <c r="O952" s="323" t="s">
        <v>20</v>
      </c>
      <c r="P952" s="323" t="s">
        <v>20</v>
      </c>
      <c r="Q952" s="323" t="s">
        <v>20</v>
      </c>
      <c r="R952" s="323" t="s">
        <v>15</v>
      </c>
      <c r="S952" s="323" t="s">
        <v>16</v>
      </c>
      <c r="T952" s="323" t="s">
        <v>329</v>
      </c>
      <c r="U952" s="323" t="s">
        <v>249</v>
      </c>
      <c r="V952" s="323" t="s">
        <v>282</v>
      </c>
      <c r="W952" s="324" t="s">
        <v>282</v>
      </c>
      <c r="X952" s="324" t="s">
        <v>282</v>
      </c>
      <c r="Y952" s="325" t="s">
        <v>282</v>
      </c>
    </row>
    <row r="953" spans="1:25">
      <c r="A953" s="319">
        <v>18</v>
      </c>
      <c r="B953" s="320" t="str">
        <f>VLOOKUP(Tabel10[[#This Row],[Code]],Ruimtegroepen[[Code]:[Ruimte omschrijving]],2,FALSE)</f>
        <v>Gymzaal</v>
      </c>
      <c r="C953" s="321" t="s">
        <v>1077</v>
      </c>
      <c r="D953" s="320" t="s">
        <v>21</v>
      </c>
      <c r="E953" s="321" t="s">
        <v>99</v>
      </c>
      <c r="F953" s="321" t="s">
        <v>1079</v>
      </c>
      <c r="G953" s="322" t="s">
        <v>18</v>
      </c>
      <c r="H953" s="322" t="s">
        <v>15</v>
      </c>
      <c r="I953" s="322" t="s">
        <v>282</v>
      </c>
      <c r="J953" s="322" t="s">
        <v>282</v>
      </c>
      <c r="K953" s="322" t="s">
        <v>282</v>
      </c>
      <c r="L953" s="322" t="s">
        <v>282</v>
      </c>
      <c r="M953" s="322" t="s">
        <v>282</v>
      </c>
      <c r="N953" s="322" t="s">
        <v>282</v>
      </c>
      <c r="O953" s="323" t="s">
        <v>20</v>
      </c>
      <c r="P953" s="323" t="s">
        <v>20</v>
      </c>
      <c r="Q953" s="323" t="s">
        <v>20</v>
      </c>
      <c r="R953" s="323" t="s">
        <v>15</v>
      </c>
      <c r="S953" s="323" t="s">
        <v>16</v>
      </c>
      <c r="T953" s="323" t="s">
        <v>329</v>
      </c>
      <c r="U953" s="323" t="s">
        <v>249</v>
      </c>
      <c r="V953" s="323" t="s">
        <v>282</v>
      </c>
      <c r="W953" s="324" t="s">
        <v>282</v>
      </c>
      <c r="X953" s="324" t="s">
        <v>282</v>
      </c>
      <c r="Y953" s="325" t="s">
        <v>282</v>
      </c>
    </row>
    <row r="954" spans="1:25">
      <c r="A954" s="319">
        <v>18</v>
      </c>
      <c r="B954" s="320" t="str">
        <f>VLOOKUP(Tabel10[[#This Row],[Code]],Ruimtegroepen[[Code]:[Ruimte omschrijving]],2,FALSE)</f>
        <v>Gymzaal</v>
      </c>
      <c r="C954" s="321" t="s">
        <v>1077</v>
      </c>
      <c r="D954" s="320" t="s">
        <v>21</v>
      </c>
      <c r="E954" s="321" t="s">
        <v>101</v>
      </c>
      <c r="F954" s="321" t="s">
        <v>1080</v>
      </c>
      <c r="G954" s="326" t="s">
        <v>282</v>
      </c>
      <c r="H954" s="322" t="s">
        <v>282</v>
      </c>
      <c r="I954" s="322" t="s">
        <v>18</v>
      </c>
      <c r="J954" s="322" t="s">
        <v>15</v>
      </c>
      <c r="K954" s="322" t="s">
        <v>283</v>
      </c>
      <c r="L954" s="322" t="s">
        <v>282</v>
      </c>
      <c r="M954" s="322" t="s">
        <v>282</v>
      </c>
      <c r="N954" s="322" t="s">
        <v>282</v>
      </c>
      <c r="O954" s="323" t="s">
        <v>20</v>
      </c>
      <c r="P954" s="323" t="s">
        <v>20</v>
      </c>
      <c r="Q954" s="323" t="s">
        <v>20</v>
      </c>
      <c r="R954" s="323" t="s">
        <v>15</v>
      </c>
      <c r="S954" s="323" t="s">
        <v>16</v>
      </c>
      <c r="T954" s="323" t="s">
        <v>329</v>
      </c>
      <c r="U954" s="323" t="s">
        <v>249</v>
      </c>
      <c r="V954" s="323" t="s">
        <v>282</v>
      </c>
      <c r="W954" s="324" t="s">
        <v>282</v>
      </c>
      <c r="X954" s="324" t="s">
        <v>282</v>
      </c>
      <c r="Y954" s="325" t="s">
        <v>282</v>
      </c>
    </row>
    <row r="955" spans="1:25">
      <c r="A955" s="319">
        <v>18</v>
      </c>
      <c r="B955" s="320" t="str">
        <f>VLOOKUP(Tabel10[[#This Row],[Code]],Ruimtegroepen[[Code]:[Ruimte omschrijving]],2,FALSE)</f>
        <v>Gymzaal</v>
      </c>
      <c r="C955" s="321" t="s">
        <v>1077</v>
      </c>
      <c r="D955" s="320" t="s">
        <v>21</v>
      </c>
      <c r="E955" s="321" t="s">
        <v>102</v>
      </c>
      <c r="F955" s="321" t="s">
        <v>1081</v>
      </c>
      <c r="G955" s="326" t="s">
        <v>282</v>
      </c>
      <c r="H955" s="322" t="s">
        <v>282</v>
      </c>
      <c r="I955" s="322" t="s">
        <v>18</v>
      </c>
      <c r="J955" s="322" t="s">
        <v>15</v>
      </c>
      <c r="K955" s="322" t="s">
        <v>283</v>
      </c>
      <c r="L955" s="322" t="s">
        <v>282</v>
      </c>
      <c r="M955" s="322" t="s">
        <v>282</v>
      </c>
      <c r="N955" s="322" t="s">
        <v>282</v>
      </c>
      <c r="O955" s="323" t="s">
        <v>20</v>
      </c>
      <c r="P955" s="323" t="s">
        <v>20</v>
      </c>
      <c r="Q955" s="323" t="s">
        <v>20</v>
      </c>
      <c r="R955" s="323" t="s">
        <v>15</v>
      </c>
      <c r="S955" s="323" t="s">
        <v>16</v>
      </c>
      <c r="T955" s="323" t="s">
        <v>329</v>
      </c>
      <c r="U955" s="323" t="s">
        <v>249</v>
      </c>
      <c r="V955" s="323" t="s">
        <v>282</v>
      </c>
      <c r="W955" s="324" t="s">
        <v>282</v>
      </c>
      <c r="X955" s="324" t="s">
        <v>282</v>
      </c>
      <c r="Y955" s="325" t="s">
        <v>282</v>
      </c>
    </row>
    <row r="956" spans="1:25">
      <c r="A956" s="319">
        <v>18</v>
      </c>
      <c r="B956" s="320" t="str">
        <f>VLOOKUP(Tabel10[[#This Row],[Code]],Ruimtegroepen[[Code]:[Ruimte omschrijving]],2,FALSE)</f>
        <v>Gymzaal</v>
      </c>
      <c r="C956" s="321" t="s">
        <v>1077</v>
      </c>
      <c r="D956" s="320" t="s">
        <v>21</v>
      </c>
      <c r="E956" s="321" t="s">
        <v>99</v>
      </c>
      <c r="F956" s="321" t="s">
        <v>1079</v>
      </c>
      <c r="G956" s="326" t="s">
        <v>282</v>
      </c>
      <c r="H956" s="322" t="s">
        <v>20</v>
      </c>
      <c r="I956" s="322" t="s">
        <v>282</v>
      </c>
      <c r="J956" s="322" t="s">
        <v>282</v>
      </c>
      <c r="K956" s="322" t="s">
        <v>282</v>
      </c>
      <c r="L956" s="322" t="s">
        <v>282</v>
      </c>
      <c r="M956" s="322" t="s">
        <v>282</v>
      </c>
      <c r="N956" s="322" t="s">
        <v>282</v>
      </c>
      <c r="O956" s="323" t="s">
        <v>20</v>
      </c>
      <c r="P956" s="323" t="s">
        <v>20</v>
      </c>
      <c r="Q956" s="323" t="s">
        <v>20</v>
      </c>
      <c r="R956" s="323" t="s">
        <v>15</v>
      </c>
      <c r="S956" s="323" t="s">
        <v>16</v>
      </c>
      <c r="T956" s="323" t="s">
        <v>329</v>
      </c>
      <c r="U956" s="323" t="s">
        <v>249</v>
      </c>
      <c r="V956" s="323" t="s">
        <v>282</v>
      </c>
      <c r="W956" s="324" t="s">
        <v>282</v>
      </c>
      <c r="X956" s="324" t="s">
        <v>282</v>
      </c>
      <c r="Y956" s="325" t="s">
        <v>282</v>
      </c>
    </row>
    <row r="957" spans="1:25">
      <c r="A957" s="319">
        <v>18</v>
      </c>
      <c r="B957" s="320" t="str">
        <f>VLOOKUP(Tabel10[[#This Row],[Code]],Ruimtegroepen[[Code]:[Ruimte omschrijving]],2,FALSE)</f>
        <v>Gymzaal</v>
      </c>
      <c r="C957" s="321" t="s">
        <v>1077</v>
      </c>
      <c r="D957" s="320" t="s">
        <v>21</v>
      </c>
      <c r="E957" s="321" t="s">
        <v>1306</v>
      </c>
      <c r="F957" s="321" t="s">
        <v>1455</v>
      </c>
      <c r="G957" s="326" t="s">
        <v>282</v>
      </c>
      <c r="H957" s="322" t="s">
        <v>282</v>
      </c>
      <c r="I957" s="322" t="s">
        <v>18</v>
      </c>
      <c r="J957" s="322" t="s">
        <v>15</v>
      </c>
      <c r="K957" s="322" t="s">
        <v>283</v>
      </c>
      <c r="L957" s="322" t="s">
        <v>282</v>
      </c>
      <c r="M957" s="322" t="s">
        <v>282</v>
      </c>
      <c r="N957" s="322" t="s">
        <v>282</v>
      </c>
      <c r="O957" s="323" t="s">
        <v>20</v>
      </c>
      <c r="P957" s="323" t="s">
        <v>20</v>
      </c>
      <c r="Q957" s="323" t="s">
        <v>20</v>
      </c>
      <c r="R957" s="323" t="s">
        <v>15</v>
      </c>
      <c r="S957" s="323" t="s">
        <v>16</v>
      </c>
      <c r="T957" s="323" t="s">
        <v>329</v>
      </c>
      <c r="U957" s="323" t="s">
        <v>249</v>
      </c>
      <c r="V957" s="323" t="s">
        <v>282</v>
      </c>
      <c r="W957" s="324" t="s">
        <v>282</v>
      </c>
      <c r="X957" s="324" t="s">
        <v>282</v>
      </c>
      <c r="Y957" s="325" t="s">
        <v>282</v>
      </c>
    </row>
    <row r="958" spans="1:25">
      <c r="A958" s="319">
        <v>18</v>
      </c>
      <c r="B958" s="320" t="str">
        <f>VLOOKUP(Tabel10[[#This Row],[Code]],Ruimtegroepen[[Code]:[Ruimte omschrijving]],2,FALSE)</f>
        <v>Gymzaal</v>
      </c>
      <c r="C958" s="321" t="s">
        <v>1082</v>
      </c>
      <c r="D958" s="320" t="s">
        <v>12</v>
      </c>
      <c r="E958" s="321" t="s">
        <v>100</v>
      </c>
      <c r="F958" s="321" t="s">
        <v>1083</v>
      </c>
      <c r="G958" s="326" t="s">
        <v>282</v>
      </c>
      <c r="H958" s="322" t="s">
        <v>282</v>
      </c>
      <c r="I958" s="322" t="s">
        <v>17</v>
      </c>
      <c r="J958" s="322" t="s">
        <v>15</v>
      </c>
      <c r="K958" s="322" t="s">
        <v>282</v>
      </c>
      <c r="L958" s="322" t="s">
        <v>282</v>
      </c>
      <c r="M958" s="322" t="s">
        <v>282</v>
      </c>
      <c r="N958" s="322" t="s">
        <v>282</v>
      </c>
      <c r="O958" s="323" t="s">
        <v>18</v>
      </c>
      <c r="P958" s="323" t="s">
        <v>18</v>
      </c>
      <c r="Q958" s="323" t="s">
        <v>18</v>
      </c>
      <c r="R958" s="323" t="s">
        <v>15</v>
      </c>
      <c r="S958" s="323" t="s">
        <v>16</v>
      </c>
      <c r="T958" s="323" t="s">
        <v>329</v>
      </c>
      <c r="U958" s="323" t="s">
        <v>249</v>
      </c>
      <c r="V958" s="323" t="s">
        <v>282</v>
      </c>
      <c r="W958" s="324" t="s">
        <v>282</v>
      </c>
      <c r="X958" s="324" t="s">
        <v>282</v>
      </c>
      <c r="Y958" s="325" t="s">
        <v>282</v>
      </c>
    </row>
    <row r="959" spans="1:25">
      <c r="A959" s="319">
        <v>18</v>
      </c>
      <c r="B959" s="320" t="str">
        <f>VLOOKUP(Tabel10[[#This Row],[Code]],Ruimtegroepen[[Code]:[Ruimte omschrijving]],2,FALSE)</f>
        <v>Gymzaal</v>
      </c>
      <c r="C959" s="332" t="s">
        <v>1082</v>
      </c>
      <c r="D959" s="320" t="s">
        <v>12</v>
      </c>
      <c r="E959" s="321" t="s">
        <v>99</v>
      </c>
      <c r="F959" s="321" t="s">
        <v>1084</v>
      </c>
      <c r="G959" s="328" t="s">
        <v>17</v>
      </c>
      <c r="H959" s="328" t="s">
        <v>15</v>
      </c>
      <c r="I959" s="322" t="s">
        <v>282</v>
      </c>
      <c r="J959" s="328" t="s">
        <v>282</v>
      </c>
      <c r="K959" s="328" t="s">
        <v>282</v>
      </c>
      <c r="L959" s="322" t="s">
        <v>282</v>
      </c>
      <c r="M959" s="322" t="s">
        <v>282</v>
      </c>
      <c r="N959" s="328" t="s">
        <v>282</v>
      </c>
      <c r="O959" s="329" t="s">
        <v>18</v>
      </c>
      <c r="P959" s="329" t="s">
        <v>18</v>
      </c>
      <c r="Q959" s="329" t="s">
        <v>18</v>
      </c>
      <c r="R959" s="329" t="s">
        <v>15</v>
      </c>
      <c r="S959" s="323" t="s">
        <v>16</v>
      </c>
      <c r="T959" s="323" t="s">
        <v>329</v>
      </c>
      <c r="U959" s="323" t="s">
        <v>249</v>
      </c>
      <c r="V959" s="329" t="s">
        <v>282</v>
      </c>
      <c r="W959" s="330" t="s">
        <v>282</v>
      </c>
      <c r="X959" s="330" t="s">
        <v>282</v>
      </c>
      <c r="Y959" s="331" t="s">
        <v>282</v>
      </c>
    </row>
    <row r="960" spans="1:25">
      <c r="A960" s="319">
        <v>18</v>
      </c>
      <c r="B960" s="320" t="str">
        <f>VLOOKUP(Tabel10[[#This Row],[Code]],Ruimtegroepen[[Code]:[Ruimte omschrijving]],2,FALSE)</f>
        <v>Gymzaal</v>
      </c>
      <c r="C960" s="321" t="s">
        <v>1082</v>
      </c>
      <c r="D960" s="320" t="s">
        <v>12</v>
      </c>
      <c r="E960" s="321" t="s">
        <v>101</v>
      </c>
      <c r="F960" s="321" t="s">
        <v>1085</v>
      </c>
      <c r="G960" s="326" t="s">
        <v>282</v>
      </c>
      <c r="H960" s="322" t="s">
        <v>282</v>
      </c>
      <c r="I960" s="322" t="s">
        <v>17</v>
      </c>
      <c r="J960" s="322" t="s">
        <v>15</v>
      </c>
      <c r="K960" s="322" t="s">
        <v>283</v>
      </c>
      <c r="L960" s="322" t="s">
        <v>282</v>
      </c>
      <c r="M960" s="322" t="s">
        <v>282</v>
      </c>
      <c r="N960" s="322" t="s">
        <v>282</v>
      </c>
      <c r="O960" s="323" t="s">
        <v>18</v>
      </c>
      <c r="P960" s="323" t="s">
        <v>18</v>
      </c>
      <c r="Q960" s="323" t="s">
        <v>18</v>
      </c>
      <c r="R960" s="323" t="s">
        <v>15</v>
      </c>
      <c r="S960" s="323" t="s">
        <v>16</v>
      </c>
      <c r="T960" s="323" t="s">
        <v>329</v>
      </c>
      <c r="U960" s="323" t="s">
        <v>249</v>
      </c>
      <c r="V960" s="323" t="s">
        <v>282</v>
      </c>
      <c r="W960" s="324" t="s">
        <v>282</v>
      </c>
      <c r="X960" s="324" t="s">
        <v>282</v>
      </c>
      <c r="Y960" s="325" t="s">
        <v>282</v>
      </c>
    </row>
    <row r="961" spans="1:25">
      <c r="A961" s="319">
        <v>18</v>
      </c>
      <c r="B961" s="320" t="str">
        <f>VLOOKUP(Tabel10[[#This Row],[Code]],Ruimtegroepen[[Code]:[Ruimte omschrijving]],2,FALSE)</f>
        <v>Gymzaal</v>
      </c>
      <c r="C961" s="321" t="s">
        <v>1082</v>
      </c>
      <c r="D961" s="320" t="s">
        <v>12</v>
      </c>
      <c r="E961" s="321" t="s">
        <v>102</v>
      </c>
      <c r="F961" s="321" t="s">
        <v>1086</v>
      </c>
      <c r="G961" s="326" t="s">
        <v>282</v>
      </c>
      <c r="H961" s="322" t="s">
        <v>282</v>
      </c>
      <c r="I961" s="322" t="s">
        <v>17</v>
      </c>
      <c r="J961" s="322" t="s">
        <v>15</v>
      </c>
      <c r="K961" s="322" t="s">
        <v>283</v>
      </c>
      <c r="L961" s="322" t="s">
        <v>282</v>
      </c>
      <c r="M961" s="322" t="s">
        <v>282</v>
      </c>
      <c r="N961" s="322" t="s">
        <v>282</v>
      </c>
      <c r="O961" s="323" t="s">
        <v>18</v>
      </c>
      <c r="P961" s="323" t="s">
        <v>18</v>
      </c>
      <c r="Q961" s="323" t="s">
        <v>18</v>
      </c>
      <c r="R961" s="323" t="s">
        <v>15</v>
      </c>
      <c r="S961" s="323" t="s">
        <v>16</v>
      </c>
      <c r="T961" s="323" t="s">
        <v>329</v>
      </c>
      <c r="U961" s="323" t="s">
        <v>249</v>
      </c>
      <c r="V961" s="323" t="s">
        <v>282</v>
      </c>
      <c r="W961" s="324" t="s">
        <v>282</v>
      </c>
      <c r="X961" s="324" t="s">
        <v>282</v>
      </c>
      <c r="Y961" s="325" t="s">
        <v>282</v>
      </c>
    </row>
    <row r="962" spans="1:25">
      <c r="A962" s="319">
        <v>18</v>
      </c>
      <c r="B962" s="320" t="str">
        <f>VLOOKUP(Tabel10[[#This Row],[Code]],Ruimtegroepen[[Code]:[Ruimte omschrijving]],2,FALSE)</f>
        <v>Gymzaal</v>
      </c>
      <c r="C962" s="321" t="s">
        <v>1082</v>
      </c>
      <c r="D962" s="320" t="s">
        <v>12</v>
      </c>
      <c r="E962" s="321" t="s">
        <v>99</v>
      </c>
      <c r="F962" s="321" t="s">
        <v>1084</v>
      </c>
      <c r="G962" s="326" t="s">
        <v>282</v>
      </c>
      <c r="H962" s="322" t="s">
        <v>18</v>
      </c>
      <c r="I962" s="322" t="s">
        <v>282</v>
      </c>
      <c r="J962" s="322" t="s">
        <v>282</v>
      </c>
      <c r="K962" s="322" t="s">
        <v>282</v>
      </c>
      <c r="L962" s="322" t="s">
        <v>282</v>
      </c>
      <c r="M962" s="322" t="s">
        <v>282</v>
      </c>
      <c r="N962" s="322" t="s">
        <v>282</v>
      </c>
      <c r="O962" s="323" t="s">
        <v>18</v>
      </c>
      <c r="P962" s="323" t="s">
        <v>18</v>
      </c>
      <c r="Q962" s="323" t="s">
        <v>18</v>
      </c>
      <c r="R962" s="323" t="s">
        <v>15</v>
      </c>
      <c r="S962" s="323" t="s">
        <v>16</v>
      </c>
      <c r="T962" s="323" t="s">
        <v>329</v>
      </c>
      <c r="U962" s="323" t="s">
        <v>249</v>
      </c>
      <c r="V962" s="323" t="s">
        <v>282</v>
      </c>
      <c r="W962" s="324" t="s">
        <v>282</v>
      </c>
      <c r="X962" s="324" t="s">
        <v>282</v>
      </c>
      <c r="Y962" s="325" t="s">
        <v>282</v>
      </c>
    </row>
    <row r="963" spans="1:25">
      <c r="A963" s="319">
        <v>18</v>
      </c>
      <c r="B963" s="320" t="str">
        <f>VLOOKUP(Tabel10[[#This Row],[Code]],Ruimtegroepen[[Code]:[Ruimte omschrijving]],2,FALSE)</f>
        <v>Gymzaal</v>
      </c>
      <c r="C963" s="321" t="s">
        <v>1082</v>
      </c>
      <c r="D963" s="320" t="s">
        <v>12</v>
      </c>
      <c r="E963" s="321" t="s">
        <v>1306</v>
      </c>
      <c r="F963" s="321" t="s">
        <v>1437</v>
      </c>
      <c r="G963" s="326" t="s">
        <v>282</v>
      </c>
      <c r="H963" s="322" t="s">
        <v>282</v>
      </c>
      <c r="I963" s="322" t="s">
        <v>17</v>
      </c>
      <c r="J963" s="322" t="s">
        <v>15</v>
      </c>
      <c r="K963" s="322" t="s">
        <v>283</v>
      </c>
      <c r="L963" s="322" t="s">
        <v>282</v>
      </c>
      <c r="M963" s="322" t="s">
        <v>282</v>
      </c>
      <c r="N963" s="322" t="s">
        <v>282</v>
      </c>
      <c r="O963" s="323" t="s">
        <v>18</v>
      </c>
      <c r="P963" s="323" t="s">
        <v>18</v>
      </c>
      <c r="Q963" s="323" t="s">
        <v>18</v>
      </c>
      <c r="R963" s="323" t="s">
        <v>15</v>
      </c>
      <c r="S963" s="323" t="s">
        <v>16</v>
      </c>
      <c r="T963" s="323" t="s">
        <v>329</v>
      </c>
      <c r="U963" s="323" t="s">
        <v>249</v>
      </c>
      <c r="V963" s="323" t="s">
        <v>282</v>
      </c>
      <c r="W963" s="324" t="s">
        <v>282</v>
      </c>
      <c r="X963" s="324" t="s">
        <v>282</v>
      </c>
      <c r="Y963" s="325" t="s">
        <v>282</v>
      </c>
    </row>
    <row r="964" spans="1:25">
      <c r="A964" s="319">
        <v>18</v>
      </c>
      <c r="B964" s="320" t="str">
        <f>VLOOKUP(Tabel10[[#This Row],[Code]],Ruimtegroepen[[Code]:[Ruimte omschrijving]],2,FALSE)</f>
        <v>Gymzaal</v>
      </c>
      <c r="C964" s="321" t="s">
        <v>1087</v>
      </c>
      <c r="D964" s="320" t="s">
        <v>14</v>
      </c>
      <c r="E964" s="321" t="s">
        <v>100</v>
      </c>
      <c r="F964" s="321" t="s">
        <v>1088</v>
      </c>
      <c r="G964" s="326" t="s">
        <v>282</v>
      </c>
      <c r="H964" s="322" t="s">
        <v>282</v>
      </c>
      <c r="I964" s="322" t="s">
        <v>17</v>
      </c>
      <c r="J964" s="322" t="s">
        <v>15</v>
      </c>
      <c r="K964" s="322" t="s">
        <v>282</v>
      </c>
      <c r="L964" s="322" t="s">
        <v>282</v>
      </c>
      <c r="M964" s="322" t="s">
        <v>282</v>
      </c>
      <c r="N964" s="322" t="s">
        <v>282</v>
      </c>
      <c r="O964" s="323" t="s">
        <v>17</v>
      </c>
      <c r="P964" s="323" t="s">
        <v>17</v>
      </c>
      <c r="Q964" s="323" t="s">
        <v>17</v>
      </c>
      <c r="R964" s="323" t="s">
        <v>15</v>
      </c>
      <c r="S964" s="323" t="s">
        <v>16</v>
      </c>
      <c r="T964" s="323" t="s">
        <v>329</v>
      </c>
      <c r="U964" s="323" t="s">
        <v>249</v>
      </c>
      <c r="V964" s="323" t="s">
        <v>282</v>
      </c>
      <c r="W964" s="324" t="s">
        <v>282</v>
      </c>
      <c r="X964" s="324" t="s">
        <v>282</v>
      </c>
      <c r="Y964" s="325" t="s">
        <v>282</v>
      </c>
    </row>
    <row r="965" spans="1:25">
      <c r="A965" s="319">
        <v>18</v>
      </c>
      <c r="B965" s="320" t="str">
        <f>VLOOKUP(Tabel10[[#This Row],[Code]],Ruimtegroepen[[Code]:[Ruimte omschrijving]],2,FALSE)</f>
        <v>Gymzaal</v>
      </c>
      <c r="C965" s="321" t="s">
        <v>1087</v>
      </c>
      <c r="D965" s="320" t="s">
        <v>14</v>
      </c>
      <c r="E965" s="321" t="s">
        <v>99</v>
      </c>
      <c r="F965" s="321" t="s">
        <v>1089</v>
      </c>
      <c r="G965" s="322" t="s">
        <v>15</v>
      </c>
      <c r="H965" s="322" t="s">
        <v>15</v>
      </c>
      <c r="I965" s="322" t="s">
        <v>282</v>
      </c>
      <c r="J965" s="322" t="s">
        <v>282</v>
      </c>
      <c r="K965" s="322" t="s">
        <v>282</v>
      </c>
      <c r="L965" s="322" t="s">
        <v>282</v>
      </c>
      <c r="M965" s="322" t="s">
        <v>282</v>
      </c>
      <c r="N965" s="322" t="s">
        <v>282</v>
      </c>
      <c r="O965" s="323" t="s">
        <v>17</v>
      </c>
      <c r="P965" s="323" t="s">
        <v>17</v>
      </c>
      <c r="Q965" s="323" t="s">
        <v>17</v>
      </c>
      <c r="R965" s="323" t="s">
        <v>15</v>
      </c>
      <c r="S965" s="323" t="s">
        <v>16</v>
      </c>
      <c r="T965" s="323" t="s">
        <v>329</v>
      </c>
      <c r="U965" s="323" t="s">
        <v>249</v>
      </c>
      <c r="V965" s="323" t="s">
        <v>282</v>
      </c>
      <c r="W965" s="324" t="s">
        <v>282</v>
      </c>
      <c r="X965" s="324" t="s">
        <v>282</v>
      </c>
      <c r="Y965" s="325" t="s">
        <v>282</v>
      </c>
    </row>
    <row r="966" spans="1:25">
      <c r="A966" s="319">
        <v>18</v>
      </c>
      <c r="B966" s="320" t="str">
        <f>VLOOKUP(Tabel10[[#This Row],[Code]],Ruimtegroepen[[Code]:[Ruimte omschrijving]],2,FALSE)</f>
        <v>Gymzaal</v>
      </c>
      <c r="C966" s="321" t="s">
        <v>1087</v>
      </c>
      <c r="D966" s="320" t="s">
        <v>14</v>
      </c>
      <c r="E966" s="321" t="s">
        <v>101</v>
      </c>
      <c r="F966" s="321" t="s">
        <v>1090</v>
      </c>
      <c r="G966" s="326" t="s">
        <v>282</v>
      </c>
      <c r="H966" s="322" t="s">
        <v>282</v>
      </c>
      <c r="I966" s="322" t="s">
        <v>15</v>
      </c>
      <c r="J966" s="322" t="s">
        <v>15</v>
      </c>
      <c r="K966" s="322" t="s">
        <v>283</v>
      </c>
      <c r="L966" s="322" t="s">
        <v>282</v>
      </c>
      <c r="M966" s="322" t="s">
        <v>282</v>
      </c>
      <c r="N966" s="322" t="s">
        <v>282</v>
      </c>
      <c r="O966" s="323" t="s">
        <v>17</v>
      </c>
      <c r="P966" s="323" t="s">
        <v>17</v>
      </c>
      <c r="Q966" s="323" t="s">
        <v>17</v>
      </c>
      <c r="R966" s="323" t="s">
        <v>15</v>
      </c>
      <c r="S966" s="323" t="s">
        <v>16</v>
      </c>
      <c r="T966" s="323" t="s">
        <v>329</v>
      </c>
      <c r="U966" s="323" t="s">
        <v>249</v>
      </c>
      <c r="V966" s="323" t="s">
        <v>282</v>
      </c>
      <c r="W966" s="324" t="s">
        <v>282</v>
      </c>
      <c r="X966" s="324" t="s">
        <v>282</v>
      </c>
      <c r="Y966" s="325" t="s">
        <v>282</v>
      </c>
    </row>
    <row r="967" spans="1:25">
      <c r="A967" s="319">
        <v>18</v>
      </c>
      <c r="B967" s="320" t="str">
        <f>VLOOKUP(Tabel10[[#This Row],[Code]],Ruimtegroepen[[Code]:[Ruimte omschrijving]],2,FALSE)</f>
        <v>Gymzaal</v>
      </c>
      <c r="C967" s="321" t="s">
        <v>1087</v>
      </c>
      <c r="D967" s="320" t="s">
        <v>14</v>
      </c>
      <c r="E967" s="321" t="s">
        <v>102</v>
      </c>
      <c r="F967" s="321" t="s">
        <v>1091</v>
      </c>
      <c r="G967" s="326" t="s">
        <v>282</v>
      </c>
      <c r="H967" s="322" t="s">
        <v>282</v>
      </c>
      <c r="I967" s="322" t="s">
        <v>17</v>
      </c>
      <c r="J967" s="322" t="s">
        <v>15</v>
      </c>
      <c r="K967" s="322" t="s">
        <v>283</v>
      </c>
      <c r="L967" s="322" t="s">
        <v>282</v>
      </c>
      <c r="M967" s="322" t="s">
        <v>282</v>
      </c>
      <c r="N967" s="322" t="s">
        <v>282</v>
      </c>
      <c r="O967" s="323" t="s">
        <v>17</v>
      </c>
      <c r="P967" s="323" t="s">
        <v>17</v>
      </c>
      <c r="Q967" s="323" t="s">
        <v>17</v>
      </c>
      <c r="R967" s="323" t="s">
        <v>15</v>
      </c>
      <c r="S967" s="323" t="s">
        <v>16</v>
      </c>
      <c r="T967" s="323" t="s">
        <v>329</v>
      </c>
      <c r="U967" s="323" t="s">
        <v>249</v>
      </c>
      <c r="V967" s="323" t="s">
        <v>282</v>
      </c>
      <c r="W967" s="324" t="s">
        <v>282</v>
      </c>
      <c r="X967" s="324" t="s">
        <v>282</v>
      </c>
      <c r="Y967" s="325" t="s">
        <v>282</v>
      </c>
    </row>
    <row r="968" spans="1:25">
      <c r="A968" s="319">
        <v>18</v>
      </c>
      <c r="B968" s="320" t="str">
        <f>VLOOKUP(Tabel10[[#This Row],[Code]],Ruimtegroepen[[Code]:[Ruimte omschrijving]],2,FALSE)</f>
        <v>Gymzaal</v>
      </c>
      <c r="C968" s="321" t="s">
        <v>1087</v>
      </c>
      <c r="D968" s="320" t="s">
        <v>14</v>
      </c>
      <c r="E968" s="321" t="s">
        <v>99</v>
      </c>
      <c r="F968" s="321" t="s">
        <v>1089</v>
      </c>
      <c r="G968" s="326" t="s">
        <v>282</v>
      </c>
      <c r="H968" s="322" t="s">
        <v>17</v>
      </c>
      <c r="I968" s="322" t="s">
        <v>282</v>
      </c>
      <c r="J968" s="322" t="s">
        <v>282</v>
      </c>
      <c r="K968" s="322" t="s">
        <v>282</v>
      </c>
      <c r="L968" s="322" t="s">
        <v>282</v>
      </c>
      <c r="M968" s="322" t="s">
        <v>282</v>
      </c>
      <c r="N968" s="322" t="s">
        <v>282</v>
      </c>
      <c r="O968" s="323" t="s">
        <v>17</v>
      </c>
      <c r="P968" s="323" t="s">
        <v>17</v>
      </c>
      <c r="Q968" s="323" t="s">
        <v>17</v>
      </c>
      <c r="R968" s="323" t="s">
        <v>15</v>
      </c>
      <c r="S968" s="323" t="s">
        <v>16</v>
      </c>
      <c r="T968" s="323" t="s">
        <v>329</v>
      </c>
      <c r="U968" s="323" t="s">
        <v>249</v>
      </c>
      <c r="V968" s="323" t="s">
        <v>282</v>
      </c>
      <c r="W968" s="324" t="s">
        <v>282</v>
      </c>
      <c r="X968" s="324" t="s">
        <v>282</v>
      </c>
      <c r="Y968" s="325" t="s">
        <v>282</v>
      </c>
    </row>
    <row r="969" spans="1:25">
      <c r="A969" s="319">
        <v>18</v>
      </c>
      <c r="B969" s="320" t="str">
        <f>VLOOKUP(Tabel10[[#This Row],[Code]],Ruimtegroepen[[Code]:[Ruimte omschrijving]],2,FALSE)</f>
        <v>Gymzaal</v>
      </c>
      <c r="C969" s="321" t="s">
        <v>1087</v>
      </c>
      <c r="D969" s="320" t="s">
        <v>14</v>
      </c>
      <c r="E969" s="321" t="s">
        <v>1306</v>
      </c>
      <c r="F969" s="321" t="s">
        <v>1404</v>
      </c>
      <c r="G969" s="326" t="s">
        <v>282</v>
      </c>
      <c r="H969" s="322" t="s">
        <v>282</v>
      </c>
      <c r="I969" s="322" t="s">
        <v>17</v>
      </c>
      <c r="J969" s="322" t="s">
        <v>15</v>
      </c>
      <c r="K969" s="322" t="s">
        <v>283</v>
      </c>
      <c r="L969" s="322" t="s">
        <v>282</v>
      </c>
      <c r="M969" s="322" t="s">
        <v>282</v>
      </c>
      <c r="N969" s="322" t="s">
        <v>282</v>
      </c>
      <c r="O969" s="323" t="s">
        <v>17</v>
      </c>
      <c r="P969" s="323" t="s">
        <v>17</v>
      </c>
      <c r="Q969" s="323" t="s">
        <v>17</v>
      </c>
      <c r="R969" s="323" t="s">
        <v>15</v>
      </c>
      <c r="S969" s="323" t="s">
        <v>16</v>
      </c>
      <c r="T969" s="323" t="s">
        <v>329</v>
      </c>
      <c r="U969" s="323" t="s">
        <v>249</v>
      </c>
      <c r="V969" s="323" t="s">
        <v>282</v>
      </c>
      <c r="W969" s="324" t="s">
        <v>282</v>
      </c>
      <c r="X969" s="324" t="s">
        <v>282</v>
      </c>
      <c r="Y969" s="325" t="s">
        <v>282</v>
      </c>
    </row>
    <row r="970" spans="1:25">
      <c r="A970" s="319">
        <v>18</v>
      </c>
      <c r="B970" s="320" t="str">
        <f>VLOOKUP(Tabel10[[#This Row],[Code]],Ruimtegroepen[[Code]:[Ruimte omschrijving]],2,FALSE)</f>
        <v>Gymzaal</v>
      </c>
      <c r="C970" s="321" t="s">
        <v>1092</v>
      </c>
      <c r="D970" s="320" t="s">
        <v>13</v>
      </c>
      <c r="E970" s="321" t="s">
        <v>100</v>
      </c>
      <c r="F970" s="321" t="s">
        <v>1093</v>
      </c>
      <c r="G970" s="326" t="s">
        <v>282</v>
      </c>
      <c r="H970" s="322" t="s">
        <v>282</v>
      </c>
      <c r="I970" s="322" t="s">
        <v>15</v>
      </c>
      <c r="J970" s="322" t="s">
        <v>15</v>
      </c>
      <c r="K970" s="322" t="s">
        <v>282</v>
      </c>
      <c r="L970" s="322" t="s">
        <v>282</v>
      </c>
      <c r="M970" s="322" t="s">
        <v>282</v>
      </c>
      <c r="N970" s="322" t="s">
        <v>282</v>
      </c>
      <c r="O970" s="323" t="s">
        <v>15</v>
      </c>
      <c r="P970" s="323" t="s">
        <v>15</v>
      </c>
      <c r="Q970" s="323" t="s">
        <v>15</v>
      </c>
      <c r="R970" s="323" t="s">
        <v>15</v>
      </c>
      <c r="S970" s="323" t="s">
        <v>16</v>
      </c>
      <c r="T970" s="323" t="s">
        <v>329</v>
      </c>
      <c r="U970" s="323" t="s">
        <v>249</v>
      </c>
      <c r="V970" s="323" t="s">
        <v>282</v>
      </c>
      <c r="W970" s="324" t="s">
        <v>282</v>
      </c>
      <c r="X970" s="324" t="s">
        <v>282</v>
      </c>
      <c r="Y970" s="325" t="s">
        <v>282</v>
      </c>
    </row>
    <row r="971" spans="1:25">
      <c r="A971" s="319">
        <v>18</v>
      </c>
      <c r="B971" s="320" t="str">
        <f>VLOOKUP(Tabel10[[#This Row],[Code]],Ruimtegroepen[[Code]:[Ruimte omschrijving]],2,FALSE)</f>
        <v>Gymzaal</v>
      </c>
      <c r="C971" s="321" t="s">
        <v>1092</v>
      </c>
      <c r="D971" s="320" t="s">
        <v>13</v>
      </c>
      <c r="E971" s="321" t="s">
        <v>99</v>
      </c>
      <c r="F971" s="321" t="s">
        <v>1094</v>
      </c>
      <c r="G971" s="326" t="s">
        <v>282</v>
      </c>
      <c r="H971" s="322" t="s">
        <v>15</v>
      </c>
      <c r="I971" s="322" t="s">
        <v>282</v>
      </c>
      <c r="J971" s="322" t="s">
        <v>282</v>
      </c>
      <c r="K971" s="322" t="s">
        <v>282</v>
      </c>
      <c r="L971" s="322" t="s">
        <v>282</v>
      </c>
      <c r="M971" s="322" t="s">
        <v>282</v>
      </c>
      <c r="N971" s="322" t="s">
        <v>282</v>
      </c>
      <c r="O971" s="323" t="s">
        <v>15</v>
      </c>
      <c r="P971" s="323" t="s">
        <v>15</v>
      </c>
      <c r="Q971" s="323" t="s">
        <v>15</v>
      </c>
      <c r="R971" s="323" t="s">
        <v>15</v>
      </c>
      <c r="S971" s="323" t="s">
        <v>16</v>
      </c>
      <c r="T971" s="323" t="s">
        <v>329</v>
      </c>
      <c r="U971" s="323" t="s">
        <v>249</v>
      </c>
      <c r="V971" s="323" t="s">
        <v>282</v>
      </c>
      <c r="W971" s="324" t="s">
        <v>282</v>
      </c>
      <c r="X971" s="324" t="s">
        <v>282</v>
      </c>
      <c r="Y971" s="325" t="s">
        <v>282</v>
      </c>
    </row>
    <row r="972" spans="1:25">
      <c r="A972" s="319">
        <v>18</v>
      </c>
      <c r="B972" s="320" t="str">
        <f>VLOOKUP(Tabel10[[#This Row],[Code]],Ruimtegroepen[[Code]:[Ruimte omschrijving]],2,FALSE)</f>
        <v>Gymzaal</v>
      </c>
      <c r="C972" s="321" t="s">
        <v>1092</v>
      </c>
      <c r="D972" s="320" t="s">
        <v>13</v>
      </c>
      <c r="E972" s="321" t="s">
        <v>101</v>
      </c>
      <c r="F972" s="321" t="s">
        <v>1095</v>
      </c>
      <c r="G972" s="326" t="s">
        <v>282</v>
      </c>
      <c r="H972" s="322" t="s">
        <v>282</v>
      </c>
      <c r="I972" s="322" t="s">
        <v>282</v>
      </c>
      <c r="J972" s="322" t="s">
        <v>15</v>
      </c>
      <c r="K972" s="322" t="s">
        <v>283</v>
      </c>
      <c r="L972" s="322" t="s">
        <v>282</v>
      </c>
      <c r="M972" s="322" t="s">
        <v>282</v>
      </c>
      <c r="N972" s="322" t="s">
        <v>282</v>
      </c>
      <c r="O972" s="323" t="s">
        <v>15</v>
      </c>
      <c r="P972" s="323" t="s">
        <v>15</v>
      </c>
      <c r="Q972" s="323" t="s">
        <v>15</v>
      </c>
      <c r="R972" s="323" t="s">
        <v>15</v>
      </c>
      <c r="S972" s="323" t="s">
        <v>16</v>
      </c>
      <c r="T972" s="323" t="s">
        <v>329</v>
      </c>
      <c r="U972" s="323" t="s">
        <v>249</v>
      </c>
      <c r="V972" s="323" t="s">
        <v>282</v>
      </c>
      <c r="W972" s="324" t="s">
        <v>282</v>
      </c>
      <c r="X972" s="324" t="s">
        <v>282</v>
      </c>
      <c r="Y972" s="325" t="s">
        <v>282</v>
      </c>
    </row>
    <row r="973" spans="1:25">
      <c r="A973" s="319">
        <v>18</v>
      </c>
      <c r="B973" s="320" t="str">
        <f>VLOOKUP(Tabel10[[#This Row],[Code]],Ruimtegroepen[[Code]:[Ruimte omschrijving]],2,FALSE)</f>
        <v>Gymzaal</v>
      </c>
      <c r="C973" s="321" t="s">
        <v>1092</v>
      </c>
      <c r="D973" s="320" t="s">
        <v>13</v>
      </c>
      <c r="E973" s="321" t="s">
        <v>102</v>
      </c>
      <c r="F973" s="321" t="s">
        <v>1096</v>
      </c>
      <c r="G973" s="326" t="s">
        <v>282</v>
      </c>
      <c r="H973" s="322" t="s">
        <v>282</v>
      </c>
      <c r="I973" s="322" t="s">
        <v>15</v>
      </c>
      <c r="J973" s="322" t="s">
        <v>15</v>
      </c>
      <c r="K973" s="322" t="s">
        <v>283</v>
      </c>
      <c r="L973" s="322" t="s">
        <v>282</v>
      </c>
      <c r="M973" s="322" t="s">
        <v>282</v>
      </c>
      <c r="N973" s="322" t="s">
        <v>282</v>
      </c>
      <c r="O973" s="323" t="s">
        <v>15</v>
      </c>
      <c r="P973" s="323" t="s">
        <v>15</v>
      </c>
      <c r="Q973" s="323" t="s">
        <v>15</v>
      </c>
      <c r="R973" s="323" t="s">
        <v>15</v>
      </c>
      <c r="S973" s="323" t="s">
        <v>16</v>
      </c>
      <c r="T973" s="323" t="s">
        <v>329</v>
      </c>
      <c r="U973" s="323" t="s">
        <v>249</v>
      </c>
      <c r="V973" s="323" t="s">
        <v>282</v>
      </c>
      <c r="W973" s="324" t="s">
        <v>282</v>
      </c>
      <c r="X973" s="324" t="s">
        <v>282</v>
      </c>
      <c r="Y973" s="325" t="s">
        <v>282</v>
      </c>
    </row>
    <row r="974" spans="1:25">
      <c r="A974" s="319">
        <v>18</v>
      </c>
      <c r="B974" s="320" t="str">
        <f>VLOOKUP(Tabel10[[#This Row],[Code]],Ruimtegroepen[[Code]:[Ruimte omschrijving]],2,FALSE)</f>
        <v>Gymzaal</v>
      </c>
      <c r="C974" s="321" t="s">
        <v>1092</v>
      </c>
      <c r="D974" s="320" t="s">
        <v>13</v>
      </c>
      <c r="E974" s="321" t="s">
        <v>99</v>
      </c>
      <c r="F974" s="321" t="s">
        <v>1094</v>
      </c>
      <c r="G974" s="326" t="s">
        <v>282</v>
      </c>
      <c r="H974" s="322" t="s">
        <v>15</v>
      </c>
      <c r="I974" s="322" t="s">
        <v>282</v>
      </c>
      <c r="J974" s="322" t="s">
        <v>282</v>
      </c>
      <c r="K974" s="322" t="s">
        <v>282</v>
      </c>
      <c r="L974" s="322" t="s">
        <v>282</v>
      </c>
      <c r="M974" s="322" t="s">
        <v>282</v>
      </c>
      <c r="N974" s="322" t="s">
        <v>282</v>
      </c>
      <c r="O974" s="323" t="s">
        <v>15</v>
      </c>
      <c r="P974" s="323" t="s">
        <v>15</v>
      </c>
      <c r="Q974" s="323" t="s">
        <v>15</v>
      </c>
      <c r="R974" s="323" t="s">
        <v>15</v>
      </c>
      <c r="S974" s="323" t="s">
        <v>16</v>
      </c>
      <c r="T974" s="323" t="s">
        <v>329</v>
      </c>
      <c r="U974" s="323" t="s">
        <v>249</v>
      </c>
      <c r="V974" s="323" t="s">
        <v>282</v>
      </c>
      <c r="W974" s="324" t="s">
        <v>282</v>
      </c>
      <c r="X974" s="324" t="s">
        <v>282</v>
      </c>
      <c r="Y974" s="325" t="s">
        <v>282</v>
      </c>
    </row>
    <row r="975" spans="1:25">
      <c r="A975" s="319">
        <v>18</v>
      </c>
      <c r="B975" s="320" t="str">
        <f>VLOOKUP(Tabel10[[#This Row],[Code]],Ruimtegroepen[[Code]:[Ruimte omschrijving]],2,FALSE)</f>
        <v>Gymzaal</v>
      </c>
      <c r="C975" s="321" t="s">
        <v>1092</v>
      </c>
      <c r="D975" s="320" t="s">
        <v>13</v>
      </c>
      <c r="E975" s="321" t="s">
        <v>1306</v>
      </c>
      <c r="F975" s="321" t="s">
        <v>1371</v>
      </c>
      <c r="G975" s="326" t="s">
        <v>282</v>
      </c>
      <c r="H975" s="322" t="s">
        <v>282</v>
      </c>
      <c r="I975" s="322" t="s">
        <v>15</v>
      </c>
      <c r="J975" s="322" t="s">
        <v>15</v>
      </c>
      <c r="K975" s="322" t="s">
        <v>283</v>
      </c>
      <c r="L975" s="322" t="s">
        <v>282</v>
      </c>
      <c r="M975" s="322" t="s">
        <v>282</v>
      </c>
      <c r="N975" s="322" t="s">
        <v>282</v>
      </c>
      <c r="O975" s="323" t="s">
        <v>15</v>
      </c>
      <c r="P975" s="323" t="s">
        <v>15</v>
      </c>
      <c r="Q975" s="323" t="s">
        <v>15</v>
      </c>
      <c r="R975" s="323" t="s">
        <v>15</v>
      </c>
      <c r="S975" s="323" t="s">
        <v>16</v>
      </c>
      <c r="T975" s="323" t="s">
        <v>329</v>
      </c>
      <c r="U975" s="323" t="s">
        <v>249</v>
      </c>
      <c r="V975" s="323" t="s">
        <v>282</v>
      </c>
      <c r="W975" s="324" t="s">
        <v>282</v>
      </c>
      <c r="X975" s="324" t="s">
        <v>282</v>
      </c>
      <c r="Y975" s="325" t="s">
        <v>282</v>
      </c>
    </row>
    <row r="976" spans="1:25">
      <c r="A976" s="319">
        <v>18</v>
      </c>
      <c r="B976" s="320" t="str">
        <f>VLOOKUP(Tabel10[[#This Row],[Code]],Ruimtegroepen[[Code]:[Ruimte omschrijving]],2,FALSE)</f>
        <v>Gymzaal</v>
      </c>
      <c r="C976" s="321" t="s">
        <v>1097</v>
      </c>
      <c r="D976" s="320" t="s">
        <v>0</v>
      </c>
      <c r="E976" s="321" t="s">
        <v>100</v>
      </c>
      <c r="F976" s="321" t="s">
        <v>1098</v>
      </c>
      <c r="G976" s="326" t="s">
        <v>282</v>
      </c>
      <c r="H976" s="322" t="s">
        <v>282</v>
      </c>
      <c r="I976" s="322" t="s">
        <v>16</v>
      </c>
      <c r="J976" s="322" t="s">
        <v>282</v>
      </c>
      <c r="K976" s="322" t="s">
        <v>282</v>
      </c>
      <c r="L976" s="322" t="s">
        <v>282</v>
      </c>
      <c r="M976" s="322" t="s">
        <v>282</v>
      </c>
      <c r="N976" s="322" t="s">
        <v>282</v>
      </c>
      <c r="O976" s="323" t="s">
        <v>16</v>
      </c>
      <c r="P976" s="323" t="s">
        <v>16</v>
      </c>
      <c r="Q976" s="323" t="s">
        <v>16</v>
      </c>
      <c r="R976" s="323" t="s">
        <v>16</v>
      </c>
      <c r="S976" s="323" t="s">
        <v>16</v>
      </c>
      <c r="T976" s="323" t="s">
        <v>329</v>
      </c>
      <c r="U976" s="323" t="s">
        <v>249</v>
      </c>
      <c r="V976" s="323" t="s">
        <v>282</v>
      </c>
      <c r="W976" s="324" t="s">
        <v>282</v>
      </c>
      <c r="X976" s="324" t="s">
        <v>282</v>
      </c>
      <c r="Y976" s="325" t="s">
        <v>282</v>
      </c>
    </row>
    <row r="977" spans="1:25">
      <c r="A977" s="319">
        <v>18</v>
      </c>
      <c r="B977" s="320" t="str">
        <f>VLOOKUP(Tabel10[[#This Row],[Code]],Ruimtegroepen[[Code]:[Ruimte omschrijving]],2,FALSE)</f>
        <v>Gymzaal</v>
      </c>
      <c r="C977" s="321" t="s">
        <v>1097</v>
      </c>
      <c r="D977" s="320" t="s">
        <v>0</v>
      </c>
      <c r="E977" s="321" t="s">
        <v>99</v>
      </c>
      <c r="F977" s="321" t="s">
        <v>1099</v>
      </c>
      <c r="G977" s="326" t="s">
        <v>282</v>
      </c>
      <c r="H977" s="322" t="s">
        <v>16</v>
      </c>
      <c r="I977" s="322" t="s">
        <v>282</v>
      </c>
      <c r="J977" s="322" t="s">
        <v>282</v>
      </c>
      <c r="K977" s="322" t="s">
        <v>282</v>
      </c>
      <c r="L977" s="322" t="s">
        <v>282</v>
      </c>
      <c r="M977" s="322" t="s">
        <v>282</v>
      </c>
      <c r="N977" s="322" t="s">
        <v>282</v>
      </c>
      <c r="O977" s="323" t="s">
        <v>16</v>
      </c>
      <c r="P977" s="323" t="s">
        <v>16</v>
      </c>
      <c r="Q977" s="323" t="s">
        <v>16</v>
      </c>
      <c r="R977" s="323" t="s">
        <v>16</v>
      </c>
      <c r="S977" s="323" t="s">
        <v>16</v>
      </c>
      <c r="T977" s="323" t="s">
        <v>329</v>
      </c>
      <c r="U977" s="323" t="s">
        <v>249</v>
      </c>
      <c r="V977" s="323" t="s">
        <v>282</v>
      </c>
      <c r="W977" s="324" t="s">
        <v>282</v>
      </c>
      <c r="X977" s="324" t="s">
        <v>282</v>
      </c>
      <c r="Y977" s="325" t="s">
        <v>282</v>
      </c>
    </row>
    <row r="978" spans="1:25">
      <c r="A978" s="319">
        <v>18</v>
      </c>
      <c r="B978" s="320" t="str">
        <f>VLOOKUP(Tabel10[[#This Row],[Code]],Ruimtegroepen[[Code]:[Ruimte omschrijving]],2,FALSE)</f>
        <v>Gymzaal</v>
      </c>
      <c r="C978" s="321" t="s">
        <v>1097</v>
      </c>
      <c r="D978" s="320" t="s">
        <v>0</v>
      </c>
      <c r="E978" s="321" t="s">
        <v>101</v>
      </c>
      <c r="F978" s="321" t="s">
        <v>1100</v>
      </c>
      <c r="G978" s="326" t="s">
        <v>282</v>
      </c>
      <c r="H978" s="322" t="s">
        <v>282</v>
      </c>
      <c r="I978" s="322" t="s">
        <v>16</v>
      </c>
      <c r="J978" s="322" t="s">
        <v>282</v>
      </c>
      <c r="K978" s="322" t="s">
        <v>283</v>
      </c>
      <c r="L978" s="322" t="s">
        <v>282</v>
      </c>
      <c r="M978" s="322" t="s">
        <v>282</v>
      </c>
      <c r="N978" s="322" t="s">
        <v>282</v>
      </c>
      <c r="O978" s="323" t="s">
        <v>16</v>
      </c>
      <c r="P978" s="323" t="s">
        <v>16</v>
      </c>
      <c r="Q978" s="323" t="s">
        <v>16</v>
      </c>
      <c r="R978" s="323" t="s">
        <v>16</v>
      </c>
      <c r="S978" s="323" t="s">
        <v>16</v>
      </c>
      <c r="T978" s="323" t="s">
        <v>329</v>
      </c>
      <c r="U978" s="323" t="s">
        <v>249</v>
      </c>
      <c r="V978" s="323" t="s">
        <v>282</v>
      </c>
      <c r="W978" s="324" t="s">
        <v>282</v>
      </c>
      <c r="X978" s="324" t="s">
        <v>282</v>
      </c>
      <c r="Y978" s="325" t="s">
        <v>282</v>
      </c>
    </row>
    <row r="979" spans="1:25">
      <c r="A979" s="319">
        <v>18</v>
      </c>
      <c r="B979" s="320" t="str">
        <f>VLOOKUP(Tabel10[[#This Row],[Code]],Ruimtegroepen[[Code]:[Ruimte omschrijving]],2,FALSE)</f>
        <v>Gymzaal</v>
      </c>
      <c r="C979" s="321" t="s">
        <v>1097</v>
      </c>
      <c r="D979" s="320" t="s">
        <v>0</v>
      </c>
      <c r="E979" s="321" t="s">
        <v>102</v>
      </c>
      <c r="F979" s="321" t="s">
        <v>1101</v>
      </c>
      <c r="G979" s="326" t="s">
        <v>282</v>
      </c>
      <c r="H979" s="322" t="s">
        <v>282</v>
      </c>
      <c r="I979" s="322" t="s">
        <v>16</v>
      </c>
      <c r="J979" s="322" t="s">
        <v>282</v>
      </c>
      <c r="K979" s="322" t="s">
        <v>283</v>
      </c>
      <c r="L979" s="322" t="s">
        <v>282</v>
      </c>
      <c r="M979" s="322" t="s">
        <v>282</v>
      </c>
      <c r="N979" s="322" t="s">
        <v>282</v>
      </c>
      <c r="O979" s="323" t="s">
        <v>16</v>
      </c>
      <c r="P979" s="323" t="s">
        <v>16</v>
      </c>
      <c r="Q979" s="323" t="s">
        <v>16</v>
      </c>
      <c r="R979" s="323" t="s">
        <v>16</v>
      </c>
      <c r="S979" s="323" t="s">
        <v>16</v>
      </c>
      <c r="T979" s="323" t="s">
        <v>329</v>
      </c>
      <c r="U979" s="323" t="s">
        <v>249</v>
      </c>
      <c r="V979" s="323" t="s">
        <v>282</v>
      </c>
      <c r="W979" s="324" t="s">
        <v>282</v>
      </c>
      <c r="X979" s="324" t="s">
        <v>282</v>
      </c>
      <c r="Y979" s="325" t="s">
        <v>282</v>
      </c>
    </row>
    <row r="980" spans="1:25">
      <c r="A980" s="319">
        <v>18</v>
      </c>
      <c r="B980" s="320" t="str">
        <f>VLOOKUP(Tabel10[[#This Row],[Code]],Ruimtegroepen[[Code]:[Ruimte omschrijving]],2,FALSE)</f>
        <v>Gymzaal</v>
      </c>
      <c r="C980" s="321" t="s">
        <v>1097</v>
      </c>
      <c r="D980" s="320" t="s">
        <v>0</v>
      </c>
      <c r="E980" s="321" t="s">
        <v>99</v>
      </c>
      <c r="F980" s="321" t="s">
        <v>1099</v>
      </c>
      <c r="G980" s="326" t="s">
        <v>282</v>
      </c>
      <c r="H980" s="322" t="s">
        <v>16</v>
      </c>
      <c r="I980" s="322" t="s">
        <v>282</v>
      </c>
      <c r="J980" s="322" t="s">
        <v>282</v>
      </c>
      <c r="K980" s="322" t="s">
        <v>282</v>
      </c>
      <c r="L980" s="322" t="s">
        <v>282</v>
      </c>
      <c r="M980" s="322" t="s">
        <v>282</v>
      </c>
      <c r="N980" s="322" t="s">
        <v>282</v>
      </c>
      <c r="O980" s="323" t="s">
        <v>16</v>
      </c>
      <c r="P980" s="323" t="s">
        <v>16</v>
      </c>
      <c r="Q980" s="323" t="s">
        <v>16</v>
      </c>
      <c r="R980" s="323" t="s">
        <v>16</v>
      </c>
      <c r="S980" s="323" t="s">
        <v>16</v>
      </c>
      <c r="T980" s="323" t="s">
        <v>329</v>
      </c>
      <c r="U980" s="323" t="s">
        <v>249</v>
      </c>
      <c r="V980" s="323" t="s">
        <v>282</v>
      </c>
      <c r="W980" s="324" t="s">
        <v>282</v>
      </c>
      <c r="X980" s="324" t="s">
        <v>282</v>
      </c>
      <c r="Y980" s="325" t="s">
        <v>282</v>
      </c>
    </row>
    <row r="981" spans="1:25">
      <c r="A981" s="319">
        <v>18</v>
      </c>
      <c r="B981" s="320" t="str">
        <f>VLOOKUP(Tabel10[[#This Row],[Code]],Ruimtegroepen[[Code]:[Ruimte omschrijving]],2,FALSE)</f>
        <v>Gymzaal</v>
      </c>
      <c r="C981" s="321" t="s">
        <v>1097</v>
      </c>
      <c r="D981" s="320" t="s">
        <v>0</v>
      </c>
      <c r="E981" s="321" t="s">
        <v>1306</v>
      </c>
      <c r="F981" s="321" t="s">
        <v>1355</v>
      </c>
      <c r="G981" s="326" t="s">
        <v>282</v>
      </c>
      <c r="H981" s="322" t="s">
        <v>282</v>
      </c>
      <c r="I981" s="322" t="s">
        <v>16</v>
      </c>
      <c r="J981" s="322" t="s">
        <v>282</v>
      </c>
      <c r="K981" s="322" t="s">
        <v>283</v>
      </c>
      <c r="L981" s="322" t="s">
        <v>282</v>
      </c>
      <c r="M981" s="322" t="s">
        <v>282</v>
      </c>
      <c r="N981" s="322" t="s">
        <v>282</v>
      </c>
      <c r="O981" s="323" t="s">
        <v>16</v>
      </c>
      <c r="P981" s="323" t="s">
        <v>16</v>
      </c>
      <c r="Q981" s="323" t="s">
        <v>16</v>
      </c>
      <c r="R981" s="323" t="s">
        <v>16</v>
      </c>
      <c r="S981" s="323" t="s">
        <v>16</v>
      </c>
      <c r="T981" s="323" t="s">
        <v>329</v>
      </c>
      <c r="U981" s="323" t="s">
        <v>249</v>
      </c>
      <c r="V981" s="323" t="s">
        <v>282</v>
      </c>
      <c r="W981" s="324" t="s">
        <v>282</v>
      </c>
      <c r="X981" s="324" t="s">
        <v>282</v>
      </c>
      <c r="Y981" s="325" t="s">
        <v>282</v>
      </c>
    </row>
    <row r="982" spans="1:25">
      <c r="A982" s="319">
        <v>18</v>
      </c>
      <c r="B982" s="320" t="str">
        <f>VLOOKUP(Tabel10[[#This Row],[Code]],Ruimtegroepen[[Code]:[Ruimte omschrijving]],2,FALSE)</f>
        <v>Gymzaal</v>
      </c>
      <c r="C982" s="321" t="s">
        <v>1102</v>
      </c>
      <c r="D982" s="320" t="s">
        <v>27</v>
      </c>
      <c r="E982" s="321" t="s">
        <v>100</v>
      </c>
      <c r="F982" s="321" t="s">
        <v>1103</v>
      </c>
      <c r="G982" s="326" t="s">
        <v>282</v>
      </c>
      <c r="H982" s="322" t="s">
        <v>282</v>
      </c>
      <c r="I982" s="322" t="s">
        <v>15</v>
      </c>
      <c r="J982" s="322" t="s">
        <v>282</v>
      </c>
      <c r="K982" s="322" t="s">
        <v>282</v>
      </c>
      <c r="L982" s="322" t="s">
        <v>282</v>
      </c>
      <c r="M982" s="322" t="s">
        <v>282</v>
      </c>
      <c r="N982" s="322" t="s">
        <v>282</v>
      </c>
      <c r="O982" s="323" t="s">
        <v>15</v>
      </c>
      <c r="P982" s="323" t="s">
        <v>15</v>
      </c>
      <c r="Q982" s="323" t="s">
        <v>15</v>
      </c>
      <c r="R982" s="323" t="s">
        <v>15</v>
      </c>
      <c r="S982" s="323" t="s">
        <v>282</v>
      </c>
      <c r="T982" s="323" t="s">
        <v>282</v>
      </c>
      <c r="U982" s="323" t="s">
        <v>282</v>
      </c>
      <c r="V982" s="323" t="s">
        <v>282</v>
      </c>
      <c r="W982" s="324" t="s">
        <v>282</v>
      </c>
      <c r="X982" s="324" t="s">
        <v>282</v>
      </c>
      <c r="Y982" s="325" t="s">
        <v>282</v>
      </c>
    </row>
    <row r="983" spans="1:25">
      <c r="A983" s="319">
        <v>18</v>
      </c>
      <c r="B983" s="320" t="str">
        <f>VLOOKUP(Tabel10[[#This Row],[Code]],Ruimtegroepen[[Code]:[Ruimte omschrijving]],2,FALSE)</f>
        <v>Gymzaal</v>
      </c>
      <c r="C983" s="321" t="s">
        <v>1102</v>
      </c>
      <c r="D983" s="320" t="s">
        <v>27</v>
      </c>
      <c r="E983" s="321" t="s">
        <v>99</v>
      </c>
      <c r="F983" s="321" t="s">
        <v>1104</v>
      </c>
      <c r="G983" s="326" t="s">
        <v>282</v>
      </c>
      <c r="H983" s="322" t="s">
        <v>15</v>
      </c>
      <c r="I983" s="322" t="s">
        <v>282</v>
      </c>
      <c r="J983" s="322" t="s">
        <v>282</v>
      </c>
      <c r="K983" s="322" t="s">
        <v>282</v>
      </c>
      <c r="L983" s="322" t="s">
        <v>282</v>
      </c>
      <c r="M983" s="322" t="s">
        <v>282</v>
      </c>
      <c r="N983" s="322" t="s">
        <v>282</v>
      </c>
      <c r="O983" s="323" t="s">
        <v>15</v>
      </c>
      <c r="P983" s="323" t="s">
        <v>15</v>
      </c>
      <c r="Q983" s="323" t="s">
        <v>15</v>
      </c>
      <c r="R983" s="323" t="s">
        <v>15</v>
      </c>
      <c r="S983" s="323" t="s">
        <v>282</v>
      </c>
      <c r="T983" s="323" t="s">
        <v>282</v>
      </c>
      <c r="U983" s="323" t="s">
        <v>282</v>
      </c>
      <c r="V983" s="323" t="s">
        <v>282</v>
      </c>
      <c r="W983" s="324" t="s">
        <v>282</v>
      </c>
      <c r="X983" s="324" t="s">
        <v>282</v>
      </c>
      <c r="Y983" s="325" t="s">
        <v>282</v>
      </c>
    </row>
    <row r="984" spans="1:25">
      <c r="A984" s="319">
        <v>18</v>
      </c>
      <c r="B984" s="320" t="str">
        <f>VLOOKUP(Tabel10[[#This Row],[Code]],Ruimtegroepen[[Code]:[Ruimte omschrijving]],2,FALSE)</f>
        <v>Gymzaal</v>
      </c>
      <c r="C984" s="321" t="s">
        <v>1102</v>
      </c>
      <c r="D984" s="320" t="s">
        <v>27</v>
      </c>
      <c r="E984" s="321" t="s">
        <v>101</v>
      </c>
      <c r="F984" s="321" t="s">
        <v>1105</v>
      </c>
      <c r="G984" s="326" t="s">
        <v>282</v>
      </c>
      <c r="H984" s="322" t="s">
        <v>282</v>
      </c>
      <c r="I984" s="322" t="s">
        <v>15</v>
      </c>
      <c r="J984" s="322" t="s">
        <v>282</v>
      </c>
      <c r="K984" s="322" t="s">
        <v>282</v>
      </c>
      <c r="L984" s="322" t="s">
        <v>282</v>
      </c>
      <c r="M984" s="322" t="s">
        <v>282</v>
      </c>
      <c r="N984" s="322" t="s">
        <v>282</v>
      </c>
      <c r="O984" s="323" t="s">
        <v>15</v>
      </c>
      <c r="P984" s="323" t="s">
        <v>15</v>
      </c>
      <c r="Q984" s="323" t="s">
        <v>15</v>
      </c>
      <c r="R984" s="323" t="s">
        <v>15</v>
      </c>
      <c r="S984" s="323" t="s">
        <v>282</v>
      </c>
      <c r="T984" s="323" t="s">
        <v>282</v>
      </c>
      <c r="U984" s="323" t="s">
        <v>282</v>
      </c>
      <c r="V984" s="323" t="s">
        <v>282</v>
      </c>
      <c r="W984" s="324" t="s">
        <v>282</v>
      </c>
      <c r="X984" s="324" t="s">
        <v>282</v>
      </c>
      <c r="Y984" s="325" t="s">
        <v>282</v>
      </c>
    </row>
    <row r="985" spans="1:25">
      <c r="A985" s="319">
        <v>18</v>
      </c>
      <c r="B985" s="320" t="str">
        <f>VLOOKUP(Tabel10[[#This Row],[Code]],Ruimtegroepen[[Code]:[Ruimte omschrijving]],2,FALSE)</f>
        <v>Gymzaal</v>
      </c>
      <c r="C985" s="321" t="s">
        <v>1102</v>
      </c>
      <c r="D985" s="320" t="s">
        <v>27</v>
      </c>
      <c r="E985" s="321" t="s">
        <v>102</v>
      </c>
      <c r="F985" s="321" t="s">
        <v>1106</v>
      </c>
      <c r="G985" s="326" t="s">
        <v>282</v>
      </c>
      <c r="H985" s="322" t="s">
        <v>282</v>
      </c>
      <c r="I985" s="322" t="s">
        <v>15</v>
      </c>
      <c r="J985" s="322" t="s">
        <v>282</v>
      </c>
      <c r="K985" s="322" t="s">
        <v>282</v>
      </c>
      <c r="L985" s="322" t="s">
        <v>282</v>
      </c>
      <c r="M985" s="322" t="s">
        <v>282</v>
      </c>
      <c r="N985" s="322" t="s">
        <v>282</v>
      </c>
      <c r="O985" s="323" t="s">
        <v>15</v>
      </c>
      <c r="P985" s="323" t="s">
        <v>15</v>
      </c>
      <c r="Q985" s="323" t="s">
        <v>15</v>
      </c>
      <c r="R985" s="323" t="s">
        <v>15</v>
      </c>
      <c r="S985" s="323" t="s">
        <v>282</v>
      </c>
      <c r="T985" s="323" t="s">
        <v>282</v>
      </c>
      <c r="U985" s="323" t="s">
        <v>282</v>
      </c>
      <c r="V985" s="323" t="s">
        <v>282</v>
      </c>
      <c r="W985" s="324" t="s">
        <v>282</v>
      </c>
      <c r="X985" s="324" t="s">
        <v>282</v>
      </c>
      <c r="Y985" s="325" t="s">
        <v>282</v>
      </c>
    </row>
    <row r="986" spans="1:25">
      <c r="A986" s="319">
        <v>18</v>
      </c>
      <c r="B986" s="320" t="str">
        <f>VLOOKUP(Tabel10[[#This Row],[Code]],Ruimtegroepen[[Code]:[Ruimte omschrijving]],2,FALSE)</f>
        <v>Gymzaal</v>
      </c>
      <c r="C986" s="321" t="s">
        <v>1102</v>
      </c>
      <c r="D986" s="320" t="s">
        <v>27</v>
      </c>
      <c r="E986" s="321" t="s">
        <v>99</v>
      </c>
      <c r="F986" s="321" t="s">
        <v>1104</v>
      </c>
      <c r="G986" s="326" t="s">
        <v>282</v>
      </c>
      <c r="H986" s="322" t="s">
        <v>15</v>
      </c>
      <c r="I986" s="322" t="s">
        <v>282</v>
      </c>
      <c r="J986" s="322" t="s">
        <v>282</v>
      </c>
      <c r="K986" s="322" t="s">
        <v>282</v>
      </c>
      <c r="L986" s="322" t="s">
        <v>282</v>
      </c>
      <c r="M986" s="322" t="s">
        <v>282</v>
      </c>
      <c r="N986" s="322" t="s">
        <v>282</v>
      </c>
      <c r="O986" s="323" t="s">
        <v>15</v>
      </c>
      <c r="P986" s="323" t="s">
        <v>15</v>
      </c>
      <c r="Q986" s="323" t="s">
        <v>15</v>
      </c>
      <c r="R986" s="323" t="s">
        <v>15</v>
      </c>
      <c r="S986" s="323" t="s">
        <v>282</v>
      </c>
      <c r="T986" s="323" t="s">
        <v>282</v>
      </c>
      <c r="U986" s="323" t="s">
        <v>282</v>
      </c>
      <c r="V986" s="323" t="s">
        <v>282</v>
      </c>
      <c r="W986" s="324" t="s">
        <v>282</v>
      </c>
      <c r="X986" s="324" t="s">
        <v>282</v>
      </c>
      <c r="Y986" s="325" t="s">
        <v>282</v>
      </c>
    </row>
    <row r="987" spans="1:25">
      <c r="A987" s="319">
        <v>18</v>
      </c>
      <c r="B987" s="320" t="str">
        <f>VLOOKUP(Tabel10[[#This Row],[Code]],Ruimtegroepen[[Code]:[Ruimte omschrijving]],2,FALSE)</f>
        <v>Gymzaal</v>
      </c>
      <c r="C987" s="321" t="s">
        <v>1102</v>
      </c>
      <c r="D987" s="320" t="s">
        <v>27</v>
      </c>
      <c r="E987" s="321" t="s">
        <v>1306</v>
      </c>
      <c r="F987" s="321" t="s">
        <v>1388</v>
      </c>
      <c r="G987" s="326" t="s">
        <v>282</v>
      </c>
      <c r="H987" s="322" t="s">
        <v>282</v>
      </c>
      <c r="I987" s="322" t="s">
        <v>15</v>
      </c>
      <c r="J987" s="322" t="s">
        <v>282</v>
      </c>
      <c r="K987" s="322" t="s">
        <v>282</v>
      </c>
      <c r="L987" s="322" t="s">
        <v>282</v>
      </c>
      <c r="M987" s="322" t="s">
        <v>282</v>
      </c>
      <c r="N987" s="322" t="s">
        <v>282</v>
      </c>
      <c r="O987" s="323" t="s">
        <v>15</v>
      </c>
      <c r="P987" s="323" t="s">
        <v>15</v>
      </c>
      <c r="Q987" s="323" t="s">
        <v>15</v>
      </c>
      <c r="R987" s="323" t="s">
        <v>15</v>
      </c>
      <c r="S987" s="323" t="s">
        <v>282</v>
      </c>
      <c r="T987" s="323" t="s">
        <v>282</v>
      </c>
      <c r="U987" s="323" t="s">
        <v>282</v>
      </c>
      <c r="V987" s="323" t="s">
        <v>282</v>
      </c>
      <c r="W987" s="324" t="s">
        <v>282</v>
      </c>
      <c r="X987" s="324" t="s">
        <v>282</v>
      </c>
      <c r="Y987" s="325" t="s">
        <v>282</v>
      </c>
    </row>
    <row r="988" spans="1:25">
      <c r="A988" s="319">
        <v>18</v>
      </c>
      <c r="B988" s="320" t="str">
        <f>VLOOKUP(Tabel10[[#This Row],[Code]],Ruimtegroepen[[Code]:[Ruimte omschrijving]],2,FALSE)</f>
        <v>Gymzaal</v>
      </c>
      <c r="C988" s="321" t="s">
        <v>1107</v>
      </c>
      <c r="D988" s="320" t="s">
        <v>28</v>
      </c>
      <c r="E988" s="321" t="s">
        <v>100</v>
      </c>
      <c r="F988" s="321" t="s">
        <v>1108</v>
      </c>
      <c r="G988" s="326" t="s">
        <v>282</v>
      </c>
      <c r="H988" s="322" t="s">
        <v>282</v>
      </c>
      <c r="I988" s="322" t="s">
        <v>17</v>
      </c>
      <c r="J988" s="322" t="s">
        <v>282</v>
      </c>
      <c r="K988" s="322" t="s">
        <v>282</v>
      </c>
      <c r="L988" s="322" t="s">
        <v>282</v>
      </c>
      <c r="M988" s="322" t="s">
        <v>282</v>
      </c>
      <c r="N988" s="322" t="s">
        <v>282</v>
      </c>
      <c r="O988" s="323" t="s">
        <v>17</v>
      </c>
      <c r="P988" s="323" t="s">
        <v>17</v>
      </c>
      <c r="Q988" s="323" t="s">
        <v>17</v>
      </c>
      <c r="R988" s="323" t="s">
        <v>17</v>
      </c>
      <c r="S988" s="323" t="s">
        <v>282</v>
      </c>
      <c r="T988" s="323" t="s">
        <v>282</v>
      </c>
      <c r="U988" s="323" t="s">
        <v>282</v>
      </c>
      <c r="V988" s="323" t="s">
        <v>282</v>
      </c>
      <c r="W988" s="324" t="s">
        <v>282</v>
      </c>
      <c r="X988" s="324" t="s">
        <v>282</v>
      </c>
      <c r="Y988" s="325" t="s">
        <v>282</v>
      </c>
    </row>
    <row r="989" spans="1:25">
      <c r="A989" s="319">
        <v>18</v>
      </c>
      <c r="B989" s="320" t="str">
        <f>VLOOKUP(Tabel10[[#This Row],[Code]],Ruimtegroepen[[Code]:[Ruimte omschrijving]],2,FALSE)</f>
        <v>Gymzaal</v>
      </c>
      <c r="C989" s="321" t="s">
        <v>1107</v>
      </c>
      <c r="D989" s="320" t="s">
        <v>28</v>
      </c>
      <c r="E989" s="321" t="s">
        <v>99</v>
      </c>
      <c r="F989" s="321" t="s">
        <v>1109</v>
      </c>
      <c r="G989" s="326" t="s">
        <v>282</v>
      </c>
      <c r="H989" s="322" t="s">
        <v>17</v>
      </c>
      <c r="I989" s="322" t="s">
        <v>282</v>
      </c>
      <c r="J989" s="322" t="s">
        <v>282</v>
      </c>
      <c r="K989" s="322" t="s">
        <v>282</v>
      </c>
      <c r="L989" s="322" t="s">
        <v>282</v>
      </c>
      <c r="M989" s="322" t="s">
        <v>282</v>
      </c>
      <c r="N989" s="322" t="s">
        <v>282</v>
      </c>
      <c r="O989" s="323" t="s">
        <v>17</v>
      </c>
      <c r="P989" s="323" t="s">
        <v>17</v>
      </c>
      <c r="Q989" s="323" t="s">
        <v>17</v>
      </c>
      <c r="R989" s="323" t="s">
        <v>17</v>
      </c>
      <c r="S989" s="323" t="s">
        <v>282</v>
      </c>
      <c r="T989" s="323" t="s">
        <v>282</v>
      </c>
      <c r="U989" s="323" t="s">
        <v>282</v>
      </c>
      <c r="V989" s="323" t="s">
        <v>282</v>
      </c>
      <c r="W989" s="324" t="s">
        <v>282</v>
      </c>
      <c r="X989" s="324" t="s">
        <v>282</v>
      </c>
      <c r="Y989" s="325" t="s">
        <v>282</v>
      </c>
    </row>
    <row r="990" spans="1:25">
      <c r="A990" s="319">
        <v>18</v>
      </c>
      <c r="B990" s="320" t="str">
        <f>VLOOKUP(Tabel10[[#This Row],[Code]],Ruimtegroepen[[Code]:[Ruimte omschrijving]],2,FALSE)</f>
        <v>Gymzaal</v>
      </c>
      <c r="C990" s="321" t="s">
        <v>1107</v>
      </c>
      <c r="D990" s="320" t="s">
        <v>28</v>
      </c>
      <c r="E990" s="321" t="s">
        <v>101</v>
      </c>
      <c r="F990" s="321" t="s">
        <v>1110</v>
      </c>
      <c r="G990" s="326" t="s">
        <v>282</v>
      </c>
      <c r="H990" s="322" t="s">
        <v>282</v>
      </c>
      <c r="I990" s="322" t="s">
        <v>17</v>
      </c>
      <c r="J990" s="322" t="s">
        <v>282</v>
      </c>
      <c r="K990" s="322" t="s">
        <v>282</v>
      </c>
      <c r="L990" s="322" t="s">
        <v>282</v>
      </c>
      <c r="M990" s="322" t="s">
        <v>282</v>
      </c>
      <c r="N990" s="322" t="s">
        <v>282</v>
      </c>
      <c r="O990" s="323" t="s">
        <v>17</v>
      </c>
      <c r="P990" s="323" t="s">
        <v>17</v>
      </c>
      <c r="Q990" s="323" t="s">
        <v>17</v>
      </c>
      <c r="R990" s="323" t="s">
        <v>17</v>
      </c>
      <c r="S990" s="323" t="s">
        <v>282</v>
      </c>
      <c r="T990" s="323" t="s">
        <v>282</v>
      </c>
      <c r="U990" s="323" t="s">
        <v>282</v>
      </c>
      <c r="V990" s="323" t="s">
        <v>282</v>
      </c>
      <c r="W990" s="324" t="s">
        <v>282</v>
      </c>
      <c r="X990" s="324" t="s">
        <v>282</v>
      </c>
      <c r="Y990" s="325" t="s">
        <v>282</v>
      </c>
    </row>
    <row r="991" spans="1:25">
      <c r="A991" s="319">
        <v>18</v>
      </c>
      <c r="B991" s="320" t="str">
        <f>VLOOKUP(Tabel10[[#This Row],[Code]],Ruimtegroepen[[Code]:[Ruimte omschrijving]],2,FALSE)</f>
        <v>Gymzaal</v>
      </c>
      <c r="C991" s="321" t="s">
        <v>1107</v>
      </c>
      <c r="D991" s="320" t="s">
        <v>28</v>
      </c>
      <c r="E991" s="321" t="s">
        <v>102</v>
      </c>
      <c r="F991" s="321" t="s">
        <v>1111</v>
      </c>
      <c r="G991" s="326" t="s">
        <v>282</v>
      </c>
      <c r="H991" s="322" t="s">
        <v>282</v>
      </c>
      <c r="I991" s="322" t="s">
        <v>17</v>
      </c>
      <c r="J991" s="322" t="s">
        <v>282</v>
      </c>
      <c r="K991" s="322" t="s">
        <v>282</v>
      </c>
      <c r="L991" s="322" t="s">
        <v>282</v>
      </c>
      <c r="M991" s="322" t="s">
        <v>282</v>
      </c>
      <c r="N991" s="322" t="s">
        <v>282</v>
      </c>
      <c r="O991" s="323" t="s">
        <v>17</v>
      </c>
      <c r="P991" s="323" t="s">
        <v>17</v>
      </c>
      <c r="Q991" s="323" t="s">
        <v>17</v>
      </c>
      <c r="R991" s="323" t="s">
        <v>17</v>
      </c>
      <c r="S991" s="323" t="s">
        <v>282</v>
      </c>
      <c r="T991" s="323" t="s">
        <v>282</v>
      </c>
      <c r="U991" s="323" t="s">
        <v>282</v>
      </c>
      <c r="V991" s="323" t="s">
        <v>282</v>
      </c>
      <c r="W991" s="324" t="s">
        <v>282</v>
      </c>
      <c r="X991" s="324" t="s">
        <v>282</v>
      </c>
      <c r="Y991" s="325" t="s">
        <v>282</v>
      </c>
    </row>
    <row r="992" spans="1:25">
      <c r="A992" s="319">
        <v>18</v>
      </c>
      <c r="B992" s="320" t="str">
        <f>VLOOKUP(Tabel10[[#This Row],[Code]],Ruimtegroepen[[Code]:[Ruimte omschrijving]],2,FALSE)</f>
        <v>Gymzaal</v>
      </c>
      <c r="C992" s="321" t="s">
        <v>1107</v>
      </c>
      <c r="D992" s="320" t="s">
        <v>28</v>
      </c>
      <c r="E992" s="321" t="s">
        <v>99</v>
      </c>
      <c r="F992" s="321" t="s">
        <v>1109</v>
      </c>
      <c r="G992" s="326" t="s">
        <v>282</v>
      </c>
      <c r="H992" s="322" t="s">
        <v>17</v>
      </c>
      <c r="I992" s="322" t="s">
        <v>282</v>
      </c>
      <c r="J992" s="322" t="s">
        <v>282</v>
      </c>
      <c r="K992" s="322" t="s">
        <v>282</v>
      </c>
      <c r="L992" s="322" t="s">
        <v>282</v>
      </c>
      <c r="M992" s="322" t="s">
        <v>282</v>
      </c>
      <c r="N992" s="322" t="s">
        <v>282</v>
      </c>
      <c r="O992" s="323" t="s">
        <v>17</v>
      </c>
      <c r="P992" s="323" t="s">
        <v>17</v>
      </c>
      <c r="Q992" s="323" t="s">
        <v>17</v>
      </c>
      <c r="R992" s="323" t="s">
        <v>17</v>
      </c>
      <c r="S992" s="323" t="s">
        <v>282</v>
      </c>
      <c r="T992" s="323" t="s">
        <v>282</v>
      </c>
      <c r="U992" s="323" t="s">
        <v>282</v>
      </c>
      <c r="V992" s="323" t="s">
        <v>282</v>
      </c>
      <c r="W992" s="324" t="s">
        <v>282</v>
      </c>
      <c r="X992" s="324" t="s">
        <v>282</v>
      </c>
      <c r="Y992" s="325" t="s">
        <v>282</v>
      </c>
    </row>
    <row r="993" spans="1:25">
      <c r="A993" s="319">
        <v>18</v>
      </c>
      <c r="B993" s="320" t="str">
        <f>VLOOKUP(Tabel10[[#This Row],[Code]],Ruimtegroepen[[Code]:[Ruimte omschrijving]],2,FALSE)</f>
        <v>Gymzaal</v>
      </c>
      <c r="C993" s="321" t="s">
        <v>1107</v>
      </c>
      <c r="D993" s="320" t="s">
        <v>28</v>
      </c>
      <c r="E993" s="321" t="s">
        <v>1306</v>
      </c>
      <c r="F993" s="321" t="s">
        <v>1421</v>
      </c>
      <c r="G993" s="326" t="s">
        <v>282</v>
      </c>
      <c r="H993" s="322" t="s">
        <v>282</v>
      </c>
      <c r="I993" s="322" t="s">
        <v>17</v>
      </c>
      <c r="J993" s="322" t="s">
        <v>282</v>
      </c>
      <c r="K993" s="322" t="s">
        <v>282</v>
      </c>
      <c r="L993" s="322" t="s">
        <v>282</v>
      </c>
      <c r="M993" s="322" t="s">
        <v>282</v>
      </c>
      <c r="N993" s="322" t="s">
        <v>282</v>
      </c>
      <c r="O993" s="323" t="s">
        <v>17</v>
      </c>
      <c r="P993" s="323" t="s">
        <v>17</v>
      </c>
      <c r="Q993" s="323" t="s">
        <v>17</v>
      </c>
      <c r="R993" s="323" t="s">
        <v>17</v>
      </c>
      <c r="S993" s="323" t="s">
        <v>282</v>
      </c>
      <c r="T993" s="323" t="s">
        <v>282</v>
      </c>
      <c r="U993" s="323" t="s">
        <v>282</v>
      </c>
      <c r="V993" s="323" t="s">
        <v>282</v>
      </c>
      <c r="W993" s="324" t="s">
        <v>282</v>
      </c>
      <c r="X993" s="324" t="s">
        <v>282</v>
      </c>
      <c r="Y993" s="325" t="s">
        <v>282</v>
      </c>
    </row>
    <row r="994" spans="1:25">
      <c r="A994" s="319">
        <v>19</v>
      </c>
      <c r="B994" s="320" t="str">
        <f>VLOOKUP(Tabel10[[#This Row],[Code]],Ruimtegroepen[[Code]:[Ruimte omschrijving]],2,FALSE)</f>
        <v>Kleedruimte</v>
      </c>
      <c r="C994" s="321" t="s">
        <v>1112</v>
      </c>
      <c r="D994" s="320" t="s">
        <v>29</v>
      </c>
      <c r="E994" s="321" t="s">
        <v>100</v>
      </c>
      <c r="F994" s="321" t="s">
        <v>1113</v>
      </c>
      <c r="G994" s="326" t="s">
        <v>282</v>
      </c>
      <c r="H994" s="322" t="s">
        <v>282</v>
      </c>
      <c r="I994" s="322" t="s">
        <v>2</v>
      </c>
      <c r="J994" s="322" t="s">
        <v>282</v>
      </c>
      <c r="K994" s="322" t="s">
        <v>2</v>
      </c>
      <c r="L994" s="322" t="s">
        <v>282</v>
      </c>
      <c r="M994" s="322" t="s">
        <v>282</v>
      </c>
      <c r="N994" s="322" t="s">
        <v>2</v>
      </c>
      <c r="O994" s="323" t="s">
        <v>2</v>
      </c>
      <c r="P994" s="323" t="s">
        <v>2</v>
      </c>
      <c r="Q994" s="323" t="s">
        <v>15</v>
      </c>
      <c r="R994" s="323" t="s">
        <v>15</v>
      </c>
      <c r="S994" s="323" t="s">
        <v>16</v>
      </c>
      <c r="T994" s="323" t="s">
        <v>329</v>
      </c>
      <c r="U994" s="323" t="s">
        <v>249</v>
      </c>
      <c r="V994" s="323" t="s">
        <v>2</v>
      </c>
      <c r="W994" s="324" t="s">
        <v>282</v>
      </c>
      <c r="X994" s="324" t="s">
        <v>282</v>
      </c>
      <c r="Y994" s="325" t="s">
        <v>282</v>
      </c>
    </row>
    <row r="995" spans="1:25">
      <c r="A995" s="319">
        <v>19</v>
      </c>
      <c r="B995" s="320" t="str">
        <f>VLOOKUP(Tabel10[[#This Row],[Code]],Ruimtegroepen[[Code]:[Ruimte omschrijving]],2,FALSE)</f>
        <v>Kleedruimte</v>
      </c>
      <c r="C995" s="321" t="s">
        <v>1112</v>
      </c>
      <c r="D995" s="320" t="s">
        <v>29</v>
      </c>
      <c r="E995" s="321" t="s">
        <v>99</v>
      </c>
      <c r="F995" s="321" t="s">
        <v>1114</v>
      </c>
      <c r="G995" s="326" t="s">
        <v>282</v>
      </c>
      <c r="H995" s="322" t="s">
        <v>2</v>
      </c>
      <c r="I995" s="322" t="s">
        <v>282</v>
      </c>
      <c r="J995" s="322" t="s">
        <v>282</v>
      </c>
      <c r="K995" s="322" t="s">
        <v>282</v>
      </c>
      <c r="L995" s="322" t="s">
        <v>282</v>
      </c>
      <c r="M995" s="322" t="s">
        <v>282</v>
      </c>
      <c r="N995" s="322" t="s">
        <v>2</v>
      </c>
      <c r="O995" s="323" t="s">
        <v>2</v>
      </c>
      <c r="P995" s="323" t="s">
        <v>2</v>
      </c>
      <c r="Q995" s="323" t="s">
        <v>15</v>
      </c>
      <c r="R995" s="323" t="s">
        <v>15</v>
      </c>
      <c r="S995" s="323" t="s">
        <v>16</v>
      </c>
      <c r="T995" s="323" t="s">
        <v>329</v>
      </c>
      <c r="U995" s="323" t="s">
        <v>249</v>
      </c>
      <c r="V995" s="323" t="s">
        <v>2</v>
      </c>
      <c r="W995" s="324" t="s">
        <v>282</v>
      </c>
      <c r="X995" s="324" t="s">
        <v>282</v>
      </c>
      <c r="Y995" s="325" t="s">
        <v>282</v>
      </c>
    </row>
    <row r="996" spans="1:25">
      <c r="A996" s="319">
        <v>19</v>
      </c>
      <c r="B996" s="320" t="str">
        <f>VLOOKUP(Tabel10[[#This Row],[Code]],Ruimtegroepen[[Code]:[Ruimte omschrijving]],2,FALSE)</f>
        <v>Kleedruimte</v>
      </c>
      <c r="C996" s="321" t="s">
        <v>1112</v>
      </c>
      <c r="D996" s="320" t="s">
        <v>29</v>
      </c>
      <c r="E996" s="321" t="s">
        <v>101</v>
      </c>
      <c r="F996" s="321" t="s">
        <v>1115</v>
      </c>
      <c r="G996" s="326" t="s">
        <v>282</v>
      </c>
      <c r="H996" s="322" t="s">
        <v>282</v>
      </c>
      <c r="I996" s="322" t="s">
        <v>2</v>
      </c>
      <c r="J996" s="322" t="s">
        <v>282</v>
      </c>
      <c r="K996" s="322" t="s">
        <v>2</v>
      </c>
      <c r="L996" s="322" t="s">
        <v>282</v>
      </c>
      <c r="M996" s="322" t="s">
        <v>282</v>
      </c>
      <c r="N996" s="322" t="s">
        <v>2</v>
      </c>
      <c r="O996" s="323" t="s">
        <v>2</v>
      </c>
      <c r="P996" s="323" t="s">
        <v>2</v>
      </c>
      <c r="Q996" s="323" t="s">
        <v>15</v>
      </c>
      <c r="R996" s="323" t="s">
        <v>15</v>
      </c>
      <c r="S996" s="323" t="s">
        <v>16</v>
      </c>
      <c r="T996" s="323" t="s">
        <v>329</v>
      </c>
      <c r="U996" s="323" t="s">
        <v>249</v>
      </c>
      <c r="V996" s="323" t="s">
        <v>2</v>
      </c>
      <c r="W996" s="324" t="s">
        <v>282</v>
      </c>
      <c r="X996" s="324" t="s">
        <v>282</v>
      </c>
      <c r="Y996" s="325" t="s">
        <v>282</v>
      </c>
    </row>
    <row r="997" spans="1:25">
      <c r="A997" s="319">
        <v>19</v>
      </c>
      <c r="B997" s="320" t="str">
        <f>VLOOKUP(Tabel10[[#This Row],[Code]],Ruimtegroepen[[Code]:[Ruimte omschrijving]],2,FALSE)</f>
        <v>Kleedruimte</v>
      </c>
      <c r="C997" s="321" t="s">
        <v>1112</v>
      </c>
      <c r="D997" s="320" t="s">
        <v>29</v>
      </c>
      <c r="E997" s="321" t="s">
        <v>102</v>
      </c>
      <c r="F997" s="321" t="s">
        <v>1116</v>
      </c>
      <c r="G997" s="326" t="s">
        <v>282</v>
      </c>
      <c r="H997" s="322" t="s">
        <v>282</v>
      </c>
      <c r="I997" s="322" t="s">
        <v>2</v>
      </c>
      <c r="J997" s="322" t="s">
        <v>282</v>
      </c>
      <c r="K997" s="322" t="s">
        <v>2</v>
      </c>
      <c r="L997" s="322" t="s">
        <v>282</v>
      </c>
      <c r="M997" s="322" t="s">
        <v>282</v>
      </c>
      <c r="N997" s="322" t="s">
        <v>2</v>
      </c>
      <c r="O997" s="323" t="s">
        <v>2</v>
      </c>
      <c r="P997" s="323" t="s">
        <v>2</v>
      </c>
      <c r="Q997" s="323" t="s">
        <v>15</v>
      </c>
      <c r="R997" s="323" t="s">
        <v>15</v>
      </c>
      <c r="S997" s="323" t="s">
        <v>16</v>
      </c>
      <c r="T997" s="323" t="s">
        <v>329</v>
      </c>
      <c r="U997" s="323" t="s">
        <v>249</v>
      </c>
      <c r="V997" s="323" t="s">
        <v>2</v>
      </c>
      <c r="W997" s="324" t="s">
        <v>282</v>
      </c>
      <c r="X997" s="324" t="s">
        <v>282</v>
      </c>
      <c r="Y997" s="325" t="s">
        <v>282</v>
      </c>
    </row>
    <row r="998" spans="1:25">
      <c r="A998" s="319">
        <v>19</v>
      </c>
      <c r="B998" s="320" t="str">
        <f>VLOOKUP(Tabel10[[#This Row],[Code]],Ruimtegroepen[[Code]:[Ruimte omschrijving]],2,FALSE)</f>
        <v>Kleedruimte</v>
      </c>
      <c r="C998" s="321" t="s">
        <v>1112</v>
      </c>
      <c r="D998" s="320" t="s">
        <v>29</v>
      </c>
      <c r="E998" s="321" t="s">
        <v>99</v>
      </c>
      <c r="F998" s="321" t="s">
        <v>1114</v>
      </c>
      <c r="G998" s="326" t="s">
        <v>282</v>
      </c>
      <c r="H998" s="322" t="s">
        <v>2</v>
      </c>
      <c r="I998" s="322" t="s">
        <v>282</v>
      </c>
      <c r="J998" s="322" t="s">
        <v>282</v>
      </c>
      <c r="K998" s="322" t="s">
        <v>282</v>
      </c>
      <c r="L998" s="322" t="s">
        <v>282</v>
      </c>
      <c r="M998" s="322" t="s">
        <v>282</v>
      </c>
      <c r="N998" s="322" t="s">
        <v>2</v>
      </c>
      <c r="O998" s="323" t="s">
        <v>2</v>
      </c>
      <c r="P998" s="323" t="s">
        <v>2</v>
      </c>
      <c r="Q998" s="323" t="s">
        <v>15</v>
      </c>
      <c r="R998" s="323" t="s">
        <v>15</v>
      </c>
      <c r="S998" s="323" t="s">
        <v>16</v>
      </c>
      <c r="T998" s="323" t="s">
        <v>329</v>
      </c>
      <c r="U998" s="323" t="s">
        <v>249</v>
      </c>
      <c r="V998" s="323" t="s">
        <v>2</v>
      </c>
      <c r="W998" s="324" t="s">
        <v>282</v>
      </c>
      <c r="X998" s="324" t="s">
        <v>282</v>
      </c>
      <c r="Y998" s="325" t="s">
        <v>282</v>
      </c>
    </row>
    <row r="999" spans="1:25">
      <c r="A999" s="319">
        <v>19</v>
      </c>
      <c r="B999" s="320" t="str">
        <f>VLOOKUP(Tabel10[[#This Row],[Code]],Ruimtegroepen[[Code]:[Ruimte omschrijving]],2,FALSE)</f>
        <v>Kleedruimte</v>
      </c>
      <c r="C999" s="321" t="s">
        <v>1112</v>
      </c>
      <c r="D999" s="320" t="s">
        <v>29</v>
      </c>
      <c r="E999" s="321" t="s">
        <v>1306</v>
      </c>
      <c r="F999" s="321" t="s">
        <v>1489</v>
      </c>
      <c r="G999" s="326" t="s">
        <v>282</v>
      </c>
      <c r="H999" s="322" t="s">
        <v>282</v>
      </c>
      <c r="I999" s="322" t="s">
        <v>2</v>
      </c>
      <c r="J999" s="322" t="s">
        <v>282</v>
      </c>
      <c r="K999" s="322" t="s">
        <v>2</v>
      </c>
      <c r="L999" s="322" t="s">
        <v>282</v>
      </c>
      <c r="M999" s="322" t="s">
        <v>282</v>
      </c>
      <c r="N999" s="322" t="s">
        <v>2</v>
      </c>
      <c r="O999" s="323" t="s">
        <v>2</v>
      </c>
      <c r="P999" s="323" t="s">
        <v>2</v>
      </c>
      <c r="Q999" s="323" t="s">
        <v>15</v>
      </c>
      <c r="R999" s="323" t="s">
        <v>15</v>
      </c>
      <c r="S999" s="323" t="s">
        <v>16</v>
      </c>
      <c r="T999" s="323" t="s">
        <v>329</v>
      </c>
      <c r="U999" s="323" t="s">
        <v>249</v>
      </c>
      <c r="V999" s="323" t="s">
        <v>2</v>
      </c>
      <c r="W999" s="324" t="s">
        <v>282</v>
      </c>
      <c r="X999" s="324" t="s">
        <v>282</v>
      </c>
      <c r="Y999" s="325" t="s">
        <v>282</v>
      </c>
    </row>
    <row r="1000" spans="1:25">
      <c r="A1000" s="319">
        <v>19</v>
      </c>
      <c r="B1000" s="320" t="str">
        <f>VLOOKUP(Tabel10[[#This Row],[Code]],Ruimtegroepen[[Code]:[Ruimte omschrijving]],2,FALSE)</f>
        <v>Kleedruimte</v>
      </c>
      <c r="C1000" s="321" t="s">
        <v>1117</v>
      </c>
      <c r="D1000" s="320" t="s">
        <v>1</v>
      </c>
      <c r="E1000" s="321" t="s">
        <v>100</v>
      </c>
      <c r="F1000" s="321" t="s">
        <v>1118</v>
      </c>
      <c r="G1000" s="326" t="s">
        <v>282</v>
      </c>
      <c r="H1000" s="322" t="s">
        <v>282</v>
      </c>
      <c r="I1000" s="322" t="s">
        <v>2</v>
      </c>
      <c r="J1000" s="322" t="s">
        <v>282</v>
      </c>
      <c r="K1000" s="322" t="s">
        <v>2</v>
      </c>
      <c r="L1000" s="322" t="s">
        <v>282</v>
      </c>
      <c r="M1000" s="322" t="s">
        <v>282</v>
      </c>
      <c r="N1000" s="322" t="s">
        <v>282</v>
      </c>
      <c r="O1000" s="323" t="s">
        <v>2</v>
      </c>
      <c r="P1000" s="323" t="s">
        <v>2</v>
      </c>
      <c r="Q1000" s="323" t="s">
        <v>15</v>
      </c>
      <c r="R1000" s="323" t="s">
        <v>15</v>
      </c>
      <c r="S1000" s="323" t="s">
        <v>16</v>
      </c>
      <c r="T1000" s="323" t="s">
        <v>329</v>
      </c>
      <c r="U1000" s="323" t="s">
        <v>249</v>
      </c>
      <c r="V1000" s="323" t="s">
        <v>282</v>
      </c>
      <c r="W1000" s="324" t="s">
        <v>282</v>
      </c>
      <c r="X1000" s="324" t="s">
        <v>282</v>
      </c>
      <c r="Y1000" s="325" t="s">
        <v>282</v>
      </c>
    </row>
    <row r="1001" spans="1:25">
      <c r="A1001" s="319">
        <v>19</v>
      </c>
      <c r="B1001" s="320" t="str">
        <f>VLOOKUP(Tabel10[[#This Row],[Code]],Ruimtegroepen[[Code]:[Ruimte omschrijving]],2,FALSE)</f>
        <v>Kleedruimte</v>
      </c>
      <c r="C1001" s="321" t="s">
        <v>1117</v>
      </c>
      <c r="D1001" s="320" t="s">
        <v>1</v>
      </c>
      <c r="E1001" s="321" t="s">
        <v>99</v>
      </c>
      <c r="F1001" s="321" t="s">
        <v>1119</v>
      </c>
      <c r="G1001" s="326" t="s">
        <v>282</v>
      </c>
      <c r="H1001" s="322" t="s">
        <v>2</v>
      </c>
      <c r="I1001" s="322" t="s">
        <v>282</v>
      </c>
      <c r="J1001" s="322" t="s">
        <v>282</v>
      </c>
      <c r="K1001" s="322" t="s">
        <v>282</v>
      </c>
      <c r="L1001" s="322" t="s">
        <v>282</v>
      </c>
      <c r="M1001" s="322" t="s">
        <v>282</v>
      </c>
      <c r="N1001" s="322" t="s">
        <v>282</v>
      </c>
      <c r="O1001" s="323" t="s">
        <v>2</v>
      </c>
      <c r="P1001" s="323" t="s">
        <v>2</v>
      </c>
      <c r="Q1001" s="323" t="s">
        <v>15</v>
      </c>
      <c r="R1001" s="323" t="s">
        <v>15</v>
      </c>
      <c r="S1001" s="323" t="s">
        <v>16</v>
      </c>
      <c r="T1001" s="323" t="s">
        <v>329</v>
      </c>
      <c r="U1001" s="323" t="s">
        <v>249</v>
      </c>
      <c r="V1001" s="323" t="s">
        <v>282</v>
      </c>
      <c r="W1001" s="324" t="s">
        <v>282</v>
      </c>
      <c r="X1001" s="324" t="s">
        <v>282</v>
      </c>
      <c r="Y1001" s="325" t="s">
        <v>282</v>
      </c>
    </row>
    <row r="1002" spans="1:25">
      <c r="A1002" s="319">
        <v>19</v>
      </c>
      <c r="B1002" s="320" t="str">
        <f>VLOOKUP(Tabel10[[#This Row],[Code]],Ruimtegroepen[[Code]:[Ruimte omschrijving]],2,FALSE)</f>
        <v>Kleedruimte</v>
      </c>
      <c r="C1002" s="321" t="s">
        <v>1117</v>
      </c>
      <c r="D1002" s="320" t="s">
        <v>1</v>
      </c>
      <c r="E1002" s="321" t="s">
        <v>101</v>
      </c>
      <c r="F1002" s="321" t="s">
        <v>1120</v>
      </c>
      <c r="G1002" s="326" t="s">
        <v>282</v>
      </c>
      <c r="H1002" s="322" t="s">
        <v>282</v>
      </c>
      <c r="I1002" s="322" t="s">
        <v>2</v>
      </c>
      <c r="J1002" s="322" t="s">
        <v>282</v>
      </c>
      <c r="K1002" s="322" t="s">
        <v>2</v>
      </c>
      <c r="L1002" s="322" t="s">
        <v>282</v>
      </c>
      <c r="M1002" s="322" t="s">
        <v>282</v>
      </c>
      <c r="N1002" s="322" t="s">
        <v>282</v>
      </c>
      <c r="O1002" s="323" t="s">
        <v>2</v>
      </c>
      <c r="P1002" s="323" t="s">
        <v>2</v>
      </c>
      <c r="Q1002" s="323" t="s">
        <v>15</v>
      </c>
      <c r="R1002" s="323" t="s">
        <v>15</v>
      </c>
      <c r="S1002" s="323" t="s">
        <v>16</v>
      </c>
      <c r="T1002" s="323" t="s">
        <v>329</v>
      </c>
      <c r="U1002" s="323" t="s">
        <v>249</v>
      </c>
      <c r="V1002" s="323" t="s">
        <v>282</v>
      </c>
      <c r="W1002" s="324" t="s">
        <v>282</v>
      </c>
      <c r="X1002" s="324" t="s">
        <v>282</v>
      </c>
      <c r="Y1002" s="325" t="s">
        <v>282</v>
      </c>
    </row>
    <row r="1003" spans="1:25">
      <c r="A1003" s="319">
        <v>19</v>
      </c>
      <c r="B1003" s="320" t="str">
        <f>VLOOKUP(Tabel10[[#This Row],[Code]],Ruimtegroepen[[Code]:[Ruimte omschrijving]],2,FALSE)</f>
        <v>Kleedruimte</v>
      </c>
      <c r="C1003" s="321" t="s">
        <v>1117</v>
      </c>
      <c r="D1003" s="320" t="s">
        <v>1</v>
      </c>
      <c r="E1003" s="321" t="s">
        <v>102</v>
      </c>
      <c r="F1003" s="321" t="s">
        <v>1121</v>
      </c>
      <c r="G1003" s="326" t="s">
        <v>282</v>
      </c>
      <c r="H1003" s="322" t="s">
        <v>282</v>
      </c>
      <c r="I1003" s="322" t="s">
        <v>2</v>
      </c>
      <c r="J1003" s="322" t="s">
        <v>282</v>
      </c>
      <c r="K1003" s="322" t="s">
        <v>2</v>
      </c>
      <c r="L1003" s="322" t="s">
        <v>282</v>
      </c>
      <c r="M1003" s="322" t="s">
        <v>282</v>
      </c>
      <c r="N1003" s="322" t="s">
        <v>282</v>
      </c>
      <c r="O1003" s="323" t="s">
        <v>2</v>
      </c>
      <c r="P1003" s="323" t="s">
        <v>2</v>
      </c>
      <c r="Q1003" s="323" t="s">
        <v>15</v>
      </c>
      <c r="R1003" s="323" t="s">
        <v>15</v>
      </c>
      <c r="S1003" s="323" t="s">
        <v>16</v>
      </c>
      <c r="T1003" s="323" t="s">
        <v>329</v>
      </c>
      <c r="U1003" s="323" t="s">
        <v>249</v>
      </c>
      <c r="V1003" s="323" t="s">
        <v>282</v>
      </c>
      <c r="W1003" s="324" t="s">
        <v>282</v>
      </c>
      <c r="X1003" s="324" t="s">
        <v>282</v>
      </c>
      <c r="Y1003" s="325" t="s">
        <v>282</v>
      </c>
    </row>
    <row r="1004" spans="1:25">
      <c r="A1004" s="319">
        <v>19</v>
      </c>
      <c r="B1004" s="320" t="str">
        <f>VLOOKUP(Tabel10[[#This Row],[Code]],Ruimtegroepen[[Code]:[Ruimte omschrijving]],2,FALSE)</f>
        <v>Kleedruimte</v>
      </c>
      <c r="C1004" s="321" t="s">
        <v>1117</v>
      </c>
      <c r="D1004" s="320" t="s">
        <v>1</v>
      </c>
      <c r="E1004" s="321" t="s">
        <v>99</v>
      </c>
      <c r="F1004" s="321" t="s">
        <v>1119</v>
      </c>
      <c r="G1004" s="326" t="s">
        <v>282</v>
      </c>
      <c r="H1004" s="322" t="s">
        <v>2</v>
      </c>
      <c r="I1004" s="322" t="s">
        <v>282</v>
      </c>
      <c r="J1004" s="322" t="s">
        <v>282</v>
      </c>
      <c r="K1004" s="322" t="s">
        <v>282</v>
      </c>
      <c r="L1004" s="322" t="s">
        <v>282</v>
      </c>
      <c r="M1004" s="322" t="s">
        <v>282</v>
      </c>
      <c r="N1004" s="322" t="s">
        <v>282</v>
      </c>
      <c r="O1004" s="323" t="s">
        <v>2</v>
      </c>
      <c r="P1004" s="323" t="s">
        <v>2</v>
      </c>
      <c r="Q1004" s="323" t="s">
        <v>15</v>
      </c>
      <c r="R1004" s="323" t="s">
        <v>15</v>
      </c>
      <c r="S1004" s="323" t="s">
        <v>16</v>
      </c>
      <c r="T1004" s="323" t="s">
        <v>329</v>
      </c>
      <c r="U1004" s="323" t="s">
        <v>249</v>
      </c>
      <c r="V1004" s="323" t="s">
        <v>282</v>
      </c>
      <c r="W1004" s="324" t="s">
        <v>282</v>
      </c>
      <c r="X1004" s="324" t="s">
        <v>282</v>
      </c>
      <c r="Y1004" s="325" t="s">
        <v>282</v>
      </c>
    </row>
    <row r="1005" spans="1:25">
      <c r="A1005" s="319">
        <v>19</v>
      </c>
      <c r="B1005" s="320" t="str">
        <f>VLOOKUP(Tabel10[[#This Row],[Code]],Ruimtegroepen[[Code]:[Ruimte omschrijving]],2,FALSE)</f>
        <v>Kleedruimte</v>
      </c>
      <c r="C1005" s="321" t="s">
        <v>1117</v>
      </c>
      <c r="D1005" s="320" t="s">
        <v>1</v>
      </c>
      <c r="E1005" s="321" t="s">
        <v>1306</v>
      </c>
      <c r="F1005" s="321" t="s">
        <v>1473</v>
      </c>
      <c r="G1005" s="326" t="s">
        <v>282</v>
      </c>
      <c r="H1005" s="322" t="s">
        <v>282</v>
      </c>
      <c r="I1005" s="322" t="s">
        <v>2</v>
      </c>
      <c r="J1005" s="322" t="s">
        <v>282</v>
      </c>
      <c r="K1005" s="322" t="s">
        <v>2</v>
      </c>
      <c r="L1005" s="322" t="s">
        <v>282</v>
      </c>
      <c r="M1005" s="322" t="s">
        <v>282</v>
      </c>
      <c r="N1005" s="322" t="s">
        <v>282</v>
      </c>
      <c r="O1005" s="323" t="s">
        <v>2</v>
      </c>
      <c r="P1005" s="323" t="s">
        <v>2</v>
      </c>
      <c r="Q1005" s="323" t="s">
        <v>15</v>
      </c>
      <c r="R1005" s="323" t="s">
        <v>15</v>
      </c>
      <c r="S1005" s="323" t="s">
        <v>16</v>
      </c>
      <c r="T1005" s="323" t="s">
        <v>329</v>
      </c>
      <c r="U1005" s="323" t="s">
        <v>249</v>
      </c>
      <c r="V1005" s="323" t="s">
        <v>282</v>
      </c>
      <c r="W1005" s="324" t="s">
        <v>282</v>
      </c>
      <c r="X1005" s="324" t="s">
        <v>282</v>
      </c>
      <c r="Y1005" s="325" t="s">
        <v>282</v>
      </c>
    </row>
    <row r="1006" spans="1:25">
      <c r="A1006" s="319">
        <v>19</v>
      </c>
      <c r="B1006" s="320" t="str">
        <f>VLOOKUP(Tabel10[[#This Row],[Code]],Ruimtegroepen[[Code]:[Ruimte omschrijving]],2,FALSE)</f>
        <v>Kleedruimte</v>
      </c>
      <c r="C1006" s="321" t="s">
        <v>1122</v>
      </c>
      <c r="D1006" s="320" t="s">
        <v>21</v>
      </c>
      <c r="E1006" s="321" t="s">
        <v>100</v>
      </c>
      <c r="F1006" s="321" t="s">
        <v>1123</v>
      </c>
      <c r="G1006" s="326" t="s">
        <v>282</v>
      </c>
      <c r="H1006" s="322" t="s">
        <v>282</v>
      </c>
      <c r="I1006" s="322" t="s">
        <v>20</v>
      </c>
      <c r="J1006" s="322" t="s">
        <v>282</v>
      </c>
      <c r="K1006" s="322" t="s">
        <v>20</v>
      </c>
      <c r="L1006" s="322" t="s">
        <v>282</v>
      </c>
      <c r="M1006" s="322" t="s">
        <v>282</v>
      </c>
      <c r="N1006" s="322" t="s">
        <v>282</v>
      </c>
      <c r="O1006" s="323" t="s">
        <v>20</v>
      </c>
      <c r="P1006" s="323" t="s">
        <v>20</v>
      </c>
      <c r="Q1006" s="323" t="s">
        <v>15</v>
      </c>
      <c r="R1006" s="323" t="s">
        <v>15</v>
      </c>
      <c r="S1006" s="323" t="s">
        <v>16</v>
      </c>
      <c r="T1006" s="323" t="s">
        <v>329</v>
      </c>
      <c r="U1006" s="323" t="s">
        <v>249</v>
      </c>
      <c r="V1006" s="323" t="s">
        <v>282</v>
      </c>
      <c r="W1006" s="324" t="s">
        <v>282</v>
      </c>
      <c r="X1006" s="324" t="s">
        <v>282</v>
      </c>
      <c r="Y1006" s="325" t="s">
        <v>282</v>
      </c>
    </row>
    <row r="1007" spans="1:25">
      <c r="A1007" s="319">
        <v>19</v>
      </c>
      <c r="B1007" s="320" t="str">
        <f>VLOOKUP(Tabel10[[#This Row],[Code]],Ruimtegroepen[[Code]:[Ruimte omschrijving]],2,FALSE)</f>
        <v>Kleedruimte</v>
      </c>
      <c r="C1007" s="321" t="s">
        <v>1122</v>
      </c>
      <c r="D1007" s="320" t="s">
        <v>21</v>
      </c>
      <c r="E1007" s="321" t="s">
        <v>99</v>
      </c>
      <c r="F1007" s="321" t="s">
        <v>1124</v>
      </c>
      <c r="G1007" s="326" t="s">
        <v>282</v>
      </c>
      <c r="H1007" s="322" t="s">
        <v>20</v>
      </c>
      <c r="I1007" s="322" t="s">
        <v>282</v>
      </c>
      <c r="J1007" s="322" t="s">
        <v>282</v>
      </c>
      <c r="K1007" s="322" t="s">
        <v>282</v>
      </c>
      <c r="L1007" s="322" t="s">
        <v>282</v>
      </c>
      <c r="M1007" s="322" t="s">
        <v>282</v>
      </c>
      <c r="N1007" s="322" t="s">
        <v>282</v>
      </c>
      <c r="O1007" s="323" t="s">
        <v>20</v>
      </c>
      <c r="P1007" s="323" t="s">
        <v>20</v>
      </c>
      <c r="Q1007" s="323" t="s">
        <v>15</v>
      </c>
      <c r="R1007" s="323" t="s">
        <v>15</v>
      </c>
      <c r="S1007" s="323" t="s">
        <v>16</v>
      </c>
      <c r="T1007" s="323" t="s">
        <v>329</v>
      </c>
      <c r="U1007" s="323" t="s">
        <v>249</v>
      </c>
      <c r="V1007" s="323" t="s">
        <v>282</v>
      </c>
      <c r="W1007" s="324" t="s">
        <v>282</v>
      </c>
      <c r="X1007" s="324" t="s">
        <v>282</v>
      </c>
      <c r="Y1007" s="325" t="s">
        <v>282</v>
      </c>
    </row>
    <row r="1008" spans="1:25">
      <c r="A1008" s="319">
        <v>19</v>
      </c>
      <c r="B1008" s="320" t="str">
        <f>VLOOKUP(Tabel10[[#This Row],[Code]],Ruimtegroepen[[Code]:[Ruimte omschrijving]],2,FALSE)</f>
        <v>Kleedruimte</v>
      </c>
      <c r="C1008" s="321" t="s">
        <v>1122</v>
      </c>
      <c r="D1008" s="320" t="s">
        <v>21</v>
      </c>
      <c r="E1008" s="321" t="s">
        <v>101</v>
      </c>
      <c r="F1008" s="321" t="s">
        <v>1125</v>
      </c>
      <c r="G1008" s="326" t="s">
        <v>282</v>
      </c>
      <c r="H1008" s="322" t="s">
        <v>282</v>
      </c>
      <c r="I1008" s="322" t="s">
        <v>20</v>
      </c>
      <c r="J1008" s="322" t="s">
        <v>282</v>
      </c>
      <c r="K1008" s="322" t="s">
        <v>20</v>
      </c>
      <c r="L1008" s="322" t="s">
        <v>282</v>
      </c>
      <c r="M1008" s="322" t="s">
        <v>282</v>
      </c>
      <c r="N1008" s="322" t="s">
        <v>282</v>
      </c>
      <c r="O1008" s="323" t="s">
        <v>20</v>
      </c>
      <c r="P1008" s="323" t="s">
        <v>20</v>
      </c>
      <c r="Q1008" s="323" t="s">
        <v>15</v>
      </c>
      <c r="R1008" s="323" t="s">
        <v>15</v>
      </c>
      <c r="S1008" s="323" t="s">
        <v>16</v>
      </c>
      <c r="T1008" s="323" t="s">
        <v>329</v>
      </c>
      <c r="U1008" s="323" t="s">
        <v>249</v>
      </c>
      <c r="V1008" s="323" t="s">
        <v>282</v>
      </c>
      <c r="W1008" s="324" t="s">
        <v>282</v>
      </c>
      <c r="X1008" s="324" t="s">
        <v>282</v>
      </c>
      <c r="Y1008" s="325" t="s">
        <v>282</v>
      </c>
    </row>
    <row r="1009" spans="1:25">
      <c r="A1009" s="319">
        <v>19</v>
      </c>
      <c r="B1009" s="320" t="str">
        <f>VLOOKUP(Tabel10[[#This Row],[Code]],Ruimtegroepen[[Code]:[Ruimte omschrijving]],2,FALSE)</f>
        <v>Kleedruimte</v>
      </c>
      <c r="C1009" s="321" t="s">
        <v>1122</v>
      </c>
      <c r="D1009" s="320" t="s">
        <v>21</v>
      </c>
      <c r="E1009" s="321" t="s">
        <v>102</v>
      </c>
      <c r="F1009" s="321" t="s">
        <v>1126</v>
      </c>
      <c r="G1009" s="326" t="s">
        <v>282</v>
      </c>
      <c r="H1009" s="322" t="s">
        <v>282</v>
      </c>
      <c r="I1009" s="322" t="s">
        <v>20</v>
      </c>
      <c r="J1009" s="322" t="s">
        <v>282</v>
      </c>
      <c r="K1009" s="322" t="s">
        <v>20</v>
      </c>
      <c r="L1009" s="322" t="s">
        <v>282</v>
      </c>
      <c r="M1009" s="322" t="s">
        <v>282</v>
      </c>
      <c r="N1009" s="322" t="s">
        <v>282</v>
      </c>
      <c r="O1009" s="323" t="s">
        <v>20</v>
      </c>
      <c r="P1009" s="323" t="s">
        <v>20</v>
      </c>
      <c r="Q1009" s="323" t="s">
        <v>15</v>
      </c>
      <c r="R1009" s="323" t="s">
        <v>15</v>
      </c>
      <c r="S1009" s="323" t="s">
        <v>16</v>
      </c>
      <c r="T1009" s="323" t="s">
        <v>329</v>
      </c>
      <c r="U1009" s="323" t="s">
        <v>249</v>
      </c>
      <c r="V1009" s="323" t="s">
        <v>282</v>
      </c>
      <c r="W1009" s="324" t="s">
        <v>282</v>
      </c>
      <c r="X1009" s="324" t="s">
        <v>282</v>
      </c>
      <c r="Y1009" s="325" t="s">
        <v>282</v>
      </c>
    </row>
    <row r="1010" spans="1:25">
      <c r="A1010" s="319">
        <v>19</v>
      </c>
      <c r="B1010" s="320" t="str">
        <f>VLOOKUP(Tabel10[[#This Row],[Code]],Ruimtegroepen[[Code]:[Ruimte omschrijving]],2,FALSE)</f>
        <v>Kleedruimte</v>
      </c>
      <c r="C1010" s="321" t="s">
        <v>1122</v>
      </c>
      <c r="D1010" s="320" t="s">
        <v>21</v>
      </c>
      <c r="E1010" s="321" t="s">
        <v>99</v>
      </c>
      <c r="F1010" s="321" t="s">
        <v>1124</v>
      </c>
      <c r="G1010" s="326" t="s">
        <v>282</v>
      </c>
      <c r="H1010" s="322" t="s">
        <v>20</v>
      </c>
      <c r="I1010" s="322" t="s">
        <v>282</v>
      </c>
      <c r="J1010" s="322" t="s">
        <v>282</v>
      </c>
      <c r="K1010" s="322" t="s">
        <v>282</v>
      </c>
      <c r="L1010" s="322" t="s">
        <v>282</v>
      </c>
      <c r="M1010" s="322" t="s">
        <v>282</v>
      </c>
      <c r="N1010" s="322" t="s">
        <v>282</v>
      </c>
      <c r="O1010" s="323" t="s">
        <v>20</v>
      </c>
      <c r="P1010" s="323" t="s">
        <v>20</v>
      </c>
      <c r="Q1010" s="323" t="s">
        <v>15</v>
      </c>
      <c r="R1010" s="323" t="s">
        <v>15</v>
      </c>
      <c r="S1010" s="323" t="s">
        <v>16</v>
      </c>
      <c r="T1010" s="323" t="s">
        <v>329</v>
      </c>
      <c r="U1010" s="323" t="s">
        <v>249</v>
      </c>
      <c r="V1010" s="323" t="s">
        <v>282</v>
      </c>
      <c r="W1010" s="324" t="s">
        <v>282</v>
      </c>
      <c r="X1010" s="324" t="s">
        <v>282</v>
      </c>
      <c r="Y1010" s="325" t="s">
        <v>282</v>
      </c>
    </row>
    <row r="1011" spans="1:25">
      <c r="A1011" s="319">
        <v>19</v>
      </c>
      <c r="B1011" s="320" t="str">
        <f>VLOOKUP(Tabel10[[#This Row],[Code]],Ruimtegroepen[[Code]:[Ruimte omschrijving]],2,FALSE)</f>
        <v>Kleedruimte</v>
      </c>
      <c r="C1011" s="321" t="s">
        <v>1122</v>
      </c>
      <c r="D1011" s="320" t="s">
        <v>21</v>
      </c>
      <c r="E1011" s="321" t="s">
        <v>1306</v>
      </c>
      <c r="F1011" s="321" t="s">
        <v>1456</v>
      </c>
      <c r="G1011" s="326" t="s">
        <v>282</v>
      </c>
      <c r="H1011" s="322" t="s">
        <v>282</v>
      </c>
      <c r="I1011" s="322" t="s">
        <v>20</v>
      </c>
      <c r="J1011" s="322" t="s">
        <v>282</v>
      </c>
      <c r="K1011" s="322" t="s">
        <v>20</v>
      </c>
      <c r="L1011" s="322" t="s">
        <v>282</v>
      </c>
      <c r="M1011" s="322" t="s">
        <v>282</v>
      </c>
      <c r="N1011" s="322" t="s">
        <v>282</v>
      </c>
      <c r="O1011" s="323" t="s">
        <v>20</v>
      </c>
      <c r="P1011" s="323" t="s">
        <v>20</v>
      </c>
      <c r="Q1011" s="323" t="s">
        <v>15</v>
      </c>
      <c r="R1011" s="323" t="s">
        <v>15</v>
      </c>
      <c r="S1011" s="323" t="s">
        <v>16</v>
      </c>
      <c r="T1011" s="323" t="s">
        <v>329</v>
      </c>
      <c r="U1011" s="323" t="s">
        <v>249</v>
      </c>
      <c r="V1011" s="323" t="s">
        <v>282</v>
      </c>
      <c r="W1011" s="324" t="s">
        <v>282</v>
      </c>
      <c r="X1011" s="324" t="s">
        <v>282</v>
      </c>
      <c r="Y1011" s="325" t="s">
        <v>282</v>
      </c>
    </row>
    <row r="1012" spans="1:25">
      <c r="A1012" s="319">
        <v>19</v>
      </c>
      <c r="B1012" s="320" t="str">
        <f>VLOOKUP(Tabel10[[#This Row],[Code]],Ruimtegroepen[[Code]:[Ruimte omschrijving]],2,FALSE)</f>
        <v>Kleedruimte</v>
      </c>
      <c r="C1012" s="321" t="s">
        <v>1127</v>
      </c>
      <c r="D1012" s="320" t="s">
        <v>12</v>
      </c>
      <c r="E1012" s="321" t="s">
        <v>100</v>
      </c>
      <c r="F1012" s="321" t="s">
        <v>1128</v>
      </c>
      <c r="G1012" s="326" t="s">
        <v>282</v>
      </c>
      <c r="H1012" s="322" t="s">
        <v>282</v>
      </c>
      <c r="I1012" s="322" t="s">
        <v>18</v>
      </c>
      <c r="J1012" s="322" t="s">
        <v>282</v>
      </c>
      <c r="K1012" s="322" t="s">
        <v>18</v>
      </c>
      <c r="L1012" s="322" t="s">
        <v>282</v>
      </c>
      <c r="M1012" s="322" t="s">
        <v>282</v>
      </c>
      <c r="N1012" s="322" t="s">
        <v>282</v>
      </c>
      <c r="O1012" s="323" t="s">
        <v>18</v>
      </c>
      <c r="P1012" s="323" t="s">
        <v>18</v>
      </c>
      <c r="Q1012" s="323" t="s">
        <v>15</v>
      </c>
      <c r="R1012" s="323" t="s">
        <v>15</v>
      </c>
      <c r="S1012" s="323" t="s">
        <v>16</v>
      </c>
      <c r="T1012" s="323" t="s">
        <v>329</v>
      </c>
      <c r="U1012" s="323" t="s">
        <v>249</v>
      </c>
      <c r="V1012" s="323" t="s">
        <v>282</v>
      </c>
      <c r="W1012" s="324" t="s">
        <v>282</v>
      </c>
      <c r="X1012" s="324" t="s">
        <v>282</v>
      </c>
      <c r="Y1012" s="325" t="s">
        <v>282</v>
      </c>
    </row>
    <row r="1013" spans="1:25">
      <c r="A1013" s="319">
        <v>19</v>
      </c>
      <c r="B1013" s="320" t="str">
        <f>VLOOKUP(Tabel10[[#This Row],[Code]],Ruimtegroepen[[Code]:[Ruimte omschrijving]],2,FALSE)</f>
        <v>Kleedruimte</v>
      </c>
      <c r="C1013" s="321" t="s">
        <v>1127</v>
      </c>
      <c r="D1013" s="320" t="s">
        <v>12</v>
      </c>
      <c r="E1013" s="321" t="s">
        <v>99</v>
      </c>
      <c r="F1013" s="321" t="s">
        <v>1129</v>
      </c>
      <c r="G1013" s="326" t="s">
        <v>282</v>
      </c>
      <c r="H1013" s="322" t="s">
        <v>18</v>
      </c>
      <c r="I1013" s="322" t="s">
        <v>282</v>
      </c>
      <c r="J1013" s="322" t="s">
        <v>282</v>
      </c>
      <c r="K1013" s="322" t="s">
        <v>282</v>
      </c>
      <c r="L1013" s="322" t="s">
        <v>282</v>
      </c>
      <c r="M1013" s="322" t="s">
        <v>282</v>
      </c>
      <c r="N1013" s="322" t="s">
        <v>282</v>
      </c>
      <c r="O1013" s="323" t="s">
        <v>18</v>
      </c>
      <c r="P1013" s="323" t="s">
        <v>18</v>
      </c>
      <c r="Q1013" s="323" t="s">
        <v>15</v>
      </c>
      <c r="R1013" s="323" t="s">
        <v>15</v>
      </c>
      <c r="S1013" s="323" t="s">
        <v>16</v>
      </c>
      <c r="T1013" s="323" t="s">
        <v>329</v>
      </c>
      <c r="U1013" s="323" t="s">
        <v>249</v>
      </c>
      <c r="V1013" s="323" t="s">
        <v>282</v>
      </c>
      <c r="W1013" s="324" t="s">
        <v>282</v>
      </c>
      <c r="X1013" s="324" t="s">
        <v>282</v>
      </c>
      <c r="Y1013" s="325" t="s">
        <v>282</v>
      </c>
    </row>
    <row r="1014" spans="1:25">
      <c r="A1014" s="319">
        <v>19</v>
      </c>
      <c r="B1014" s="320" t="str">
        <f>VLOOKUP(Tabel10[[#This Row],[Code]],Ruimtegroepen[[Code]:[Ruimte omschrijving]],2,FALSE)</f>
        <v>Kleedruimte</v>
      </c>
      <c r="C1014" s="321" t="s">
        <v>1127</v>
      </c>
      <c r="D1014" s="320" t="s">
        <v>12</v>
      </c>
      <c r="E1014" s="321" t="s">
        <v>101</v>
      </c>
      <c r="F1014" s="321" t="s">
        <v>1130</v>
      </c>
      <c r="G1014" s="326" t="s">
        <v>282</v>
      </c>
      <c r="H1014" s="322" t="s">
        <v>282</v>
      </c>
      <c r="I1014" s="322" t="s">
        <v>18</v>
      </c>
      <c r="J1014" s="322" t="s">
        <v>282</v>
      </c>
      <c r="K1014" s="322" t="s">
        <v>18</v>
      </c>
      <c r="L1014" s="322" t="s">
        <v>282</v>
      </c>
      <c r="M1014" s="322" t="s">
        <v>282</v>
      </c>
      <c r="N1014" s="322" t="s">
        <v>282</v>
      </c>
      <c r="O1014" s="323" t="s">
        <v>18</v>
      </c>
      <c r="P1014" s="323" t="s">
        <v>18</v>
      </c>
      <c r="Q1014" s="323" t="s">
        <v>15</v>
      </c>
      <c r="R1014" s="323" t="s">
        <v>15</v>
      </c>
      <c r="S1014" s="323" t="s">
        <v>16</v>
      </c>
      <c r="T1014" s="323" t="s">
        <v>329</v>
      </c>
      <c r="U1014" s="323" t="s">
        <v>249</v>
      </c>
      <c r="V1014" s="323" t="s">
        <v>282</v>
      </c>
      <c r="W1014" s="324" t="s">
        <v>282</v>
      </c>
      <c r="X1014" s="324" t="s">
        <v>282</v>
      </c>
      <c r="Y1014" s="325" t="s">
        <v>282</v>
      </c>
    </row>
    <row r="1015" spans="1:25">
      <c r="A1015" s="319">
        <v>19</v>
      </c>
      <c r="B1015" s="320" t="str">
        <f>VLOOKUP(Tabel10[[#This Row],[Code]],Ruimtegroepen[[Code]:[Ruimte omschrijving]],2,FALSE)</f>
        <v>Kleedruimte</v>
      </c>
      <c r="C1015" s="321" t="s">
        <v>1127</v>
      </c>
      <c r="D1015" s="320" t="s">
        <v>12</v>
      </c>
      <c r="E1015" s="321" t="s">
        <v>102</v>
      </c>
      <c r="F1015" s="321" t="s">
        <v>1131</v>
      </c>
      <c r="G1015" s="326" t="s">
        <v>282</v>
      </c>
      <c r="H1015" s="322" t="s">
        <v>282</v>
      </c>
      <c r="I1015" s="322" t="s">
        <v>18</v>
      </c>
      <c r="J1015" s="322" t="s">
        <v>282</v>
      </c>
      <c r="K1015" s="322" t="s">
        <v>18</v>
      </c>
      <c r="L1015" s="322" t="s">
        <v>282</v>
      </c>
      <c r="M1015" s="322" t="s">
        <v>282</v>
      </c>
      <c r="N1015" s="322" t="s">
        <v>282</v>
      </c>
      <c r="O1015" s="323" t="s">
        <v>18</v>
      </c>
      <c r="P1015" s="323" t="s">
        <v>18</v>
      </c>
      <c r="Q1015" s="323" t="s">
        <v>15</v>
      </c>
      <c r="R1015" s="323" t="s">
        <v>15</v>
      </c>
      <c r="S1015" s="323" t="s">
        <v>16</v>
      </c>
      <c r="T1015" s="323" t="s">
        <v>329</v>
      </c>
      <c r="U1015" s="323" t="s">
        <v>249</v>
      </c>
      <c r="V1015" s="323" t="s">
        <v>282</v>
      </c>
      <c r="W1015" s="324" t="s">
        <v>282</v>
      </c>
      <c r="X1015" s="324" t="s">
        <v>282</v>
      </c>
      <c r="Y1015" s="325" t="s">
        <v>282</v>
      </c>
    </row>
    <row r="1016" spans="1:25">
      <c r="A1016" s="319">
        <v>19</v>
      </c>
      <c r="B1016" s="320" t="str">
        <f>VLOOKUP(Tabel10[[#This Row],[Code]],Ruimtegroepen[[Code]:[Ruimte omschrijving]],2,FALSE)</f>
        <v>Kleedruimte</v>
      </c>
      <c r="C1016" s="321" t="s">
        <v>1127</v>
      </c>
      <c r="D1016" s="320" t="s">
        <v>12</v>
      </c>
      <c r="E1016" s="321" t="s">
        <v>99</v>
      </c>
      <c r="F1016" s="321" t="s">
        <v>1129</v>
      </c>
      <c r="G1016" s="326" t="s">
        <v>282</v>
      </c>
      <c r="H1016" s="322" t="s">
        <v>18</v>
      </c>
      <c r="I1016" s="322" t="s">
        <v>282</v>
      </c>
      <c r="J1016" s="322" t="s">
        <v>282</v>
      </c>
      <c r="K1016" s="322" t="s">
        <v>282</v>
      </c>
      <c r="L1016" s="322" t="s">
        <v>282</v>
      </c>
      <c r="M1016" s="322" t="s">
        <v>282</v>
      </c>
      <c r="N1016" s="322" t="s">
        <v>282</v>
      </c>
      <c r="O1016" s="323" t="s">
        <v>18</v>
      </c>
      <c r="P1016" s="323" t="s">
        <v>18</v>
      </c>
      <c r="Q1016" s="323" t="s">
        <v>15</v>
      </c>
      <c r="R1016" s="323" t="s">
        <v>15</v>
      </c>
      <c r="S1016" s="323" t="s">
        <v>16</v>
      </c>
      <c r="T1016" s="323" t="s">
        <v>329</v>
      </c>
      <c r="U1016" s="323" t="s">
        <v>249</v>
      </c>
      <c r="V1016" s="323" t="s">
        <v>282</v>
      </c>
      <c r="W1016" s="324" t="s">
        <v>282</v>
      </c>
      <c r="X1016" s="324" t="s">
        <v>282</v>
      </c>
      <c r="Y1016" s="325" t="s">
        <v>282</v>
      </c>
    </row>
    <row r="1017" spans="1:25">
      <c r="A1017" s="319">
        <v>19</v>
      </c>
      <c r="B1017" s="320" t="str">
        <f>VLOOKUP(Tabel10[[#This Row],[Code]],Ruimtegroepen[[Code]:[Ruimte omschrijving]],2,FALSE)</f>
        <v>Kleedruimte</v>
      </c>
      <c r="C1017" s="321" t="s">
        <v>1127</v>
      </c>
      <c r="D1017" s="320" t="s">
        <v>12</v>
      </c>
      <c r="E1017" s="321" t="s">
        <v>1306</v>
      </c>
      <c r="F1017" s="321" t="s">
        <v>1438</v>
      </c>
      <c r="G1017" s="326" t="s">
        <v>282</v>
      </c>
      <c r="H1017" s="322" t="s">
        <v>282</v>
      </c>
      <c r="I1017" s="322" t="s">
        <v>18</v>
      </c>
      <c r="J1017" s="322" t="s">
        <v>282</v>
      </c>
      <c r="K1017" s="322" t="s">
        <v>18</v>
      </c>
      <c r="L1017" s="322" t="s">
        <v>282</v>
      </c>
      <c r="M1017" s="322" t="s">
        <v>282</v>
      </c>
      <c r="N1017" s="322" t="s">
        <v>282</v>
      </c>
      <c r="O1017" s="323" t="s">
        <v>18</v>
      </c>
      <c r="P1017" s="323" t="s">
        <v>18</v>
      </c>
      <c r="Q1017" s="323" t="s">
        <v>15</v>
      </c>
      <c r="R1017" s="323" t="s">
        <v>15</v>
      </c>
      <c r="S1017" s="323" t="s">
        <v>16</v>
      </c>
      <c r="T1017" s="323" t="s">
        <v>329</v>
      </c>
      <c r="U1017" s="323" t="s">
        <v>249</v>
      </c>
      <c r="V1017" s="323" t="s">
        <v>282</v>
      </c>
      <c r="W1017" s="324" t="s">
        <v>282</v>
      </c>
      <c r="X1017" s="324" t="s">
        <v>282</v>
      </c>
      <c r="Y1017" s="325" t="s">
        <v>282</v>
      </c>
    </row>
    <row r="1018" spans="1:25">
      <c r="A1018" s="319">
        <v>19</v>
      </c>
      <c r="B1018" s="320" t="str">
        <f>VLOOKUP(Tabel10[[#This Row],[Code]],Ruimtegroepen[[Code]:[Ruimte omschrijving]],2,FALSE)</f>
        <v>Kleedruimte</v>
      </c>
      <c r="C1018" s="321" t="s">
        <v>1132</v>
      </c>
      <c r="D1018" s="320" t="s">
        <v>14</v>
      </c>
      <c r="E1018" s="321" t="s">
        <v>100</v>
      </c>
      <c r="F1018" s="321" t="s">
        <v>1133</v>
      </c>
      <c r="G1018" s="326" t="s">
        <v>282</v>
      </c>
      <c r="H1018" s="322" t="s">
        <v>282</v>
      </c>
      <c r="I1018" s="322" t="s">
        <v>17</v>
      </c>
      <c r="J1018" s="322" t="s">
        <v>282</v>
      </c>
      <c r="K1018" s="322" t="s">
        <v>17</v>
      </c>
      <c r="L1018" s="322" t="s">
        <v>282</v>
      </c>
      <c r="M1018" s="322" t="s">
        <v>282</v>
      </c>
      <c r="N1018" s="322" t="s">
        <v>282</v>
      </c>
      <c r="O1018" s="323" t="s">
        <v>17</v>
      </c>
      <c r="P1018" s="323" t="s">
        <v>17</v>
      </c>
      <c r="Q1018" s="323" t="s">
        <v>15</v>
      </c>
      <c r="R1018" s="323" t="s">
        <v>15</v>
      </c>
      <c r="S1018" s="323" t="s">
        <v>16</v>
      </c>
      <c r="T1018" s="323" t="s">
        <v>329</v>
      </c>
      <c r="U1018" s="323" t="s">
        <v>249</v>
      </c>
      <c r="V1018" s="323" t="s">
        <v>282</v>
      </c>
      <c r="W1018" s="324" t="s">
        <v>282</v>
      </c>
      <c r="X1018" s="324" t="s">
        <v>282</v>
      </c>
      <c r="Y1018" s="325" t="s">
        <v>282</v>
      </c>
    </row>
    <row r="1019" spans="1:25">
      <c r="A1019" s="319">
        <v>19</v>
      </c>
      <c r="B1019" s="320" t="str">
        <f>VLOOKUP(Tabel10[[#This Row],[Code]],Ruimtegroepen[[Code]:[Ruimte omschrijving]],2,FALSE)</f>
        <v>Kleedruimte</v>
      </c>
      <c r="C1019" s="321" t="s">
        <v>1132</v>
      </c>
      <c r="D1019" s="320" t="s">
        <v>14</v>
      </c>
      <c r="E1019" s="321" t="s">
        <v>99</v>
      </c>
      <c r="F1019" s="321" t="s">
        <v>1134</v>
      </c>
      <c r="G1019" s="326" t="s">
        <v>282</v>
      </c>
      <c r="H1019" s="322" t="s">
        <v>17</v>
      </c>
      <c r="I1019" s="322" t="s">
        <v>282</v>
      </c>
      <c r="J1019" s="322" t="s">
        <v>282</v>
      </c>
      <c r="K1019" s="322" t="s">
        <v>282</v>
      </c>
      <c r="L1019" s="322" t="s">
        <v>282</v>
      </c>
      <c r="M1019" s="322" t="s">
        <v>282</v>
      </c>
      <c r="N1019" s="322" t="s">
        <v>282</v>
      </c>
      <c r="O1019" s="323" t="s">
        <v>17</v>
      </c>
      <c r="P1019" s="323" t="s">
        <v>17</v>
      </c>
      <c r="Q1019" s="323" t="s">
        <v>15</v>
      </c>
      <c r="R1019" s="323" t="s">
        <v>15</v>
      </c>
      <c r="S1019" s="323" t="s">
        <v>16</v>
      </c>
      <c r="T1019" s="323" t="s">
        <v>329</v>
      </c>
      <c r="U1019" s="323" t="s">
        <v>249</v>
      </c>
      <c r="V1019" s="323" t="s">
        <v>282</v>
      </c>
      <c r="W1019" s="324" t="s">
        <v>282</v>
      </c>
      <c r="X1019" s="324" t="s">
        <v>282</v>
      </c>
      <c r="Y1019" s="325" t="s">
        <v>282</v>
      </c>
    </row>
    <row r="1020" spans="1:25">
      <c r="A1020" s="319">
        <v>19</v>
      </c>
      <c r="B1020" s="320" t="str">
        <f>VLOOKUP(Tabel10[[#This Row],[Code]],Ruimtegroepen[[Code]:[Ruimte omschrijving]],2,FALSE)</f>
        <v>Kleedruimte</v>
      </c>
      <c r="C1020" s="321" t="s">
        <v>1132</v>
      </c>
      <c r="D1020" s="320" t="s">
        <v>14</v>
      </c>
      <c r="E1020" s="321" t="s">
        <v>101</v>
      </c>
      <c r="F1020" s="321" t="s">
        <v>1135</v>
      </c>
      <c r="G1020" s="326" t="s">
        <v>282</v>
      </c>
      <c r="H1020" s="322" t="s">
        <v>282</v>
      </c>
      <c r="I1020" s="322" t="s">
        <v>17</v>
      </c>
      <c r="J1020" s="322" t="s">
        <v>282</v>
      </c>
      <c r="K1020" s="322" t="s">
        <v>17</v>
      </c>
      <c r="L1020" s="322" t="s">
        <v>282</v>
      </c>
      <c r="M1020" s="322" t="s">
        <v>282</v>
      </c>
      <c r="N1020" s="322" t="s">
        <v>282</v>
      </c>
      <c r="O1020" s="323" t="s">
        <v>17</v>
      </c>
      <c r="P1020" s="323" t="s">
        <v>17</v>
      </c>
      <c r="Q1020" s="323" t="s">
        <v>15</v>
      </c>
      <c r="R1020" s="323" t="s">
        <v>15</v>
      </c>
      <c r="S1020" s="323" t="s">
        <v>16</v>
      </c>
      <c r="T1020" s="323" t="s">
        <v>329</v>
      </c>
      <c r="U1020" s="323" t="s">
        <v>249</v>
      </c>
      <c r="V1020" s="323" t="s">
        <v>282</v>
      </c>
      <c r="W1020" s="324" t="s">
        <v>282</v>
      </c>
      <c r="X1020" s="324" t="s">
        <v>282</v>
      </c>
      <c r="Y1020" s="325" t="s">
        <v>282</v>
      </c>
    </row>
    <row r="1021" spans="1:25">
      <c r="A1021" s="319">
        <v>19</v>
      </c>
      <c r="B1021" s="320" t="str">
        <f>VLOOKUP(Tabel10[[#This Row],[Code]],Ruimtegroepen[[Code]:[Ruimte omschrijving]],2,FALSE)</f>
        <v>Kleedruimte</v>
      </c>
      <c r="C1021" s="321" t="s">
        <v>1132</v>
      </c>
      <c r="D1021" s="320" t="s">
        <v>14</v>
      </c>
      <c r="E1021" s="321" t="s">
        <v>102</v>
      </c>
      <c r="F1021" s="321" t="s">
        <v>1136</v>
      </c>
      <c r="G1021" s="326" t="s">
        <v>282</v>
      </c>
      <c r="H1021" s="322" t="s">
        <v>282</v>
      </c>
      <c r="I1021" s="322" t="s">
        <v>17</v>
      </c>
      <c r="J1021" s="322" t="s">
        <v>282</v>
      </c>
      <c r="K1021" s="322" t="s">
        <v>17</v>
      </c>
      <c r="L1021" s="322" t="s">
        <v>282</v>
      </c>
      <c r="M1021" s="322" t="s">
        <v>282</v>
      </c>
      <c r="N1021" s="322" t="s">
        <v>282</v>
      </c>
      <c r="O1021" s="323" t="s">
        <v>17</v>
      </c>
      <c r="P1021" s="323" t="s">
        <v>17</v>
      </c>
      <c r="Q1021" s="323" t="s">
        <v>15</v>
      </c>
      <c r="R1021" s="323" t="s">
        <v>15</v>
      </c>
      <c r="S1021" s="323" t="s">
        <v>16</v>
      </c>
      <c r="T1021" s="323" t="s">
        <v>329</v>
      </c>
      <c r="U1021" s="323" t="s">
        <v>249</v>
      </c>
      <c r="V1021" s="323" t="s">
        <v>282</v>
      </c>
      <c r="W1021" s="324" t="s">
        <v>282</v>
      </c>
      <c r="X1021" s="324" t="s">
        <v>282</v>
      </c>
      <c r="Y1021" s="325" t="s">
        <v>282</v>
      </c>
    </row>
    <row r="1022" spans="1:25">
      <c r="A1022" s="319">
        <v>19</v>
      </c>
      <c r="B1022" s="320" t="str">
        <f>VLOOKUP(Tabel10[[#This Row],[Code]],Ruimtegroepen[[Code]:[Ruimte omschrijving]],2,FALSE)</f>
        <v>Kleedruimte</v>
      </c>
      <c r="C1022" s="321" t="s">
        <v>1132</v>
      </c>
      <c r="D1022" s="320" t="s">
        <v>14</v>
      </c>
      <c r="E1022" s="321" t="s">
        <v>99</v>
      </c>
      <c r="F1022" s="321" t="s">
        <v>1134</v>
      </c>
      <c r="G1022" s="326" t="s">
        <v>282</v>
      </c>
      <c r="H1022" s="322" t="s">
        <v>17</v>
      </c>
      <c r="I1022" s="322" t="s">
        <v>282</v>
      </c>
      <c r="J1022" s="322" t="s">
        <v>282</v>
      </c>
      <c r="K1022" s="322" t="s">
        <v>282</v>
      </c>
      <c r="L1022" s="322" t="s">
        <v>282</v>
      </c>
      <c r="M1022" s="322" t="s">
        <v>282</v>
      </c>
      <c r="N1022" s="322" t="s">
        <v>282</v>
      </c>
      <c r="O1022" s="323" t="s">
        <v>17</v>
      </c>
      <c r="P1022" s="323" t="s">
        <v>17</v>
      </c>
      <c r="Q1022" s="323" t="s">
        <v>15</v>
      </c>
      <c r="R1022" s="323" t="s">
        <v>15</v>
      </c>
      <c r="S1022" s="323" t="s">
        <v>16</v>
      </c>
      <c r="T1022" s="323" t="s">
        <v>329</v>
      </c>
      <c r="U1022" s="323" t="s">
        <v>249</v>
      </c>
      <c r="V1022" s="323" t="s">
        <v>282</v>
      </c>
      <c r="W1022" s="324" t="s">
        <v>282</v>
      </c>
      <c r="X1022" s="324" t="s">
        <v>282</v>
      </c>
      <c r="Y1022" s="325" t="s">
        <v>282</v>
      </c>
    </row>
    <row r="1023" spans="1:25">
      <c r="A1023" s="319">
        <v>19</v>
      </c>
      <c r="B1023" s="320" t="str">
        <f>VLOOKUP(Tabel10[[#This Row],[Code]],Ruimtegroepen[[Code]:[Ruimte omschrijving]],2,FALSE)</f>
        <v>Kleedruimte</v>
      </c>
      <c r="C1023" s="321" t="s">
        <v>1132</v>
      </c>
      <c r="D1023" s="320" t="s">
        <v>14</v>
      </c>
      <c r="E1023" s="321" t="s">
        <v>1306</v>
      </c>
      <c r="F1023" s="321" t="s">
        <v>1405</v>
      </c>
      <c r="G1023" s="326" t="s">
        <v>282</v>
      </c>
      <c r="H1023" s="322" t="s">
        <v>282</v>
      </c>
      <c r="I1023" s="322" t="s">
        <v>17</v>
      </c>
      <c r="J1023" s="322" t="s">
        <v>282</v>
      </c>
      <c r="K1023" s="322" t="s">
        <v>17</v>
      </c>
      <c r="L1023" s="322" t="s">
        <v>282</v>
      </c>
      <c r="M1023" s="322" t="s">
        <v>282</v>
      </c>
      <c r="N1023" s="322" t="s">
        <v>282</v>
      </c>
      <c r="O1023" s="323" t="s">
        <v>17</v>
      </c>
      <c r="P1023" s="323" t="s">
        <v>17</v>
      </c>
      <c r="Q1023" s="323" t="s">
        <v>15</v>
      </c>
      <c r="R1023" s="323" t="s">
        <v>15</v>
      </c>
      <c r="S1023" s="323" t="s">
        <v>16</v>
      </c>
      <c r="T1023" s="323" t="s">
        <v>329</v>
      </c>
      <c r="U1023" s="323" t="s">
        <v>249</v>
      </c>
      <c r="V1023" s="323" t="s">
        <v>282</v>
      </c>
      <c r="W1023" s="324" t="s">
        <v>282</v>
      </c>
      <c r="X1023" s="324" t="s">
        <v>282</v>
      </c>
      <c r="Y1023" s="325" t="s">
        <v>282</v>
      </c>
    </row>
    <row r="1024" spans="1:25">
      <c r="A1024" s="319">
        <v>19</v>
      </c>
      <c r="B1024" s="320" t="str">
        <f>VLOOKUP(Tabel10[[#This Row],[Code]],Ruimtegroepen[[Code]:[Ruimte omschrijving]],2,FALSE)</f>
        <v>Kleedruimte</v>
      </c>
      <c r="C1024" s="321" t="s">
        <v>1137</v>
      </c>
      <c r="D1024" s="320" t="s">
        <v>13</v>
      </c>
      <c r="E1024" s="321" t="s">
        <v>100</v>
      </c>
      <c r="F1024" s="321" t="s">
        <v>1138</v>
      </c>
      <c r="G1024" s="326" t="s">
        <v>282</v>
      </c>
      <c r="H1024" s="322" t="s">
        <v>282</v>
      </c>
      <c r="I1024" s="322" t="s">
        <v>15</v>
      </c>
      <c r="J1024" s="322" t="s">
        <v>282</v>
      </c>
      <c r="K1024" s="322" t="s">
        <v>15</v>
      </c>
      <c r="L1024" s="322" t="s">
        <v>282</v>
      </c>
      <c r="M1024" s="322" t="s">
        <v>282</v>
      </c>
      <c r="N1024" s="322" t="s">
        <v>282</v>
      </c>
      <c r="O1024" s="323" t="s">
        <v>15</v>
      </c>
      <c r="P1024" s="323" t="s">
        <v>15</v>
      </c>
      <c r="Q1024" s="323" t="s">
        <v>15</v>
      </c>
      <c r="R1024" s="323" t="s">
        <v>15</v>
      </c>
      <c r="S1024" s="323" t="s">
        <v>16</v>
      </c>
      <c r="T1024" s="323" t="s">
        <v>329</v>
      </c>
      <c r="U1024" s="323" t="s">
        <v>249</v>
      </c>
      <c r="V1024" s="323" t="s">
        <v>282</v>
      </c>
      <c r="W1024" s="324" t="s">
        <v>282</v>
      </c>
      <c r="X1024" s="324" t="s">
        <v>282</v>
      </c>
      <c r="Y1024" s="325" t="s">
        <v>282</v>
      </c>
    </row>
    <row r="1025" spans="1:25">
      <c r="A1025" s="319">
        <v>19</v>
      </c>
      <c r="B1025" s="320" t="str">
        <f>VLOOKUP(Tabel10[[#This Row],[Code]],Ruimtegroepen[[Code]:[Ruimte omschrijving]],2,FALSE)</f>
        <v>Kleedruimte</v>
      </c>
      <c r="C1025" s="321" t="s">
        <v>1137</v>
      </c>
      <c r="D1025" s="320" t="s">
        <v>13</v>
      </c>
      <c r="E1025" s="321" t="s">
        <v>99</v>
      </c>
      <c r="F1025" s="321" t="s">
        <v>1139</v>
      </c>
      <c r="G1025" s="326" t="s">
        <v>282</v>
      </c>
      <c r="H1025" s="322" t="s">
        <v>15</v>
      </c>
      <c r="I1025" s="322" t="s">
        <v>282</v>
      </c>
      <c r="J1025" s="322" t="s">
        <v>282</v>
      </c>
      <c r="K1025" s="322" t="s">
        <v>282</v>
      </c>
      <c r="L1025" s="322" t="s">
        <v>282</v>
      </c>
      <c r="M1025" s="322" t="s">
        <v>282</v>
      </c>
      <c r="N1025" s="322" t="s">
        <v>282</v>
      </c>
      <c r="O1025" s="323" t="s">
        <v>15</v>
      </c>
      <c r="P1025" s="323" t="s">
        <v>15</v>
      </c>
      <c r="Q1025" s="323" t="s">
        <v>15</v>
      </c>
      <c r="R1025" s="323" t="s">
        <v>15</v>
      </c>
      <c r="S1025" s="323" t="s">
        <v>16</v>
      </c>
      <c r="T1025" s="323" t="s">
        <v>329</v>
      </c>
      <c r="U1025" s="323" t="s">
        <v>249</v>
      </c>
      <c r="V1025" s="323" t="s">
        <v>282</v>
      </c>
      <c r="W1025" s="324" t="s">
        <v>282</v>
      </c>
      <c r="X1025" s="324" t="s">
        <v>282</v>
      </c>
      <c r="Y1025" s="325" t="s">
        <v>282</v>
      </c>
    </row>
    <row r="1026" spans="1:25">
      <c r="A1026" s="319">
        <v>19</v>
      </c>
      <c r="B1026" s="320" t="str">
        <f>VLOOKUP(Tabel10[[#This Row],[Code]],Ruimtegroepen[[Code]:[Ruimte omschrijving]],2,FALSE)</f>
        <v>Kleedruimte</v>
      </c>
      <c r="C1026" s="321" t="s">
        <v>1137</v>
      </c>
      <c r="D1026" s="320" t="s">
        <v>13</v>
      </c>
      <c r="E1026" s="321" t="s">
        <v>101</v>
      </c>
      <c r="F1026" s="321" t="s">
        <v>1140</v>
      </c>
      <c r="G1026" s="326" t="s">
        <v>282</v>
      </c>
      <c r="H1026" s="322" t="s">
        <v>282</v>
      </c>
      <c r="I1026" s="322" t="s">
        <v>15</v>
      </c>
      <c r="J1026" s="322" t="s">
        <v>282</v>
      </c>
      <c r="K1026" s="322" t="s">
        <v>15</v>
      </c>
      <c r="L1026" s="322" t="s">
        <v>282</v>
      </c>
      <c r="M1026" s="322" t="s">
        <v>282</v>
      </c>
      <c r="N1026" s="322" t="s">
        <v>282</v>
      </c>
      <c r="O1026" s="323" t="s">
        <v>15</v>
      </c>
      <c r="P1026" s="323" t="s">
        <v>15</v>
      </c>
      <c r="Q1026" s="323" t="s">
        <v>15</v>
      </c>
      <c r="R1026" s="323" t="s">
        <v>15</v>
      </c>
      <c r="S1026" s="323" t="s">
        <v>16</v>
      </c>
      <c r="T1026" s="323" t="s">
        <v>329</v>
      </c>
      <c r="U1026" s="323" t="s">
        <v>249</v>
      </c>
      <c r="V1026" s="323" t="s">
        <v>282</v>
      </c>
      <c r="W1026" s="324" t="s">
        <v>282</v>
      </c>
      <c r="X1026" s="324" t="s">
        <v>282</v>
      </c>
      <c r="Y1026" s="325" t="s">
        <v>282</v>
      </c>
    </row>
    <row r="1027" spans="1:25">
      <c r="A1027" s="319">
        <v>19</v>
      </c>
      <c r="B1027" s="320" t="str">
        <f>VLOOKUP(Tabel10[[#This Row],[Code]],Ruimtegroepen[[Code]:[Ruimte omschrijving]],2,FALSE)</f>
        <v>Kleedruimte</v>
      </c>
      <c r="C1027" s="321" t="s">
        <v>1137</v>
      </c>
      <c r="D1027" s="320" t="s">
        <v>13</v>
      </c>
      <c r="E1027" s="321" t="s">
        <v>102</v>
      </c>
      <c r="F1027" s="321" t="s">
        <v>1141</v>
      </c>
      <c r="G1027" s="326" t="s">
        <v>282</v>
      </c>
      <c r="H1027" s="322" t="s">
        <v>282</v>
      </c>
      <c r="I1027" s="322" t="s">
        <v>15</v>
      </c>
      <c r="J1027" s="322" t="s">
        <v>282</v>
      </c>
      <c r="K1027" s="322" t="s">
        <v>15</v>
      </c>
      <c r="L1027" s="322" t="s">
        <v>282</v>
      </c>
      <c r="M1027" s="322" t="s">
        <v>282</v>
      </c>
      <c r="N1027" s="322" t="s">
        <v>282</v>
      </c>
      <c r="O1027" s="323" t="s">
        <v>15</v>
      </c>
      <c r="P1027" s="323" t="s">
        <v>15</v>
      </c>
      <c r="Q1027" s="323" t="s">
        <v>15</v>
      </c>
      <c r="R1027" s="323" t="s">
        <v>15</v>
      </c>
      <c r="S1027" s="323" t="s">
        <v>16</v>
      </c>
      <c r="T1027" s="323" t="s">
        <v>329</v>
      </c>
      <c r="U1027" s="323" t="s">
        <v>249</v>
      </c>
      <c r="V1027" s="323" t="s">
        <v>282</v>
      </c>
      <c r="W1027" s="324" t="s">
        <v>282</v>
      </c>
      <c r="X1027" s="324" t="s">
        <v>282</v>
      </c>
      <c r="Y1027" s="325" t="s">
        <v>282</v>
      </c>
    </row>
    <row r="1028" spans="1:25">
      <c r="A1028" s="319">
        <v>19</v>
      </c>
      <c r="B1028" s="320" t="str">
        <f>VLOOKUP(Tabel10[[#This Row],[Code]],Ruimtegroepen[[Code]:[Ruimte omschrijving]],2,FALSE)</f>
        <v>Kleedruimte</v>
      </c>
      <c r="C1028" s="321" t="s">
        <v>1137</v>
      </c>
      <c r="D1028" s="320" t="s">
        <v>13</v>
      </c>
      <c r="E1028" s="321" t="s">
        <v>99</v>
      </c>
      <c r="F1028" s="321" t="s">
        <v>1139</v>
      </c>
      <c r="G1028" s="326" t="s">
        <v>282</v>
      </c>
      <c r="H1028" s="322" t="s">
        <v>15</v>
      </c>
      <c r="I1028" s="322" t="s">
        <v>282</v>
      </c>
      <c r="J1028" s="322" t="s">
        <v>282</v>
      </c>
      <c r="K1028" s="322" t="s">
        <v>282</v>
      </c>
      <c r="L1028" s="322" t="s">
        <v>282</v>
      </c>
      <c r="M1028" s="322" t="s">
        <v>282</v>
      </c>
      <c r="N1028" s="322" t="s">
        <v>282</v>
      </c>
      <c r="O1028" s="323" t="s">
        <v>15</v>
      </c>
      <c r="P1028" s="323" t="s">
        <v>15</v>
      </c>
      <c r="Q1028" s="323" t="s">
        <v>15</v>
      </c>
      <c r="R1028" s="323" t="s">
        <v>15</v>
      </c>
      <c r="S1028" s="323" t="s">
        <v>16</v>
      </c>
      <c r="T1028" s="323" t="s">
        <v>329</v>
      </c>
      <c r="U1028" s="323" t="s">
        <v>249</v>
      </c>
      <c r="V1028" s="323" t="s">
        <v>282</v>
      </c>
      <c r="W1028" s="324" t="s">
        <v>282</v>
      </c>
      <c r="X1028" s="324" t="s">
        <v>282</v>
      </c>
      <c r="Y1028" s="325" t="s">
        <v>282</v>
      </c>
    </row>
    <row r="1029" spans="1:25">
      <c r="A1029" s="319">
        <v>19</v>
      </c>
      <c r="B1029" s="320" t="str">
        <f>VLOOKUP(Tabel10[[#This Row],[Code]],Ruimtegroepen[[Code]:[Ruimte omschrijving]],2,FALSE)</f>
        <v>Kleedruimte</v>
      </c>
      <c r="C1029" s="321" t="s">
        <v>1137</v>
      </c>
      <c r="D1029" s="320" t="s">
        <v>13</v>
      </c>
      <c r="E1029" s="321" t="s">
        <v>1306</v>
      </c>
      <c r="F1029" s="321" t="s">
        <v>1372</v>
      </c>
      <c r="G1029" s="326" t="s">
        <v>282</v>
      </c>
      <c r="H1029" s="322" t="s">
        <v>282</v>
      </c>
      <c r="I1029" s="322" t="s">
        <v>15</v>
      </c>
      <c r="J1029" s="322" t="s">
        <v>282</v>
      </c>
      <c r="K1029" s="322" t="s">
        <v>15</v>
      </c>
      <c r="L1029" s="322" t="s">
        <v>282</v>
      </c>
      <c r="M1029" s="322" t="s">
        <v>282</v>
      </c>
      <c r="N1029" s="322" t="s">
        <v>282</v>
      </c>
      <c r="O1029" s="323" t="s">
        <v>15</v>
      </c>
      <c r="P1029" s="323" t="s">
        <v>15</v>
      </c>
      <c r="Q1029" s="323" t="s">
        <v>15</v>
      </c>
      <c r="R1029" s="323" t="s">
        <v>15</v>
      </c>
      <c r="S1029" s="323" t="s">
        <v>16</v>
      </c>
      <c r="T1029" s="323" t="s">
        <v>329</v>
      </c>
      <c r="U1029" s="323" t="s">
        <v>249</v>
      </c>
      <c r="V1029" s="323" t="s">
        <v>282</v>
      </c>
      <c r="W1029" s="324" t="s">
        <v>282</v>
      </c>
      <c r="X1029" s="324" t="s">
        <v>282</v>
      </c>
      <c r="Y1029" s="325" t="s">
        <v>282</v>
      </c>
    </row>
    <row r="1030" spans="1:25">
      <c r="A1030" s="319">
        <v>19</v>
      </c>
      <c r="B1030" s="320" t="str">
        <f>VLOOKUP(Tabel10[[#This Row],[Code]],Ruimtegroepen[[Code]:[Ruimte omschrijving]],2,FALSE)</f>
        <v>Kleedruimte</v>
      </c>
      <c r="C1030" s="321" t="s">
        <v>1142</v>
      </c>
      <c r="D1030" s="320" t="s">
        <v>0</v>
      </c>
      <c r="E1030" s="321" t="s">
        <v>100</v>
      </c>
      <c r="F1030" s="321" t="s">
        <v>1143</v>
      </c>
      <c r="G1030" s="326" t="s">
        <v>282</v>
      </c>
      <c r="H1030" s="322" t="s">
        <v>282</v>
      </c>
      <c r="I1030" s="322" t="s">
        <v>16</v>
      </c>
      <c r="J1030" s="322" t="s">
        <v>282</v>
      </c>
      <c r="K1030" s="322" t="s">
        <v>16</v>
      </c>
      <c r="L1030" s="322" t="s">
        <v>282</v>
      </c>
      <c r="M1030" s="322" t="s">
        <v>282</v>
      </c>
      <c r="N1030" s="322" t="s">
        <v>282</v>
      </c>
      <c r="O1030" s="323" t="s">
        <v>16</v>
      </c>
      <c r="P1030" s="323" t="s">
        <v>16</v>
      </c>
      <c r="Q1030" s="323" t="s">
        <v>16</v>
      </c>
      <c r="R1030" s="323" t="s">
        <v>16</v>
      </c>
      <c r="S1030" s="323" t="s">
        <v>16</v>
      </c>
      <c r="T1030" s="323" t="s">
        <v>329</v>
      </c>
      <c r="U1030" s="323" t="s">
        <v>249</v>
      </c>
      <c r="V1030" s="323" t="s">
        <v>282</v>
      </c>
      <c r="W1030" s="324" t="s">
        <v>282</v>
      </c>
      <c r="X1030" s="324" t="s">
        <v>282</v>
      </c>
      <c r="Y1030" s="325" t="s">
        <v>282</v>
      </c>
    </row>
    <row r="1031" spans="1:25">
      <c r="A1031" s="319">
        <v>19</v>
      </c>
      <c r="B1031" s="320" t="str">
        <f>VLOOKUP(Tabel10[[#This Row],[Code]],Ruimtegroepen[[Code]:[Ruimte omschrijving]],2,FALSE)</f>
        <v>Kleedruimte</v>
      </c>
      <c r="C1031" s="321" t="s">
        <v>1142</v>
      </c>
      <c r="D1031" s="320" t="s">
        <v>0</v>
      </c>
      <c r="E1031" s="321" t="s">
        <v>99</v>
      </c>
      <c r="F1031" s="321" t="s">
        <v>1144</v>
      </c>
      <c r="G1031" s="326" t="s">
        <v>282</v>
      </c>
      <c r="H1031" s="322" t="s">
        <v>16</v>
      </c>
      <c r="I1031" s="322" t="s">
        <v>282</v>
      </c>
      <c r="J1031" s="322" t="s">
        <v>282</v>
      </c>
      <c r="K1031" s="322" t="s">
        <v>282</v>
      </c>
      <c r="L1031" s="322" t="s">
        <v>282</v>
      </c>
      <c r="M1031" s="322" t="s">
        <v>282</v>
      </c>
      <c r="N1031" s="322" t="s">
        <v>282</v>
      </c>
      <c r="O1031" s="323" t="s">
        <v>16</v>
      </c>
      <c r="P1031" s="323" t="s">
        <v>16</v>
      </c>
      <c r="Q1031" s="323" t="s">
        <v>16</v>
      </c>
      <c r="R1031" s="323" t="s">
        <v>16</v>
      </c>
      <c r="S1031" s="323" t="s">
        <v>16</v>
      </c>
      <c r="T1031" s="323" t="s">
        <v>329</v>
      </c>
      <c r="U1031" s="323" t="s">
        <v>249</v>
      </c>
      <c r="V1031" s="323" t="s">
        <v>282</v>
      </c>
      <c r="W1031" s="324" t="s">
        <v>282</v>
      </c>
      <c r="X1031" s="324" t="s">
        <v>282</v>
      </c>
      <c r="Y1031" s="325" t="s">
        <v>282</v>
      </c>
    </row>
    <row r="1032" spans="1:25">
      <c r="A1032" s="319">
        <v>19</v>
      </c>
      <c r="B1032" s="320" t="str">
        <f>VLOOKUP(Tabel10[[#This Row],[Code]],Ruimtegroepen[[Code]:[Ruimte omschrijving]],2,FALSE)</f>
        <v>Kleedruimte</v>
      </c>
      <c r="C1032" s="321" t="s">
        <v>1142</v>
      </c>
      <c r="D1032" s="320" t="s">
        <v>0</v>
      </c>
      <c r="E1032" s="321" t="s">
        <v>101</v>
      </c>
      <c r="F1032" s="321" t="s">
        <v>1145</v>
      </c>
      <c r="G1032" s="326" t="s">
        <v>282</v>
      </c>
      <c r="H1032" s="322" t="s">
        <v>282</v>
      </c>
      <c r="I1032" s="322" t="s">
        <v>16</v>
      </c>
      <c r="J1032" s="322" t="s">
        <v>361</v>
      </c>
      <c r="K1032" s="322" t="s">
        <v>16</v>
      </c>
      <c r="L1032" s="322" t="s">
        <v>282</v>
      </c>
      <c r="M1032" s="322" t="s">
        <v>282</v>
      </c>
      <c r="N1032" s="322" t="s">
        <v>282</v>
      </c>
      <c r="O1032" s="323" t="s">
        <v>16</v>
      </c>
      <c r="P1032" s="323" t="s">
        <v>16</v>
      </c>
      <c r="Q1032" s="323" t="s">
        <v>16</v>
      </c>
      <c r="R1032" s="323" t="s">
        <v>16</v>
      </c>
      <c r="S1032" s="323" t="s">
        <v>16</v>
      </c>
      <c r="T1032" s="323" t="s">
        <v>329</v>
      </c>
      <c r="U1032" s="323" t="s">
        <v>249</v>
      </c>
      <c r="V1032" s="323" t="s">
        <v>282</v>
      </c>
      <c r="W1032" s="324" t="s">
        <v>282</v>
      </c>
      <c r="X1032" s="324" t="s">
        <v>282</v>
      </c>
      <c r="Y1032" s="325" t="s">
        <v>282</v>
      </c>
    </row>
    <row r="1033" spans="1:25">
      <c r="A1033" s="319">
        <v>19</v>
      </c>
      <c r="B1033" s="320" t="str">
        <f>VLOOKUP(Tabel10[[#This Row],[Code]],Ruimtegroepen[[Code]:[Ruimte omschrijving]],2,FALSE)</f>
        <v>Kleedruimte</v>
      </c>
      <c r="C1033" s="321" t="s">
        <v>1142</v>
      </c>
      <c r="D1033" s="320" t="s">
        <v>0</v>
      </c>
      <c r="E1033" s="321" t="s">
        <v>102</v>
      </c>
      <c r="F1033" s="321" t="s">
        <v>1146</v>
      </c>
      <c r="G1033" s="326" t="s">
        <v>282</v>
      </c>
      <c r="H1033" s="322" t="s">
        <v>282</v>
      </c>
      <c r="I1033" s="322" t="s">
        <v>16</v>
      </c>
      <c r="J1033" s="322" t="s">
        <v>282</v>
      </c>
      <c r="K1033" s="322" t="s">
        <v>16</v>
      </c>
      <c r="L1033" s="322" t="s">
        <v>282</v>
      </c>
      <c r="M1033" s="322" t="s">
        <v>282</v>
      </c>
      <c r="N1033" s="322" t="s">
        <v>282</v>
      </c>
      <c r="O1033" s="323" t="s">
        <v>16</v>
      </c>
      <c r="P1033" s="323" t="s">
        <v>16</v>
      </c>
      <c r="Q1033" s="323" t="s">
        <v>16</v>
      </c>
      <c r="R1033" s="323" t="s">
        <v>16</v>
      </c>
      <c r="S1033" s="323" t="s">
        <v>16</v>
      </c>
      <c r="T1033" s="323" t="s">
        <v>329</v>
      </c>
      <c r="U1033" s="323" t="s">
        <v>249</v>
      </c>
      <c r="V1033" s="323" t="s">
        <v>282</v>
      </c>
      <c r="W1033" s="324" t="s">
        <v>282</v>
      </c>
      <c r="X1033" s="324" t="s">
        <v>282</v>
      </c>
      <c r="Y1033" s="325" t="s">
        <v>282</v>
      </c>
    </row>
    <row r="1034" spans="1:25">
      <c r="A1034" s="319">
        <v>19</v>
      </c>
      <c r="B1034" s="320" t="str">
        <f>VLOOKUP(Tabel10[[#This Row],[Code]],Ruimtegroepen[[Code]:[Ruimte omschrijving]],2,FALSE)</f>
        <v>Kleedruimte</v>
      </c>
      <c r="C1034" s="321" t="s">
        <v>1142</v>
      </c>
      <c r="D1034" s="320" t="s">
        <v>0</v>
      </c>
      <c r="E1034" s="321" t="s">
        <v>99</v>
      </c>
      <c r="F1034" s="321" t="s">
        <v>1144</v>
      </c>
      <c r="G1034" s="326" t="s">
        <v>282</v>
      </c>
      <c r="H1034" s="322" t="s">
        <v>16</v>
      </c>
      <c r="I1034" s="322" t="s">
        <v>282</v>
      </c>
      <c r="J1034" s="322" t="s">
        <v>282</v>
      </c>
      <c r="K1034" s="322" t="s">
        <v>282</v>
      </c>
      <c r="L1034" s="322" t="s">
        <v>282</v>
      </c>
      <c r="M1034" s="322" t="s">
        <v>282</v>
      </c>
      <c r="N1034" s="322" t="s">
        <v>282</v>
      </c>
      <c r="O1034" s="323" t="s">
        <v>16</v>
      </c>
      <c r="P1034" s="323" t="s">
        <v>16</v>
      </c>
      <c r="Q1034" s="323" t="s">
        <v>16</v>
      </c>
      <c r="R1034" s="323" t="s">
        <v>16</v>
      </c>
      <c r="S1034" s="323" t="s">
        <v>16</v>
      </c>
      <c r="T1034" s="323" t="s">
        <v>329</v>
      </c>
      <c r="U1034" s="323" t="s">
        <v>249</v>
      </c>
      <c r="V1034" s="323" t="s">
        <v>282</v>
      </c>
      <c r="W1034" s="324" t="s">
        <v>282</v>
      </c>
      <c r="X1034" s="324" t="s">
        <v>282</v>
      </c>
      <c r="Y1034" s="325" t="s">
        <v>282</v>
      </c>
    </row>
    <row r="1035" spans="1:25">
      <c r="A1035" s="319">
        <v>19</v>
      </c>
      <c r="B1035" s="320" t="str">
        <f>VLOOKUP(Tabel10[[#This Row],[Code]],Ruimtegroepen[[Code]:[Ruimte omschrijving]],2,FALSE)</f>
        <v>Kleedruimte</v>
      </c>
      <c r="C1035" s="321" t="s">
        <v>1142</v>
      </c>
      <c r="D1035" s="320" t="s">
        <v>0</v>
      </c>
      <c r="E1035" s="321" t="s">
        <v>1306</v>
      </c>
      <c r="F1035" s="321" t="s">
        <v>1356</v>
      </c>
      <c r="G1035" s="326" t="s">
        <v>282</v>
      </c>
      <c r="H1035" s="322" t="s">
        <v>282</v>
      </c>
      <c r="I1035" s="322" t="s">
        <v>16</v>
      </c>
      <c r="J1035" s="322" t="s">
        <v>282</v>
      </c>
      <c r="K1035" s="322" t="s">
        <v>16</v>
      </c>
      <c r="L1035" s="322" t="s">
        <v>282</v>
      </c>
      <c r="M1035" s="322" t="s">
        <v>282</v>
      </c>
      <c r="N1035" s="322" t="s">
        <v>282</v>
      </c>
      <c r="O1035" s="323" t="s">
        <v>16</v>
      </c>
      <c r="P1035" s="323" t="s">
        <v>16</v>
      </c>
      <c r="Q1035" s="323" t="s">
        <v>16</v>
      </c>
      <c r="R1035" s="323" t="s">
        <v>16</v>
      </c>
      <c r="S1035" s="323" t="s">
        <v>16</v>
      </c>
      <c r="T1035" s="323" t="s">
        <v>329</v>
      </c>
      <c r="U1035" s="323" t="s">
        <v>249</v>
      </c>
      <c r="V1035" s="323" t="s">
        <v>282</v>
      </c>
      <c r="W1035" s="324" t="s">
        <v>282</v>
      </c>
      <c r="X1035" s="324" t="s">
        <v>282</v>
      </c>
      <c r="Y1035" s="325" t="s">
        <v>282</v>
      </c>
    </row>
    <row r="1036" spans="1:25">
      <c r="A1036" s="319">
        <v>19</v>
      </c>
      <c r="B1036" s="320" t="str">
        <f>VLOOKUP(Tabel10[[#This Row],[Code]],Ruimtegroepen[[Code]:[Ruimte omschrijving]],2,FALSE)</f>
        <v>Kleedruimte</v>
      </c>
      <c r="C1036" s="321" t="s">
        <v>1147</v>
      </c>
      <c r="D1036" s="320" t="s">
        <v>27</v>
      </c>
      <c r="E1036" s="321" t="s">
        <v>100</v>
      </c>
      <c r="F1036" s="321" t="s">
        <v>1148</v>
      </c>
      <c r="G1036" s="326" t="s">
        <v>282</v>
      </c>
      <c r="H1036" s="322" t="s">
        <v>282</v>
      </c>
      <c r="I1036" s="322" t="s">
        <v>15</v>
      </c>
      <c r="J1036" s="322" t="s">
        <v>282</v>
      </c>
      <c r="K1036" s="322" t="s">
        <v>282</v>
      </c>
      <c r="L1036" s="322" t="s">
        <v>282</v>
      </c>
      <c r="M1036" s="322" t="s">
        <v>282</v>
      </c>
      <c r="N1036" s="322" t="s">
        <v>282</v>
      </c>
      <c r="O1036" s="323" t="s">
        <v>15</v>
      </c>
      <c r="P1036" s="323" t="s">
        <v>15</v>
      </c>
      <c r="Q1036" s="323" t="s">
        <v>15</v>
      </c>
      <c r="R1036" s="323" t="s">
        <v>282</v>
      </c>
      <c r="S1036" s="323" t="s">
        <v>282</v>
      </c>
      <c r="T1036" s="323" t="s">
        <v>282</v>
      </c>
      <c r="U1036" s="323" t="s">
        <v>282</v>
      </c>
      <c r="V1036" s="323" t="s">
        <v>282</v>
      </c>
      <c r="W1036" s="324" t="s">
        <v>282</v>
      </c>
      <c r="X1036" s="324" t="s">
        <v>282</v>
      </c>
      <c r="Y1036" s="325" t="s">
        <v>282</v>
      </c>
    </row>
    <row r="1037" spans="1:25">
      <c r="A1037" s="319">
        <v>19</v>
      </c>
      <c r="B1037" s="320" t="str">
        <f>VLOOKUP(Tabel10[[#This Row],[Code]],Ruimtegroepen[[Code]:[Ruimte omschrijving]],2,FALSE)</f>
        <v>Kleedruimte</v>
      </c>
      <c r="C1037" s="321" t="s">
        <v>1147</v>
      </c>
      <c r="D1037" s="320" t="s">
        <v>27</v>
      </c>
      <c r="E1037" s="321" t="s">
        <v>99</v>
      </c>
      <c r="F1037" s="321" t="s">
        <v>1149</v>
      </c>
      <c r="G1037" s="326" t="s">
        <v>282</v>
      </c>
      <c r="H1037" s="322" t="s">
        <v>15</v>
      </c>
      <c r="I1037" s="322" t="s">
        <v>282</v>
      </c>
      <c r="J1037" s="322" t="s">
        <v>282</v>
      </c>
      <c r="K1037" s="322" t="s">
        <v>282</v>
      </c>
      <c r="L1037" s="322" t="s">
        <v>282</v>
      </c>
      <c r="M1037" s="322" t="s">
        <v>282</v>
      </c>
      <c r="N1037" s="322" t="s">
        <v>282</v>
      </c>
      <c r="O1037" s="323" t="s">
        <v>15</v>
      </c>
      <c r="P1037" s="323" t="s">
        <v>15</v>
      </c>
      <c r="Q1037" s="323" t="s">
        <v>15</v>
      </c>
      <c r="R1037" s="323" t="s">
        <v>282</v>
      </c>
      <c r="S1037" s="323" t="s">
        <v>282</v>
      </c>
      <c r="T1037" s="323" t="s">
        <v>282</v>
      </c>
      <c r="U1037" s="323" t="s">
        <v>282</v>
      </c>
      <c r="V1037" s="323" t="s">
        <v>282</v>
      </c>
      <c r="W1037" s="324" t="s">
        <v>282</v>
      </c>
      <c r="X1037" s="324" t="s">
        <v>282</v>
      </c>
      <c r="Y1037" s="325" t="s">
        <v>282</v>
      </c>
    </row>
    <row r="1038" spans="1:25">
      <c r="A1038" s="319">
        <v>19</v>
      </c>
      <c r="B1038" s="320" t="str">
        <f>VLOOKUP(Tabel10[[#This Row],[Code]],Ruimtegroepen[[Code]:[Ruimte omschrijving]],2,FALSE)</f>
        <v>Kleedruimte</v>
      </c>
      <c r="C1038" s="321" t="s">
        <v>1147</v>
      </c>
      <c r="D1038" s="320" t="s">
        <v>27</v>
      </c>
      <c r="E1038" s="321" t="s">
        <v>101</v>
      </c>
      <c r="F1038" s="321" t="s">
        <v>1150</v>
      </c>
      <c r="G1038" s="326" t="s">
        <v>282</v>
      </c>
      <c r="H1038" s="322" t="s">
        <v>282</v>
      </c>
      <c r="I1038" s="322" t="s">
        <v>15</v>
      </c>
      <c r="J1038" s="322" t="s">
        <v>282</v>
      </c>
      <c r="K1038" s="322" t="s">
        <v>282</v>
      </c>
      <c r="L1038" s="322" t="s">
        <v>282</v>
      </c>
      <c r="M1038" s="322" t="s">
        <v>282</v>
      </c>
      <c r="N1038" s="322" t="s">
        <v>282</v>
      </c>
      <c r="O1038" s="323" t="s">
        <v>15</v>
      </c>
      <c r="P1038" s="323" t="s">
        <v>15</v>
      </c>
      <c r="Q1038" s="323" t="s">
        <v>15</v>
      </c>
      <c r="R1038" s="323" t="s">
        <v>282</v>
      </c>
      <c r="S1038" s="323" t="s">
        <v>282</v>
      </c>
      <c r="T1038" s="323" t="s">
        <v>282</v>
      </c>
      <c r="U1038" s="323" t="s">
        <v>282</v>
      </c>
      <c r="V1038" s="323" t="s">
        <v>282</v>
      </c>
      <c r="W1038" s="324" t="s">
        <v>282</v>
      </c>
      <c r="X1038" s="324" t="s">
        <v>282</v>
      </c>
      <c r="Y1038" s="325" t="s">
        <v>282</v>
      </c>
    </row>
    <row r="1039" spans="1:25">
      <c r="A1039" s="319">
        <v>19</v>
      </c>
      <c r="B1039" s="320" t="str">
        <f>VLOOKUP(Tabel10[[#This Row],[Code]],Ruimtegroepen[[Code]:[Ruimte omschrijving]],2,FALSE)</f>
        <v>Kleedruimte</v>
      </c>
      <c r="C1039" s="321" t="s">
        <v>1147</v>
      </c>
      <c r="D1039" s="320" t="s">
        <v>27</v>
      </c>
      <c r="E1039" s="321" t="s">
        <v>102</v>
      </c>
      <c r="F1039" s="321" t="s">
        <v>1151</v>
      </c>
      <c r="G1039" s="326" t="s">
        <v>282</v>
      </c>
      <c r="H1039" s="322" t="s">
        <v>282</v>
      </c>
      <c r="I1039" s="322" t="s">
        <v>15</v>
      </c>
      <c r="J1039" s="322" t="s">
        <v>282</v>
      </c>
      <c r="K1039" s="322" t="s">
        <v>282</v>
      </c>
      <c r="L1039" s="322" t="s">
        <v>282</v>
      </c>
      <c r="M1039" s="322" t="s">
        <v>282</v>
      </c>
      <c r="N1039" s="322" t="s">
        <v>282</v>
      </c>
      <c r="O1039" s="323" t="s">
        <v>15</v>
      </c>
      <c r="P1039" s="323" t="s">
        <v>15</v>
      </c>
      <c r="Q1039" s="323" t="s">
        <v>15</v>
      </c>
      <c r="R1039" s="323" t="s">
        <v>282</v>
      </c>
      <c r="S1039" s="323" t="s">
        <v>282</v>
      </c>
      <c r="T1039" s="323" t="s">
        <v>282</v>
      </c>
      <c r="U1039" s="323" t="s">
        <v>282</v>
      </c>
      <c r="V1039" s="323" t="s">
        <v>282</v>
      </c>
      <c r="W1039" s="324" t="s">
        <v>282</v>
      </c>
      <c r="X1039" s="324" t="s">
        <v>282</v>
      </c>
      <c r="Y1039" s="325" t="s">
        <v>282</v>
      </c>
    </row>
    <row r="1040" spans="1:25">
      <c r="A1040" s="319">
        <v>19</v>
      </c>
      <c r="B1040" s="320" t="str">
        <f>VLOOKUP(Tabel10[[#This Row],[Code]],Ruimtegroepen[[Code]:[Ruimte omschrijving]],2,FALSE)</f>
        <v>Kleedruimte</v>
      </c>
      <c r="C1040" s="321" t="s">
        <v>1147</v>
      </c>
      <c r="D1040" s="320" t="s">
        <v>27</v>
      </c>
      <c r="E1040" s="321" t="s">
        <v>99</v>
      </c>
      <c r="F1040" s="321" t="s">
        <v>1149</v>
      </c>
      <c r="G1040" s="326" t="s">
        <v>282</v>
      </c>
      <c r="H1040" s="322" t="s">
        <v>15</v>
      </c>
      <c r="I1040" s="322" t="s">
        <v>282</v>
      </c>
      <c r="J1040" s="322" t="s">
        <v>282</v>
      </c>
      <c r="K1040" s="322" t="s">
        <v>282</v>
      </c>
      <c r="L1040" s="322" t="s">
        <v>282</v>
      </c>
      <c r="M1040" s="322" t="s">
        <v>282</v>
      </c>
      <c r="N1040" s="322" t="s">
        <v>282</v>
      </c>
      <c r="O1040" s="323" t="s">
        <v>15</v>
      </c>
      <c r="P1040" s="323" t="s">
        <v>15</v>
      </c>
      <c r="Q1040" s="323" t="s">
        <v>15</v>
      </c>
      <c r="R1040" s="323" t="s">
        <v>282</v>
      </c>
      <c r="S1040" s="323" t="s">
        <v>282</v>
      </c>
      <c r="T1040" s="323" t="s">
        <v>282</v>
      </c>
      <c r="U1040" s="323" t="s">
        <v>282</v>
      </c>
      <c r="V1040" s="323" t="s">
        <v>282</v>
      </c>
      <c r="W1040" s="324" t="s">
        <v>282</v>
      </c>
      <c r="X1040" s="324" t="s">
        <v>282</v>
      </c>
      <c r="Y1040" s="325" t="s">
        <v>282</v>
      </c>
    </row>
    <row r="1041" spans="1:25">
      <c r="A1041" s="319">
        <v>19</v>
      </c>
      <c r="B1041" s="320" t="str">
        <f>VLOOKUP(Tabel10[[#This Row],[Code]],Ruimtegroepen[[Code]:[Ruimte omschrijving]],2,FALSE)</f>
        <v>Kleedruimte</v>
      </c>
      <c r="C1041" s="321" t="s">
        <v>1147</v>
      </c>
      <c r="D1041" s="320" t="s">
        <v>27</v>
      </c>
      <c r="E1041" s="321" t="s">
        <v>1306</v>
      </c>
      <c r="F1041" s="321" t="s">
        <v>1389</v>
      </c>
      <c r="G1041" s="326" t="s">
        <v>282</v>
      </c>
      <c r="H1041" s="322" t="s">
        <v>282</v>
      </c>
      <c r="I1041" s="322" t="s">
        <v>15</v>
      </c>
      <c r="J1041" s="322" t="s">
        <v>282</v>
      </c>
      <c r="K1041" s="322" t="s">
        <v>282</v>
      </c>
      <c r="L1041" s="322" t="s">
        <v>282</v>
      </c>
      <c r="M1041" s="322" t="s">
        <v>282</v>
      </c>
      <c r="N1041" s="322" t="s">
        <v>282</v>
      </c>
      <c r="O1041" s="323" t="s">
        <v>15</v>
      </c>
      <c r="P1041" s="323" t="s">
        <v>15</v>
      </c>
      <c r="Q1041" s="323" t="s">
        <v>15</v>
      </c>
      <c r="R1041" s="323" t="s">
        <v>282</v>
      </c>
      <c r="S1041" s="323" t="s">
        <v>282</v>
      </c>
      <c r="T1041" s="323" t="s">
        <v>282</v>
      </c>
      <c r="U1041" s="323" t="s">
        <v>282</v>
      </c>
      <c r="V1041" s="323" t="s">
        <v>282</v>
      </c>
      <c r="W1041" s="324" t="s">
        <v>282</v>
      </c>
      <c r="X1041" s="324" t="s">
        <v>282</v>
      </c>
      <c r="Y1041" s="325" t="s">
        <v>282</v>
      </c>
    </row>
    <row r="1042" spans="1:25">
      <c r="A1042" s="319">
        <v>19</v>
      </c>
      <c r="B1042" s="320" t="str">
        <f>VLOOKUP(Tabel10[[#This Row],[Code]],Ruimtegroepen[[Code]:[Ruimte omschrijving]],2,FALSE)</f>
        <v>Kleedruimte</v>
      </c>
      <c r="C1042" s="321" t="s">
        <v>1152</v>
      </c>
      <c r="D1042" s="320" t="s">
        <v>28</v>
      </c>
      <c r="E1042" s="321" t="s">
        <v>100</v>
      </c>
      <c r="F1042" s="321" t="s">
        <v>1153</v>
      </c>
      <c r="G1042" s="326" t="s">
        <v>282</v>
      </c>
      <c r="H1042" s="322" t="s">
        <v>282</v>
      </c>
      <c r="I1042" s="322" t="s">
        <v>17</v>
      </c>
      <c r="J1042" s="322" t="s">
        <v>282</v>
      </c>
      <c r="K1042" s="322" t="s">
        <v>282</v>
      </c>
      <c r="L1042" s="322" t="s">
        <v>282</v>
      </c>
      <c r="M1042" s="322" t="s">
        <v>282</v>
      </c>
      <c r="N1042" s="322" t="s">
        <v>282</v>
      </c>
      <c r="O1042" s="323" t="s">
        <v>17</v>
      </c>
      <c r="P1042" s="323" t="s">
        <v>17</v>
      </c>
      <c r="Q1042" s="323" t="s">
        <v>15</v>
      </c>
      <c r="R1042" s="323" t="s">
        <v>282</v>
      </c>
      <c r="S1042" s="323" t="s">
        <v>282</v>
      </c>
      <c r="T1042" s="323" t="s">
        <v>282</v>
      </c>
      <c r="U1042" s="323" t="s">
        <v>282</v>
      </c>
      <c r="V1042" s="323" t="s">
        <v>282</v>
      </c>
      <c r="W1042" s="324" t="s">
        <v>282</v>
      </c>
      <c r="X1042" s="324" t="s">
        <v>282</v>
      </c>
      <c r="Y1042" s="325" t="s">
        <v>282</v>
      </c>
    </row>
    <row r="1043" spans="1:25">
      <c r="A1043" s="319">
        <v>19</v>
      </c>
      <c r="B1043" s="320" t="str">
        <f>VLOOKUP(Tabel10[[#This Row],[Code]],Ruimtegroepen[[Code]:[Ruimte omschrijving]],2,FALSE)</f>
        <v>Kleedruimte</v>
      </c>
      <c r="C1043" s="321" t="s">
        <v>1152</v>
      </c>
      <c r="D1043" s="320" t="s">
        <v>28</v>
      </c>
      <c r="E1043" s="321" t="s">
        <v>99</v>
      </c>
      <c r="F1043" s="321" t="s">
        <v>1154</v>
      </c>
      <c r="G1043" s="326" t="s">
        <v>282</v>
      </c>
      <c r="H1043" s="322" t="s">
        <v>17</v>
      </c>
      <c r="I1043" s="322" t="s">
        <v>282</v>
      </c>
      <c r="J1043" s="322" t="s">
        <v>282</v>
      </c>
      <c r="K1043" s="322" t="s">
        <v>282</v>
      </c>
      <c r="L1043" s="322" t="s">
        <v>282</v>
      </c>
      <c r="M1043" s="322" t="s">
        <v>282</v>
      </c>
      <c r="N1043" s="322" t="s">
        <v>282</v>
      </c>
      <c r="O1043" s="323" t="s">
        <v>17</v>
      </c>
      <c r="P1043" s="323" t="s">
        <v>17</v>
      </c>
      <c r="Q1043" s="323" t="s">
        <v>15</v>
      </c>
      <c r="R1043" s="323" t="s">
        <v>282</v>
      </c>
      <c r="S1043" s="323" t="s">
        <v>282</v>
      </c>
      <c r="T1043" s="323" t="s">
        <v>282</v>
      </c>
      <c r="U1043" s="323" t="s">
        <v>282</v>
      </c>
      <c r="V1043" s="323" t="s">
        <v>282</v>
      </c>
      <c r="W1043" s="324" t="s">
        <v>282</v>
      </c>
      <c r="X1043" s="324" t="s">
        <v>282</v>
      </c>
      <c r="Y1043" s="325" t="s">
        <v>282</v>
      </c>
    </row>
    <row r="1044" spans="1:25">
      <c r="A1044" s="319">
        <v>19</v>
      </c>
      <c r="B1044" s="320" t="str">
        <f>VLOOKUP(Tabel10[[#This Row],[Code]],Ruimtegroepen[[Code]:[Ruimte omschrijving]],2,FALSE)</f>
        <v>Kleedruimte</v>
      </c>
      <c r="C1044" s="321" t="s">
        <v>1152</v>
      </c>
      <c r="D1044" s="320" t="s">
        <v>28</v>
      </c>
      <c r="E1044" s="321" t="s">
        <v>101</v>
      </c>
      <c r="F1044" s="321" t="s">
        <v>1155</v>
      </c>
      <c r="G1044" s="326" t="s">
        <v>282</v>
      </c>
      <c r="H1044" s="322" t="s">
        <v>282</v>
      </c>
      <c r="I1044" s="322" t="s">
        <v>17</v>
      </c>
      <c r="J1044" s="322" t="s">
        <v>282</v>
      </c>
      <c r="K1044" s="322" t="s">
        <v>282</v>
      </c>
      <c r="L1044" s="322" t="s">
        <v>282</v>
      </c>
      <c r="M1044" s="322" t="s">
        <v>282</v>
      </c>
      <c r="N1044" s="322" t="s">
        <v>282</v>
      </c>
      <c r="O1044" s="323" t="s">
        <v>17</v>
      </c>
      <c r="P1044" s="323" t="s">
        <v>17</v>
      </c>
      <c r="Q1044" s="323" t="s">
        <v>15</v>
      </c>
      <c r="R1044" s="323" t="s">
        <v>282</v>
      </c>
      <c r="S1044" s="323" t="s">
        <v>282</v>
      </c>
      <c r="T1044" s="323" t="s">
        <v>282</v>
      </c>
      <c r="U1044" s="323" t="s">
        <v>282</v>
      </c>
      <c r="V1044" s="323" t="s">
        <v>282</v>
      </c>
      <c r="W1044" s="324" t="s">
        <v>282</v>
      </c>
      <c r="X1044" s="324" t="s">
        <v>282</v>
      </c>
      <c r="Y1044" s="325" t="s">
        <v>282</v>
      </c>
    </row>
    <row r="1045" spans="1:25">
      <c r="A1045" s="319">
        <v>19</v>
      </c>
      <c r="B1045" s="320" t="str">
        <f>VLOOKUP(Tabel10[[#This Row],[Code]],Ruimtegroepen[[Code]:[Ruimte omschrijving]],2,FALSE)</f>
        <v>Kleedruimte</v>
      </c>
      <c r="C1045" s="321" t="s">
        <v>1152</v>
      </c>
      <c r="D1045" s="320" t="s">
        <v>28</v>
      </c>
      <c r="E1045" s="321" t="s">
        <v>102</v>
      </c>
      <c r="F1045" s="321" t="s">
        <v>1156</v>
      </c>
      <c r="G1045" s="326" t="s">
        <v>282</v>
      </c>
      <c r="H1045" s="322" t="s">
        <v>282</v>
      </c>
      <c r="I1045" s="322" t="s">
        <v>17</v>
      </c>
      <c r="J1045" s="322" t="s">
        <v>282</v>
      </c>
      <c r="K1045" s="322" t="s">
        <v>282</v>
      </c>
      <c r="L1045" s="322" t="s">
        <v>282</v>
      </c>
      <c r="M1045" s="322" t="s">
        <v>282</v>
      </c>
      <c r="N1045" s="322" t="s">
        <v>282</v>
      </c>
      <c r="O1045" s="323" t="s">
        <v>17</v>
      </c>
      <c r="P1045" s="323" t="s">
        <v>17</v>
      </c>
      <c r="Q1045" s="323" t="s">
        <v>15</v>
      </c>
      <c r="R1045" s="323" t="s">
        <v>282</v>
      </c>
      <c r="S1045" s="323" t="s">
        <v>282</v>
      </c>
      <c r="T1045" s="323" t="s">
        <v>282</v>
      </c>
      <c r="U1045" s="323" t="s">
        <v>282</v>
      </c>
      <c r="V1045" s="323" t="s">
        <v>282</v>
      </c>
      <c r="W1045" s="324" t="s">
        <v>282</v>
      </c>
      <c r="X1045" s="324" t="s">
        <v>282</v>
      </c>
      <c r="Y1045" s="325" t="s">
        <v>282</v>
      </c>
    </row>
    <row r="1046" spans="1:25">
      <c r="A1046" s="319">
        <v>19</v>
      </c>
      <c r="B1046" s="320" t="str">
        <f>VLOOKUP(Tabel10[[#This Row],[Code]],Ruimtegroepen[[Code]:[Ruimte omschrijving]],2,FALSE)</f>
        <v>Kleedruimte</v>
      </c>
      <c r="C1046" s="321" t="s">
        <v>1152</v>
      </c>
      <c r="D1046" s="320" t="s">
        <v>28</v>
      </c>
      <c r="E1046" s="321" t="s">
        <v>99</v>
      </c>
      <c r="F1046" s="321" t="s">
        <v>1154</v>
      </c>
      <c r="G1046" s="326" t="s">
        <v>282</v>
      </c>
      <c r="H1046" s="322" t="s">
        <v>17</v>
      </c>
      <c r="I1046" s="322" t="s">
        <v>282</v>
      </c>
      <c r="J1046" s="322" t="s">
        <v>282</v>
      </c>
      <c r="K1046" s="322" t="s">
        <v>282</v>
      </c>
      <c r="L1046" s="322" t="s">
        <v>282</v>
      </c>
      <c r="M1046" s="322" t="s">
        <v>282</v>
      </c>
      <c r="N1046" s="322" t="s">
        <v>282</v>
      </c>
      <c r="O1046" s="323" t="s">
        <v>17</v>
      </c>
      <c r="P1046" s="323" t="s">
        <v>17</v>
      </c>
      <c r="Q1046" s="323" t="s">
        <v>15</v>
      </c>
      <c r="R1046" s="323" t="s">
        <v>282</v>
      </c>
      <c r="S1046" s="323" t="s">
        <v>282</v>
      </c>
      <c r="T1046" s="323" t="s">
        <v>282</v>
      </c>
      <c r="U1046" s="323" t="s">
        <v>282</v>
      </c>
      <c r="V1046" s="323" t="s">
        <v>282</v>
      </c>
      <c r="W1046" s="324" t="s">
        <v>282</v>
      </c>
      <c r="X1046" s="324" t="s">
        <v>282</v>
      </c>
      <c r="Y1046" s="325" t="s">
        <v>282</v>
      </c>
    </row>
    <row r="1047" spans="1:25">
      <c r="A1047" s="319">
        <v>19</v>
      </c>
      <c r="B1047" s="320" t="str">
        <f>VLOOKUP(Tabel10[[#This Row],[Code]],Ruimtegroepen[[Code]:[Ruimte omschrijving]],2,FALSE)</f>
        <v>Kleedruimte</v>
      </c>
      <c r="C1047" s="321" t="s">
        <v>1152</v>
      </c>
      <c r="D1047" s="320" t="s">
        <v>28</v>
      </c>
      <c r="E1047" s="321" t="s">
        <v>1306</v>
      </c>
      <c r="F1047" s="321" t="s">
        <v>1422</v>
      </c>
      <c r="G1047" s="326" t="s">
        <v>282</v>
      </c>
      <c r="H1047" s="322" t="s">
        <v>282</v>
      </c>
      <c r="I1047" s="322" t="s">
        <v>17</v>
      </c>
      <c r="J1047" s="322" t="s">
        <v>282</v>
      </c>
      <c r="K1047" s="322" t="s">
        <v>282</v>
      </c>
      <c r="L1047" s="322" t="s">
        <v>282</v>
      </c>
      <c r="M1047" s="322" t="s">
        <v>282</v>
      </c>
      <c r="N1047" s="322" t="s">
        <v>282</v>
      </c>
      <c r="O1047" s="323" t="s">
        <v>17</v>
      </c>
      <c r="P1047" s="323" t="s">
        <v>17</v>
      </c>
      <c r="Q1047" s="323" t="s">
        <v>15</v>
      </c>
      <c r="R1047" s="323" t="s">
        <v>282</v>
      </c>
      <c r="S1047" s="323" t="s">
        <v>282</v>
      </c>
      <c r="T1047" s="323" t="s">
        <v>282</v>
      </c>
      <c r="U1047" s="323" t="s">
        <v>282</v>
      </c>
      <c r="V1047" s="323" t="s">
        <v>282</v>
      </c>
      <c r="W1047" s="324" t="s">
        <v>282</v>
      </c>
      <c r="X1047" s="324" t="s">
        <v>282</v>
      </c>
      <c r="Y1047" s="325" t="s">
        <v>282</v>
      </c>
    </row>
    <row r="1048" spans="1:25">
      <c r="A1048" s="319">
        <v>20</v>
      </c>
      <c r="B1048" s="320" t="str">
        <f>VLOOKUP(Tabel10[[#This Row],[Code]],Ruimtegroepen[[Code]:[Ruimte omschrijving]],2,FALSE)</f>
        <v>Niet in Onderhoud</v>
      </c>
      <c r="C1048" s="321" t="s">
        <v>1157</v>
      </c>
      <c r="D1048" s="320" t="s">
        <v>29</v>
      </c>
      <c r="E1048" s="321" t="s">
        <v>100</v>
      </c>
      <c r="F1048" s="321" t="s">
        <v>1158</v>
      </c>
      <c r="G1048" s="326" t="s">
        <v>282</v>
      </c>
      <c r="H1048" s="322" t="s">
        <v>282</v>
      </c>
      <c r="I1048" s="322" t="s">
        <v>282</v>
      </c>
      <c r="J1048" s="322" t="s">
        <v>282</v>
      </c>
      <c r="K1048" s="322" t="s">
        <v>282</v>
      </c>
      <c r="L1048" s="322" t="s">
        <v>282</v>
      </c>
      <c r="M1048" s="322" t="s">
        <v>282</v>
      </c>
      <c r="N1048" s="322" t="s">
        <v>282</v>
      </c>
      <c r="O1048" s="323" t="s">
        <v>282</v>
      </c>
      <c r="P1048" s="323" t="s">
        <v>282</v>
      </c>
      <c r="Q1048" s="323" t="s">
        <v>282</v>
      </c>
      <c r="R1048" s="323" t="s">
        <v>282</v>
      </c>
      <c r="S1048" s="323" t="s">
        <v>282</v>
      </c>
      <c r="T1048" s="323" t="s">
        <v>282</v>
      </c>
      <c r="U1048" s="323" t="s">
        <v>282</v>
      </c>
      <c r="V1048" s="323" t="s">
        <v>282</v>
      </c>
      <c r="W1048" s="324" t="s">
        <v>282</v>
      </c>
      <c r="X1048" s="324" t="s">
        <v>282</v>
      </c>
      <c r="Y1048" s="325" t="s">
        <v>282</v>
      </c>
    </row>
    <row r="1049" spans="1:25">
      <c r="A1049" s="319">
        <v>20</v>
      </c>
      <c r="B1049" s="320" t="str">
        <f>VLOOKUP(Tabel10[[#This Row],[Code]],Ruimtegroepen[[Code]:[Ruimte omschrijving]],2,FALSE)</f>
        <v>Niet in Onderhoud</v>
      </c>
      <c r="C1049" s="321" t="s">
        <v>1157</v>
      </c>
      <c r="D1049" s="320" t="s">
        <v>29</v>
      </c>
      <c r="E1049" s="321" t="s">
        <v>99</v>
      </c>
      <c r="F1049" s="321" t="s">
        <v>1159</v>
      </c>
      <c r="G1049" s="326" t="s">
        <v>282</v>
      </c>
      <c r="H1049" s="322" t="s">
        <v>282</v>
      </c>
      <c r="I1049" s="322" t="s">
        <v>282</v>
      </c>
      <c r="J1049" s="322" t="s">
        <v>282</v>
      </c>
      <c r="K1049" s="322" t="s">
        <v>282</v>
      </c>
      <c r="L1049" s="322" t="s">
        <v>282</v>
      </c>
      <c r="M1049" s="322" t="s">
        <v>282</v>
      </c>
      <c r="N1049" s="322" t="s">
        <v>282</v>
      </c>
      <c r="O1049" s="323" t="s">
        <v>282</v>
      </c>
      <c r="P1049" s="323" t="s">
        <v>282</v>
      </c>
      <c r="Q1049" s="323" t="s">
        <v>282</v>
      </c>
      <c r="R1049" s="323" t="s">
        <v>282</v>
      </c>
      <c r="S1049" s="323" t="s">
        <v>282</v>
      </c>
      <c r="T1049" s="323" t="s">
        <v>282</v>
      </c>
      <c r="U1049" s="323" t="s">
        <v>282</v>
      </c>
      <c r="V1049" s="323" t="s">
        <v>282</v>
      </c>
      <c r="W1049" s="324" t="s">
        <v>282</v>
      </c>
      <c r="X1049" s="324" t="s">
        <v>282</v>
      </c>
      <c r="Y1049" s="325" t="s">
        <v>282</v>
      </c>
    </row>
    <row r="1050" spans="1:25">
      <c r="A1050" s="319">
        <v>20</v>
      </c>
      <c r="B1050" s="320" t="str">
        <f>VLOOKUP(Tabel10[[#This Row],[Code]],Ruimtegroepen[[Code]:[Ruimte omschrijving]],2,FALSE)</f>
        <v>Niet in Onderhoud</v>
      </c>
      <c r="C1050" s="321" t="s">
        <v>1157</v>
      </c>
      <c r="D1050" s="320" t="s">
        <v>29</v>
      </c>
      <c r="E1050" s="321" t="s">
        <v>101</v>
      </c>
      <c r="F1050" s="321" t="s">
        <v>1160</v>
      </c>
      <c r="G1050" s="326" t="s">
        <v>282</v>
      </c>
      <c r="H1050" s="322" t="s">
        <v>282</v>
      </c>
      <c r="I1050" s="322" t="s">
        <v>282</v>
      </c>
      <c r="J1050" s="322" t="s">
        <v>282</v>
      </c>
      <c r="K1050" s="322" t="s">
        <v>282</v>
      </c>
      <c r="L1050" s="322" t="s">
        <v>282</v>
      </c>
      <c r="M1050" s="322" t="s">
        <v>282</v>
      </c>
      <c r="N1050" s="322" t="s">
        <v>282</v>
      </c>
      <c r="O1050" s="323" t="s">
        <v>282</v>
      </c>
      <c r="P1050" s="323" t="s">
        <v>282</v>
      </c>
      <c r="Q1050" s="323" t="s">
        <v>282</v>
      </c>
      <c r="R1050" s="323" t="s">
        <v>282</v>
      </c>
      <c r="S1050" s="323" t="s">
        <v>282</v>
      </c>
      <c r="T1050" s="323" t="s">
        <v>282</v>
      </c>
      <c r="U1050" s="323" t="s">
        <v>282</v>
      </c>
      <c r="V1050" s="323" t="s">
        <v>282</v>
      </c>
      <c r="W1050" s="324" t="s">
        <v>282</v>
      </c>
      <c r="X1050" s="324" t="s">
        <v>282</v>
      </c>
      <c r="Y1050" s="325" t="s">
        <v>282</v>
      </c>
    </row>
    <row r="1051" spans="1:25">
      <c r="A1051" s="319">
        <v>20</v>
      </c>
      <c r="B1051" s="320" t="str">
        <f>VLOOKUP(Tabel10[[#This Row],[Code]],Ruimtegroepen[[Code]:[Ruimte omschrijving]],2,FALSE)</f>
        <v>Niet in Onderhoud</v>
      </c>
      <c r="C1051" s="321" t="s">
        <v>1157</v>
      </c>
      <c r="D1051" s="320" t="s">
        <v>29</v>
      </c>
      <c r="E1051" s="321" t="s">
        <v>102</v>
      </c>
      <c r="F1051" s="321" t="s">
        <v>1161</v>
      </c>
      <c r="G1051" s="326" t="s">
        <v>282</v>
      </c>
      <c r="H1051" s="322" t="s">
        <v>282</v>
      </c>
      <c r="I1051" s="322" t="s">
        <v>282</v>
      </c>
      <c r="J1051" s="322" t="s">
        <v>282</v>
      </c>
      <c r="K1051" s="322" t="s">
        <v>282</v>
      </c>
      <c r="L1051" s="322" t="s">
        <v>282</v>
      </c>
      <c r="M1051" s="322" t="s">
        <v>282</v>
      </c>
      <c r="N1051" s="322" t="s">
        <v>282</v>
      </c>
      <c r="O1051" s="323" t="s">
        <v>282</v>
      </c>
      <c r="P1051" s="323" t="s">
        <v>282</v>
      </c>
      <c r="Q1051" s="323" t="s">
        <v>282</v>
      </c>
      <c r="R1051" s="323" t="s">
        <v>282</v>
      </c>
      <c r="S1051" s="323" t="s">
        <v>282</v>
      </c>
      <c r="T1051" s="323" t="s">
        <v>282</v>
      </c>
      <c r="U1051" s="323" t="s">
        <v>282</v>
      </c>
      <c r="V1051" s="323" t="s">
        <v>282</v>
      </c>
      <c r="W1051" s="324" t="s">
        <v>282</v>
      </c>
      <c r="X1051" s="324" t="s">
        <v>282</v>
      </c>
      <c r="Y1051" s="325" t="s">
        <v>282</v>
      </c>
    </row>
    <row r="1052" spans="1:25">
      <c r="A1052" s="319">
        <v>20</v>
      </c>
      <c r="B1052" s="320" t="str">
        <f>VLOOKUP(Tabel10[[#This Row],[Code]],Ruimtegroepen[[Code]:[Ruimte omschrijving]],2,FALSE)</f>
        <v>Niet in Onderhoud</v>
      </c>
      <c r="C1052" s="321" t="s">
        <v>1157</v>
      </c>
      <c r="D1052" s="320" t="s">
        <v>29</v>
      </c>
      <c r="E1052" s="321" t="s">
        <v>99</v>
      </c>
      <c r="F1052" s="321" t="s">
        <v>1159</v>
      </c>
      <c r="G1052" s="326" t="s">
        <v>282</v>
      </c>
      <c r="H1052" s="322" t="s">
        <v>282</v>
      </c>
      <c r="I1052" s="322" t="s">
        <v>282</v>
      </c>
      <c r="J1052" s="322" t="s">
        <v>282</v>
      </c>
      <c r="K1052" s="322" t="s">
        <v>282</v>
      </c>
      <c r="L1052" s="322" t="s">
        <v>282</v>
      </c>
      <c r="M1052" s="322" t="s">
        <v>282</v>
      </c>
      <c r="N1052" s="322" t="s">
        <v>282</v>
      </c>
      <c r="O1052" s="323" t="s">
        <v>282</v>
      </c>
      <c r="P1052" s="323" t="s">
        <v>282</v>
      </c>
      <c r="Q1052" s="323" t="s">
        <v>282</v>
      </c>
      <c r="R1052" s="323" t="s">
        <v>282</v>
      </c>
      <c r="S1052" s="323" t="s">
        <v>282</v>
      </c>
      <c r="T1052" s="323" t="s">
        <v>282</v>
      </c>
      <c r="U1052" s="323" t="s">
        <v>282</v>
      </c>
      <c r="V1052" s="323" t="s">
        <v>282</v>
      </c>
      <c r="W1052" s="324" t="s">
        <v>282</v>
      </c>
      <c r="X1052" s="324" t="s">
        <v>282</v>
      </c>
      <c r="Y1052" s="325" t="s">
        <v>282</v>
      </c>
    </row>
    <row r="1053" spans="1:25">
      <c r="A1053" s="319">
        <v>20</v>
      </c>
      <c r="B1053" s="320" t="str">
        <f>VLOOKUP(Tabel10[[#This Row],[Code]],Ruimtegroepen[[Code]:[Ruimte omschrijving]],2,FALSE)</f>
        <v>Niet in Onderhoud</v>
      </c>
      <c r="C1053" s="321" t="s">
        <v>1157</v>
      </c>
      <c r="D1053" s="320" t="s">
        <v>29</v>
      </c>
      <c r="E1053" s="321" t="s">
        <v>1306</v>
      </c>
      <c r="F1053" s="321" t="s">
        <v>1324</v>
      </c>
      <c r="G1053" s="326" t="s">
        <v>282</v>
      </c>
      <c r="H1053" s="322" t="s">
        <v>282</v>
      </c>
      <c r="I1053" s="322" t="s">
        <v>282</v>
      </c>
      <c r="J1053" s="322" t="s">
        <v>282</v>
      </c>
      <c r="K1053" s="322" t="s">
        <v>282</v>
      </c>
      <c r="L1053" s="322" t="s">
        <v>282</v>
      </c>
      <c r="M1053" s="322" t="s">
        <v>282</v>
      </c>
      <c r="N1053" s="322" t="s">
        <v>282</v>
      </c>
      <c r="O1053" s="323" t="s">
        <v>282</v>
      </c>
      <c r="P1053" s="323" t="s">
        <v>282</v>
      </c>
      <c r="Q1053" s="323" t="s">
        <v>282</v>
      </c>
      <c r="R1053" s="323" t="s">
        <v>282</v>
      </c>
      <c r="S1053" s="323" t="s">
        <v>282</v>
      </c>
      <c r="T1053" s="323" t="s">
        <v>282</v>
      </c>
      <c r="U1053" s="323" t="s">
        <v>282</v>
      </c>
      <c r="V1053" s="323" t="s">
        <v>282</v>
      </c>
      <c r="W1053" s="324" t="s">
        <v>282</v>
      </c>
      <c r="X1053" s="324" t="s">
        <v>282</v>
      </c>
      <c r="Y1053" s="325" t="s">
        <v>282</v>
      </c>
    </row>
    <row r="1054" spans="1:25">
      <c r="A1054" s="319">
        <v>20</v>
      </c>
      <c r="B1054" s="320" t="str">
        <f>VLOOKUP(Tabel10[[#This Row],[Code]],Ruimtegroepen[[Code]:[Ruimte omschrijving]],2,FALSE)</f>
        <v>Niet in Onderhoud</v>
      </c>
      <c r="C1054" s="321" t="s">
        <v>1162</v>
      </c>
      <c r="D1054" s="320" t="s">
        <v>1</v>
      </c>
      <c r="E1054" s="321" t="s">
        <v>100</v>
      </c>
      <c r="F1054" s="321" t="s">
        <v>1163</v>
      </c>
      <c r="G1054" s="326" t="s">
        <v>282</v>
      </c>
      <c r="H1054" s="322" t="s">
        <v>282</v>
      </c>
      <c r="I1054" s="322" t="s">
        <v>282</v>
      </c>
      <c r="J1054" s="322" t="s">
        <v>282</v>
      </c>
      <c r="K1054" s="322" t="s">
        <v>282</v>
      </c>
      <c r="L1054" s="322" t="s">
        <v>282</v>
      </c>
      <c r="M1054" s="322" t="s">
        <v>282</v>
      </c>
      <c r="N1054" s="322" t="s">
        <v>282</v>
      </c>
      <c r="O1054" s="323" t="s">
        <v>282</v>
      </c>
      <c r="P1054" s="323" t="s">
        <v>282</v>
      </c>
      <c r="Q1054" s="323" t="s">
        <v>282</v>
      </c>
      <c r="R1054" s="323" t="s">
        <v>282</v>
      </c>
      <c r="S1054" s="323" t="s">
        <v>282</v>
      </c>
      <c r="T1054" s="323" t="s">
        <v>282</v>
      </c>
      <c r="U1054" s="323" t="s">
        <v>282</v>
      </c>
      <c r="V1054" s="323" t="s">
        <v>282</v>
      </c>
      <c r="W1054" s="324" t="s">
        <v>282</v>
      </c>
      <c r="X1054" s="324" t="s">
        <v>282</v>
      </c>
      <c r="Y1054" s="325" t="s">
        <v>282</v>
      </c>
    </row>
    <row r="1055" spans="1:25">
      <c r="A1055" s="319">
        <v>20</v>
      </c>
      <c r="B1055" s="320" t="str">
        <f>VLOOKUP(Tabel10[[#This Row],[Code]],Ruimtegroepen[[Code]:[Ruimte omschrijving]],2,FALSE)</f>
        <v>Niet in Onderhoud</v>
      </c>
      <c r="C1055" s="321" t="s">
        <v>1162</v>
      </c>
      <c r="D1055" s="320" t="s">
        <v>1</v>
      </c>
      <c r="E1055" s="321" t="s">
        <v>99</v>
      </c>
      <c r="F1055" s="321" t="s">
        <v>1164</v>
      </c>
      <c r="G1055" s="326" t="s">
        <v>282</v>
      </c>
      <c r="H1055" s="322" t="s">
        <v>282</v>
      </c>
      <c r="I1055" s="322" t="s">
        <v>282</v>
      </c>
      <c r="J1055" s="322" t="s">
        <v>282</v>
      </c>
      <c r="K1055" s="322" t="s">
        <v>282</v>
      </c>
      <c r="L1055" s="322" t="s">
        <v>282</v>
      </c>
      <c r="M1055" s="322" t="s">
        <v>282</v>
      </c>
      <c r="N1055" s="322" t="s">
        <v>282</v>
      </c>
      <c r="O1055" s="323" t="s">
        <v>282</v>
      </c>
      <c r="P1055" s="323" t="s">
        <v>282</v>
      </c>
      <c r="Q1055" s="323" t="s">
        <v>282</v>
      </c>
      <c r="R1055" s="323" t="s">
        <v>282</v>
      </c>
      <c r="S1055" s="323" t="s">
        <v>282</v>
      </c>
      <c r="T1055" s="323" t="s">
        <v>282</v>
      </c>
      <c r="U1055" s="323" t="s">
        <v>282</v>
      </c>
      <c r="V1055" s="323" t="s">
        <v>282</v>
      </c>
      <c r="W1055" s="324" t="s">
        <v>282</v>
      </c>
      <c r="X1055" s="324" t="s">
        <v>282</v>
      </c>
      <c r="Y1055" s="325" t="s">
        <v>282</v>
      </c>
    </row>
    <row r="1056" spans="1:25">
      <c r="A1056" s="319">
        <v>20</v>
      </c>
      <c r="B1056" s="320" t="str">
        <f>VLOOKUP(Tabel10[[#This Row],[Code]],Ruimtegroepen[[Code]:[Ruimte omschrijving]],2,FALSE)</f>
        <v>Niet in Onderhoud</v>
      </c>
      <c r="C1056" s="321" t="s">
        <v>1162</v>
      </c>
      <c r="D1056" s="320" t="s">
        <v>1</v>
      </c>
      <c r="E1056" s="321" t="s">
        <v>101</v>
      </c>
      <c r="F1056" s="321" t="s">
        <v>1165</v>
      </c>
      <c r="G1056" s="326" t="s">
        <v>282</v>
      </c>
      <c r="H1056" s="322" t="s">
        <v>282</v>
      </c>
      <c r="I1056" s="322" t="s">
        <v>282</v>
      </c>
      <c r="J1056" s="322" t="s">
        <v>282</v>
      </c>
      <c r="K1056" s="322" t="s">
        <v>282</v>
      </c>
      <c r="L1056" s="322" t="s">
        <v>282</v>
      </c>
      <c r="M1056" s="322" t="s">
        <v>282</v>
      </c>
      <c r="N1056" s="322" t="s">
        <v>282</v>
      </c>
      <c r="O1056" s="323" t="s">
        <v>282</v>
      </c>
      <c r="P1056" s="323" t="s">
        <v>282</v>
      </c>
      <c r="Q1056" s="323" t="s">
        <v>282</v>
      </c>
      <c r="R1056" s="323" t="s">
        <v>282</v>
      </c>
      <c r="S1056" s="323" t="s">
        <v>282</v>
      </c>
      <c r="T1056" s="323" t="s">
        <v>282</v>
      </c>
      <c r="U1056" s="323" t="s">
        <v>282</v>
      </c>
      <c r="V1056" s="323" t="s">
        <v>282</v>
      </c>
      <c r="W1056" s="324" t="s">
        <v>282</v>
      </c>
      <c r="X1056" s="324" t="s">
        <v>282</v>
      </c>
      <c r="Y1056" s="325" t="s">
        <v>282</v>
      </c>
    </row>
    <row r="1057" spans="1:25">
      <c r="A1057" s="319">
        <v>20</v>
      </c>
      <c r="B1057" s="320" t="str">
        <f>VLOOKUP(Tabel10[[#This Row],[Code]],Ruimtegroepen[[Code]:[Ruimte omschrijving]],2,FALSE)</f>
        <v>Niet in Onderhoud</v>
      </c>
      <c r="C1057" s="321" t="s">
        <v>1162</v>
      </c>
      <c r="D1057" s="320" t="s">
        <v>1</v>
      </c>
      <c r="E1057" s="321" t="s">
        <v>102</v>
      </c>
      <c r="F1057" s="321" t="s">
        <v>1166</v>
      </c>
      <c r="G1057" s="326" t="s">
        <v>282</v>
      </c>
      <c r="H1057" s="322" t="s">
        <v>282</v>
      </c>
      <c r="I1057" s="322" t="s">
        <v>282</v>
      </c>
      <c r="J1057" s="322" t="s">
        <v>282</v>
      </c>
      <c r="K1057" s="322" t="s">
        <v>282</v>
      </c>
      <c r="L1057" s="322" t="s">
        <v>282</v>
      </c>
      <c r="M1057" s="322" t="s">
        <v>282</v>
      </c>
      <c r="N1057" s="322" t="s">
        <v>282</v>
      </c>
      <c r="O1057" s="323" t="s">
        <v>282</v>
      </c>
      <c r="P1057" s="323" t="s">
        <v>282</v>
      </c>
      <c r="Q1057" s="323" t="s">
        <v>282</v>
      </c>
      <c r="R1057" s="323" t="s">
        <v>282</v>
      </c>
      <c r="S1057" s="323" t="s">
        <v>282</v>
      </c>
      <c r="T1057" s="323" t="s">
        <v>282</v>
      </c>
      <c r="U1057" s="323" t="s">
        <v>282</v>
      </c>
      <c r="V1057" s="323" t="s">
        <v>282</v>
      </c>
      <c r="W1057" s="324" t="s">
        <v>282</v>
      </c>
      <c r="X1057" s="324" t="s">
        <v>282</v>
      </c>
      <c r="Y1057" s="325" t="s">
        <v>282</v>
      </c>
    </row>
    <row r="1058" spans="1:25">
      <c r="A1058" s="319">
        <v>20</v>
      </c>
      <c r="B1058" s="320" t="str">
        <f>VLOOKUP(Tabel10[[#This Row],[Code]],Ruimtegroepen[[Code]:[Ruimte omschrijving]],2,FALSE)</f>
        <v>Niet in Onderhoud</v>
      </c>
      <c r="C1058" s="321" t="s">
        <v>1162</v>
      </c>
      <c r="D1058" s="320" t="s">
        <v>1</v>
      </c>
      <c r="E1058" s="321" t="s">
        <v>99</v>
      </c>
      <c r="F1058" s="321" t="s">
        <v>1164</v>
      </c>
      <c r="G1058" s="326" t="s">
        <v>282</v>
      </c>
      <c r="H1058" s="322" t="s">
        <v>282</v>
      </c>
      <c r="I1058" s="322" t="s">
        <v>282</v>
      </c>
      <c r="J1058" s="322" t="s">
        <v>282</v>
      </c>
      <c r="K1058" s="322" t="s">
        <v>282</v>
      </c>
      <c r="L1058" s="322" t="s">
        <v>282</v>
      </c>
      <c r="M1058" s="322" t="s">
        <v>282</v>
      </c>
      <c r="N1058" s="322" t="s">
        <v>282</v>
      </c>
      <c r="O1058" s="323" t="s">
        <v>282</v>
      </c>
      <c r="P1058" s="323" t="s">
        <v>282</v>
      </c>
      <c r="Q1058" s="323" t="s">
        <v>282</v>
      </c>
      <c r="R1058" s="323" t="s">
        <v>282</v>
      </c>
      <c r="S1058" s="323" t="s">
        <v>282</v>
      </c>
      <c r="T1058" s="323" t="s">
        <v>282</v>
      </c>
      <c r="U1058" s="323" t="s">
        <v>282</v>
      </c>
      <c r="V1058" s="323" t="s">
        <v>282</v>
      </c>
      <c r="W1058" s="324" t="s">
        <v>282</v>
      </c>
      <c r="X1058" s="324" t="s">
        <v>282</v>
      </c>
      <c r="Y1058" s="325" t="s">
        <v>282</v>
      </c>
    </row>
    <row r="1059" spans="1:25">
      <c r="A1059" s="319">
        <v>20</v>
      </c>
      <c r="B1059" s="320" t="str">
        <f>VLOOKUP(Tabel10[[#This Row],[Code]],Ruimtegroepen[[Code]:[Ruimte omschrijving]],2,FALSE)</f>
        <v>Niet in Onderhoud</v>
      </c>
      <c r="C1059" s="321" t="s">
        <v>1162</v>
      </c>
      <c r="D1059" s="320" t="s">
        <v>1</v>
      </c>
      <c r="E1059" s="321" t="s">
        <v>1306</v>
      </c>
      <c r="F1059" s="321" t="s">
        <v>1323</v>
      </c>
      <c r="G1059" s="326" t="s">
        <v>282</v>
      </c>
      <c r="H1059" s="322" t="s">
        <v>282</v>
      </c>
      <c r="I1059" s="322" t="s">
        <v>282</v>
      </c>
      <c r="J1059" s="322" t="s">
        <v>282</v>
      </c>
      <c r="K1059" s="322" t="s">
        <v>282</v>
      </c>
      <c r="L1059" s="322" t="s">
        <v>282</v>
      </c>
      <c r="M1059" s="322" t="s">
        <v>282</v>
      </c>
      <c r="N1059" s="322" t="s">
        <v>282</v>
      </c>
      <c r="O1059" s="323" t="s">
        <v>282</v>
      </c>
      <c r="P1059" s="323" t="s">
        <v>282</v>
      </c>
      <c r="Q1059" s="323" t="s">
        <v>282</v>
      </c>
      <c r="R1059" s="323" t="s">
        <v>282</v>
      </c>
      <c r="S1059" s="323" t="s">
        <v>282</v>
      </c>
      <c r="T1059" s="323" t="s">
        <v>282</v>
      </c>
      <c r="U1059" s="323" t="s">
        <v>282</v>
      </c>
      <c r="V1059" s="323" t="s">
        <v>282</v>
      </c>
      <c r="W1059" s="324" t="s">
        <v>282</v>
      </c>
      <c r="X1059" s="324" t="s">
        <v>282</v>
      </c>
      <c r="Y1059" s="325" t="s">
        <v>282</v>
      </c>
    </row>
    <row r="1060" spans="1:25">
      <c r="A1060" s="319">
        <v>20</v>
      </c>
      <c r="B1060" s="320" t="str">
        <f>VLOOKUP(Tabel10[[#This Row],[Code]],Ruimtegroepen[[Code]:[Ruimte omschrijving]],2,FALSE)</f>
        <v>Niet in Onderhoud</v>
      </c>
      <c r="C1060" s="321" t="s">
        <v>1167</v>
      </c>
      <c r="D1060" s="320" t="s">
        <v>21</v>
      </c>
      <c r="E1060" s="321" t="s">
        <v>100</v>
      </c>
      <c r="F1060" s="321" t="s">
        <v>1168</v>
      </c>
      <c r="G1060" s="326" t="s">
        <v>282</v>
      </c>
      <c r="H1060" s="322" t="s">
        <v>282</v>
      </c>
      <c r="I1060" s="322" t="s">
        <v>282</v>
      </c>
      <c r="J1060" s="322" t="s">
        <v>282</v>
      </c>
      <c r="K1060" s="322" t="s">
        <v>282</v>
      </c>
      <c r="L1060" s="322" t="s">
        <v>282</v>
      </c>
      <c r="M1060" s="322" t="s">
        <v>282</v>
      </c>
      <c r="N1060" s="322" t="s">
        <v>282</v>
      </c>
      <c r="O1060" s="323" t="s">
        <v>282</v>
      </c>
      <c r="P1060" s="323" t="s">
        <v>282</v>
      </c>
      <c r="Q1060" s="323" t="s">
        <v>282</v>
      </c>
      <c r="R1060" s="323" t="s">
        <v>282</v>
      </c>
      <c r="S1060" s="323" t="s">
        <v>282</v>
      </c>
      <c r="T1060" s="323" t="s">
        <v>282</v>
      </c>
      <c r="U1060" s="323" t="s">
        <v>282</v>
      </c>
      <c r="V1060" s="323" t="s">
        <v>282</v>
      </c>
      <c r="W1060" s="324" t="s">
        <v>282</v>
      </c>
      <c r="X1060" s="324" t="s">
        <v>282</v>
      </c>
      <c r="Y1060" s="325" t="s">
        <v>282</v>
      </c>
    </row>
    <row r="1061" spans="1:25">
      <c r="A1061" s="319">
        <v>20</v>
      </c>
      <c r="B1061" s="320" t="str">
        <f>VLOOKUP(Tabel10[[#This Row],[Code]],Ruimtegroepen[[Code]:[Ruimte omschrijving]],2,FALSE)</f>
        <v>Niet in Onderhoud</v>
      </c>
      <c r="C1061" s="321" t="s">
        <v>1167</v>
      </c>
      <c r="D1061" s="320" t="s">
        <v>21</v>
      </c>
      <c r="E1061" s="321" t="s">
        <v>99</v>
      </c>
      <c r="F1061" s="321" t="s">
        <v>1169</v>
      </c>
      <c r="G1061" s="326" t="s">
        <v>282</v>
      </c>
      <c r="H1061" s="322" t="s">
        <v>282</v>
      </c>
      <c r="I1061" s="322" t="s">
        <v>282</v>
      </c>
      <c r="J1061" s="322" t="s">
        <v>282</v>
      </c>
      <c r="K1061" s="322" t="s">
        <v>282</v>
      </c>
      <c r="L1061" s="322" t="s">
        <v>282</v>
      </c>
      <c r="M1061" s="322" t="s">
        <v>282</v>
      </c>
      <c r="N1061" s="322" t="s">
        <v>282</v>
      </c>
      <c r="O1061" s="323" t="s">
        <v>282</v>
      </c>
      <c r="P1061" s="323" t="s">
        <v>282</v>
      </c>
      <c r="Q1061" s="323" t="s">
        <v>282</v>
      </c>
      <c r="R1061" s="323" t="s">
        <v>282</v>
      </c>
      <c r="S1061" s="323" t="s">
        <v>282</v>
      </c>
      <c r="T1061" s="323" t="s">
        <v>282</v>
      </c>
      <c r="U1061" s="323" t="s">
        <v>282</v>
      </c>
      <c r="V1061" s="323" t="s">
        <v>282</v>
      </c>
      <c r="W1061" s="324" t="s">
        <v>282</v>
      </c>
      <c r="X1061" s="324" t="s">
        <v>282</v>
      </c>
      <c r="Y1061" s="325" t="s">
        <v>282</v>
      </c>
    </row>
    <row r="1062" spans="1:25">
      <c r="A1062" s="319">
        <v>20</v>
      </c>
      <c r="B1062" s="320" t="str">
        <f>VLOOKUP(Tabel10[[#This Row],[Code]],Ruimtegroepen[[Code]:[Ruimte omschrijving]],2,FALSE)</f>
        <v>Niet in Onderhoud</v>
      </c>
      <c r="C1062" s="321" t="s">
        <v>1167</v>
      </c>
      <c r="D1062" s="320" t="s">
        <v>21</v>
      </c>
      <c r="E1062" s="321" t="s">
        <v>101</v>
      </c>
      <c r="F1062" s="321" t="s">
        <v>1170</v>
      </c>
      <c r="G1062" s="326" t="s">
        <v>282</v>
      </c>
      <c r="H1062" s="322" t="s">
        <v>282</v>
      </c>
      <c r="I1062" s="322" t="s">
        <v>282</v>
      </c>
      <c r="J1062" s="322" t="s">
        <v>282</v>
      </c>
      <c r="K1062" s="322" t="s">
        <v>282</v>
      </c>
      <c r="L1062" s="322" t="s">
        <v>282</v>
      </c>
      <c r="M1062" s="322" t="s">
        <v>282</v>
      </c>
      <c r="N1062" s="322" t="s">
        <v>282</v>
      </c>
      <c r="O1062" s="323" t="s">
        <v>282</v>
      </c>
      <c r="P1062" s="323" t="s">
        <v>282</v>
      </c>
      <c r="Q1062" s="323" t="s">
        <v>282</v>
      </c>
      <c r="R1062" s="323" t="s">
        <v>282</v>
      </c>
      <c r="S1062" s="323" t="s">
        <v>282</v>
      </c>
      <c r="T1062" s="323" t="s">
        <v>282</v>
      </c>
      <c r="U1062" s="323" t="s">
        <v>282</v>
      </c>
      <c r="V1062" s="323" t="s">
        <v>282</v>
      </c>
      <c r="W1062" s="324" t="s">
        <v>282</v>
      </c>
      <c r="X1062" s="324" t="s">
        <v>282</v>
      </c>
      <c r="Y1062" s="325" t="s">
        <v>282</v>
      </c>
    </row>
    <row r="1063" spans="1:25">
      <c r="A1063" s="319">
        <v>20</v>
      </c>
      <c r="B1063" s="320" t="str">
        <f>VLOOKUP(Tabel10[[#This Row],[Code]],Ruimtegroepen[[Code]:[Ruimte omschrijving]],2,FALSE)</f>
        <v>Niet in Onderhoud</v>
      </c>
      <c r="C1063" s="321" t="s">
        <v>1167</v>
      </c>
      <c r="D1063" s="320" t="s">
        <v>21</v>
      </c>
      <c r="E1063" s="321" t="s">
        <v>102</v>
      </c>
      <c r="F1063" s="321" t="s">
        <v>1171</v>
      </c>
      <c r="G1063" s="326" t="s">
        <v>282</v>
      </c>
      <c r="H1063" s="322" t="s">
        <v>282</v>
      </c>
      <c r="I1063" s="322" t="s">
        <v>282</v>
      </c>
      <c r="J1063" s="322" t="s">
        <v>282</v>
      </c>
      <c r="K1063" s="322" t="s">
        <v>282</v>
      </c>
      <c r="L1063" s="322" t="s">
        <v>282</v>
      </c>
      <c r="M1063" s="322" t="s">
        <v>282</v>
      </c>
      <c r="N1063" s="322" t="s">
        <v>282</v>
      </c>
      <c r="O1063" s="323" t="s">
        <v>282</v>
      </c>
      <c r="P1063" s="323" t="s">
        <v>282</v>
      </c>
      <c r="Q1063" s="323" t="s">
        <v>282</v>
      </c>
      <c r="R1063" s="323" t="s">
        <v>282</v>
      </c>
      <c r="S1063" s="323" t="s">
        <v>282</v>
      </c>
      <c r="T1063" s="323" t="s">
        <v>282</v>
      </c>
      <c r="U1063" s="323" t="s">
        <v>282</v>
      </c>
      <c r="V1063" s="323" t="s">
        <v>282</v>
      </c>
      <c r="W1063" s="324" t="s">
        <v>282</v>
      </c>
      <c r="X1063" s="324" t="s">
        <v>282</v>
      </c>
      <c r="Y1063" s="325" t="s">
        <v>282</v>
      </c>
    </row>
    <row r="1064" spans="1:25">
      <c r="A1064" s="319">
        <v>20</v>
      </c>
      <c r="B1064" s="320" t="str">
        <f>VLOOKUP(Tabel10[[#This Row],[Code]],Ruimtegroepen[[Code]:[Ruimte omschrijving]],2,FALSE)</f>
        <v>Niet in Onderhoud</v>
      </c>
      <c r="C1064" s="321" t="s">
        <v>1167</v>
      </c>
      <c r="D1064" s="320" t="s">
        <v>21</v>
      </c>
      <c r="E1064" s="321" t="s">
        <v>99</v>
      </c>
      <c r="F1064" s="321" t="s">
        <v>1169</v>
      </c>
      <c r="G1064" s="326" t="s">
        <v>282</v>
      </c>
      <c r="H1064" s="322" t="s">
        <v>282</v>
      </c>
      <c r="I1064" s="322" t="s">
        <v>282</v>
      </c>
      <c r="J1064" s="322" t="s">
        <v>282</v>
      </c>
      <c r="K1064" s="322" t="s">
        <v>282</v>
      </c>
      <c r="L1064" s="322" t="s">
        <v>282</v>
      </c>
      <c r="M1064" s="322" t="s">
        <v>282</v>
      </c>
      <c r="N1064" s="322" t="s">
        <v>282</v>
      </c>
      <c r="O1064" s="323" t="s">
        <v>282</v>
      </c>
      <c r="P1064" s="323" t="s">
        <v>282</v>
      </c>
      <c r="Q1064" s="323" t="s">
        <v>282</v>
      </c>
      <c r="R1064" s="323" t="s">
        <v>282</v>
      </c>
      <c r="S1064" s="323" t="s">
        <v>282</v>
      </c>
      <c r="T1064" s="323" t="s">
        <v>282</v>
      </c>
      <c r="U1064" s="323" t="s">
        <v>282</v>
      </c>
      <c r="V1064" s="323" t="s">
        <v>282</v>
      </c>
      <c r="W1064" s="324" t="s">
        <v>282</v>
      </c>
      <c r="X1064" s="324" t="s">
        <v>282</v>
      </c>
      <c r="Y1064" s="325" t="s">
        <v>282</v>
      </c>
    </row>
    <row r="1065" spans="1:25">
      <c r="A1065" s="319">
        <v>20</v>
      </c>
      <c r="B1065" s="320" t="str">
        <f>VLOOKUP(Tabel10[[#This Row],[Code]],Ruimtegroepen[[Code]:[Ruimte omschrijving]],2,FALSE)</f>
        <v>Niet in Onderhoud</v>
      </c>
      <c r="C1065" s="321" t="s">
        <v>1167</v>
      </c>
      <c r="D1065" s="320" t="s">
        <v>21</v>
      </c>
      <c r="E1065" s="321" t="s">
        <v>1306</v>
      </c>
      <c r="F1065" s="321" t="s">
        <v>1322</v>
      </c>
      <c r="G1065" s="326" t="s">
        <v>282</v>
      </c>
      <c r="H1065" s="322" t="s">
        <v>282</v>
      </c>
      <c r="I1065" s="322" t="s">
        <v>282</v>
      </c>
      <c r="J1065" s="322" t="s">
        <v>282</v>
      </c>
      <c r="K1065" s="322" t="s">
        <v>282</v>
      </c>
      <c r="L1065" s="322" t="s">
        <v>282</v>
      </c>
      <c r="M1065" s="322" t="s">
        <v>282</v>
      </c>
      <c r="N1065" s="322" t="s">
        <v>282</v>
      </c>
      <c r="O1065" s="323" t="s">
        <v>282</v>
      </c>
      <c r="P1065" s="323" t="s">
        <v>282</v>
      </c>
      <c r="Q1065" s="323" t="s">
        <v>282</v>
      </c>
      <c r="R1065" s="323" t="s">
        <v>282</v>
      </c>
      <c r="S1065" s="323" t="s">
        <v>282</v>
      </c>
      <c r="T1065" s="323" t="s">
        <v>282</v>
      </c>
      <c r="U1065" s="323" t="s">
        <v>282</v>
      </c>
      <c r="V1065" s="323" t="s">
        <v>282</v>
      </c>
      <c r="W1065" s="324" t="s">
        <v>282</v>
      </c>
      <c r="X1065" s="324" t="s">
        <v>282</v>
      </c>
      <c r="Y1065" s="325" t="s">
        <v>282</v>
      </c>
    </row>
    <row r="1066" spans="1:25">
      <c r="A1066" s="319">
        <v>20</v>
      </c>
      <c r="B1066" s="320" t="str">
        <f>VLOOKUP(Tabel10[[#This Row],[Code]],Ruimtegroepen[[Code]:[Ruimte omschrijving]],2,FALSE)</f>
        <v>Niet in Onderhoud</v>
      </c>
      <c r="C1066" s="321" t="s">
        <v>1172</v>
      </c>
      <c r="D1066" s="320" t="s">
        <v>12</v>
      </c>
      <c r="E1066" s="321" t="s">
        <v>100</v>
      </c>
      <c r="F1066" s="321" t="s">
        <v>1173</v>
      </c>
      <c r="G1066" s="326" t="s">
        <v>282</v>
      </c>
      <c r="H1066" s="322" t="s">
        <v>282</v>
      </c>
      <c r="I1066" s="322" t="s">
        <v>282</v>
      </c>
      <c r="J1066" s="322" t="s">
        <v>282</v>
      </c>
      <c r="K1066" s="322" t="s">
        <v>282</v>
      </c>
      <c r="L1066" s="322" t="s">
        <v>282</v>
      </c>
      <c r="M1066" s="322" t="s">
        <v>282</v>
      </c>
      <c r="N1066" s="322" t="s">
        <v>282</v>
      </c>
      <c r="O1066" s="323" t="s">
        <v>282</v>
      </c>
      <c r="P1066" s="323" t="s">
        <v>282</v>
      </c>
      <c r="Q1066" s="323" t="s">
        <v>282</v>
      </c>
      <c r="R1066" s="323" t="s">
        <v>282</v>
      </c>
      <c r="S1066" s="323" t="s">
        <v>282</v>
      </c>
      <c r="T1066" s="323" t="s">
        <v>282</v>
      </c>
      <c r="U1066" s="323" t="s">
        <v>282</v>
      </c>
      <c r="V1066" s="323" t="s">
        <v>282</v>
      </c>
      <c r="W1066" s="324" t="s">
        <v>282</v>
      </c>
      <c r="X1066" s="324" t="s">
        <v>282</v>
      </c>
      <c r="Y1066" s="325" t="s">
        <v>282</v>
      </c>
    </row>
    <row r="1067" spans="1:25">
      <c r="A1067" s="319">
        <v>20</v>
      </c>
      <c r="B1067" s="320" t="str">
        <f>VLOOKUP(Tabel10[[#This Row],[Code]],Ruimtegroepen[[Code]:[Ruimte omschrijving]],2,FALSE)</f>
        <v>Niet in Onderhoud</v>
      </c>
      <c r="C1067" s="321" t="s">
        <v>1172</v>
      </c>
      <c r="D1067" s="320" t="s">
        <v>12</v>
      </c>
      <c r="E1067" s="321" t="s">
        <v>99</v>
      </c>
      <c r="F1067" s="321" t="s">
        <v>1174</v>
      </c>
      <c r="G1067" s="326" t="s">
        <v>282</v>
      </c>
      <c r="H1067" s="322" t="s">
        <v>282</v>
      </c>
      <c r="I1067" s="322" t="s">
        <v>282</v>
      </c>
      <c r="J1067" s="322" t="s">
        <v>282</v>
      </c>
      <c r="K1067" s="322" t="s">
        <v>282</v>
      </c>
      <c r="L1067" s="322" t="s">
        <v>282</v>
      </c>
      <c r="M1067" s="322" t="s">
        <v>282</v>
      </c>
      <c r="N1067" s="322" t="s">
        <v>282</v>
      </c>
      <c r="O1067" s="323" t="s">
        <v>282</v>
      </c>
      <c r="P1067" s="323" t="s">
        <v>282</v>
      </c>
      <c r="Q1067" s="323" t="s">
        <v>282</v>
      </c>
      <c r="R1067" s="323" t="s">
        <v>282</v>
      </c>
      <c r="S1067" s="323" t="s">
        <v>282</v>
      </c>
      <c r="T1067" s="323" t="s">
        <v>282</v>
      </c>
      <c r="U1067" s="323" t="s">
        <v>282</v>
      </c>
      <c r="V1067" s="323" t="s">
        <v>282</v>
      </c>
      <c r="W1067" s="324" t="s">
        <v>282</v>
      </c>
      <c r="X1067" s="324" t="s">
        <v>282</v>
      </c>
      <c r="Y1067" s="325" t="s">
        <v>282</v>
      </c>
    </row>
    <row r="1068" spans="1:25">
      <c r="A1068" s="319">
        <v>20</v>
      </c>
      <c r="B1068" s="320" t="str">
        <f>VLOOKUP(Tabel10[[#This Row],[Code]],Ruimtegroepen[[Code]:[Ruimte omschrijving]],2,FALSE)</f>
        <v>Niet in Onderhoud</v>
      </c>
      <c r="C1068" s="321" t="s">
        <v>1172</v>
      </c>
      <c r="D1068" s="320" t="s">
        <v>12</v>
      </c>
      <c r="E1068" s="321" t="s">
        <v>101</v>
      </c>
      <c r="F1068" s="321" t="s">
        <v>1175</v>
      </c>
      <c r="G1068" s="326" t="s">
        <v>282</v>
      </c>
      <c r="H1068" s="322" t="s">
        <v>282</v>
      </c>
      <c r="I1068" s="322" t="s">
        <v>282</v>
      </c>
      <c r="J1068" s="322" t="s">
        <v>282</v>
      </c>
      <c r="K1068" s="322" t="s">
        <v>282</v>
      </c>
      <c r="L1068" s="322" t="s">
        <v>282</v>
      </c>
      <c r="M1068" s="322" t="s">
        <v>282</v>
      </c>
      <c r="N1068" s="322" t="s">
        <v>282</v>
      </c>
      <c r="O1068" s="323" t="s">
        <v>282</v>
      </c>
      <c r="P1068" s="323" t="s">
        <v>282</v>
      </c>
      <c r="Q1068" s="323" t="s">
        <v>282</v>
      </c>
      <c r="R1068" s="323" t="s">
        <v>282</v>
      </c>
      <c r="S1068" s="323" t="s">
        <v>282</v>
      </c>
      <c r="T1068" s="323" t="s">
        <v>282</v>
      </c>
      <c r="U1068" s="323" t="s">
        <v>282</v>
      </c>
      <c r="V1068" s="323" t="s">
        <v>282</v>
      </c>
      <c r="W1068" s="324" t="s">
        <v>282</v>
      </c>
      <c r="X1068" s="324" t="s">
        <v>282</v>
      </c>
      <c r="Y1068" s="325" t="s">
        <v>282</v>
      </c>
    </row>
    <row r="1069" spans="1:25">
      <c r="A1069" s="319">
        <v>20</v>
      </c>
      <c r="B1069" s="320" t="str">
        <f>VLOOKUP(Tabel10[[#This Row],[Code]],Ruimtegroepen[[Code]:[Ruimte omschrijving]],2,FALSE)</f>
        <v>Niet in Onderhoud</v>
      </c>
      <c r="C1069" s="321" t="s">
        <v>1172</v>
      </c>
      <c r="D1069" s="320" t="s">
        <v>12</v>
      </c>
      <c r="E1069" s="321" t="s">
        <v>102</v>
      </c>
      <c r="F1069" s="321" t="s">
        <v>1176</v>
      </c>
      <c r="G1069" s="326" t="s">
        <v>282</v>
      </c>
      <c r="H1069" s="322" t="s">
        <v>282</v>
      </c>
      <c r="I1069" s="322" t="s">
        <v>282</v>
      </c>
      <c r="J1069" s="322" t="s">
        <v>282</v>
      </c>
      <c r="K1069" s="322" t="s">
        <v>282</v>
      </c>
      <c r="L1069" s="322" t="s">
        <v>282</v>
      </c>
      <c r="M1069" s="322" t="s">
        <v>282</v>
      </c>
      <c r="N1069" s="322" t="s">
        <v>282</v>
      </c>
      <c r="O1069" s="323" t="s">
        <v>282</v>
      </c>
      <c r="P1069" s="323" t="s">
        <v>282</v>
      </c>
      <c r="Q1069" s="323" t="s">
        <v>282</v>
      </c>
      <c r="R1069" s="323" t="s">
        <v>282</v>
      </c>
      <c r="S1069" s="323" t="s">
        <v>282</v>
      </c>
      <c r="T1069" s="323" t="s">
        <v>282</v>
      </c>
      <c r="U1069" s="323" t="s">
        <v>282</v>
      </c>
      <c r="V1069" s="323" t="s">
        <v>282</v>
      </c>
      <c r="W1069" s="324" t="s">
        <v>282</v>
      </c>
      <c r="X1069" s="324" t="s">
        <v>282</v>
      </c>
      <c r="Y1069" s="325" t="s">
        <v>282</v>
      </c>
    </row>
    <row r="1070" spans="1:25">
      <c r="A1070" s="319">
        <v>20</v>
      </c>
      <c r="B1070" s="320" t="str">
        <f>VLOOKUP(Tabel10[[#This Row],[Code]],Ruimtegroepen[[Code]:[Ruimte omschrijving]],2,FALSE)</f>
        <v>Niet in Onderhoud</v>
      </c>
      <c r="C1070" s="321" t="s">
        <v>1172</v>
      </c>
      <c r="D1070" s="320" t="s">
        <v>12</v>
      </c>
      <c r="E1070" s="321" t="s">
        <v>99</v>
      </c>
      <c r="F1070" s="321" t="s">
        <v>1174</v>
      </c>
      <c r="G1070" s="326" t="s">
        <v>282</v>
      </c>
      <c r="H1070" s="322" t="s">
        <v>282</v>
      </c>
      <c r="I1070" s="322" t="s">
        <v>282</v>
      </c>
      <c r="J1070" s="322" t="s">
        <v>282</v>
      </c>
      <c r="K1070" s="322" t="s">
        <v>282</v>
      </c>
      <c r="L1070" s="322" t="s">
        <v>282</v>
      </c>
      <c r="M1070" s="322" t="s">
        <v>282</v>
      </c>
      <c r="N1070" s="322" t="s">
        <v>282</v>
      </c>
      <c r="O1070" s="323" t="s">
        <v>282</v>
      </c>
      <c r="P1070" s="323" t="s">
        <v>282</v>
      </c>
      <c r="Q1070" s="323" t="s">
        <v>282</v>
      </c>
      <c r="R1070" s="323" t="s">
        <v>282</v>
      </c>
      <c r="S1070" s="323" t="s">
        <v>282</v>
      </c>
      <c r="T1070" s="323" t="s">
        <v>282</v>
      </c>
      <c r="U1070" s="323" t="s">
        <v>282</v>
      </c>
      <c r="V1070" s="323" t="s">
        <v>282</v>
      </c>
      <c r="W1070" s="324" t="s">
        <v>282</v>
      </c>
      <c r="X1070" s="324" t="s">
        <v>282</v>
      </c>
      <c r="Y1070" s="325" t="s">
        <v>282</v>
      </c>
    </row>
    <row r="1071" spans="1:25">
      <c r="A1071" s="319">
        <v>20</v>
      </c>
      <c r="B1071" s="320" t="str">
        <f>VLOOKUP(Tabel10[[#This Row],[Code]],Ruimtegroepen[[Code]:[Ruimte omschrijving]],2,FALSE)</f>
        <v>Niet in Onderhoud</v>
      </c>
      <c r="C1071" s="321" t="s">
        <v>1172</v>
      </c>
      <c r="D1071" s="320" t="s">
        <v>12</v>
      </c>
      <c r="E1071" s="321" t="s">
        <v>1306</v>
      </c>
      <c r="F1071" s="321" t="s">
        <v>1321</v>
      </c>
      <c r="G1071" s="326" t="s">
        <v>282</v>
      </c>
      <c r="H1071" s="322" t="s">
        <v>282</v>
      </c>
      <c r="I1071" s="322" t="s">
        <v>282</v>
      </c>
      <c r="J1071" s="322" t="s">
        <v>282</v>
      </c>
      <c r="K1071" s="322" t="s">
        <v>282</v>
      </c>
      <c r="L1071" s="322" t="s">
        <v>282</v>
      </c>
      <c r="M1071" s="322" t="s">
        <v>282</v>
      </c>
      <c r="N1071" s="322" t="s">
        <v>282</v>
      </c>
      <c r="O1071" s="323" t="s">
        <v>282</v>
      </c>
      <c r="P1071" s="323" t="s">
        <v>282</v>
      </c>
      <c r="Q1071" s="323" t="s">
        <v>282</v>
      </c>
      <c r="R1071" s="323" t="s">
        <v>282</v>
      </c>
      <c r="S1071" s="323" t="s">
        <v>282</v>
      </c>
      <c r="T1071" s="323" t="s">
        <v>282</v>
      </c>
      <c r="U1071" s="323" t="s">
        <v>282</v>
      </c>
      <c r="V1071" s="323" t="s">
        <v>282</v>
      </c>
      <c r="W1071" s="324" t="s">
        <v>282</v>
      </c>
      <c r="X1071" s="324" t="s">
        <v>282</v>
      </c>
      <c r="Y1071" s="325" t="s">
        <v>282</v>
      </c>
    </row>
    <row r="1072" spans="1:25">
      <c r="A1072" s="319">
        <v>20</v>
      </c>
      <c r="B1072" s="320" t="str">
        <f>VLOOKUP(Tabel10[[#This Row],[Code]],Ruimtegroepen[[Code]:[Ruimte omschrijving]],2,FALSE)</f>
        <v>Niet in Onderhoud</v>
      </c>
      <c r="C1072" s="321" t="s">
        <v>1177</v>
      </c>
      <c r="D1072" s="320" t="s">
        <v>14</v>
      </c>
      <c r="E1072" s="321" t="s">
        <v>100</v>
      </c>
      <c r="F1072" s="321" t="s">
        <v>1178</v>
      </c>
      <c r="G1072" s="326" t="s">
        <v>282</v>
      </c>
      <c r="H1072" s="322" t="s">
        <v>282</v>
      </c>
      <c r="I1072" s="322" t="s">
        <v>282</v>
      </c>
      <c r="J1072" s="322" t="s">
        <v>282</v>
      </c>
      <c r="K1072" s="322" t="s">
        <v>282</v>
      </c>
      <c r="L1072" s="322" t="s">
        <v>282</v>
      </c>
      <c r="M1072" s="322" t="s">
        <v>282</v>
      </c>
      <c r="N1072" s="322" t="s">
        <v>282</v>
      </c>
      <c r="O1072" s="323" t="s">
        <v>282</v>
      </c>
      <c r="P1072" s="323" t="s">
        <v>282</v>
      </c>
      <c r="Q1072" s="323" t="s">
        <v>282</v>
      </c>
      <c r="R1072" s="323" t="s">
        <v>282</v>
      </c>
      <c r="S1072" s="323" t="s">
        <v>282</v>
      </c>
      <c r="T1072" s="323" t="s">
        <v>282</v>
      </c>
      <c r="U1072" s="323" t="s">
        <v>282</v>
      </c>
      <c r="V1072" s="323" t="s">
        <v>282</v>
      </c>
      <c r="W1072" s="324" t="s">
        <v>282</v>
      </c>
      <c r="X1072" s="324" t="s">
        <v>282</v>
      </c>
      <c r="Y1072" s="325" t="s">
        <v>282</v>
      </c>
    </row>
    <row r="1073" spans="1:25">
      <c r="A1073" s="319">
        <v>20</v>
      </c>
      <c r="B1073" s="320" t="str">
        <f>VLOOKUP(Tabel10[[#This Row],[Code]],Ruimtegroepen[[Code]:[Ruimte omschrijving]],2,FALSE)</f>
        <v>Niet in Onderhoud</v>
      </c>
      <c r="C1073" s="321" t="s">
        <v>1177</v>
      </c>
      <c r="D1073" s="320" t="s">
        <v>14</v>
      </c>
      <c r="E1073" s="321" t="s">
        <v>99</v>
      </c>
      <c r="F1073" s="321" t="s">
        <v>1179</v>
      </c>
      <c r="G1073" s="326" t="s">
        <v>282</v>
      </c>
      <c r="H1073" s="322" t="s">
        <v>282</v>
      </c>
      <c r="I1073" s="322" t="s">
        <v>282</v>
      </c>
      <c r="J1073" s="322" t="s">
        <v>282</v>
      </c>
      <c r="K1073" s="322" t="s">
        <v>282</v>
      </c>
      <c r="L1073" s="322" t="s">
        <v>282</v>
      </c>
      <c r="M1073" s="322" t="s">
        <v>282</v>
      </c>
      <c r="N1073" s="322" t="s">
        <v>282</v>
      </c>
      <c r="O1073" s="323" t="s">
        <v>282</v>
      </c>
      <c r="P1073" s="323" t="s">
        <v>282</v>
      </c>
      <c r="Q1073" s="323" t="s">
        <v>282</v>
      </c>
      <c r="R1073" s="323" t="s">
        <v>282</v>
      </c>
      <c r="S1073" s="323" t="s">
        <v>282</v>
      </c>
      <c r="T1073" s="323" t="s">
        <v>282</v>
      </c>
      <c r="U1073" s="323" t="s">
        <v>282</v>
      </c>
      <c r="V1073" s="323" t="s">
        <v>282</v>
      </c>
      <c r="W1073" s="324" t="s">
        <v>282</v>
      </c>
      <c r="X1073" s="324" t="s">
        <v>282</v>
      </c>
      <c r="Y1073" s="325" t="s">
        <v>282</v>
      </c>
    </row>
    <row r="1074" spans="1:25">
      <c r="A1074" s="319">
        <v>20</v>
      </c>
      <c r="B1074" s="320" t="str">
        <f>VLOOKUP(Tabel10[[#This Row],[Code]],Ruimtegroepen[[Code]:[Ruimte omschrijving]],2,FALSE)</f>
        <v>Niet in Onderhoud</v>
      </c>
      <c r="C1074" s="321" t="s">
        <v>1177</v>
      </c>
      <c r="D1074" s="320" t="s">
        <v>14</v>
      </c>
      <c r="E1074" s="321" t="s">
        <v>101</v>
      </c>
      <c r="F1074" s="321" t="s">
        <v>1180</v>
      </c>
      <c r="G1074" s="326" t="s">
        <v>282</v>
      </c>
      <c r="H1074" s="322" t="s">
        <v>282</v>
      </c>
      <c r="I1074" s="322" t="s">
        <v>282</v>
      </c>
      <c r="J1074" s="322" t="s">
        <v>282</v>
      </c>
      <c r="K1074" s="322" t="s">
        <v>282</v>
      </c>
      <c r="L1074" s="322" t="s">
        <v>282</v>
      </c>
      <c r="M1074" s="322" t="s">
        <v>282</v>
      </c>
      <c r="N1074" s="322" t="s">
        <v>282</v>
      </c>
      <c r="O1074" s="323" t="s">
        <v>282</v>
      </c>
      <c r="P1074" s="323" t="s">
        <v>282</v>
      </c>
      <c r="Q1074" s="323" t="s">
        <v>282</v>
      </c>
      <c r="R1074" s="323" t="s">
        <v>282</v>
      </c>
      <c r="S1074" s="323" t="s">
        <v>282</v>
      </c>
      <c r="T1074" s="323" t="s">
        <v>282</v>
      </c>
      <c r="U1074" s="323" t="s">
        <v>282</v>
      </c>
      <c r="V1074" s="323" t="s">
        <v>282</v>
      </c>
      <c r="W1074" s="324" t="s">
        <v>282</v>
      </c>
      <c r="X1074" s="324" t="s">
        <v>282</v>
      </c>
      <c r="Y1074" s="325" t="s">
        <v>282</v>
      </c>
    </row>
    <row r="1075" spans="1:25">
      <c r="A1075" s="319">
        <v>20</v>
      </c>
      <c r="B1075" s="320" t="str">
        <f>VLOOKUP(Tabel10[[#This Row],[Code]],Ruimtegroepen[[Code]:[Ruimte omschrijving]],2,FALSE)</f>
        <v>Niet in Onderhoud</v>
      </c>
      <c r="C1075" s="321" t="s">
        <v>1177</v>
      </c>
      <c r="D1075" s="320" t="s">
        <v>14</v>
      </c>
      <c r="E1075" s="321" t="s">
        <v>102</v>
      </c>
      <c r="F1075" s="321" t="s">
        <v>1181</v>
      </c>
      <c r="G1075" s="326" t="s">
        <v>282</v>
      </c>
      <c r="H1075" s="322" t="s">
        <v>282</v>
      </c>
      <c r="I1075" s="322" t="s">
        <v>282</v>
      </c>
      <c r="J1075" s="322" t="s">
        <v>282</v>
      </c>
      <c r="K1075" s="322" t="s">
        <v>282</v>
      </c>
      <c r="L1075" s="322" t="s">
        <v>282</v>
      </c>
      <c r="M1075" s="322" t="s">
        <v>282</v>
      </c>
      <c r="N1075" s="322" t="s">
        <v>282</v>
      </c>
      <c r="O1075" s="323" t="s">
        <v>282</v>
      </c>
      <c r="P1075" s="323" t="s">
        <v>282</v>
      </c>
      <c r="Q1075" s="323" t="s">
        <v>282</v>
      </c>
      <c r="R1075" s="323" t="s">
        <v>282</v>
      </c>
      <c r="S1075" s="323" t="s">
        <v>282</v>
      </c>
      <c r="T1075" s="323" t="s">
        <v>282</v>
      </c>
      <c r="U1075" s="323" t="s">
        <v>282</v>
      </c>
      <c r="V1075" s="323" t="s">
        <v>282</v>
      </c>
      <c r="W1075" s="324" t="s">
        <v>282</v>
      </c>
      <c r="X1075" s="324" t="s">
        <v>282</v>
      </c>
      <c r="Y1075" s="325" t="s">
        <v>282</v>
      </c>
    </row>
    <row r="1076" spans="1:25">
      <c r="A1076" s="319">
        <v>20</v>
      </c>
      <c r="B1076" s="320" t="str">
        <f>VLOOKUP(Tabel10[[#This Row],[Code]],Ruimtegroepen[[Code]:[Ruimte omschrijving]],2,FALSE)</f>
        <v>Niet in Onderhoud</v>
      </c>
      <c r="C1076" s="321" t="s">
        <v>1177</v>
      </c>
      <c r="D1076" s="320" t="s">
        <v>14</v>
      </c>
      <c r="E1076" s="321" t="s">
        <v>99</v>
      </c>
      <c r="F1076" s="321" t="s">
        <v>1179</v>
      </c>
      <c r="G1076" s="326" t="s">
        <v>282</v>
      </c>
      <c r="H1076" s="322" t="s">
        <v>282</v>
      </c>
      <c r="I1076" s="322" t="s">
        <v>282</v>
      </c>
      <c r="J1076" s="322" t="s">
        <v>282</v>
      </c>
      <c r="K1076" s="322" t="s">
        <v>282</v>
      </c>
      <c r="L1076" s="322" t="s">
        <v>282</v>
      </c>
      <c r="M1076" s="322" t="s">
        <v>282</v>
      </c>
      <c r="N1076" s="322" t="s">
        <v>282</v>
      </c>
      <c r="O1076" s="323" t="s">
        <v>282</v>
      </c>
      <c r="P1076" s="323" t="s">
        <v>282</v>
      </c>
      <c r="Q1076" s="323" t="s">
        <v>282</v>
      </c>
      <c r="R1076" s="323" t="s">
        <v>282</v>
      </c>
      <c r="S1076" s="323" t="s">
        <v>282</v>
      </c>
      <c r="T1076" s="323" t="s">
        <v>282</v>
      </c>
      <c r="U1076" s="323" t="s">
        <v>282</v>
      </c>
      <c r="V1076" s="323" t="s">
        <v>282</v>
      </c>
      <c r="W1076" s="324" t="s">
        <v>282</v>
      </c>
      <c r="X1076" s="324" t="s">
        <v>282</v>
      </c>
      <c r="Y1076" s="325" t="s">
        <v>282</v>
      </c>
    </row>
    <row r="1077" spans="1:25">
      <c r="A1077" s="319">
        <v>20</v>
      </c>
      <c r="B1077" s="320" t="str">
        <f>VLOOKUP(Tabel10[[#This Row],[Code]],Ruimtegroepen[[Code]:[Ruimte omschrijving]],2,FALSE)</f>
        <v>Niet in Onderhoud</v>
      </c>
      <c r="C1077" s="321" t="s">
        <v>1177</v>
      </c>
      <c r="D1077" s="320" t="s">
        <v>14</v>
      </c>
      <c r="E1077" s="321" t="s">
        <v>1306</v>
      </c>
      <c r="F1077" s="321" t="s">
        <v>1320</v>
      </c>
      <c r="G1077" s="326" t="s">
        <v>282</v>
      </c>
      <c r="H1077" s="322" t="s">
        <v>282</v>
      </c>
      <c r="I1077" s="322" t="s">
        <v>282</v>
      </c>
      <c r="J1077" s="322" t="s">
        <v>282</v>
      </c>
      <c r="K1077" s="322" t="s">
        <v>282</v>
      </c>
      <c r="L1077" s="322" t="s">
        <v>282</v>
      </c>
      <c r="M1077" s="322" t="s">
        <v>282</v>
      </c>
      <c r="N1077" s="322" t="s">
        <v>282</v>
      </c>
      <c r="O1077" s="323" t="s">
        <v>282</v>
      </c>
      <c r="P1077" s="323" t="s">
        <v>282</v>
      </c>
      <c r="Q1077" s="323" t="s">
        <v>282</v>
      </c>
      <c r="R1077" s="323" t="s">
        <v>282</v>
      </c>
      <c r="S1077" s="323" t="s">
        <v>282</v>
      </c>
      <c r="T1077" s="323" t="s">
        <v>282</v>
      </c>
      <c r="U1077" s="323" t="s">
        <v>282</v>
      </c>
      <c r="V1077" s="323" t="s">
        <v>282</v>
      </c>
      <c r="W1077" s="324" t="s">
        <v>282</v>
      </c>
      <c r="X1077" s="324" t="s">
        <v>282</v>
      </c>
      <c r="Y1077" s="325" t="s">
        <v>282</v>
      </c>
    </row>
    <row r="1078" spans="1:25">
      <c r="A1078" s="319">
        <v>20</v>
      </c>
      <c r="B1078" s="320" t="str">
        <f>VLOOKUP(Tabel10[[#This Row],[Code]],Ruimtegroepen[[Code]:[Ruimte omschrijving]],2,FALSE)</f>
        <v>Niet in Onderhoud</v>
      </c>
      <c r="C1078" s="321" t="s">
        <v>1182</v>
      </c>
      <c r="D1078" s="320" t="s">
        <v>13</v>
      </c>
      <c r="E1078" s="321" t="s">
        <v>100</v>
      </c>
      <c r="F1078" s="321" t="s">
        <v>1183</v>
      </c>
      <c r="G1078" s="326" t="s">
        <v>282</v>
      </c>
      <c r="H1078" s="322" t="s">
        <v>282</v>
      </c>
      <c r="I1078" s="322" t="s">
        <v>282</v>
      </c>
      <c r="J1078" s="322" t="s">
        <v>282</v>
      </c>
      <c r="K1078" s="322" t="s">
        <v>282</v>
      </c>
      <c r="L1078" s="322" t="s">
        <v>282</v>
      </c>
      <c r="M1078" s="322" t="s">
        <v>282</v>
      </c>
      <c r="N1078" s="322" t="s">
        <v>282</v>
      </c>
      <c r="O1078" s="323" t="s">
        <v>282</v>
      </c>
      <c r="P1078" s="323" t="s">
        <v>282</v>
      </c>
      <c r="Q1078" s="323" t="s">
        <v>282</v>
      </c>
      <c r="R1078" s="323" t="s">
        <v>282</v>
      </c>
      <c r="S1078" s="323" t="s">
        <v>282</v>
      </c>
      <c r="T1078" s="323" t="s">
        <v>282</v>
      </c>
      <c r="U1078" s="323" t="s">
        <v>282</v>
      </c>
      <c r="V1078" s="323" t="s">
        <v>282</v>
      </c>
      <c r="W1078" s="324" t="s">
        <v>282</v>
      </c>
      <c r="X1078" s="324" t="s">
        <v>282</v>
      </c>
      <c r="Y1078" s="325" t="s">
        <v>282</v>
      </c>
    </row>
    <row r="1079" spans="1:25">
      <c r="A1079" s="319">
        <v>20</v>
      </c>
      <c r="B1079" s="320" t="str">
        <f>VLOOKUP(Tabel10[[#This Row],[Code]],Ruimtegroepen[[Code]:[Ruimte omschrijving]],2,FALSE)</f>
        <v>Niet in Onderhoud</v>
      </c>
      <c r="C1079" s="321" t="s">
        <v>1182</v>
      </c>
      <c r="D1079" s="320" t="s">
        <v>13</v>
      </c>
      <c r="E1079" s="321" t="s">
        <v>99</v>
      </c>
      <c r="F1079" s="321" t="s">
        <v>1184</v>
      </c>
      <c r="G1079" s="326" t="s">
        <v>282</v>
      </c>
      <c r="H1079" s="322" t="s">
        <v>282</v>
      </c>
      <c r="I1079" s="322" t="s">
        <v>282</v>
      </c>
      <c r="J1079" s="322" t="s">
        <v>282</v>
      </c>
      <c r="K1079" s="322" t="s">
        <v>282</v>
      </c>
      <c r="L1079" s="322" t="s">
        <v>282</v>
      </c>
      <c r="M1079" s="322" t="s">
        <v>282</v>
      </c>
      <c r="N1079" s="322" t="s">
        <v>282</v>
      </c>
      <c r="O1079" s="323" t="s">
        <v>282</v>
      </c>
      <c r="P1079" s="323" t="s">
        <v>282</v>
      </c>
      <c r="Q1079" s="323" t="s">
        <v>282</v>
      </c>
      <c r="R1079" s="323" t="s">
        <v>282</v>
      </c>
      <c r="S1079" s="323" t="s">
        <v>282</v>
      </c>
      <c r="T1079" s="323" t="s">
        <v>282</v>
      </c>
      <c r="U1079" s="323" t="s">
        <v>282</v>
      </c>
      <c r="V1079" s="323" t="s">
        <v>282</v>
      </c>
      <c r="W1079" s="324" t="s">
        <v>282</v>
      </c>
      <c r="X1079" s="324" t="s">
        <v>282</v>
      </c>
      <c r="Y1079" s="325" t="s">
        <v>282</v>
      </c>
    </row>
    <row r="1080" spans="1:25">
      <c r="A1080" s="319">
        <v>20</v>
      </c>
      <c r="B1080" s="320" t="str">
        <f>VLOOKUP(Tabel10[[#This Row],[Code]],Ruimtegroepen[[Code]:[Ruimte omschrijving]],2,FALSE)</f>
        <v>Niet in Onderhoud</v>
      </c>
      <c r="C1080" s="321" t="s">
        <v>1182</v>
      </c>
      <c r="D1080" s="320" t="s">
        <v>13</v>
      </c>
      <c r="E1080" s="321" t="s">
        <v>101</v>
      </c>
      <c r="F1080" s="321" t="s">
        <v>1185</v>
      </c>
      <c r="G1080" s="326" t="s">
        <v>282</v>
      </c>
      <c r="H1080" s="322" t="s">
        <v>282</v>
      </c>
      <c r="I1080" s="322" t="s">
        <v>282</v>
      </c>
      <c r="J1080" s="322" t="s">
        <v>282</v>
      </c>
      <c r="K1080" s="322" t="s">
        <v>282</v>
      </c>
      <c r="L1080" s="322" t="s">
        <v>282</v>
      </c>
      <c r="M1080" s="322" t="s">
        <v>282</v>
      </c>
      <c r="N1080" s="322" t="s">
        <v>282</v>
      </c>
      <c r="O1080" s="323" t="s">
        <v>282</v>
      </c>
      <c r="P1080" s="323" t="s">
        <v>282</v>
      </c>
      <c r="Q1080" s="323" t="s">
        <v>282</v>
      </c>
      <c r="R1080" s="323" t="s">
        <v>282</v>
      </c>
      <c r="S1080" s="323" t="s">
        <v>282</v>
      </c>
      <c r="T1080" s="323" t="s">
        <v>282</v>
      </c>
      <c r="U1080" s="323" t="s">
        <v>282</v>
      </c>
      <c r="V1080" s="323" t="s">
        <v>282</v>
      </c>
      <c r="W1080" s="324" t="s">
        <v>282</v>
      </c>
      <c r="X1080" s="324" t="s">
        <v>282</v>
      </c>
      <c r="Y1080" s="325" t="s">
        <v>282</v>
      </c>
    </row>
    <row r="1081" spans="1:25">
      <c r="A1081" s="319">
        <v>20</v>
      </c>
      <c r="B1081" s="320" t="str">
        <f>VLOOKUP(Tabel10[[#This Row],[Code]],Ruimtegroepen[[Code]:[Ruimte omschrijving]],2,FALSE)</f>
        <v>Niet in Onderhoud</v>
      </c>
      <c r="C1081" s="321" t="s">
        <v>1182</v>
      </c>
      <c r="D1081" s="320" t="s">
        <v>13</v>
      </c>
      <c r="E1081" s="321" t="s">
        <v>102</v>
      </c>
      <c r="F1081" s="321" t="s">
        <v>1186</v>
      </c>
      <c r="G1081" s="326" t="s">
        <v>282</v>
      </c>
      <c r="H1081" s="322" t="s">
        <v>282</v>
      </c>
      <c r="I1081" s="322" t="s">
        <v>282</v>
      </c>
      <c r="J1081" s="322" t="s">
        <v>282</v>
      </c>
      <c r="K1081" s="322" t="s">
        <v>282</v>
      </c>
      <c r="L1081" s="322" t="s">
        <v>282</v>
      </c>
      <c r="M1081" s="322" t="s">
        <v>282</v>
      </c>
      <c r="N1081" s="322" t="s">
        <v>282</v>
      </c>
      <c r="O1081" s="323" t="s">
        <v>282</v>
      </c>
      <c r="P1081" s="323" t="s">
        <v>282</v>
      </c>
      <c r="Q1081" s="323" t="s">
        <v>282</v>
      </c>
      <c r="R1081" s="323" t="s">
        <v>282</v>
      </c>
      <c r="S1081" s="323" t="s">
        <v>282</v>
      </c>
      <c r="T1081" s="323" t="s">
        <v>282</v>
      </c>
      <c r="U1081" s="323" t="s">
        <v>282</v>
      </c>
      <c r="V1081" s="323" t="s">
        <v>282</v>
      </c>
      <c r="W1081" s="324" t="s">
        <v>282</v>
      </c>
      <c r="X1081" s="324" t="s">
        <v>282</v>
      </c>
      <c r="Y1081" s="325" t="s">
        <v>282</v>
      </c>
    </row>
    <row r="1082" spans="1:25">
      <c r="A1082" s="319">
        <v>20</v>
      </c>
      <c r="B1082" s="320" t="str">
        <f>VLOOKUP(Tabel10[[#This Row],[Code]],Ruimtegroepen[[Code]:[Ruimte omschrijving]],2,FALSE)</f>
        <v>Niet in Onderhoud</v>
      </c>
      <c r="C1082" s="321" t="s">
        <v>1182</v>
      </c>
      <c r="D1082" s="320" t="s">
        <v>13</v>
      </c>
      <c r="E1082" s="321" t="s">
        <v>99</v>
      </c>
      <c r="F1082" s="321" t="s">
        <v>1184</v>
      </c>
      <c r="G1082" s="326" t="s">
        <v>282</v>
      </c>
      <c r="H1082" s="322" t="s">
        <v>282</v>
      </c>
      <c r="I1082" s="322" t="s">
        <v>282</v>
      </c>
      <c r="J1082" s="322" t="s">
        <v>282</v>
      </c>
      <c r="K1082" s="322" t="s">
        <v>282</v>
      </c>
      <c r="L1082" s="322" t="s">
        <v>282</v>
      </c>
      <c r="M1082" s="322" t="s">
        <v>282</v>
      </c>
      <c r="N1082" s="322" t="s">
        <v>282</v>
      </c>
      <c r="O1082" s="323" t="s">
        <v>282</v>
      </c>
      <c r="P1082" s="323" t="s">
        <v>282</v>
      </c>
      <c r="Q1082" s="323" t="s">
        <v>282</v>
      </c>
      <c r="R1082" s="323" t="s">
        <v>282</v>
      </c>
      <c r="S1082" s="323" t="s">
        <v>282</v>
      </c>
      <c r="T1082" s="323" t="s">
        <v>282</v>
      </c>
      <c r="U1082" s="323" t="s">
        <v>282</v>
      </c>
      <c r="V1082" s="323" t="s">
        <v>282</v>
      </c>
      <c r="W1082" s="324" t="s">
        <v>282</v>
      </c>
      <c r="X1082" s="324" t="s">
        <v>282</v>
      </c>
      <c r="Y1082" s="325" t="s">
        <v>282</v>
      </c>
    </row>
    <row r="1083" spans="1:25">
      <c r="A1083" s="319">
        <v>20</v>
      </c>
      <c r="B1083" s="320" t="str">
        <f>VLOOKUP(Tabel10[[#This Row],[Code]],Ruimtegroepen[[Code]:[Ruimte omschrijving]],2,FALSE)</f>
        <v>Niet in Onderhoud</v>
      </c>
      <c r="C1083" s="321" t="s">
        <v>1182</v>
      </c>
      <c r="D1083" s="320" t="s">
        <v>13</v>
      </c>
      <c r="E1083" s="321" t="s">
        <v>1306</v>
      </c>
      <c r="F1083" s="321" t="s">
        <v>1319</v>
      </c>
      <c r="G1083" s="326" t="s">
        <v>282</v>
      </c>
      <c r="H1083" s="322" t="s">
        <v>282</v>
      </c>
      <c r="I1083" s="322" t="s">
        <v>282</v>
      </c>
      <c r="J1083" s="322" t="s">
        <v>282</v>
      </c>
      <c r="K1083" s="322" t="s">
        <v>282</v>
      </c>
      <c r="L1083" s="322" t="s">
        <v>282</v>
      </c>
      <c r="M1083" s="322" t="s">
        <v>282</v>
      </c>
      <c r="N1083" s="322" t="s">
        <v>282</v>
      </c>
      <c r="O1083" s="323" t="s">
        <v>282</v>
      </c>
      <c r="P1083" s="323" t="s">
        <v>282</v>
      </c>
      <c r="Q1083" s="323" t="s">
        <v>282</v>
      </c>
      <c r="R1083" s="323" t="s">
        <v>282</v>
      </c>
      <c r="S1083" s="323" t="s">
        <v>282</v>
      </c>
      <c r="T1083" s="323" t="s">
        <v>282</v>
      </c>
      <c r="U1083" s="323" t="s">
        <v>282</v>
      </c>
      <c r="V1083" s="323" t="s">
        <v>282</v>
      </c>
      <c r="W1083" s="324" t="s">
        <v>282</v>
      </c>
      <c r="X1083" s="324" t="s">
        <v>282</v>
      </c>
      <c r="Y1083" s="325" t="s">
        <v>282</v>
      </c>
    </row>
    <row r="1084" spans="1:25">
      <c r="A1084" s="319">
        <v>20</v>
      </c>
      <c r="B1084" s="320" t="str">
        <f>VLOOKUP(Tabel10[[#This Row],[Code]],Ruimtegroepen[[Code]:[Ruimte omschrijving]],2,FALSE)</f>
        <v>Niet in Onderhoud</v>
      </c>
      <c r="C1084" s="321" t="s">
        <v>1187</v>
      </c>
      <c r="D1084" s="320" t="s">
        <v>0</v>
      </c>
      <c r="E1084" s="321" t="s">
        <v>100</v>
      </c>
      <c r="F1084" s="321" t="s">
        <v>1188</v>
      </c>
      <c r="G1084" s="326" t="s">
        <v>282</v>
      </c>
      <c r="H1084" s="322" t="s">
        <v>282</v>
      </c>
      <c r="I1084" s="322" t="s">
        <v>282</v>
      </c>
      <c r="J1084" s="322" t="s">
        <v>282</v>
      </c>
      <c r="K1084" s="322" t="s">
        <v>282</v>
      </c>
      <c r="L1084" s="322" t="s">
        <v>282</v>
      </c>
      <c r="M1084" s="322" t="s">
        <v>282</v>
      </c>
      <c r="N1084" s="322" t="s">
        <v>282</v>
      </c>
      <c r="O1084" s="323" t="s">
        <v>282</v>
      </c>
      <c r="P1084" s="323" t="s">
        <v>282</v>
      </c>
      <c r="Q1084" s="323" t="s">
        <v>282</v>
      </c>
      <c r="R1084" s="323" t="s">
        <v>282</v>
      </c>
      <c r="S1084" s="323" t="s">
        <v>282</v>
      </c>
      <c r="T1084" s="323" t="s">
        <v>282</v>
      </c>
      <c r="U1084" s="323" t="s">
        <v>282</v>
      </c>
      <c r="V1084" s="323" t="s">
        <v>282</v>
      </c>
      <c r="W1084" s="324" t="s">
        <v>282</v>
      </c>
      <c r="X1084" s="324" t="s">
        <v>282</v>
      </c>
      <c r="Y1084" s="325" t="s">
        <v>282</v>
      </c>
    </row>
    <row r="1085" spans="1:25">
      <c r="A1085" s="319">
        <v>20</v>
      </c>
      <c r="B1085" s="320" t="str">
        <f>VLOOKUP(Tabel10[[#This Row],[Code]],Ruimtegroepen[[Code]:[Ruimte omschrijving]],2,FALSE)</f>
        <v>Niet in Onderhoud</v>
      </c>
      <c r="C1085" s="321" t="s">
        <v>1187</v>
      </c>
      <c r="D1085" s="320" t="s">
        <v>0</v>
      </c>
      <c r="E1085" s="321" t="s">
        <v>99</v>
      </c>
      <c r="F1085" s="321" t="s">
        <v>1189</v>
      </c>
      <c r="G1085" s="326" t="s">
        <v>282</v>
      </c>
      <c r="H1085" s="322" t="s">
        <v>282</v>
      </c>
      <c r="I1085" s="322" t="s">
        <v>282</v>
      </c>
      <c r="J1085" s="322" t="s">
        <v>282</v>
      </c>
      <c r="K1085" s="322" t="s">
        <v>282</v>
      </c>
      <c r="L1085" s="322" t="s">
        <v>282</v>
      </c>
      <c r="M1085" s="322" t="s">
        <v>282</v>
      </c>
      <c r="N1085" s="322" t="s">
        <v>282</v>
      </c>
      <c r="O1085" s="323" t="s">
        <v>282</v>
      </c>
      <c r="P1085" s="323" t="s">
        <v>282</v>
      </c>
      <c r="Q1085" s="323" t="s">
        <v>282</v>
      </c>
      <c r="R1085" s="323" t="s">
        <v>282</v>
      </c>
      <c r="S1085" s="323" t="s">
        <v>282</v>
      </c>
      <c r="T1085" s="323" t="s">
        <v>282</v>
      </c>
      <c r="U1085" s="323" t="s">
        <v>282</v>
      </c>
      <c r="V1085" s="323" t="s">
        <v>282</v>
      </c>
      <c r="W1085" s="324" t="s">
        <v>282</v>
      </c>
      <c r="X1085" s="324" t="s">
        <v>282</v>
      </c>
      <c r="Y1085" s="325" t="s">
        <v>282</v>
      </c>
    </row>
    <row r="1086" spans="1:25">
      <c r="A1086" s="319">
        <v>20</v>
      </c>
      <c r="B1086" s="320" t="str">
        <f>VLOOKUP(Tabel10[[#This Row],[Code]],Ruimtegroepen[[Code]:[Ruimte omschrijving]],2,FALSE)</f>
        <v>Niet in Onderhoud</v>
      </c>
      <c r="C1086" s="321" t="s">
        <v>1187</v>
      </c>
      <c r="D1086" s="320" t="s">
        <v>0</v>
      </c>
      <c r="E1086" s="321" t="s">
        <v>101</v>
      </c>
      <c r="F1086" s="321" t="s">
        <v>1190</v>
      </c>
      <c r="G1086" s="326" t="s">
        <v>282</v>
      </c>
      <c r="H1086" s="322" t="s">
        <v>282</v>
      </c>
      <c r="I1086" s="322" t="s">
        <v>282</v>
      </c>
      <c r="J1086" s="322" t="s">
        <v>282</v>
      </c>
      <c r="K1086" s="322" t="s">
        <v>282</v>
      </c>
      <c r="L1086" s="322" t="s">
        <v>282</v>
      </c>
      <c r="M1086" s="322" t="s">
        <v>282</v>
      </c>
      <c r="N1086" s="322" t="s">
        <v>282</v>
      </c>
      <c r="O1086" s="323" t="s">
        <v>282</v>
      </c>
      <c r="P1086" s="323" t="s">
        <v>282</v>
      </c>
      <c r="Q1086" s="323" t="s">
        <v>282</v>
      </c>
      <c r="R1086" s="323" t="s">
        <v>282</v>
      </c>
      <c r="S1086" s="323" t="s">
        <v>282</v>
      </c>
      <c r="T1086" s="323" t="s">
        <v>282</v>
      </c>
      <c r="U1086" s="323" t="s">
        <v>282</v>
      </c>
      <c r="V1086" s="323" t="s">
        <v>282</v>
      </c>
      <c r="W1086" s="324" t="s">
        <v>282</v>
      </c>
      <c r="X1086" s="324" t="s">
        <v>282</v>
      </c>
      <c r="Y1086" s="325" t="s">
        <v>282</v>
      </c>
    </row>
    <row r="1087" spans="1:25">
      <c r="A1087" s="319">
        <v>20</v>
      </c>
      <c r="B1087" s="320" t="str">
        <f>VLOOKUP(Tabel10[[#This Row],[Code]],Ruimtegroepen[[Code]:[Ruimte omschrijving]],2,FALSE)</f>
        <v>Niet in Onderhoud</v>
      </c>
      <c r="C1087" s="321" t="s">
        <v>1187</v>
      </c>
      <c r="D1087" s="320" t="s">
        <v>0</v>
      </c>
      <c r="E1087" s="321" t="s">
        <v>102</v>
      </c>
      <c r="F1087" s="321" t="s">
        <v>1191</v>
      </c>
      <c r="G1087" s="326" t="s">
        <v>282</v>
      </c>
      <c r="H1087" s="322" t="s">
        <v>282</v>
      </c>
      <c r="I1087" s="322" t="s">
        <v>282</v>
      </c>
      <c r="J1087" s="322" t="s">
        <v>282</v>
      </c>
      <c r="K1087" s="322" t="s">
        <v>282</v>
      </c>
      <c r="L1087" s="322" t="s">
        <v>282</v>
      </c>
      <c r="M1087" s="322" t="s">
        <v>282</v>
      </c>
      <c r="N1087" s="322" t="s">
        <v>282</v>
      </c>
      <c r="O1087" s="323" t="s">
        <v>282</v>
      </c>
      <c r="P1087" s="323" t="s">
        <v>282</v>
      </c>
      <c r="Q1087" s="323" t="s">
        <v>282</v>
      </c>
      <c r="R1087" s="323" t="s">
        <v>282</v>
      </c>
      <c r="S1087" s="323" t="s">
        <v>282</v>
      </c>
      <c r="T1087" s="323" t="s">
        <v>282</v>
      </c>
      <c r="U1087" s="323" t="s">
        <v>282</v>
      </c>
      <c r="V1087" s="323" t="s">
        <v>282</v>
      </c>
      <c r="W1087" s="324" t="s">
        <v>282</v>
      </c>
      <c r="X1087" s="324" t="s">
        <v>282</v>
      </c>
      <c r="Y1087" s="325" t="s">
        <v>282</v>
      </c>
    </row>
    <row r="1088" spans="1:25">
      <c r="A1088" s="319">
        <v>20</v>
      </c>
      <c r="B1088" s="320" t="str">
        <f>VLOOKUP(Tabel10[[#This Row],[Code]],Ruimtegroepen[[Code]:[Ruimte omschrijving]],2,FALSE)</f>
        <v>Niet in Onderhoud</v>
      </c>
      <c r="C1088" s="321" t="s">
        <v>1187</v>
      </c>
      <c r="D1088" s="320" t="s">
        <v>0</v>
      </c>
      <c r="E1088" s="321" t="s">
        <v>99</v>
      </c>
      <c r="F1088" s="321" t="s">
        <v>1189</v>
      </c>
      <c r="G1088" s="326" t="s">
        <v>282</v>
      </c>
      <c r="H1088" s="322" t="s">
        <v>282</v>
      </c>
      <c r="I1088" s="322" t="s">
        <v>282</v>
      </c>
      <c r="J1088" s="322" t="s">
        <v>282</v>
      </c>
      <c r="K1088" s="322" t="s">
        <v>282</v>
      </c>
      <c r="L1088" s="322" t="s">
        <v>282</v>
      </c>
      <c r="M1088" s="322" t="s">
        <v>282</v>
      </c>
      <c r="N1088" s="322" t="s">
        <v>282</v>
      </c>
      <c r="O1088" s="323" t="s">
        <v>282</v>
      </c>
      <c r="P1088" s="323" t="s">
        <v>282</v>
      </c>
      <c r="Q1088" s="323" t="s">
        <v>282</v>
      </c>
      <c r="R1088" s="323" t="s">
        <v>282</v>
      </c>
      <c r="S1088" s="323" t="s">
        <v>282</v>
      </c>
      <c r="T1088" s="323" t="s">
        <v>282</v>
      </c>
      <c r="U1088" s="323" t="s">
        <v>282</v>
      </c>
      <c r="V1088" s="323" t="s">
        <v>282</v>
      </c>
      <c r="W1088" s="324" t="s">
        <v>282</v>
      </c>
      <c r="X1088" s="324" t="s">
        <v>282</v>
      </c>
      <c r="Y1088" s="325" t="s">
        <v>282</v>
      </c>
    </row>
    <row r="1089" spans="1:25">
      <c r="A1089" s="319">
        <v>20</v>
      </c>
      <c r="B1089" s="320" t="str">
        <f>VLOOKUP(Tabel10[[#This Row],[Code]],Ruimtegroepen[[Code]:[Ruimte omschrijving]],2,FALSE)</f>
        <v>Niet in Onderhoud</v>
      </c>
      <c r="C1089" s="321" t="s">
        <v>1187</v>
      </c>
      <c r="D1089" s="320" t="s">
        <v>0</v>
      </c>
      <c r="E1089" s="321" t="s">
        <v>1306</v>
      </c>
      <c r="F1089" s="321" t="s">
        <v>1318</v>
      </c>
      <c r="G1089" s="326" t="s">
        <v>282</v>
      </c>
      <c r="H1089" s="322" t="s">
        <v>282</v>
      </c>
      <c r="I1089" s="322" t="s">
        <v>282</v>
      </c>
      <c r="J1089" s="322" t="s">
        <v>282</v>
      </c>
      <c r="K1089" s="322" t="s">
        <v>282</v>
      </c>
      <c r="L1089" s="322" t="s">
        <v>282</v>
      </c>
      <c r="M1089" s="322" t="s">
        <v>282</v>
      </c>
      <c r="N1089" s="322" t="s">
        <v>282</v>
      </c>
      <c r="O1089" s="323" t="s">
        <v>282</v>
      </c>
      <c r="P1089" s="323" t="s">
        <v>282</v>
      </c>
      <c r="Q1089" s="323" t="s">
        <v>282</v>
      </c>
      <c r="R1089" s="323" t="s">
        <v>282</v>
      </c>
      <c r="S1089" s="323" t="s">
        <v>282</v>
      </c>
      <c r="T1089" s="323" t="s">
        <v>282</v>
      </c>
      <c r="U1089" s="323" t="s">
        <v>282</v>
      </c>
      <c r="V1089" s="323" t="s">
        <v>282</v>
      </c>
      <c r="W1089" s="324" t="s">
        <v>282</v>
      </c>
      <c r="X1089" s="324" t="s">
        <v>282</v>
      </c>
      <c r="Y1089" s="325" t="s">
        <v>282</v>
      </c>
    </row>
    <row r="1090" spans="1:25">
      <c r="A1090" s="319">
        <v>20</v>
      </c>
      <c r="B1090" s="320" t="str">
        <f>VLOOKUP(Tabel10[[#This Row],[Code]],Ruimtegroepen[[Code]:[Ruimte omschrijving]],2,FALSE)</f>
        <v>Niet in Onderhoud</v>
      </c>
      <c r="C1090" s="321" t="s">
        <v>1192</v>
      </c>
      <c r="D1090" s="320" t="s">
        <v>27</v>
      </c>
      <c r="E1090" s="321" t="s">
        <v>100</v>
      </c>
      <c r="F1090" s="321" t="s">
        <v>1193</v>
      </c>
      <c r="G1090" s="326" t="s">
        <v>282</v>
      </c>
      <c r="H1090" s="322" t="s">
        <v>282</v>
      </c>
      <c r="I1090" s="322" t="s">
        <v>282</v>
      </c>
      <c r="J1090" s="322" t="s">
        <v>282</v>
      </c>
      <c r="K1090" s="322" t="s">
        <v>282</v>
      </c>
      <c r="L1090" s="322" t="s">
        <v>282</v>
      </c>
      <c r="M1090" s="322" t="s">
        <v>282</v>
      </c>
      <c r="N1090" s="322" t="s">
        <v>282</v>
      </c>
      <c r="O1090" s="323" t="s">
        <v>282</v>
      </c>
      <c r="P1090" s="323" t="s">
        <v>282</v>
      </c>
      <c r="Q1090" s="323" t="s">
        <v>282</v>
      </c>
      <c r="R1090" s="323" t="s">
        <v>282</v>
      </c>
      <c r="S1090" s="323" t="s">
        <v>282</v>
      </c>
      <c r="T1090" s="323" t="s">
        <v>282</v>
      </c>
      <c r="U1090" s="323" t="s">
        <v>282</v>
      </c>
      <c r="V1090" s="323" t="s">
        <v>282</v>
      </c>
      <c r="W1090" s="324" t="s">
        <v>282</v>
      </c>
      <c r="X1090" s="324" t="s">
        <v>282</v>
      </c>
      <c r="Y1090" s="325" t="s">
        <v>282</v>
      </c>
    </row>
    <row r="1091" spans="1:25">
      <c r="A1091" s="319">
        <v>20</v>
      </c>
      <c r="B1091" s="320" t="str">
        <f>VLOOKUP(Tabel10[[#This Row],[Code]],Ruimtegroepen[[Code]:[Ruimte omschrijving]],2,FALSE)</f>
        <v>Niet in Onderhoud</v>
      </c>
      <c r="C1091" s="321" t="s">
        <v>1192</v>
      </c>
      <c r="D1091" s="320" t="s">
        <v>27</v>
      </c>
      <c r="E1091" s="321" t="s">
        <v>99</v>
      </c>
      <c r="F1091" s="321" t="s">
        <v>1194</v>
      </c>
      <c r="G1091" s="326" t="s">
        <v>282</v>
      </c>
      <c r="H1091" s="322" t="s">
        <v>282</v>
      </c>
      <c r="I1091" s="322" t="s">
        <v>282</v>
      </c>
      <c r="J1091" s="322" t="s">
        <v>282</v>
      </c>
      <c r="K1091" s="322" t="s">
        <v>282</v>
      </c>
      <c r="L1091" s="322" t="s">
        <v>282</v>
      </c>
      <c r="M1091" s="322" t="s">
        <v>282</v>
      </c>
      <c r="N1091" s="322" t="s">
        <v>282</v>
      </c>
      <c r="O1091" s="323" t="s">
        <v>282</v>
      </c>
      <c r="P1091" s="323" t="s">
        <v>282</v>
      </c>
      <c r="Q1091" s="323" t="s">
        <v>282</v>
      </c>
      <c r="R1091" s="323" t="s">
        <v>282</v>
      </c>
      <c r="S1091" s="323" t="s">
        <v>282</v>
      </c>
      <c r="T1091" s="323" t="s">
        <v>282</v>
      </c>
      <c r="U1091" s="323" t="s">
        <v>282</v>
      </c>
      <c r="V1091" s="323" t="s">
        <v>282</v>
      </c>
      <c r="W1091" s="324" t="s">
        <v>282</v>
      </c>
      <c r="X1091" s="324" t="s">
        <v>282</v>
      </c>
      <c r="Y1091" s="325" t="s">
        <v>282</v>
      </c>
    </row>
    <row r="1092" spans="1:25">
      <c r="A1092" s="319">
        <v>20</v>
      </c>
      <c r="B1092" s="320" t="str">
        <f>VLOOKUP(Tabel10[[#This Row],[Code]],Ruimtegroepen[[Code]:[Ruimte omschrijving]],2,FALSE)</f>
        <v>Niet in Onderhoud</v>
      </c>
      <c r="C1092" s="321" t="s">
        <v>1192</v>
      </c>
      <c r="D1092" s="320" t="s">
        <v>27</v>
      </c>
      <c r="E1092" s="321" t="s">
        <v>101</v>
      </c>
      <c r="F1092" s="321" t="s">
        <v>1195</v>
      </c>
      <c r="G1092" s="326" t="s">
        <v>282</v>
      </c>
      <c r="H1092" s="322" t="s">
        <v>282</v>
      </c>
      <c r="I1092" s="322" t="s">
        <v>282</v>
      </c>
      <c r="J1092" s="322" t="s">
        <v>282</v>
      </c>
      <c r="K1092" s="322" t="s">
        <v>282</v>
      </c>
      <c r="L1092" s="322" t="s">
        <v>282</v>
      </c>
      <c r="M1092" s="322" t="s">
        <v>282</v>
      </c>
      <c r="N1092" s="322" t="s">
        <v>282</v>
      </c>
      <c r="O1092" s="323" t="s">
        <v>282</v>
      </c>
      <c r="P1092" s="323" t="s">
        <v>282</v>
      </c>
      <c r="Q1092" s="323" t="s">
        <v>282</v>
      </c>
      <c r="R1092" s="323" t="s">
        <v>282</v>
      </c>
      <c r="S1092" s="323" t="s">
        <v>282</v>
      </c>
      <c r="T1092" s="323" t="s">
        <v>282</v>
      </c>
      <c r="U1092" s="323" t="s">
        <v>282</v>
      </c>
      <c r="V1092" s="323" t="s">
        <v>282</v>
      </c>
      <c r="W1092" s="324" t="s">
        <v>282</v>
      </c>
      <c r="X1092" s="324" t="s">
        <v>282</v>
      </c>
      <c r="Y1092" s="325" t="s">
        <v>282</v>
      </c>
    </row>
    <row r="1093" spans="1:25">
      <c r="A1093" s="319">
        <v>20</v>
      </c>
      <c r="B1093" s="320" t="str">
        <f>VLOOKUP(Tabel10[[#This Row],[Code]],Ruimtegroepen[[Code]:[Ruimte omschrijving]],2,FALSE)</f>
        <v>Niet in Onderhoud</v>
      </c>
      <c r="C1093" s="321" t="s">
        <v>1192</v>
      </c>
      <c r="D1093" s="320" t="s">
        <v>27</v>
      </c>
      <c r="E1093" s="321" t="s">
        <v>102</v>
      </c>
      <c r="F1093" s="321" t="s">
        <v>1196</v>
      </c>
      <c r="G1093" s="326" t="s">
        <v>282</v>
      </c>
      <c r="H1093" s="322" t="s">
        <v>282</v>
      </c>
      <c r="I1093" s="322" t="s">
        <v>282</v>
      </c>
      <c r="J1093" s="322" t="s">
        <v>282</v>
      </c>
      <c r="K1093" s="322" t="s">
        <v>282</v>
      </c>
      <c r="L1093" s="322" t="s">
        <v>282</v>
      </c>
      <c r="M1093" s="322" t="s">
        <v>282</v>
      </c>
      <c r="N1093" s="322" t="s">
        <v>282</v>
      </c>
      <c r="O1093" s="323" t="s">
        <v>282</v>
      </c>
      <c r="P1093" s="323" t="s">
        <v>282</v>
      </c>
      <c r="Q1093" s="323" t="s">
        <v>282</v>
      </c>
      <c r="R1093" s="323" t="s">
        <v>282</v>
      </c>
      <c r="S1093" s="323" t="s">
        <v>282</v>
      </c>
      <c r="T1093" s="323" t="s">
        <v>282</v>
      </c>
      <c r="U1093" s="323" t="s">
        <v>282</v>
      </c>
      <c r="V1093" s="323" t="s">
        <v>282</v>
      </c>
      <c r="W1093" s="324" t="s">
        <v>282</v>
      </c>
      <c r="X1093" s="324" t="s">
        <v>282</v>
      </c>
      <c r="Y1093" s="325" t="s">
        <v>282</v>
      </c>
    </row>
    <row r="1094" spans="1:25">
      <c r="A1094" s="319">
        <v>20</v>
      </c>
      <c r="B1094" s="320" t="str">
        <f>VLOOKUP(Tabel10[[#This Row],[Code]],Ruimtegroepen[[Code]:[Ruimte omschrijving]],2,FALSE)</f>
        <v>Niet in Onderhoud</v>
      </c>
      <c r="C1094" s="321" t="s">
        <v>1192</v>
      </c>
      <c r="D1094" s="320" t="s">
        <v>27</v>
      </c>
      <c r="E1094" s="321" t="s">
        <v>99</v>
      </c>
      <c r="F1094" s="321" t="s">
        <v>1194</v>
      </c>
      <c r="G1094" s="326" t="s">
        <v>282</v>
      </c>
      <c r="H1094" s="322" t="s">
        <v>282</v>
      </c>
      <c r="I1094" s="322" t="s">
        <v>282</v>
      </c>
      <c r="J1094" s="322" t="s">
        <v>282</v>
      </c>
      <c r="K1094" s="322" t="s">
        <v>282</v>
      </c>
      <c r="L1094" s="322" t="s">
        <v>282</v>
      </c>
      <c r="M1094" s="322" t="s">
        <v>282</v>
      </c>
      <c r="N1094" s="322" t="s">
        <v>282</v>
      </c>
      <c r="O1094" s="323" t="s">
        <v>282</v>
      </c>
      <c r="P1094" s="323" t="s">
        <v>282</v>
      </c>
      <c r="Q1094" s="323" t="s">
        <v>282</v>
      </c>
      <c r="R1094" s="323" t="s">
        <v>282</v>
      </c>
      <c r="S1094" s="323" t="s">
        <v>282</v>
      </c>
      <c r="T1094" s="323" t="s">
        <v>282</v>
      </c>
      <c r="U1094" s="323" t="s">
        <v>282</v>
      </c>
      <c r="V1094" s="323" t="s">
        <v>282</v>
      </c>
      <c r="W1094" s="324" t="s">
        <v>282</v>
      </c>
      <c r="X1094" s="324" t="s">
        <v>282</v>
      </c>
      <c r="Y1094" s="325" t="s">
        <v>282</v>
      </c>
    </row>
    <row r="1095" spans="1:25">
      <c r="A1095" s="319">
        <v>20</v>
      </c>
      <c r="B1095" s="320" t="str">
        <f>VLOOKUP(Tabel10[[#This Row],[Code]],Ruimtegroepen[[Code]:[Ruimte omschrijving]],2,FALSE)</f>
        <v>Niet in Onderhoud</v>
      </c>
      <c r="C1095" s="321" t="s">
        <v>1192</v>
      </c>
      <c r="D1095" s="320" t="s">
        <v>27</v>
      </c>
      <c r="E1095" s="321" t="s">
        <v>1306</v>
      </c>
      <c r="F1095" s="321" t="s">
        <v>1317</v>
      </c>
      <c r="G1095" s="326" t="s">
        <v>282</v>
      </c>
      <c r="H1095" s="322" t="s">
        <v>282</v>
      </c>
      <c r="I1095" s="322" t="s">
        <v>282</v>
      </c>
      <c r="J1095" s="322" t="s">
        <v>282</v>
      </c>
      <c r="K1095" s="322" t="s">
        <v>282</v>
      </c>
      <c r="L1095" s="322" t="s">
        <v>282</v>
      </c>
      <c r="M1095" s="322" t="s">
        <v>282</v>
      </c>
      <c r="N1095" s="322" t="s">
        <v>282</v>
      </c>
      <c r="O1095" s="323" t="s">
        <v>282</v>
      </c>
      <c r="P1095" s="323" t="s">
        <v>282</v>
      </c>
      <c r="Q1095" s="323" t="s">
        <v>282</v>
      </c>
      <c r="R1095" s="323" t="s">
        <v>282</v>
      </c>
      <c r="S1095" s="323" t="s">
        <v>282</v>
      </c>
      <c r="T1095" s="323" t="s">
        <v>282</v>
      </c>
      <c r="U1095" s="323" t="s">
        <v>282</v>
      </c>
      <c r="V1095" s="323" t="s">
        <v>282</v>
      </c>
      <c r="W1095" s="324" t="s">
        <v>282</v>
      </c>
      <c r="X1095" s="324" t="s">
        <v>282</v>
      </c>
      <c r="Y1095" s="325" t="s">
        <v>282</v>
      </c>
    </row>
    <row r="1096" spans="1:25">
      <c r="A1096" s="319">
        <v>20</v>
      </c>
      <c r="B1096" s="320" t="str">
        <f>VLOOKUP(Tabel10[[#This Row],[Code]],Ruimtegroepen[[Code]:[Ruimte omschrijving]],2,FALSE)</f>
        <v>Niet in Onderhoud</v>
      </c>
      <c r="C1096" s="321" t="s">
        <v>1197</v>
      </c>
      <c r="D1096" s="320" t="s">
        <v>28</v>
      </c>
      <c r="E1096" s="321" t="s">
        <v>100</v>
      </c>
      <c r="F1096" s="321" t="s">
        <v>1198</v>
      </c>
      <c r="G1096" s="326" t="s">
        <v>282</v>
      </c>
      <c r="H1096" s="322" t="s">
        <v>282</v>
      </c>
      <c r="I1096" s="322" t="s">
        <v>282</v>
      </c>
      <c r="J1096" s="322" t="s">
        <v>282</v>
      </c>
      <c r="K1096" s="322" t="s">
        <v>282</v>
      </c>
      <c r="L1096" s="322" t="s">
        <v>282</v>
      </c>
      <c r="M1096" s="322" t="s">
        <v>282</v>
      </c>
      <c r="N1096" s="322" t="s">
        <v>282</v>
      </c>
      <c r="O1096" s="323" t="s">
        <v>282</v>
      </c>
      <c r="P1096" s="323" t="s">
        <v>282</v>
      </c>
      <c r="Q1096" s="323" t="s">
        <v>282</v>
      </c>
      <c r="R1096" s="323" t="s">
        <v>282</v>
      </c>
      <c r="S1096" s="323" t="s">
        <v>282</v>
      </c>
      <c r="T1096" s="323" t="s">
        <v>282</v>
      </c>
      <c r="U1096" s="323" t="s">
        <v>282</v>
      </c>
      <c r="V1096" s="323" t="s">
        <v>282</v>
      </c>
      <c r="W1096" s="324" t="s">
        <v>282</v>
      </c>
      <c r="X1096" s="324" t="s">
        <v>282</v>
      </c>
      <c r="Y1096" s="325" t="s">
        <v>282</v>
      </c>
    </row>
    <row r="1097" spans="1:25">
      <c r="A1097" s="319">
        <v>20</v>
      </c>
      <c r="B1097" s="320" t="str">
        <f>VLOOKUP(Tabel10[[#This Row],[Code]],Ruimtegroepen[[Code]:[Ruimte omschrijving]],2,FALSE)</f>
        <v>Niet in Onderhoud</v>
      </c>
      <c r="C1097" s="321" t="s">
        <v>1197</v>
      </c>
      <c r="D1097" s="320" t="s">
        <v>28</v>
      </c>
      <c r="E1097" s="321" t="s">
        <v>99</v>
      </c>
      <c r="F1097" s="321" t="s">
        <v>1199</v>
      </c>
      <c r="G1097" s="326" t="s">
        <v>282</v>
      </c>
      <c r="H1097" s="322" t="s">
        <v>282</v>
      </c>
      <c r="I1097" s="322" t="s">
        <v>282</v>
      </c>
      <c r="J1097" s="322" t="s">
        <v>282</v>
      </c>
      <c r="K1097" s="322" t="s">
        <v>282</v>
      </c>
      <c r="L1097" s="322" t="s">
        <v>282</v>
      </c>
      <c r="M1097" s="322" t="s">
        <v>282</v>
      </c>
      <c r="N1097" s="322" t="s">
        <v>282</v>
      </c>
      <c r="O1097" s="323" t="s">
        <v>282</v>
      </c>
      <c r="P1097" s="323" t="s">
        <v>282</v>
      </c>
      <c r="Q1097" s="323" t="s">
        <v>282</v>
      </c>
      <c r="R1097" s="323" t="s">
        <v>282</v>
      </c>
      <c r="S1097" s="323" t="s">
        <v>282</v>
      </c>
      <c r="T1097" s="323" t="s">
        <v>282</v>
      </c>
      <c r="U1097" s="323" t="s">
        <v>282</v>
      </c>
      <c r="V1097" s="323" t="s">
        <v>282</v>
      </c>
      <c r="W1097" s="324" t="s">
        <v>282</v>
      </c>
      <c r="X1097" s="324" t="s">
        <v>282</v>
      </c>
      <c r="Y1097" s="325" t="s">
        <v>282</v>
      </c>
    </row>
    <row r="1098" spans="1:25">
      <c r="A1098" s="319">
        <v>20</v>
      </c>
      <c r="B1098" s="320" t="str">
        <f>VLOOKUP(Tabel10[[#This Row],[Code]],Ruimtegroepen[[Code]:[Ruimte omschrijving]],2,FALSE)</f>
        <v>Niet in Onderhoud</v>
      </c>
      <c r="C1098" s="321" t="s">
        <v>1197</v>
      </c>
      <c r="D1098" s="320" t="s">
        <v>28</v>
      </c>
      <c r="E1098" s="321" t="s">
        <v>101</v>
      </c>
      <c r="F1098" s="321" t="s">
        <v>1200</v>
      </c>
      <c r="G1098" s="326" t="s">
        <v>282</v>
      </c>
      <c r="H1098" s="322" t="s">
        <v>282</v>
      </c>
      <c r="I1098" s="322" t="s">
        <v>282</v>
      </c>
      <c r="J1098" s="322" t="s">
        <v>282</v>
      </c>
      <c r="K1098" s="322" t="s">
        <v>282</v>
      </c>
      <c r="L1098" s="322" t="s">
        <v>282</v>
      </c>
      <c r="M1098" s="322" t="s">
        <v>282</v>
      </c>
      <c r="N1098" s="322" t="s">
        <v>282</v>
      </c>
      <c r="O1098" s="323" t="s">
        <v>282</v>
      </c>
      <c r="P1098" s="323" t="s">
        <v>282</v>
      </c>
      <c r="Q1098" s="323" t="s">
        <v>282</v>
      </c>
      <c r="R1098" s="323" t="s">
        <v>282</v>
      </c>
      <c r="S1098" s="323" t="s">
        <v>282</v>
      </c>
      <c r="T1098" s="323" t="s">
        <v>282</v>
      </c>
      <c r="U1098" s="323" t="s">
        <v>282</v>
      </c>
      <c r="V1098" s="323" t="s">
        <v>282</v>
      </c>
      <c r="W1098" s="324" t="s">
        <v>282</v>
      </c>
      <c r="X1098" s="324" t="s">
        <v>282</v>
      </c>
      <c r="Y1098" s="325" t="s">
        <v>282</v>
      </c>
    </row>
    <row r="1099" spans="1:25">
      <c r="A1099" s="319">
        <v>20</v>
      </c>
      <c r="B1099" s="320" t="str">
        <f>VLOOKUP(Tabel10[[#This Row],[Code]],Ruimtegroepen[[Code]:[Ruimte omschrijving]],2,FALSE)</f>
        <v>Niet in Onderhoud</v>
      </c>
      <c r="C1099" s="321" t="s">
        <v>1197</v>
      </c>
      <c r="D1099" s="320" t="s">
        <v>28</v>
      </c>
      <c r="E1099" s="321" t="s">
        <v>102</v>
      </c>
      <c r="F1099" s="321" t="s">
        <v>1201</v>
      </c>
      <c r="G1099" s="326" t="s">
        <v>282</v>
      </c>
      <c r="H1099" s="322" t="s">
        <v>282</v>
      </c>
      <c r="I1099" s="322" t="s">
        <v>282</v>
      </c>
      <c r="J1099" s="322" t="s">
        <v>282</v>
      </c>
      <c r="K1099" s="322" t="s">
        <v>282</v>
      </c>
      <c r="L1099" s="322" t="s">
        <v>282</v>
      </c>
      <c r="M1099" s="322" t="s">
        <v>282</v>
      </c>
      <c r="N1099" s="322" t="s">
        <v>282</v>
      </c>
      <c r="O1099" s="323" t="s">
        <v>282</v>
      </c>
      <c r="P1099" s="323" t="s">
        <v>282</v>
      </c>
      <c r="Q1099" s="323" t="s">
        <v>282</v>
      </c>
      <c r="R1099" s="323" t="s">
        <v>282</v>
      </c>
      <c r="S1099" s="323" t="s">
        <v>282</v>
      </c>
      <c r="T1099" s="323" t="s">
        <v>282</v>
      </c>
      <c r="U1099" s="323" t="s">
        <v>282</v>
      </c>
      <c r="V1099" s="323" t="s">
        <v>282</v>
      </c>
      <c r="W1099" s="324" t="s">
        <v>282</v>
      </c>
      <c r="X1099" s="324" t="s">
        <v>282</v>
      </c>
      <c r="Y1099" s="325" t="s">
        <v>282</v>
      </c>
    </row>
    <row r="1100" spans="1:25">
      <c r="A1100" s="319">
        <v>20</v>
      </c>
      <c r="B1100" s="320" t="str">
        <f>VLOOKUP(Tabel10[[#This Row],[Code]],Ruimtegroepen[[Code]:[Ruimte omschrijving]],2,FALSE)</f>
        <v>Niet in Onderhoud</v>
      </c>
      <c r="C1100" s="321" t="s">
        <v>1197</v>
      </c>
      <c r="D1100" s="320" t="s">
        <v>28</v>
      </c>
      <c r="E1100" s="321" t="s">
        <v>99</v>
      </c>
      <c r="F1100" s="321" t="s">
        <v>1199</v>
      </c>
      <c r="G1100" s="326" t="s">
        <v>282</v>
      </c>
      <c r="H1100" s="322" t="s">
        <v>282</v>
      </c>
      <c r="I1100" s="322" t="s">
        <v>282</v>
      </c>
      <c r="J1100" s="322" t="s">
        <v>282</v>
      </c>
      <c r="K1100" s="322" t="s">
        <v>282</v>
      </c>
      <c r="L1100" s="322" t="s">
        <v>282</v>
      </c>
      <c r="M1100" s="322" t="s">
        <v>282</v>
      </c>
      <c r="N1100" s="322" t="s">
        <v>282</v>
      </c>
      <c r="O1100" s="323" t="s">
        <v>282</v>
      </c>
      <c r="P1100" s="323" t="s">
        <v>282</v>
      </c>
      <c r="Q1100" s="323" t="s">
        <v>282</v>
      </c>
      <c r="R1100" s="323" t="s">
        <v>282</v>
      </c>
      <c r="S1100" s="323" t="s">
        <v>282</v>
      </c>
      <c r="T1100" s="323" t="s">
        <v>282</v>
      </c>
      <c r="U1100" s="323" t="s">
        <v>282</v>
      </c>
      <c r="V1100" s="323" t="s">
        <v>282</v>
      </c>
      <c r="W1100" s="324" t="s">
        <v>282</v>
      </c>
      <c r="X1100" s="324" t="s">
        <v>282</v>
      </c>
      <c r="Y1100" s="325" t="s">
        <v>282</v>
      </c>
    </row>
    <row r="1101" spans="1:25">
      <c r="A1101" s="319">
        <v>20</v>
      </c>
      <c r="B1101" s="320" t="str">
        <f>VLOOKUP(Tabel10[[#This Row],[Code]],Ruimtegroepen[[Code]:[Ruimte omschrijving]],2,FALSE)</f>
        <v>Niet in Onderhoud</v>
      </c>
      <c r="C1101" s="321" t="s">
        <v>1197</v>
      </c>
      <c r="D1101" s="320" t="s">
        <v>28</v>
      </c>
      <c r="E1101" s="321" t="s">
        <v>1306</v>
      </c>
      <c r="F1101" s="321" t="s">
        <v>1316</v>
      </c>
      <c r="G1101" s="326" t="s">
        <v>282</v>
      </c>
      <c r="H1101" s="322" t="s">
        <v>282</v>
      </c>
      <c r="I1101" s="322" t="s">
        <v>282</v>
      </c>
      <c r="J1101" s="322" t="s">
        <v>282</v>
      </c>
      <c r="K1101" s="322" t="s">
        <v>282</v>
      </c>
      <c r="L1101" s="322" t="s">
        <v>282</v>
      </c>
      <c r="M1101" s="322" t="s">
        <v>282</v>
      </c>
      <c r="N1101" s="322" t="s">
        <v>282</v>
      </c>
      <c r="O1101" s="323" t="s">
        <v>282</v>
      </c>
      <c r="P1101" s="323" t="s">
        <v>282</v>
      </c>
      <c r="Q1101" s="323" t="s">
        <v>282</v>
      </c>
      <c r="R1101" s="323" t="s">
        <v>282</v>
      </c>
      <c r="S1101" s="323" t="s">
        <v>282</v>
      </c>
      <c r="T1101" s="323" t="s">
        <v>282</v>
      </c>
      <c r="U1101" s="323" t="s">
        <v>282</v>
      </c>
      <c r="V1101" s="323" t="s">
        <v>282</v>
      </c>
      <c r="W1101" s="324" t="s">
        <v>282</v>
      </c>
      <c r="X1101" s="324" t="s">
        <v>282</v>
      </c>
      <c r="Y1101" s="325" t="s">
        <v>282</v>
      </c>
    </row>
  </sheetData>
  <sheetProtection algorithmName="SHA-512" hashValue="Tgzws4HttljRhDXl3mmzFQ2ZLJScUZhaVBFep18q3hQxqVcJ9Ikyf3c/htiVJGNu6nxXfDUwYN7c6uzXYV8F0g==" saltValue="jdaablgKUQKy6IdjTzBOdQ==" spinCount="100000" sheet="1" objects="1" scenarios="1"/>
  <mergeCells count="3">
    <mergeCell ref="G2:N2"/>
    <mergeCell ref="O2:V2"/>
    <mergeCell ref="W2:Y2"/>
  </mergeCells>
  <phoneticPr fontId="28"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994FD-653F-4F1F-A1E1-EBE6C7CB2CB4}">
  <sheetPr codeName="Blad12">
    <tabColor theme="0" tint="-0.14999847407452621"/>
  </sheetPr>
  <dimension ref="A1:Q56"/>
  <sheetViews>
    <sheetView showGridLines="0" view="pageBreakPreview" zoomScaleNormal="100" zoomScaleSheetLayoutView="100" workbookViewId="0">
      <selection activeCell="A2" sqref="A2:E2"/>
    </sheetView>
  </sheetViews>
  <sheetFormatPr defaultColWidth="7.85546875" defaultRowHeight="15" customHeight="1"/>
  <cols>
    <col min="1" max="1" width="15.140625" style="28" bestFit="1" customWidth="1"/>
    <col min="2" max="2" width="26" style="28" customWidth="1"/>
    <col min="3" max="3" width="18.28515625" style="28" customWidth="1"/>
    <col min="4" max="4" width="17.7109375" style="28" bestFit="1" customWidth="1"/>
    <col min="5" max="5" width="18.28515625" style="38" customWidth="1"/>
    <col min="6" max="6" width="2.85546875" style="28" customWidth="1"/>
    <col min="7" max="7" width="14.85546875" style="28" customWidth="1"/>
    <col min="8" max="8" width="12" style="28" bestFit="1" customWidth="1"/>
    <col min="9" max="9" width="19.42578125" style="28" bestFit="1" customWidth="1"/>
    <col min="10" max="10" width="12" style="28" bestFit="1" customWidth="1"/>
    <col min="11" max="11" width="19.42578125" style="28" bestFit="1" customWidth="1"/>
    <col min="12" max="12" width="12" style="28" bestFit="1" customWidth="1"/>
    <col min="13" max="13" width="19.42578125" style="28" bestFit="1" customWidth="1"/>
    <col min="14" max="14" width="12" style="28" bestFit="1" customWidth="1"/>
    <col min="15" max="15" width="19.42578125" style="28" bestFit="1" customWidth="1"/>
    <col min="16" max="16" width="12" style="28" bestFit="1" customWidth="1"/>
    <col min="17" max="17" width="19.42578125" style="28" bestFit="1" customWidth="1"/>
    <col min="18" max="16384" width="7.85546875" style="28"/>
  </cols>
  <sheetData>
    <row r="1" spans="1:17" s="25" customFormat="1" ht="26.25" customHeight="1">
      <c r="A1" s="365" t="s">
        <v>34</v>
      </c>
      <c r="B1" s="365"/>
      <c r="C1" s="365"/>
      <c r="D1" s="365"/>
      <c r="E1" s="365"/>
    </row>
    <row r="2" spans="1:17" s="25" customFormat="1" ht="15" customHeight="1">
      <c r="A2" s="367" t="s">
        <v>1581</v>
      </c>
      <c r="B2" s="367"/>
      <c r="C2" s="367"/>
      <c r="D2" s="367"/>
      <c r="E2" s="367"/>
      <c r="G2" s="380" t="s">
        <v>243</v>
      </c>
      <c r="H2" s="380"/>
      <c r="I2" s="380"/>
      <c r="J2" s="380"/>
      <c r="K2" s="380"/>
      <c r="L2" s="380"/>
      <c r="M2" s="380"/>
      <c r="N2" s="380"/>
      <c r="O2" s="380"/>
      <c r="P2" s="380"/>
      <c r="Q2" s="380"/>
    </row>
    <row r="3" spans="1:17" ht="15" customHeight="1">
      <c r="E3" s="28"/>
      <c r="G3" s="250"/>
      <c r="H3" s="381">
        <v>2027</v>
      </c>
      <c r="I3" s="381"/>
      <c r="J3" s="382">
        <v>2028</v>
      </c>
      <c r="K3" s="383"/>
      <c r="L3" s="382">
        <v>2029</v>
      </c>
      <c r="M3" s="383"/>
      <c r="N3" s="382">
        <v>2030</v>
      </c>
      <c r="O3" s="383"/>
      <c r="P3" s="382">
        <v>2031</v>
      </c>
      <c r="Q3" s="383"/>
    </row>
    <row r="4" spans="1:17" s="29" customFormat="1" ht="26.25" customHeight="1">
      <c r="A4" s="368" t="s">
        <v>72</v>
      </c>
      <c r="B4" s="369"/>
      <c r="C4" s="251" t="s">
        <v>195</v>
      </c>
      <c r="D4" s="251" t="s">
        <v>207</v>
      </c>
      <c r="E4" s="251" t="s">
        <v>79</v>
      </c>
      <c r="G4" s="251" t="s">
        <v>1286</v>
      </c>
      <c r="H4" s="251" t="s">
        <v>1287</v>
      </c>
      <c r="I4" s="251" t="s">
        <v>1288</v>
      </c>
      <c r="J4" s="251" t="s">
        <v>1287</v>
      </c>
      <c r="K4" s="251" t="s">
        <v>1288</v>
      </c>
      <c r="L4" s="251" t="s">
        <v>1287</v>
      </c>
      <c r="M4" s="251" t="s">
        <v>1288</v>
      </c>
      <c r="N4" s="251" t="s">
        <v>1287</v>
      </c>
      <c r="O4" s="251" t="s">
        <v>1288</v>
      </c>
      <c r="P4" s="251" t="s">
        <v>1287</v>
      </c>
      <c r="Q4" s="251" t="s">
        <v>1288</v>
      </c>
    </row>
    <row r="5" spans="1:17" ht="15" customHeight="1">
      <c r="A5" s="373" t="s">
        <v>93</v>
      </c>
      <c r="B5" s="374"/>
      <c r="C5" s="424">
        <v>0</v>
      </c>
      <c r="D5" s="425">
        <v>0</v>
      </c>
      <c r="E5" s="30">
        <f>C5*D5</f>
        <v>0</v>
      </c>
      <c r="G5" s="31"/>
      <c r="H5" s="31"/>
      <c r="I5" s="31"/>
      <c r="J5" s="31"/>
      <c r="K5" s="31"/>
      <c r="L5" s="31"/>
      <c r="M5" s="31"/>
      <c r="N5" s="31"/>
      <c r="O5" s="31"/>
      <c r="P5" s="31"/>
      <c r="Q5" s="31"/>
    </row>
    <row r="6" spans="1:17" ht="15" customHeight="1">
      <c r="A6" s="373" t="s">
        <v>64</v>
      </c>
      <c r="B6" s="374"/>
      <c r="C6" s="424">
        <v>0</v>
      </c>
      <c r="D6" s="425">
        <v>0</v>
      </c>
      <c r="E6" s="30">
        <f>C6*D6</f>
        <v>0</v>
      </c>
      <c r="G6" s="31"/>
      <c r="H6" s="31"/>
      <c r="I6" s="31"/>
      <c r="J6" s="31"/>
      <c r="K6" s="31"/>
      <c r="L6" s="31"/>
      <c r="M6" s="31"/>
      <c r="N6" s="31"/>
      <c r="O6" s="31"/>
      <c r="P6" s="31"/>
      <c r="Q6" s="31"/>
    </row>
    <row r="7" spans="1:17" ht="15" customHeight="1">
      <c r="A7" s="426"/>
      <c r="B7" s="427"/>
      <c r="C7" s="424">
        <v>0</v>
      </c>
      <c r="D7" s="425">
        <v>0</v>
      </c>
      <c r="E7" s="30">
        <f>C7*D7</f>
        <v>0</v>
      </c>
      <c r="G7" s="31"/>
      <c r="H7" s="31"/>
      <c r="I7" s="31"/>
      <c r="J7" s="31"/>
      <c r="K7" s="31"/>
      <c r="L7" s="31"/>
      <c r="M7" s="31"/>
      <c r="N7" s="31"/>
      <c r="O7" s="31"/>
      <c r="P7" s="31"/>
      <c r="Q7" s="31"/>
    </row>
    <row r="8" spans="1:17" ht="15" customHeight="1">
      <c r="A8" s="378" t="s">
        <v>65</v>
      </c>
      <c r="B8" s="379"/>
      <c r="C8" s="424">
        <v>0</v>
      </c>
      <c r="D8" s="425">
        <v>0</v>
      </c>
      <c r="E8" s="30">
        <f>C8*D8</f>
        <v>0</v>
      </c>
      <c r="G8" s="31"/>
      <c r="H8" s="31"/>
      <c r="I8" s="31"/>
      <c r="J8" s="31"/>
      <c r="K8" s="31"/>
      <c r="L8" s="31"/>
      <c r="M8" s="31"/>
      <c r="N8" s="31"/>
      <c r="O8" s="31"/>
      <c r="P8" s="31"/>
      <c r="Q8" s="31"/>
    </row>
    <row r="9" spans="1:17" ht="15" customHeight="1">
      <c r="A9" s="375" t="s">
        <v>94</v>
      </c>
      <c r="B9" s="376"/>
      <c r="C9" s="377"/>
      <c r="D9" s="32">
        <f>SUM(D5:D8)</f>
        <v>0</v>
      </c>
      <c r="E9" s="30" t="str">
        <f>IF(SUM($D$5:$D$8)=100%,SUM(E5:E8),"    GEEN 100%")</f>
        <v xml:space="preserve">    GEEN 100%</v>
      </c>
      <c r="G9" s="31"/>
      <c r="H9" s="33"/>
      <c r="I9" s="31"/>
      <c r="J9" s="31"/>
      <c r="K9" s="31"/>
      <c r="L9" s="31"/>
      <c r="M9" s="31"/>
      <c r="N9" s="31"/>
      <c r="O9" s="31"/>
      <c r="P9" s="31"/>
      <c r="Q9" s="31"/>
    </row>
    <row r="10" spans="1:17" ht="15" customHeight="1">
      <c r="A10" s="366" t="s">
        <v>66</v>
      </c>
      <c r="B10" s="366"/>
      <c r="C10" s="366"/>
      <c r="D10" s="34" t="s">
        <v>3</v>
      </c>
      <c r="E10" s="35">
        <f>SUM(E9:E9)</f>
        <v>0</v>
      </c>
      <c r="G10" s="31" t="s">
        <v>1289</v>
      </c>
      <c r="H10" s="240">
        <v>0</v>
      </c>
      <c r="I10" s="35">
        <f>(E10*H10)+E10</f>
        <v>0</v>
      </c>
      <c r="J10" s="240">
        <v>0</v>
      </c>
      <c r="K10" s="35">
        <f>(I10*J10)+I10</f>
        <v>0</v>
      </c>
      <c r="L10" s="240">
        <v>0</v>
      </c>
      <c r="M10" s="35">
        <f>(K10*L10)+K10</f>
        <v>0</v>
      </c>
      <c r="N10" s="240">
        <v>0</v>
      </c>
      <c r="O10" s="35">
        <f>(M10*N10)+M10</f>
        <v>0</v>
      </c>
      <c r="P10" s="240">
        <v>0</v>
      </c>
      <c r="Q10" s="35">
        <f>(O10*P10)+O10</f>
        <v>0</v>
      </c>
    </row>
    <row r="11" spans="1:17" ht="15" customHeight="1">
      <c r="A11" s="36"/>
      <c r="B11" s="37"/>
      <c r="C11" s="37"/>
      <c r="D11" s="37"/>
      <c r="G11" s="31"/>
      <c r="H11" s="31"/>
      <c r="I11" s="31"/>
      <c r="J11" s="31"/>
      <c r="K11" s="31"/>
      <c r="L11" s="31"/>
      <c r="M11" s="31"/>
      <c r="N11" s="31"/>
      <c r="O11" s="31"/>
      <c r="P11" s="31"/>
      <c r="Q11" s="31"/>
    </row>
    <row r="12" spans="1:17" s="29" customFormat="1" ht="26.25" customHeight="1">
      <c r="A12" s="368" t="s">
        <v>67</v>
      </c>
      <c r="B12" s="370"/>
      <c r="C12" s="369"/>
      <c r="D12" s="253" t="s">
        <v>76</v>
      </c>
      <c r="E12" s="251" t="s">
        <v>79</v>
      </c>
      <c r="G12" s="252"/>
      <c r="H12" s="252"/>
      <c r="I12" s="252"/>
      <c r="J12" s="252"/>
      <c r="K12" s="252"/>
      <c r="L12" s="252"/>
      <c r="M12" s="252"/>
      <c r="N12" s="252"/>
      <c r="O12" s="252"/>
      <c r="P12" s="252"/>
      <c r="Q12" s="252"/>
    </row>
    <row r="13" spans="1:17" ht="15" customHeight="1">
      <c r="A13" s="371" t="s">
        <v>4</v>
      </c>
      <c r="B13" s="372"/>
      <c r="C13" s="372"/>
      <c r="D13" s="428">
        <v>0</v>
      </c>
      <c r="E13" s="40">
        <f>SUM($E$10*D13)</f>
        <v>0</v>
      </c>
      <c r="G13" s="31" t="s">
        <v>1577</v>
      </c>
      <c r="H13" s="240"/>
      <c r="I13" s="41">
        <f>(E13*H13)+E13</f>
        <v>0</v>
      </c>
      <c r="J13" s="241"/>
      <c r="K13" s="41">
        <f>(I13*J13)+I13</f>
        <v>0</v>
      </c>
      <c r="L13" s="241"/>
      <c r="M13" s="41">
        <f>(K13*L13)+K13</f>
        <v>0</v>
      </c>
      <c r="N13" s="241"/>
      <c r="O13" s="41">
        <f>(M13*N13)+M13</f>
        <v>0</v>
      </c>
      <c r="P13" s="241"/>
      <c r="Q13" s="41">
        <f>(O13*P13)+O13</f>
        <v>0</v>
      </c>
    </row>
    <row r="14" spans="1:17" ht="15" customHeight="1">
      <c r="A14" s="372" t="s">
        <v>81</v>
      </c>
      <c r="B14" s="372"/>
      <c r="C14" s="372"/>
      <c r="D14" s="428">
        <v>0</v>
      </c>
      <c r="E14" s="40">
        <f>SUM($E$10*D14)</f>
        <v>0</v>
      </c>
      <c r="G14" s="31" t="s">
        <v>1577</v>
      </c>
      <c r="H14" s="240"/>
      <c r="I14" s="41">
        <f>(E14*H14)+E14</f>
        <v>0</v>
      </c>
      <c r="J14" s="241"/>
      <c r="K14" s="41">
        <f>(I14*J14)+I14</f>
        <v>0</v>
      </c>
      <c r="L14" s="241"/>
      <c r="M14" s="41">
        <f>(K14*L14)+K14</f>
        <v>0</v>
      </c>
      <c r="N14" s="241"/>
      <c r="O14" s="41">
        <f>(M14*N14)+M14</f>
        <v>0</v>
      </c>
      <c r="P14" s="241"/>
      <c r="Q14" s="41">
        <f>(O14*P14)+O14</f>
        <v>0</v>
      </c>
    </row>
    <row r="15" spans="1:17" ht="15" customHeight="1">
      <c r="A15" s="372" t="s">
        <v>5</v>
      </c>
      <c r="B15" s="372"/>
      <c r="C15" s="372"/>
      <c r="D15" s="428">
        <v>0</v>
      </c>
      <c r="E15" s="40">
        <f>SUM($E$10*D15)</f>
        <v>0</v>
      </c>
      <c r="G15" s="31" t="s">
        <v>1577</v>
      </c>
      <c r="H15" s="240"/>
      <c r="I15" s="41">
        <f>(E15*H15)+E15</f>
        <v>0</v>
      </c>
      <c r="J15" s="241"/>
      <c r="K15" s="41">
        <f>(I15*J15)+I15</f>
        <v>0</v>
      </c>
      <c r="L15" s="241"/>
      <c r="M15" s="41">
        <f>(K15*L15)+K15</f>
        <v>0</v>
      </c>
      <c r="N15" s="241"/>
      <c r="O15" s="41">
        <f>(M15*N15)+M15</f>
        <v>0</v>
      </c>
      <c r="P15" s="241"/>
      <c r="Q15" s="41">
        <f>(O15*P15)+O15</f>
        <v>0</v>
      </c>
    </row>
    <row r="16" spans="1:17" ht="15" customHeight="1">
      <c r="A16" s="372" t="s">
        <v>6</v>
      </c>
      <c r="B16" s="372"/>
      <c r="C16" s="372"/>
      <c r="D16" s="428">
        <v>0</v>
      </c>
      <c r="E16" s="40">
        <f>SUM($E$10*D16)</f>
        <v>0</v>
      </c>
      <c r="G16" s="31" t="s">
        <v>1577</v>
      </c>
      <c r="H16" s="240"/>
      <c r="I16" s="41">
        <f>(E16*H16)+E16</f>
        <v>0</v>
      </c>
      <c r="J16" s="241"/>
      <c r="K16" s="41">
        <f>(I16*J16)+I16</f>
        <v>0</v>
      </c>
      <c r="L16" s="241"/>
      <c r="M16" s="41">
        <f>(K16*L16)+K16</f>
        <v>0</v>
      </c>
      <c r="N16" s="241"/>
      <c r="O16" s="41">
        <f>(M16*N16)+M16</f>
        <v>0</v>
      </c>
      <c r="P16" s="241"/>
      <c r="Q16" s="41">
        <f>(O16*P16)+O16</f>
        <v>0</v>
      </c>
    </row>
    <row r="17" spans="1:17" ht="15" customHeight="1">
      <c r="A17" s="426" t="s">
        <v>84</v>
      </c>
      <c r="B17" s="430"/>
      <c r="C17" s="427"/>
      <c r="D17" s="428">
        <v>0</v>
      </c>
      <c r="E17" s="40">
        <f>SUM($E$10*D17)</f>
        <v>0</v>
      </c>
      <c r="G17" s="31" t="s">
        <v>1577</v>
      </c>
      <c r="H17" s="240"/>
      <c r="I17" s="41">
        <f>(E17*H17)+E17</f>
        <v>0</v>
      </c>
      <c r="J17" s="241"/>
      <c r="K17" s="41">
        <f>(I17*J17)+I17</f>
        <v>0</v>
      </c>
      <c r="L17" s="241"/>
      <c r="M17" s="41">
        <f>(K17*L17)+K17</f>
        <v>0</v>
      </c>
      <c r="N17" s="241"/>
      <c r="O17" s="41">
        <f>(M17*N17)+M17</f>
        <v>0</v>
      </c>
      <c r="P17" s="241"/>
      <c r="Q17" s="41">
        <f>(O17*P17)+O17</f>
        <v>0</v>
      </c>
    </row>
    <row r="18" spans="1:17" ht="15" customHeight="1">
      <c r="A18" s="366" t="s">
        <v>73</v>
      </c>
      <c r="B18" s="366"/>
      <c r="C18" s="366"/>
      <c r="D18" s="42"/>
      <c r="E18" s="43">
        <f>SUM(E13:E17)</f>
        <v>0</v>
      </c>
      <c r="G18" s="31"/>
      <c r="H18" s="240"/>
      <c r="I18" s="43">
        <f>SUM(I13:I17)</f>
        <v>0</v>
      </c>
      <c r="J18" s="240"/>
      <c r="K18" s="43">
        <f>SUM(K13:K17)</f>
        <v>0</v>
      </c>
      <c r="L18" s="240"/>
      <c r="M18" s="43">
        <f>SUM(M13:M17)</f>
        <v>0</v>
      </c>
      <c r="N18" s="240"/>
      <c r="O18" s="43">
        <f>SUM(O13:O17)</f>
        <v>0</v>
      </c>
      <c r="P18" s="240"/>
      <c r="Q18" s="43">
        <f>SUM(Q13:Q17)</f>
        <v>0</v>
      </c>
    </row>
    <row r="19" spans="1:17" ht="15" customHeight="1">
      <c r="D19" s="44"/>
      <c r="E19" s="45"/>
      <c r="G19" s="31"/>
      <c r="H19" s="31"/>
      <c r="I19" s="31"/>
      <c r="J19" s="31"/>
      <c r="K19" s="31"/>
      <c r="L19" s="31"/>
      <c r="M19" s="31"/>
      <c r="N19" s="31"/>
      <c r="O19" s="31"/>
      <c r="P19" s="31"/>
      <c r="Q19" s="31"/>
    </row>
    <row r="20" spans="1:17" s="29" customFormat="1" ht="26.25" customHeight="1">
      <c r="A20" s="368" t="s">
        <v>68</v>
      </c>
      <c r="B20" s="370"/>
      <c r="C20" s="369"/>
      <c r="D20" s="253" t="s">
        <v>77</v>
      </c>
      <c r="E20" s="251" t="s">
        <v>79</v>
      </c>
      <c r="G20" s="252"/>
      <c r="H20" s="252"/>
      <c r="I20" s="252"/>
      <c r="J20" s="252"/>
      <c r="K20" s="252"/>
      <c r="L20" s="252"/>
      <c r="M20" s="252"/>
      <c r="N20" s="252"/>
      <c r="O20" s="252"/>
      <c r="P20" s="252"/>
      <c r="Q20" s="252"/>
    </row>
    <row r="21" spans="1:17" ht="15" customHeight="1">
      <c r="A21" s="372" t="s">
        <v>7</v>
      </c>
      <c r="B21" s="372"/>
      <c r="C21" s="372"/>
      <c r="D21" s="46" t="e">
        <f>E21/$E$35</f>
        <v>#DIV/0!</v>
      </c>
      <c r="E21" s="429">
        <v>0</v>
      </c>
      <c r="G21" s="31" t="s">
        <v>1577</v>
      </c>
      <c r="H21" s="240"/>
      <c r="I21" s="41">
        <f>(E21*H21)+E21</f>
        <v>0</v>
      </c>
      <c r="J21" s="241"/>
      <c r="K21" s="41">
        <f>(I21*J21)+I21</f>
        <v>0</v>
      </c>
      <c r="L21" s="241"/>
      <c r="M21" s="41">
        <f>(K21*L21)+K21</f>
        <v>0</v>
      </c>
      <c r="N21" s="241"/>
      <c r="O21" s="41">
        <f>(M21*N21)+M21</f>
        <v>0</v>
      </c>
      <c r="P21" s="241"/>
      <c r="Q21" s="41">
        <f>(O21*P21)+O21</f>
        <v>0</v>
      </c>
    </row>
    <row r="22" spans="1:17" ht="15" customHeight="1">
      <c r="A22" s="371" t="s">
        <v>8</v>
      </c>
      <c r="B22" s="372"/>
      <c r="C22" s="372"/>
      <c r="D22" s="46" t="e">
        <f>E22/$E$35</f>
        <v>#DIV/0!</v>
      </c>
      <c r="E22" s="429">
        <v>0</v>
      </c>
      <c r="G22" s="31" t="s">
        <v>1577</v>
      </c>
      <c r="H22" s="240"/>
      <c r="I22" s="41">
        <f>(E22*H22)+E22</f>
        <v>0</v>
      </c>
      <c r="J22" s="241"/>
      <c r="K22" s="41">
        <f>(I22*J22)+I22</f>
        <v>0</v>
      </c>
      <c r="L22" s="241"/>
      <c r="M22" s="41">
        <f>(K22*L22)+K22</f>
        <v>0</v>
      </c>
      <c r="N22" s="241"/>
      <c r="O22" s="41">
        <f>(M22*N22)+M22</f>
        <v>0</v>
      </c>
      <c r="P22" s="241"/>
      <c r="Q22" s="41">
        <f>(O22*P22)+O22</f>
        <v>0</v>
      </c>
    </row>
    <row r="23" spans="1:17" ht="15" customHeight="1">
      <c r="A23" s="372" t="s">
        <v>9</v>
      </c>
      <c r="B23" s="372"/>
      <c r="C23" s="372"/>
      <c r="D23" s="46" t="e">
        <f>E23/$E$35</f>
        <v>#DIV/0!</v>
      </c>
      <c r="E23" s="429">
        <v>0</v>
      </c>
      <c r="G23" s="31" t="s">
        <v>1577</v>
      </c>
      <c r="H23" s="240"/>
      <c r="I23" s="47">
        <f>(E23*H23)+E23</f>
        <v>0</v>
      </c>
      <c r="J23" s="241"/>
      <c r="K23" s="41">
        <f>(I23*J23)+I23</f>
        <v>0</v>
      </c>
      <c r="L23" s="241"/>
      <c r="M23" s="41">
        <f>(K23*L23)+K23</f>
        <v>0</v>
      </c>
      <c r="N23" s="241"/>
      <c r="O23" s="41">
        <f>(M23*N23)+M23</f>
        <v>0</v>
      </c>
      <c r="P23" s="241"/>
      <c r="Q23" s="41">
        <f>(O23*P23)+O23</f>
        <v>0</v>
      </c>
    </row>
    <row r="24" spans="1:17" ht="15" customHeight="1">
      <c r="A24" s="378" t="s">
        <v>10</v>
      </c>
      <c r="B24" s="387"/>
      <c r="C24" s="379"/>
      <c r="D24" s="428">
        <v>0</v>
      </c>
      <c r="E24" s="48">
        <f>D24*$E$10</f>
        <v>0</v>
      </c>
      <c r="G24" s="31" t="s">
        <v>1289</v>
      </c>
      <c r="H24" s="240"/>
      <c r="I24" s="41">
        <f>(E24*H24)+E24</f>
        <v>0</v>
      </c>
      <c r="J24" s="241"/>
      <c r="K24" s="41">
        <f>(I24*J24)+I24</f>
        <v>0</v>
      </c>
      <c r="L24" s="241"/>
      <c r="M24" s="41">
        <f>(K24*L24)+K24</f>
        <v>0</v>
      </c>
      <c r="N24" s="241"/>
      <c r="O24" s="41">
        <f>(M24*N24)+M24</f>
        <v>0</v>
      </c>
      <c r="P24" s="241"/>
      <c r="Q24" s="41">
        <f>(O24*P24)+O24</f>
        <v>0</v>
      </c>
    </row>
    <row r="25" spans="1:17" ht="15" customHeight="1">
      <c r="A25" s="426" t="s">
        <v>82</v>
      </c>
      <c r="B25" s="430"/>
      <c r="C25" s="427"/>
      <c r="D25" s="46" t="e">
        <f>E25/$E$35</f>
        <v>#DIV/0!</v>
      </c>
      <c r="E25" s="429">
        <v>0</v>
      </c>
      <c r="G25" s="31" t="s">
        <v>1577</v>
      </c>
      <c r="H25" s="240"/>
      <c r="I25" s="47">
        <f>(E25*H25)+E25</f>
        <v>0</v>
      </c>
      <c r="J25" s="241"/>
      <c r="K25" s="41">
        <f>(I25*J25)+I25</f>
        <v>0</v>
      </c>
      <c r="L25" s="241"/>
      <c r="M25" s="41">
        <f>(K25*L25)+K25</f>
        <v>0</v>
      </c>
      <c r="N25" s="241"/>
      <c r="O25" s="41">
        <f>(M25*N25)+M25</f>
        <v>0</v>
      </c>
      <c r="P25" s="241"/>
      <c r="Q25" s="41">
        <f>(O25*P25)+O25</f>
        <v>0</v>
      </c>
    </row>
    <row r="26" spans="1:17" ht="15" customHeight="1">
      <c r="A26" s="366" t="s">
        <v>74</v>
      </c>
      <c r="B26" s="366"/>
      <c r="C26" s="366"/>
      <c r="D26" s="34" t="s">
        <v>3</v>
      </c>
      <c r="E26" s="35">
        <f>SUM(E21:E25)</f>
        <v>0</v>
      </c>
      <c r="G26" s="31"/>
      <c r="H26" s="31"/>
      <c r="I26" s="35">
        <f>SUM(I21:I25)</f>
        <v>0</v>
      </c>
      <c r="J26" s="240"/>
      <c r="K26" s="35">
        <f>SUM(K21:K25)</f>
        <v>0</v>
      </c>
      <c r="L26" s="240"/>
      <c r="M26" s="35">
        <f>SUM(M21:M25)</f>
        <v>0</v>
      </c>
      <c r="N26" s="240"/>
      <c r="O26" s="35">
        <f>SUM(O21:O25)</f>
        <v>0</v>
      </c>
      <c r="P26" s="240"/>
      <c r="Q26" s="35">
        <f>SUM(Q21:Q25)</f>
        <v>0</v>
      </c>
    </row>
    <row r="27" spans="1:17" ht="15" customHeight="1">
      <c r="A27" s="49"/>
      <c r="B27" s="49"/>
      <c r="C27" s="49"/>
      <c r="D27" s="50"/>
      <c r="E27" s="51"/>
      <c r="G27" s="31"/>
      <c r="H27" s="31"/>
      <c r="I27" s="31"/>
      <c r="J27" s="31"/>
      <c r="K27" s="31"/>
      <c r="L27" s="31"/>
      <c r="M27" s="31"/>
      <c r="N27" s="31"/>
      <c r="O27" s="31"/>
      <c r="P27" s="31"/>
      <c r="Q27" s="31"/>
    </row>
    <row r="28" spans="1:17" s="29" customFormat="1" ht="26.25" customHeight="1">
      <c r="A28" s="368" t="s">
        <v>69</v>
      </c>
      <c r="B28" s="370"/>
      <c r="C28" s="369"/>
      <c r="D28" s="253" t="s">
        <v>77</v>
      </c>
      <c r="E28" s="251" t="s">
        <v>79</v>
      </c>
      <c r="G28" s="252"/>
      <c r="H28" s="252"/>
      <c r="I28" s="252"/>
      <c r="J28" s="252"/>
      <c r="K28" s="252"/>
      <c r="L28" s="252"/>
      <c r="M28" s="252"/>
      <c r="N28" s="252"/>
      <c r="O28" s="252"/>
      <c r="P28" s="252"/>
      <c r="Q28" s="252"/>
    </row>
    <row r="29" spans="1:17" ht="15" customHeight="1">
      <c r="A29" s="371" t="s">
        <v>11</v>
      </c>
      <c r="B29" s="372"/>
      <c r="C29" s="372"/>
      <c r="D29" s="428">
        <v>0</v>
      </c>
      <c r="E29" s="48">
        <f>D29*($E$18+$E$10)</f>
        <v>0</v>
      </c>
      <c r="G29" s="31" t="s">
        <v>1577</v>
      </c>
      <c r="H29" s="240"/>
      <c r="I29" s="41">
        <f>(E29*H29)+E29</f>
        <v>0</v>
      </c>
      <c r="J29" s="241"/>
      <c r="K29" s="41">
        <f>(I29*J29)+I29</f>
        <v>0</v>
      </c>
      <c r="L29" s="241"/>
      <c r="M29" s="41">
        <f>(K29*L29)+K29</f>
        <v>0</v>
      </c>
      <c r="N29" s="241"/>
      <c r="O29" s="41">
        <f>(M29*N29)+M29</f>
        <v>0</v>
      </c>
      <c r="P29" s="241"/>
      <c r="Q29" s="41">
        <f>(O29*P29)+O29</f>
        <v>0</v>
      </c>
    </row>
    <row r="30" spans="1:17" ht="15" customHeight="1">
      <c r="A30" s="371" t="s">
        <v>70</v>
      </c>
      <c r="B30" s="372"/>
      <c r="C30" s="372"/>
      <c r="D30" s="52" t="e">
        <f>E30/$E$35</f>
        <v>#DIV/0!</v>
      </c>
      <c r="E30" s="429">
        <v>0</v>
      </c>
      <c r="G30" s="31" t="s">
        <v>1577</v>
      </c>
      <c r="H30" s="240"/>
      <c r="I30" s="47">
        <f>(E30*H30)+E30</f>
        <v>0</v>
      </c>
      <c r="J30" s="241"/>
      <c r="K30" s="41">
        <f>(I30*J30)+I30</f>
        <v>0</v>
      </c>
      <c r="L30" s="241"/>
      <c r="M30" s="41">
        <f>(K30*L30)+K30</f>
        <v>0</v>
      </c>
      <c r="N30" s="241"/>
      <c r="O30" s="41">
        <f>(M30*N30)+M30</f>
        <v>0</v>
      </c>
      <c r="P30" s="241"/>
      <c r="Q30" s="41">
        <f>(O30*P30)+O30</f>
        <v>0</v>
      </c>
    </row>
    <row r="31" spans="1:17" ht="15" customHeight="1">
      <c r="A31" s="426" t="s">
        <v>83</v>
      </c>
      <c r="B31" s="430"/>
      <c r="C31" s="427"/>
      <c r="D31" s="46" t="e">
        <f>E31/$E$35</f>
        <v>#DIV/0!</v>
      </c>
      <c r="E31" s="429">
        <v>0</v>
      </c>
      <c r="G31" s="31" t="s">
        <v>1577</v>
      </c>
      <c r="H31" s="240"/>
      <c r="I31" s="47">
        <f>(E31*H31)+E31</f>
        <v>0</v>
      </c>
      <c r="J31" s="241"/>
      <c r="K31" s="41">
        <f>(I31*J31)+I31</f>
        <v>0</v>
      </c>
      <c r="L31" s="241"/>
      <c r="M31" s="41">
        <f>(K31*L31)+K31</f>
        <v>0</v>
      </c>
      <c r="N31" s="241"/>
      <c r="O31" s="41">
        <f>(M31*N31)+M31</f>
        <v>0</v>
      </c>
      <c r="P31" s="241"/>
      <c r="Q31" s="41">
        <f>(O31*P31)+O31</f>
        <v>0</v>
      </c>
    </row>
    <row r="32" spans="1:17" ht="15" customHeight="1">
      <c r="A32" s="372" t="s">
        <v>71</v>
      </c>
      <c r="B32" s="372"/>
      <c r="C32" s="372"/>
      <c r="D32" s="52" t="e">
        <f>E32/$E$35</f>
        <v>#DIV/0!</v>
      </c>
      <c r="E32" s="429">
        <v>0</v>
      </c>
      <c r="G32" s="31" t="s">
        <v>1577</v>
      </c>
      <c r="H32" s="240"/>
      <c r="I32" s="47">
        <f>(E32*H32)+E32</f>
        <v>0</v>
      </c>
      <c r="J32" s="241"/>
      <c r="K32" s="41">
        <f>(I32*J32)+I32</f>
        <v>0</v>
      </c>
      <c r="L32" s="241"/>
      <c r="M32" s="41">
        <f>(K32*L32)+K32</f>
        <v>0</v>
      </c>
      <c r="N32" s="241"/>
      <c r="O32" s="41">
        <f>(M32*N32)+M32</f>
        <v>0</v>
      </c>
      <c r="P32" s="241"/>
      <c r="Q32" s="41">
        <f>(O32*P32)+O32</f>
        <v>0</v>
      </c>
    </row>
    <row r="33" spans="1:17" ht="15" customHeight="1">
      <c r="A33" s="366" t="s">
        <v>75</v>
      </c>
      <c r="B33" s="366"/>
      <c r="C33" s="366"/>
      <c r="D33" s="34"/>
      <c r="E33" s="53">
        <f>SUM(E29:E32)</f>
        <v>0</v>
      </c>
      <c r="G33" s="31"/>
      <c r="H33" s="240"/>
      <c r="I33" s="53">
        <f>SUM(I29:I32)</f>
        <v>0</v>
      </c>
      <c r="J33" s="240"/>
      <c r="K33" s="53">
        <f>SUM(K29:K32)</f>
        <v>0</v>
      </c>
      <c r="L33" s="240"/>
      <c r="M33" s="53">
        <f>SUM(M29:M32)</f>
        <v>0</v>
      </c>
      <c r="N33" s="240"/>
      <c r="O33" s="53">
        <f>SUM(O29:O32)</f>
        <v>0</v>
      </c>
      <c r="P33" s="240"/>
      <c r="Q33" s="53">
        <f>SUM(Q29:Q32)</f>
        <v>0</v>
      </c>
    </row>
    <row r="34" spans="1:17" ht="15" customHeight="1">
      <c r="A34" s="49"/>
      <c r="B34" s="49"/>
      <c r="C34" s="49"/>
      <c r="D34" s="50"/>
      <c r="E34" s="54"/>
      <c r="H34" s="31"/>
      <c r="I34" s="31"/>
      <c r="J34" s="31"/>
      <c r="K34" s="31"/>
      <c r="L34" s="31"/>
      <c r="M34" s="31"/>
      <c r="N34" s="31"/>
      <c r="O34" s="31"/>
      <c r="P34" s="31"/>
      <c r="Q34" s="31"/>
    </row>
    <row r="35" spans="1:17" ht="26.25" customHeight="1">
      <c r="A35" s="384" t="s">
        <v>92</v>
      </c>
      <c r="B35" s="385"/>
      <c r="C35" s="385"/>
      <c r="D35" s="386"/>
      <c r="E35" s="55">
        <f>E33+E26+E18+E10</f>
        <v>0</v>
      </c>
      <c r="G35" s="56"/>
      <c r="H35" s="31"/>
      <c r="I35" s="55">
        <f>I33+I26+I18+I10</f>
        <v>0</v>
      </c>
      <c r="J35" s="31"/>
      <c r="K35" s="55">
        <f>K33+K26+K18+K10</f>
        <v>0</v>
      </c>
      <c r="L35" s="31"/>
      <c r="M35" s="55">
        <f>M33+M26+M18+M10</f>
        <v>0</v>
      </c>
      <c r="N35" s="31"/>
      <c r="O35" s="55">
        <f>O33+O26+O18+O10</f>
        <v>0</v>
      </c>
      <c r="P35" s="31"/>
      <c r="Q35" s="55">
        <f>Q33+Q26+Q18+Q10</f>
        <v>0</v>
      </c>
    </row>
    <row r="36" spans="1:17" ht="15" customHeight="1">
      <c r="D36" s="44"/>
      <c r="E36" s="45"/>
    </row>
    <row r="37" spans="1:17" ht="26.25" customHeight="1">
      <c r="A37" s="254" t="s">
        <v>78</v>
      </c>
      <c r="B37" s="255"/>
      <c r="C37" s="253" t="s">
        <v>91</v>
      </c>
      <c r="D37" s="253" t="s">
        <v>1290</v>
      </c>
      <c r="E37" s="253" t="s">
        <v>1291</v>
      </c>
      <c r="H37" s="253" t="s">
        <v>1573</v>
      </c>
      <c r="I37" s="256" t="e">
        <f>(I35/E35)-100%</f>
        <v>#DIV/0!</v>
      </c>
      <c r="J37" s="253"/>
      <c r="K37" s="256" t="e">
        <f>(K35/I35)-100%</f>
        <v>#DIV/0!</v>
      </c>
      <c r="L37" s="253"/>
      <c r="M37" s="256" t="e">
        <f>(M35/K35)-100%</f>
        <v>#DIV/0!</v>
      </c>
      <c r="N37" s="253"/>
      <c r="O37" s="256" t="e">
        <f>(O35/M35)-100%</f>
        <v>#DIV/0!</v>
      </c>
      <c r="P37" s="253"/>
      <c r="Q37" s="256" t="e">
        <f>(Q35/O35)-100%</f>
        <v>#DIV/0!</v>
      </c>
    </row>
    <row r="38" spans="1:17" ht="15" customHeight="1">
      <c r="A38" s="31" t="s">
        <v>80</v>
      </c>
      <c r="B38" s="31" t="s">
        <v>86</v>
      </c>
      <c r="C38" s="57">
        <v>0</v>
      </c>
      <c r="D38" s="58">
        <f>+E35</f>
        <v>0</v>
      </c>
      <c r="E38" s="59">
        <f>D38*121%</f>
        <v>0</v>
      </c>
      <c r="F38" s="56"/>
      <c r="H38" s="31"/>
      <c r="I38" s="30" t="e">
        <f>(D38*$I$37)+D38</f>
        <v>#DIV/0!</v>
      </c>
      <c r="J38" s="31"/>
      <c r="K38" s="30" t="e">
        <f>(I38*$K$37)+I38</f>
        <v>#DIV/0!</v>
      </c>
      <c r="L38" s="31"/>
      <c r="M38" s="30" t="e">
        <f>(K38*$M$37)+K38</f>
        <v>#DIV/0!</v>
      </c>
      <c r="N38" s="31"/>
      <c r="O38" s="30" t="e">
        <f>(M38*$O$37)+M38</f>
        <v>#DIV/0!</v>
      </c>
      <c r="P38" s="31"/>
      <c r="Q38" s="30" t="e">
        <f>(O38*$Q$37)+O38</f>
        <v>#DIV/0!</v>
      </c>
    </row>
    <row r="39" spans="1:17" ht="15" customHeight="1">
      <c r="A39" s="31" t="s">
        <v>85</v>
      </c>
      <c r="B39" s="31" t="s">
        <v>87</v>
      </c>
      <c r="C39" s="57">
        <v>0.3</v>
      </c>
      <c r="D39" s="58">
        <f>SUM($E$10,$E$18,$E$26,$E$33)+(C39*($E$18+$E$10))</f>
        <v>0</v>
      </c>
      <c r="E39" s="59">
        <f>D39*121%</f>
        <v>0</v>
      </c>
      <c r="F39" s="56"/>
      <c r="H39" s="30"/>
      <c r="I39" s="30" t="e">
        <f t="shared" ref="I39:I41" si="0">(D39*$I$37)+D39</f>
        <v>#DIV/0!</v>
      </c>
      <c r="J39" s="31"/>
      <c r="K39" s="30" t="e">
        <f>(I39*$K$37)+I39</f>
        <v>#DIV/0!</v>
      </c>
      <c r="L39" s="31"/>
      <c r="M39" s="30" t="e">
        <f t="shared" ref="M39:M41" si="1">(K39*$M$37)+K39</f>
        <v>#DIV/0!</v>
      </c>
      <c r="N39" s="31"/>
      <c r="O39" s="30" t="e">
        <f t="shared" ref="O39:O41" si="2">(M39*$O$37)+M39</f>
        <v>#DIV/0!</v>
      </c>
      <c r="P39" s="31"/>
      <c r="Q39" s="30" t="e">
        <f t="shared" ref="Q39:Q41" si="3">(O39*$Q$37)+O39</f>
        <v>#DIV/0!</v>
      </c>
    </row>
    <row r="40" spans="1:17" ht="15" customHeight="1">
      <c r="A40" s="31" t="s">
        <v>24</v>
      </c>
      <c r="B40" s="31" t="s">
        <v>88</v>
      </c>
      <c r="C40" s="57">
        <v>0.5</v>
      </c>
      <c r="D40" s="58">
        <f>SUM($E$10,$E$18,$E$26,$E$33)+(C40*($E$18+$E$10))</f>
        <v>0</v>
      </c>
      <c r="E40" s="59">
        <f>D40*121%</f>
        <v>0</v>
      </c>
      <c r="F40" s="56"/>
      <c r="H40" s="31"/>
      <c r="I40" s="30" t="e">
        <f t="shared" si="0"/>
        <v>#DIV/0!</v>
      </c>
      <c r="J40" s="31"/>
      <c r="K40" s="30" t="e">
        <f>(I40*$K$37)+I40</f>
        <v>#DIV/0!</v>
      </c>
      <c r="L40" s="31"/>
      <c r="M40" s="30" t="e">
        <f t="shared" si="1"/>
        <v>#DIV/0!</v>
      </c>
      <c r="N40" s="31"/>
      <c r="O40" s="30" t="e">
        <f t="shared" si="2"/>
        <v>#DIV/0!</v>
      </c>
      <c r="P40" s="31"/>
      <c r="Q40" s="30" t="e">
        <f t="shared" si="3"/>
        <v>#DIV/0!</v>
      </c>
    </row>
    <row r="41" spans="1:17" ht="15" customHeight="1">
      <c r="A41" s="31" t="s">
        <v>89</v>
      </c>
      <c r="B41" s="39" t="s">
        <v>90</v>
      </c>
      <c r="C41" s="57">
        <v>1.5</v>
      </c>
      <c r="D41" s="58">
        <f>SUM($E$10,$E$18,$E$26,$E$33)+(C41*($E$18+$E$10))</f>
        <v>0</v>
      </c>
      <c r="E41" s="59">
        <f>D41*121%</f>
        <v>0</v>
      </c>
      <c r="F41" s="56"/>
      <c r="H41" s="31"/>
      <c r="I41" s="30" t="e">
        <f t="shared" si="0"/>
        <v>#DIV/0!</v>
      </c>
      <c r="J41" s="31"/>
      <c r="K41" s="30" t="e">
        <f>(I41*$K$37)+I41</f>
        <v>#DIV/0!</v>
      </c>
      <c r="L41" s="31"/>
      <c r="M41" s="30" t="e">
        <f t="shared" si="1"/>
        <v>#DIV/0!</v>
      </c>
      <c r="N41" s="31"/>
      <c r="O41" s="30" t="e">
        <f t="shared" si="2"/>
        <v>#DIV/0!</v>
      </c>
      <c r="P41" s="31"/>
      <c r="Q41" s="30" t="e">
        <f t="shared" si="3"/>
        <v>#DIV/0!</v>
      </c>
    </row>
    <row r="42" spans="1:17" ht="15" customHeight="1">
      <c r="E42" s="28"/>
    </row>
    <row r="43" spans="1:17" ht="15" customHeight="1">
      <c r="E43" s="28"/>
    </row>
    <row r="44" spans="1:17" ht="15" customHeight="1">
      <c r="E44" s="28"/>
    </row>
    <row r="45" spans="1:17" ht="15" customHeight="1">
      <c r="E45" s="28"/>
    </row>
    <row r="46" spans="1:17" ht="15" customHeight="1">
      <c r="E46" s="28"/>
    </row>
    <row r="47" spans="1:17" ht="15" customHeight="1">
      <c r="E47" s="28"/>
    </row>
    <row r="48" spans="1:17" ht="15" customHeight="1">
      <c r="E48" s="28"/>
    </row>
    <row r="49" s="28" customFormat="1" ht="15" customHeight="1"/>
    <row r="50" s="28" customFormat="1" ht="15" customHeight="1"/>
    <row r="51" s="28" customFormat="1" ht="15" customHeight="1"/>
    <row r="52" s="28" customFormat="1" ht="15" customHeight="1"/>
    <row r="53" s="28" customFormat="1" ht="15" customHeight="1"/>
    <row r="54" s="28" customFormat="1" ht="15" customHeight="1"/>
    <row r="55" s="28" customFormat="1" ht="15" customHeight="1"/>
    <row r="56" s="28" customFormat="1" ht="15" customHeight="1"/>
  </sheetData>
  <sheetProtection algorithmName="SHA-512" hashValue="zxhT3a8oRmQCkXvCZkBBXogGzPnRF93g0Xg5Jrz6kMJagDNjeN9Smqm+JM5YIhJTa0K9ZKEvt4kI+HSdUetg+w==" saltValue="rur3/dzOusd8zv94KTx2Xg==" spinCount="100000" sheet="1" objects="1" scenarios="1"/>
  <mergeCells count="36">
    <mergeCell ref="A35:D35"/>
    <mergeCell ref="A14:C14"/>
    <mergeCell ref="A24:C24"/>
    <mergeCell ref="A31:C31"/>
    <mergeCell ref="A25:C25"/>
    <mergeCell ref="A28:C28"/>
    <mergeCell ref="A33:C33"/>
    <mergeCell ref="A26:C26"/>
    <mergeCell ref="A29:C29"/>
    <mergeCell ref="A30:C30"/>
    <mergeCell ref="A15:C15"/>
    <mergeCell ref="A16:C16"/>
    <mergeCell ref="A17:C17"/>
    <mergeCell ref="A32:C32"/>
    <mergeCell ref="A21:C21"/>
    <mergeCell ref="A23:C23"/>
    <mergeCell ref="A20:C20"/>
    <mergeCell ref="A7:B7"/>
    <mergeCell ref="A22:C22"/>
    <mergeCell ref="A10:C10"/>
    <mergeCell ref="G2:Q2"/>
    <mergeCell ref="H3:I3"/>
    <mergeCell ref="J3:K3"/>
    <mergeCell ref="L3:M3"/>
    <mergeCell ref="N3:O3"/>
    <mergeCell ref="P3:Q3"/>
    <mergeCell ref="A1:E1"/>
    <mergeCell ref="A18:C18"/>
    <mergeCell ref="A2:E2"/>
    <mergeCell ref="A4:B4"/>
    <mergeCell ref="A12:C12"/>
    <mergeCell ref="A13:C13"/>
    <mergeCell ref="A5:B5"/>
    <mergeCell ref="A9:C9"/>
    <mergeCell ref="A8:B8"/>
    <mergeCell ref="A6:B6"/>
  </mergeCells>
  <phoneticPr fontId="8" type="noConversion"/>
  <conditionalFormatting sqref="E9">
    <cfRule type="containsText" dxfId="8" priority="1" operator="containsText" text="geen">
      <formula>NOT(ISERROR(SEARCH("geen",E9)))</formula>
    </cfRule>
  </conditionalFormatting>
  <pageMargins left="0.27559055118110237" right="0.31496062992125984" top="1.5748031496062993" bottom="0.55118110236220474" header="0.51181102362204722" footer="0.51181102362204722"/>
  <pageSetup paperSize="9" scale="58" orientation="portrait" r:id="rId1"/>
  <headerFooter alignWithMargins="0">
    <oddFooter>&amp;L&amp;F&amp;C&amp;D&amp;R&amp;A</oddFooter>
  </headerFooter>
  <colBreaks count="1" manualBreakCount="1">
    <brk id="6" max="4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1">
    <tabColor theme="0" tint="-0.14999847407452621"/>
    <pageSetUpPr fitToPage="1"/>
  </sheetPr>
  <dimension ref="A1:T158"/>
  <sheetViews>
    <sheetView view="pageBreakPreview" topLeftCell="A24" zoomScaleNormal="100" zoomScaleSheetLayoutView="100" workbookViewId="0">
      <selection activeCell="C41" activeCellId="3" sqref="C5:C6 C10:C29 C33:C37 C41:C52"/>
    </sheetView>
  </sheetViews>
  <sheetFormatPr defaultColWidth="14.140625" defaultRowHeight="15" customHeight="1"/>
  <cols>
    <col min="1" max="1" width="14.140625" style="111"/>
    <col min="2" max="2" width="44.85546875" style="108" customWidth="1"/>
    <col min="3" max="3" width="14.140625" style="108"/>
    <col min="4" max="4" width="32.5703125" style="112" customWidth="1"/>
    <col min="5" max="5" width="16.28515625" style="108" customWidth="1"/>
    <col min="6" max="6" width="17.85546875" style="108" customWidth="1"/>
    <col min="7" max="7" width="16" style="113" bestFit="1" customWidth="1"/>
    <col min="8" max="8" width="16" style="108" bestFit="1" customWidth="1"/>
    <col min="9" max="9" width="14.140625" style="108"/>
    <col min="10" max="10" width="16" style="111" bestFit="1" customWidth="1"/>
    <col min="11" max="15" width="14.140625" style="114"/>
    <col min="16" max="16384" width="14.140625" style="108"/>
  </cols>
  <sheetData>
    <row r="1" spans="1:18" s="25" customFormat="1" ht="26.25" customHeight="1">
      <c r="A1" s="390" t="s">
        <v>110</v>
      </c>
      <c r="B1" s="390"/>
      <c r="C1" s="390"/>
      <c r="D1" s="390"/>
      <c r="E1" s="390"/>
      <c r="F1" s="390"/>
      <c r="G1" s="60"/>
      <c r="H1" s="60"/>
      <c r="I1" s="60"/>
      <c r="J1" s="60"/>
      <c r="K1" s="60"/>
      <c r="L1" s="60"/>
      <c r="M1" s="60"/>
    </row>
    <row r="2" spans="1:18" s="25" customFormat="1" ht="15" customHeight="1">
      <c r="A2" s="388" t="s">
        <v>1582</v>
      </c>
      <c r="B2" s="389"/>
      <c r="C2" s="389"/>
      <c r="D2" s="389"/>
      <c r="E2" s="389"/>
      <c r="F2" s="389"/>
      <c r="G2" s="61"/>
      <c r="H2" s="61"/>
      <c r="I2" s="61"/>
      <c r="J2" s="61"/>
      <c r="K2" s="61"/>
      <c r="L2" s="61"/>
      <c r="M2" s="61"/>
      <c r="N2" s="61"/>
    </row>
    <row r="3" spans="1:18" s="64" customFormat="1" ht="26.25" customHeight="1">
      <c r="A3" s="62" t="s">
        <v>215</v>
      </c>
      <c r="B3" s="62"/>
      <c r="C3" s="62"/>
      <c r="D3" s="62"/>
      <c r="E3" s="63"/>
      <c r="F3" s="63"/>
      <c r="H3" s="65"/>
      <c r="I3" s="65"/>
      <c r="K3" s="66"/>
      <c r="L3" s="67"/>
      <c r="M3" s="67"/>
      <c r="N3" s="67"/>
      <c r="O3" s="67"/>
      <c r="P3" s="67"/>
    </row>
    <row r="4" spans="1:18" s="64" customFormat="1" ht="26.25" customHeight="1" thickBot="1">
      <c r="A4" s="257" t="s">
        <v>33</v>
      </c>
      <c r="B4" s="258" t="s">
        <v>135</v>
      </c>
      <c r="C4" s="259" t="s">
        <v>98</v>
      </c>
      <c r="D4" s="260" t="s">
        <v>1279</v>
      </c>
      <c r="E4" s="261" t="s">
        <v>1280</v>
      </c>
      <c r="F4" s="262" t="s">
        <v>1282</v>
      </c>
      <c r="G4" s="65"/>
      <c r="H4" s="65"/>
      <c r="J4" s="66"/>
      <c r="K4" s="67"/>
      <c r="L4" s="67"/>
      <c r="M4" s="67"/>
      <c r="N4" s="67"/>
      <c r="O4" s="67"/>
    </row>
    <row r="5" spans="1:18" s="64" customFormat="1" ht="15" customHeight="1" thickTop="1">
      <c r="A5" s="68">
        <v>1</v>
      </c>
      <c r="B5" s="69" t="s">
        <v>1676</v>
      </c>
      <c r="C5" s="431">
        <v>1</v>
      </c>
      <c r="D5" s="70" t="s">
        <v>1624</v>
      </c>
      <c r="E5" s="71" t="s">
        <v>1628</v>
      </c>
      <c r="F5" s="28" t="s">
        <v>1625</v>
      </c>
      <c r="G5" s="65"/>
      <c r="H5" s="65"/>
      <c r="J5" s="66"/>
      <c r="K5" s="67"/>
      <c r="L5" s="67"/>
      <c r="M5" s="67"/>
      <c r="N5" s="67"/>
      <c r="O5" s="67"/>
    </row>
    <row r="6" spans="1:18" s="64" customFormat="1" ht="15" customHeight="1">
      <c r="A6" s="68">
        <v>2</v>
      </c>
      <c r="B6" s="72" t="s">
        <v>1621</v>
      </c>
      <c r="C6" s="431">
        <v>1</v>
      </c>
      <c r="D6" s="70" t="s">
        <v>1626</v>
      </c>
      <c r="E6" s="71" t="s">
        <v>1629</v>
      </c>
      <c r="F6" s="73" t="s">
        <v>1627</v>
      </c>
      <c r="G6" s="65"/>
      <c r="H6" s="65"/>
      <c r="J6" s="66"/>
      <c r="K6" s="67"/>
      <c r="L6" s="67"/>
      <c r="M6" s="67"/>
      <c r="N6" s="67"/>
      <c r="O6" s="67"/>
    </row>
    <row r="7" spans="1:18" s="64" customFormat="1" ht="15" customHeight="1">
      <c r="A7" s="49"/>
      <c r="B7" s="28"/>
      <c r="C7" s="28"/>
      <c r="D7" s="28"/>
      <c r="E7" s="28"/>
      <c r="F7" s="28"/>
      <c r="H7" s="65"/>
      <c r="I7" s="65"/>
      <c r="K7" s="66"/>
      <c r="L7" s="67"/>
      <c r="M7" s="67"/>
      <c r="N7" s="67"/>
      <c r="O7" s="67"/>
      <c r="P7" s="67"/>
    </row>
    <row r="8" spans="1:18" s="64" customFormat="1" ht="15" customHeight="1">
      <c r="A8" s="74" t="s">
        <v>216</v>
      </c>
      <c r="B8" s="63"/>
      <c r="C8" s="63"/>
      <c r="D8" s="63"/>
      <c r="E8" s="75"/>
      <c r="F8" s="75"/>
      <c r="H8" s="65"/>
      <c r="I8" s="65"/>
      <c r="K8" s="66"/>
      <c r="L8" s="67"/>
      <c r="M8" s="67"/>
      <c r="N8" s="67"/>
      <c r="O8" s="67"/>
      <c r="P8" s="67"/>
    </row>
    <row r="9" spans="1:18" s="64" customFormat="1" ht="15" customHeight="1">
      <c r="A9" s="263" t="s">
        <v>33</v>
      </c>
      <c r="B9" s="264" t="s">
        <v>96</v>
      </c>
      <c r="C9" s="265" t="s">
        <v>95</v>
      </c>
      <c r="D9" s="263" t="s">
        <v>194</v>
      </c>
      <c r="E9" s="75"/>
      <c r="H9" s="65"/>
      <c r="J9" s="66"/>
      <c r="K9" s="67"/>
      <c r="L9" s="67"/>
      <c r="M9" s="67"/>
      <c r="N9" s="67"/>
      <c r="O9" s="67"/>
    </row>
    <row r="10" spans="1:18" s="64" customFormat="1" ht="15" customHeight="1">
      <c r="A10" s="76">
        <v>1</v>
      </c>
      <c r="B10" s="25" t="s">
        <v>57</v>
      </c>
      <c r="C10" s="432"/>
      <c r="D10" s="77" t="s">
        <v>1274</v>
      </c>
      <c r="E10" s="78"/>
      <c r="F10" s="79"/>
      <c r="G10" s="79"/>
      <c r="H10" s="65"/>
      <c r="I10" s="79"/>
      <c r="J10" s="66"/>
      <c r="K10" s="67"/>
      <c r="L10" s="67"/>
      <c r="M10" s="67"/>
      <c r="N10" s="67"/>
      <c r="O10" s="67"/>
    </row>
    <row r="11" spans="1:18" s="64" customFormat="1" ht="15" customHeight="1">
      <c r="A11" s="76">
        <v>2</v>
      </c>
      <c r="B11" s="25" t="s">
        <v>58</v>
      </c>
      <c r="C11" s="432"/>
      <c r="D11" s="77" t="s">
        <v>1275</v>
      </c>
      <c r="E11" s="80"/>
      <c r="F11" s="79"/>
      <c r="G11" s="79"/>
      <c r="H11" s="65"/>
      <c r="J11" s="66"/>
      <c r="K11" s="67"/>
      <c r="L11" s="67"/>
      <c r="M11" s="67"/>
      <c r="N11" s="67"/>
      <c r="O11" s="67"/>
    </row>
    <row r="12" spans="1:18" s="64" customFormat="1" ht="12">
      <c r="A12" s="76">
        <v>3</v>
      </c>
      <c r="B12" s="25" t="s">
        <v>59</v>
      </c>
      <c r="C12" s="432"/>
      <c r="D12" s="77" t="s">
        <v>1274</v>
      </c>
      <c r="E12" s="81"/>
      <c r="H12" s="65"/>
      <c r="J12" s="66"/>
      <c r="K12" s="67"/>
      <c r="L12" s="67"/>
      <c r="M12" s="67"/>
      <c r="N12" s="67"/>
      <c r="O12" s="67"/>
    </row>
    <row r="13" spans="1:18" s="64" customFormat="1" ht="14.25" customHeight="1">
      <c r="A13" s="76">
        <v>4</v>
      </c>
      <c r="B13" s="25" t="s">
        <v>242</v>
      </c>
      <c r="C13" s="432"/>
      <c r="D13" s="77" t="s">
        <v>1275</v>
      </c>
      <c r="E13" s="80"/>
      <c r="H13" s="65"/>
      <c r="J13" s="66"/>
      <c r="K13" s="67"/>
      <c r="L13" s="67"/>
      <c r="M13" s="67"/>
      <c r="N13" s="67"/>
      <c r="O13" s="67"/>
    </row>
    <row r="14" spans="1:18" s="64" customFormat="1" ht="15" customHeight="1">
      <c r="A14" s="76">
        <v>5</v>
      </c>
      <c r="B14" s="25" t="s">
        <v>22</v>
      </c>
      <c r="C14" s="432"/>
      <c r="D14" s="77" t="s">
        <v>1276</v>
      </c>
      <c r="E14" s="80"/>
      <c r="F14" s="79"/>
      <c r="G14" s="79"/>
      <c r="H14" s="65"/>
      <c r="I14" s="79"/>
      <c r="J14" s="66"/>
      <c r="K14" s="82"/>
      <c r="L14" s="82"/>
      <c r="M14" s="82"/>
      <c r="N14" s="67"/>
      <c r="O14" s="67"/>
      <c r="P14" s="83"/>
      <c r="Q14" s="83"/>
      <c r="R14" s="83"/>
    </row>
    <row r="15" spans="1:18" s="63" customFormat="1" ht="15" customHeight="1">
      <c r="A15" s="76">
        <v>6</v>
      </c>
      <c r="B15" s="25" t="s">
        <v>60</v>
      </c>
      <c r="C15" s="432"/>
      <c r="D15" s="77" t="s">
        <v>1274</v>
      </c>
      <c r="E15" s="80"/>
      <c r="H15" s="65"/>
      <c r="I15" s="84"/>
      <c r="N15" s="85"/>
      <c r="O15" s="85"/>
      <c r="P15" s="86"/>
      <c r="Q15" s="87"/>
      <c r="R15" s="87"/>
    </row>
    <row r="16" spans="1:18" s="93" customFormat="1" ht="15" customHeight="1">
      <c r="A16" s="76">
        <v>7</v>
      </c>
      <c r="B16" s="25" t="s">
        <v>38</v>
      </c>
      <c r="C16" s="432"/>
      <c r="D16" s="77" t="s">
        <v>1274</v>
      </c>
      <c r="E16" s="80"/>
      <c r="F16" s="88"/>
      <c r="G16" s="88"/>
      <c r="H16" s="65"/>
      <c r="I16" s="89"/>
      <c r="J16" s="88"/>
      <c r="K16" s="88"/>
      <c r="L16" s="88"/>
      <c r="M16" s="88"/>
      <c r="N16" s="90"/>
      <c r="O16" s="90"/>
      <c r="P16" s="91"/>
      <c r="Q16" s="91"/>
      <c r="R16" s="92"/>
    </row>
    <row r="17" spans="1:18" s="93" customFormat="1" ht="15" customHeight="1">
      <c r="A17" s="76">
        <v>8</v>
      </c>
      <c r="B17" s="25" t="s">
        <v>1278</v>
      </c>
      <c r="C17" s="432"/>
      <c r="D17" s="77" t="s">
        <v>1273</v>
      </c>
      <c r="E17" s="80"/>
      <c r="F17" s="88"/>
      <c r="G17" s="88"/>
      <c r="H17" s="65"/>
      <c r="I17" s="89"/>
      <c r="J17" s="88"/>
      <c r="K17" s="88"/>
      <c r="L17" s="88"/>
      <c r="M17" s="88"/>
      <c r="N17" s="90"/>
      <c r="O17" s="90"/>
      <c r="P17" s="91"/>
      <c r="Q17" s="91"/>
      <c r="R17" s="92"/>
    </row>
    <row r="18" spans="1:18" s="93" customFormat="1" ht="15" customHeight="1">
      <c r="A18" s="76">
        <v>9</v>
      </c>
      <c r="B18" s="25" t="s">
        <v>1765</v>
      </c>
      <c r="C18" s="432"/>
      <c r="D18" s="77" t="s">
        <v>1274</v>
      </c>
      <c r="E18" s="80"/>
      <c r="F18" s="94"/>
      <c r="G18" s="94"/>
      <c r="H18" s="65"/>
      <c r="I18" s="95"/>
      <c r="J18" s="88"/>
      <c r="K18" s="82"/>
      <c r="L18" s="82"/>
      <c r="M18" s="94"/>
      <c r="N18" s="90"/>
      <c r="O18" s="90"/>
      <c r="P18" s="91"/>
      <c r="Q18" s="91"/>
      <c r="R18" s="92"/>
    </row>
    <row r="19" spans="1:18" s="93" customFormat="1" ht="15" customHeight="1">
      <c r="A19" s="76">
        <v>10</v>
      </c>
      <c r="B19" s="25" t="s">
        <v>61</v>
      </c>
      <c r="C19" s="432"/>
      <c r="D19" s="77" t="s">
        <v>1274</v>
      </c>
      <c r="E19" s="80"/>
      <c r="F19" s="88"/>
      <c r="G19" s="88"/>
      <c r="H19" s="88"/>
      <c r="I19" s="89"/>
      <c r="J19" s="88"/>
      <c r="K19" s="88"/>
      <c r="L19" s="88"/>
      <c r="M19" s="88"/>
      <c r="N19" s="90"/>
      <c r="O19" s="90"/>
      <c r="P19" s="91"/>
      <c r="Q19" s="91"/>
      <c r="R19" s="92"/>
    </row>
    <row r="20" spans="1:18" s="93" customFormat="1" ht="15" customHeight="1">
      <c r="A20" s="76">
        <v>11</v>
      </c>
      <c r="B20" s="25" t="s">
        <v>1266</v>
      </c>
      <c r="C20" s="432"/>
      <c r="D20" s="77" t="s">
        <v>1274</v>
      </c>
      <c r="E20" s="80"/>
      <c r="F20" s="94"/>
      <c r="G20" s="88"/>
      <c r="H20" s="88"/>
      <c r="I20" s="95"/>
      <c r="J20" s="88"/>
      <c r="K20" s="88"/>
      <c r="L20" s="94"/>
      <c r="M20" s="88"/>
      <c r="N20" s="90"/>
      <c r="O20" s="90"/>
      <c r="P20" s="91"/>
      <c r="Q20" s="91"/>
      <c r="R20" s="92"/>
    </row>
    <row r="21" spans="1:18" s="93" customFormat="1" ht="15" customHeight="1">
      <c r="A21" s="76">
        <v>12</v>
      </c>
      <c r="B21" s="25" t="s">
        <v>1267</v>
      </c>
      <c r="C21" s="432"/>
      <c r="D21" s="77" t="s">
        <v>1274</v>
      </c>
      <c r="E21" s="80"/>
      <c r="F21" s="88"/>
      <c r="G21" s="88"/>
      <c r="H21" s="88"/>
      <c r="I21" s="89"/>
      <c r="J21" s="88"/>
      <c r="K21" s="88"/>
      <c r="L21" s="88"/>
      <c r="M21" s="88"/>
      <c r="N21" s="90"/>
      <c r="O21" s="90"/>
      <c r="P21" s="91"/>
      <c r="Q21" s="91"/>
      <c r="R21" s="92"/>
    </row>
    <row r="22" spans="1:18" s="93" customFormat="1" ht="15" customHeight="1">
      <c r="A22" s="76">
        <v>13</v>
      </c>
      <c r="B22" s="25" t="s">
        <v>1580</v>
      </c>
      <c r="C22" s="432"/>
      <c r="D22" s="77" t="s">
        <v>1274</v>
      </c>
      <c r="E22" s="80"/>
      <c r="F22" s="88"/>
      <c r="G22" s="88"/>
      <c r="H22" s="88"/>
      <c r="I22" s="89"/>
      <c r="J22" s="88"/>
      <c r="K22" s="94"/>
      <c r="L22" s="88"/>
      <c r="M22" s="94"/>
      <c r="N22" s="90"/>
      <c r="O22" s="90"/>
      <c r="P22" s="91"/>
      <c r="Q22" s="91"/>
      <c r="R22" s="92"/>
    </row>
    <row r="23" spans="1:18" s="93" customFormat="1" ht="15" customHeight="1">
      <c r="A23" s="76">
        <v>14</v>
      </c>
      <c r="B23" s="25" t="s">
        <v>1268</v>
      </c>
      <c r="C23" s="432"/>
      <c r="D23" s="77" t="s">
        <v>1273</v>
      </c>
      <c r="E23" s="80"/>
      <c r="F23" s="88"/>
      <c r="G23" s="88"/>
      <c r="H23" s="88"/>
      <c r="I23" s="89"/>
      <c r="J23" s="88"/>
      <c r="K23" s="88"/>
      <c r="L23" s="88"/>
      <c r="M23" s="88"/>
      <c r="N23" s="90"/>
      <c r="O23" s="90"/>
      <c r="P23" s="90"/>
      <c r="Q23" s="90"/>
    </row>
    <row r="24" spans="1:18" s="28" customFormat="1" ht="15" customHeight="1">
      <c r="A24" s="76">
        <v>15</v>
      </c>
      <c r="B24" s="25" t="s">
        <v>62</v>
      </c>
      <c r="C24" s="432"/>
      <c r="D24" s="77" t="s">
        <v>1274</v>
      </c>
      <c r="E24" s="80"/>
      <c r="F24" s="63"/>
      <c r="G24" s="63"/>
      <c r="H24" s="63"/>
      <c r="I24" s="84"/>
      <c r="J24" s="63"/>
      <c r="K24" s="63"/>
      <c r="L24" s="63"/>
      <c r="M24" s="63"/>
      <c r="N24" s="85"/>
      <c r="O24" s="85"/>
      <c r="P24" s="85"/>
      <c r="Q24" s="85"/>
    </row>
    <row r="25" spans="1:18" s="28" customFormat="1" ht="15" customHeight="1">
      <c r="A25" s="76">
        <v>16</v>
      </c>
      <c r="B25" s="25" t="s">
        <v>1269</v>
      </c>
      <c r="C25" s="432"/>
      <c r="D25" s="77" t="s">
        <v>1273</v>
      </c>
      <c r="E25" s="80"/>
      <c r="F25" s="63"/>
      <c r="G25" s="63"/>
      <c r="H25" s="63"/>
      <c r="I25" s="84"/>
      <c r="J25" s="63"/>
      <c r="K25" s="63"/>
      <c r="L25" s="63"/>
      <c r="M25" s="63"/>
      <c r="N25" s="85"/>
      <c r="O25" s="85"/>
      <c r="P25" s="85"/>
      <c r="Q25" s="85"/>
    </row>
    <row r="26" spans="1:18" s="28" customFormat="1" ht="15" customHeight="1">
      <c r="A26" s="76">
        <v>17</v>
      </c>
      <c r="B26" s="25" t="s">
        <v>1270</v>
      </c>
      <c r="C26" s="432"/>
      <c r="D26" s="77" t="s">
        <v>1274</v>
      </c>
      <c r="E26" s="80"/>
      <c r="F26" s="63"/>
      <c r="G26" s="63"/>
      <c r="H26" s="63"/>
      <c r="I26" s="84"/>
      <c r="J26" s="63"/>
      <c r="K26" s="63"/>
      <c r="L26" s="63"/>
      <c r="M26" s="63"/>
      <c r="N26" s="85"/>
      <c r="O26" s="85"/>
      <c r="P26" s="85"/>
      <c r="Q26" s="85"/>
    </row>
    <row r="27" spans="1:18" s="28" customFormat="1" ht="15" customHeight="1">
      <c r="A27" s="76">
        <v>18</v>
      </c>
      <c r="B27" s="25" t="s">
        <v>1271</v>
      </c>
      <c r="C27" s="432"/>
      <c r="D27" s="77" t="s">
        <v>1277</v>
      </c>
      <c r="E27" s="80"/>
      <c r="F27" s="63"/>
      <c r="G27" s="63"/>
      <c r="H27" s="63"/>
      <c r="I27" s="84"/>
      <c r="J27" s="63"/>
      <c r="K27" s="63"/>
      <c r="L27" s="63"/>
      <c r="M27" s="63"/>
      <c r="N27" s="85"/>
      <c r="O27" s="85"/>
      <c r="P27" s="85"/>
      <c r="Q27" s="85"/>
    </row>
    <row r="28" spans="1:18" s="28" customFormat="1" ht="15" customHeight="1">
      <c r="A28" s="76">
        <v>19</v>
      </c>
      <c r="B28" s="25" t="s">
        <v>1630</v>
      </c>
      <c r="C28" s="432"/>
      <c r="D28" s="77" t="s">
        <v>1274</v>
      </c>
      <c r="E28" s="80"/>
      <c r="F28" s="96"/>
      <c r="G28" s="63"/>
      <c r="H28" s="63"/>
      <c r="I28" s="84"/>
      <c r="J28" s="63"/>
      <c r="K28" s="97"/>
      <c r="L28" s="63"/>
      <c r="M28" s="63"/>
      <c r="N28" s="85"/>
      <c r="O28" s="85"/>
      <c r="P28" s="85"/>
      <c r="Q28" s="85"/>
    </row>
    <row r="29" spans="1:18" s="28" customFormat="1" ht="15" customHeight="1">
      <c r="A29" s="76">
        <v>20</v>
      </c>
      <c r="B29" s="25" t="s">
        <v>1272</v>
      </c>
      <c r="C29" s="432"/>
      <c r="D29" s="77"/>
      <c r="E29" s="80"/>
      <c r="F29" s="63"/>
      <c r="G29" s="63"/>
      <c r="H29" s="63"/>
      <c r="I29" s="84"/>
      <c r="J29" s="63"/>
      <c r="K29" s="63"/>
      <c r="L29" s="63"/>
      <c r="M29" s="63"/>
      <c r="N29" s="85"/>
      <c r="O29" s="85"/>
      <c r="P29" s="85"/>
      <c r="Q29" s="85"/>
    </row>
    <row r="30" spans="1:18" s="28" customFormat="1" ht="15" customHeight="1">
      <c r="A30" s="63"/>
      <c r="B30" s="63"/>
      <c r="C30" s="63"/>
      <c r="D30" s="63"/>
      <c r="E30" s="98"/>
      <c r="F30" s="63"/>
      <c r="G30" s="63"/>
      <c r="H30" s="98"/>
      <c r="I30" s="63"/>
      <c r="J30" s="63"/>
      <c r="K30" s="63"/>
      <c r="L30" s="85"/>
      <c r="M30" s="85"/>
      <c r="N30" s="85"/>
      <c r="O30" s="85"/>
      <c r="P30" s="85"/>
      <c r="Q30" s="63"/>
      <c r="R30" s="63"/>
    </row>
    <row r="31" spans="1:18" s="28" customFormat="1" ht="15" customHeight="1">
      <c r="A31" s="62" t="s">
        <v>217</v>
      </c>
      <c r="B31" s="62"/>
      <c r="C31" s="63"/>
      <c r="D31" s="63"/>
      <c r="E31" s="98"/>
      <c r="F31" s="63"/>
      <c r="G31" s="63"/>
      <c r="H31" s="63"/>
      <c r="I31" s="63"/>
      <c r="J31" s="63"/>
      <c r="K31" s="63"/>
      <c r="L31" s="85"/>
      <c r="M31" s="85"/>
      <c r="N31" s="85"/>
      <c r="O31" s="85"/>
      <c r="P31" s="85"/>
      <c r="Q31" s="63"/>
      <c r="R31" s="63"/>
    </row>
    <row r="32" spans="1:18" s="28" customFormat="1" ht="22.9" customHeight="1">
      <c r="A32" s="266" t="s">
        <v>33</v>
      </c>
      <c r="B32" s="267" t="s">
        <v>122</v>
      </c>
      <c r="C32" s="268" t="s">
        <v>98</v>
      </c>
      <c r="D32" s="265" t="s">
        <v>97</v>
      </c>
      <c r="E32" s="63"/>
      <c r="F32" s="63"/>
      <c r="G32" s="63"/>
      <c r="H32" s="63"/>
      <c r="I32" s="63"/>
      <c r="J32" s="85"/>
      <c r="K32" s="85"/>
      <c r="L32" s="85"/>
      <c r="M32" s="85"/>
      <c r="N32" s="85"/>
      <c r="O32" s="63"/>
      <c r="P32" s="63"/>
    </row>
    <row r="33" spans="1:20" s="28" customFormat="1" ht="15" customHeight="1">
      <c r="A33" s="101" t="s">
        <v>100</v>
      </c>
      <c r="B33" s="76" t="s">
        <v>123</v>
      </c>
      <c r="C33" s="433">
        <v>1</v>
      </c>
      <c r="D33" s="25" t="s">
        <v>103</v>
      </c>
      <c r="E33" s="63"/>
      <c r="F33" s="63"/>
      <c r="G33" s="63"/>
      <c r="H33" s="63"/>
      <c r="I33" s="63"/>
      <c r="J33" s="85"/>
      <c r="K33" s="85"/>
      <c r="L33" s="85"/>
      <c r="M33" s="85"/>
      <c r="N33" s="85"/>
      <c r="O33" s="63"/>
      <c r="P33" s="63"/>
    </row>
    <row r="34" spans="1:20" s="28" customFormat="1" ht="15" customHeight="1">
      <c r="A34" s="101" t="s">
        <v>99</v>
      </c>
      <c r="B34" s="76" t="s">
        <v>36</v>
      </c>
      <c r="C34" s="433">
        <v>1</v>
      </c>
      <c r="D34" s="25" t="s">
        <v>104</v>
      </c>
      <c r="E34" s="63"/>
      <c r="F34" s="63"/>
      <c r="G34" s="63"/>
      <c r="H34" s="63"/>
      <c r="I34" s="63"/>
      <c r="J34" s="85"/>
      <c r="K34" s="85"/>
      <c r="L34" s="85"/>
      <c r="M34" s="85"/>
      <c r="N34" s="85"/>
      <c r="O34" s="63"/>
      <c r="P34" s="63"/>
    </row>
    <row r="35" spans="1:20" s="28" customFormat="1" ht="12">
      <c r="A35" s="101" t="s">
        <v>101</v>
      </c>
      <c r="B35" s="76" t="s">
        <v>119</v>
      </c>
      <c r="C35" s="433">
        <v>1</v>
      </c>
      <c r="D35" s="25" t="s">
        <v>241</v>
      </c>
      <c r="E35" s="63"/>
      <c r="F35" s="63"/>
      <c r="G35" s="63"/>
      <c r="H35" s="63"/>
      <c r="I35" s="63"/>
      <c r="J35" s="85"/>
      <c r="K35" s="85"/>
      <c r="L35" s="85"/>
      <c r="M35" s="85"/>
      <c r="N35" s="85"/>
      <c r="O35" s="63"/>
      <c r="P35" s="63"/>
    </row>
    <row r="36" spans="1:20" s="28" customFormat="1" ht="15" customHeight="1">
      <c r="A36" s="101" t="s">
        <v>102</v>
      </c>
      <c r="B36" s="76" t="s">
        <v>120</v>
      </c>
      <c r="C36" s="433">
        <v>1</v>
      </c>
      <c r="D36" s="25" t="s">
        <v>105</v>
      </c>
      <c r="E36" s="63"/>
      <c r="F36" s="63"/>
      <c r="G36" s="63"/>
      <c r="H36" s="63"/>
      <c r="I36" s="63"/>
      <c r="J36" s="63"/>
      <c r="K36" s="63"/>
      <c r="L36" s="85"/>
      <c r="M36" s="85"/>
      <c r="N36" s="85"/>
      <c r="O36" s="85"/>
      <c r="P36" s="85"/>
      <c r="Q36" s="63"/>
      <c r="R36" s="63"/>
    </row>
    <row r="37" spans="1:20" s="28" customFormat="1" ht="15" customHeight="1">
      <c r="A37" s="101" t="s">
        <v>1306</v>
      </c>
      <c r="B37" s="76" t="s">
        <v>248</v>
      </c>
      <c r="C37" s="433">
        <v>1</v>
      </c>
      <c r="D37" s="25" t="s">
        <v>1490</v>
      </c>
      <c r="E37" s="98"/>
      <c r="F37" s="63"/>
      <c r="G37" s="63"/>
      <c r="H37" s="63"/>
      <c r="I37" s="63"/>
      <c r="J37" s="63"/>
      <c r="K37" s="63"/>
      <c r="L37" s="63"/>
      <c r="M37" s="63"/>
      <c r="N37" s="85"/>
      <c r="O37" s="85"/>
      <c r="P37" s="85"/>
      <c r="Q37" s="85"/>
      <c r="R37" s="85"/>
      <c r="S37" s="63"/>
      <c r="T37" s="63"/>
    </row>
    <row r="38" spans="1:20" s="28" customFormat="1" ht="15" customHeight="1">
      <c r="A38" s="63"/>
      <c r="B38" s="63"/>
      <c r="C38" s="63"/>
      <c r="D38" s="63"/>
      <c r="E38" s="64"/>
      <c r="F38" s="64"/>
      <c r="G38" s="63"/>
      <c r="H38" s="63"/>
      <c r="I38" s="63"/>
      <c r="J38" s="63"/>
      <c r="K38" s="63"/>
      <c r="L38" s="63"/>
      <c r="M38" s="63"/>
      <c r="N38" s="85"/>
      <c r="O38" s="85"/>
      <c r="P38" s="85"/>
      <c r="Q38" s="85"/>
      <c r="R38" s="85"/>
      <c r="S38" s="63"/>
      <c r="T38" s="63"/>
    </row>
    <row r="39" spans="1:20" s="28" customFormat="1" ht="12">
      <c r="A39" s="62" t="s">
        <v>106</v>
      </c>
      <c r="B39" s="63"/>
      <c r="C39" s="63"/>
      <c r="D39" s="85"/>
      <c r="E39" s="64"/>
      <c r="F39" s="98"/>
      <c r="G39" s="63"/>
      <c r="H39" s="63"/>
      <c r="I39" s="63"/>
      <c r="J39" s="63"/>
      <c r="K39" s="63"/>
      <c r="L39" s="63"/>
      <c r="M39" s="85"/>
      <c r="N39" s="85"/>
      <c r="O39" s="85"/>
      <c r="P39" s="85"/>
      <c r="Q39" s="85"/>
      <c r="R39" s="63"/>
      <c r="S39" s="63"/>
    </row>
    <row r="40" spans="1:20" s="28" customFormat="1" ht="22.5">
      <c r="A40" s="266" t="s">
        <v>33</v>
      </c>
      <c r="B40" s="265" t="s">
        <v>107</v>
      </c>
      <c r="C40" s="268" t="s">
        <v>98</v>
      </c>
      <c r="D40" s="88" t="s">
        <v>165</v>
      </c>
      <c r="E40" s="64"/>
      <c r="F40" s="98"/>
      <c r="G40" s="63"/>
      <c r="H40" s="63"/>
      <c r="I40" s="63"/>
      <c r="J40" s="63"/>
      <c r="K40" s="63"/>
      <c r="L40" s="63"/>
      <c r="M40" s="85"/>
      <c r="N40" s="85"/>
      <c r="O40" s="85"/>
      <c r="P40" s="85"/>
      <c r="Q40" s="85"/>
      <c r="R40" s="63"/>
      <c r="S40" s="63"/>
    </row>
    <row r="41" spans="1:20" s="28" customFormat="1" ht="15" customHeight="1">
      <c r="A41" s="102" t="s">
        <v>252</v>
      </c>
      <c r="B41" s="103" t="s">
        <v>251</v>
      </c>
      <c r="C41" s="434">
        <v>1</v>
      </c>
      <c r="D41" s="63"/>
      <c r="E41" s="64"/>
      <c r="F41" s="98"/>
      <c r="G41" s="63"/>
      <c r="H41" s="63"/>
      <c r="I41" s="63"/>
      <c r="J41" s="63"/>
      <c r="K41" s="63"/>
      <c r="L41" s="63"/>
      <c r="M41" s="85"/>
      <c r="N41" s="85"/>
      <c r="O41" s="85"/>
      <c r="P41" s="85"/>
      <c r="Q41" s="85"/>
      <c r="R41" s="63"/>
      <c r="S41" s="63"/>
    </row>
    <row r="42" spans="1:20" s="28" customFormat="1" ht="15" customHeight="1">
      <c r="A42" s="104" t="s">
        <v>19</v>
      </c>
      <c r="B42" s="105" t="s">
        <v>29</v>
      </c>
      <c r="C42" s="434">
        <v>1</v>
      </c>
      <c r="D42" s="63"/>
      <c r="E42" s="64"/>
      <c r="F42" s="63"/>
      <c r="G42" s="63"/>
      <c r="H42" s="63"/>
      <c r="I42" s="63"/>
      <c r="J42" s="63"/>
      <c r="K42" s="85"/>
      <c r="L42" s="85"/>
      <c r="M42" s="85"/>
      <c r="N42" s="85"/>
      <c r="O42" s="85"/>
      <c r="P42" s="63"/>
      <c r="Q42" s="63"/>
    </row>
    <row r="43" spans="1:20" s="64" customFormat="1" ht="12">
      <c r="A43" s="102" t="s">
        <v>2</v>
      </c>
      <c r="B43" s="103" t="s">
        <v>1</v>
      </c>
      <c r="C43" s="434">
        <v>1</v>
      </c>
      <c r="D43" s="63"/>
      <c r="H43" s="106"/>
      <c r="I43" s="106"/>
      <c r="J43" s="67"/>
      <c r="K43" s="67"/>
      <c r="L43" s="67"/>
      <c r="M43" s="67"/>
      <c r="N43" s="67"/>
    </row>
    <row r="44" spans="1:20" ht="12">
      <c r="A44" s="104" t="s">
        <v>20</v>
      </c>
      <c r="B44" s="105" t="s">
        <v>21</v>
      </c>
      <c r="C44" s="434">
        <v>1</v>
      </c>
      <c r="D44" s="63"/>
      <c r="E44" s="64"/>
      <c r="F44" s="65"/>
      <c r="G44" s="107"/>
      <c r="H44" s="67"/>
      <c r="I44" s="67"/>
      <c r="J44" s="67"/>
      <c r="K44" s="67"/>
      <c r="L44" s="67"/>
      <c r="M44" s="67"/>
      <c r="N44" s="64"/>
      <c r="O44" s="64"/>
      <c r="P44" s="64"/>
    </row>
    <row r="45" spans="1:20" ht="15" customHeight="1">
      <c r="A45" s="102" t="s">
        <v>18</v>
      </c>
      <c r="B45" s="103" t="s">
        <v>12</v>
      </c>
      <c r="C45" s="434">
        <v>1</v>
      </c>
      <c r="D45" s="63"/>
      <c r="E45" s="64"/>
      <c r="F45" s="65"/>
      <c r="G45" s="107"/>
      <c r="H45" s="67"/>
      <c r="I45" s="67"/>
      <c r="J45" s="67"/>
      <c r="K45" s="67"/>
      <c r="L45" s="67"/>
      <c r="M45" s="67"/>
      <c r="N45" s="64"/>
      <c r="O45" s="64"/>
      <c r="P45" s="64"/>
    </row>
    <row r="46" spans="1:20" ht="15" customHeight="1">
      <c r="A46" s="104" t="s">
        <v>108</v>
      </c>
      <c r="B46" s="105" t="s">
        <v>109</v>
      </c>
      <c r="C46" s="434">
        <v>1</v>
      </c>
      <c r="D46" s="63"/>
      <c r="E46" s="64"/>
      <c r="F46" s="65"/>
      <c r="G46" s="107"/>
      <c r="H46" s="67"/>
      <c r="I46" s="67"/>
      <c r="J46" s="67"/>
      <c r="K46" s="67"/>
      <c r="L46" s="67"/>
      <c r="M46" s="67"/>
      <c r="N46" s="64"/>
      <c r="O46" s="64"/>
      <c r="P46" s="64"/>
    </row>
    <row r="47" spans="1:20" ht="15" customHeight="1">
      <c r="A47" s="102" t="s">
        <v>17</v>
      </c>
      <c r="B47" s="103" t="s">
        <v>14</v>
      </c>
      <c r="C47" s="434">
        <v>1</v>
      </c>
      <c r="D47" s="63"/>
      <c r="E47" s="64"/>
      <c r="F47" s="65"/>
      <c r="G47" s="107"/>
      <c r="H47" s="67"/>
      <c r="I47" s="67"/>
      <c r="J47" s="67"/>
      <c r="K47" s="67"/>
      <c r="L47" s="67"/>
      <c r="M47" s="67"/>
      <c r="N47" s="64"/>
      <c r="O47" s="64"/>
      <c r="P47" s="64"/>
    </row>
    <row r="48" spans="1:20" ht="15" customHeight="1">
      <c r="A48" s="104" t="s">
        <v>15</v>
      </c>
      <c r="B48" s="105" t="s">
        <v>13</v>
      </c>
      <c r="C48" s="434">
        <v>1</v>
      </c>
      <c r="D48" s="63"/>
      <c r="E48" s="64"/>
      <c r="F48" s="65"/>
      <c r="G48" s="107"/>
      <c r="H48" s="67"/>
      <c r="I48" s="67"/>
      <c r="J48" s="67"/>
      <c r="K48" s="67"/>
      <c r="L48" s="67"/>
      <c r="M48" s="67"/>
      <c r="N48" s="64"/>
      <c r="O48" s="64"/>
      <c r="P48" s="64"/>
    </row>
    <row r="49" spans="1:18" ht="15" customHeight="1">
      <c r="A49" s="102" t="s">
        <v>25</v>
      </c>
      <c r="B49" s="103" t="s">
        <v>28</v>
      </c>
      <c r="C49" s="434">
        <v>1</v>
      </c>
      <c r="D49" s="63"/>
      <c r="E49" s="64"/>
      <c r="F49" s="65"/>
      <c r="G49" s="107"/>
      <c r="H49" s="67"/>
      <c r="I49" s="67"/>
      <c r="J49" s="67"/>
      <c r="K49" s="67"/>
      <c r="L49" s="67"/>
      <c r="M49" s="67"/>
      <c r="N49" s="64"/>
      <c r="O49" s="64"/>
      <c r="P49" s="64"/>
    </row>
    <row r="50" spans="1:18" ht="15" customHeight="1">
      <c r="A50" s="104" t="s">
        <v>26</v>
      </c>
      <c r="B50" s="105" t="s">
        <v>27</v>
      </c>
      <c r="C50" s="434">
        <v>1</v>
      </c>
      <c r="D50" s="63"/>
      <c r="E50" s="64"/>
      <c r="F50" s="65"/>
      <c r="G50" s="107"/>
      <c r="H50" s="67"/>
      <c r="I50" s="67"/>
      <c r="J50" s="67"/>
      <c r="K50" s="67"/>
      <c r="L50" s="67"/>
      <c r="M50" s="67"/>
      <c r="N50" s="64"/>
      <c r="O50" s="64"/>
      <c r="P50" s="64"/>
    </row>
    <row r="51" spans="1:18" ht="15" customHeight="1">
      <c r="A51" s="102" t="s">
        <v>16</v>
      </c>
      <c r="B51" s="103" t="s">
        <v>0</v>
      </c>
      <c r="C51" s="434">
        <v>1</v>
      </c>
      <c r="D51" s="63"/>
      <c r="E51" s="64"/>
      <c r="F51" s="65"/>
      <c r="G51" s="107"/>
      <c r="H51" s="67"/>
      <c r="I51" s="67"/>
      <c r="J51" s="67"/>
      <c r="K51" s="67"/>
      <c r="L51" s="67"/>
      <c r="M51" s="67"/>
      <c r="N51" s="64"/>
      <c r="O51" s="64"/>
      <c r="P51" s="64"/>
    </row>
    <row r="52" spans="1:18" ht="15" customHeight="1">
      <c r="A52" s="102" t="s">
        <v>249</v>
      </c>
      <c r="B52" s="103" t="s">
        <v>250</v>
      </c>
      <c r="C52" s="434">
        <v>1</v>
      </c>
      <c r="D52" s="63"/>
      <c r="E52" s="64"/>
      <c r="F52" s="65"/>
      <c r="G52" s="64"/>
      <c r="H52" s="107"/>
      <c r="I52" s="107"/>
      <c r="J52" s="67"/>
      <c r="K52" s="67"/>
      <c r="L52" s="67"/>
      <c r="M52" s="67"/>
      <c r="N52" s="67"/>
      <c r="O52" s="64"/>
      <c r="P52" s="64"/>
      <c r="Q52" s="64"/>
    </row>
    <row r="53" spans="1:18" ht="15" customHeight="1">
      <c r="A53" s="109"/>
      <c r="B53" s="85"/>
      <c r="C53" s="85"/>
      <c r="D53" s="85"/>
      <c r="E53" s="64"/>
      <c r="F53" s="64"/>
      <c r="G53" s="64"/>
      <c r="H53" s="107"/>
      <c r="I53" s="107"/>
      <c r="J53" s="67"/>
      <c r="K53" s="67"/>
      <c r="L53" s="67"/>
      <c r="M53" s="67"/>
      <c r="N53" s="67"/>
      <c r="O53" s="64"/>
      <c r="P53" s="64"/>
      <c r="Q53" s="64"/>
    </row>
    <row r="54" spans="1:18" ht="15" customHeight="1">
      <c r="A54" s="107"/>
      <c r="B54" s="64"/>
      <c r="C54" s="64"/>
      <c r="D54" s="75"/>
      <c r="E54" s="64"/>
      <c r="F54" s="64"/>
      <c r="G54" s="64"/>
      <c r="H54" s="107"/>
      <c r="I54" s="107"/>
      <c r="J54" s="67"/>
      <c r="K54" s="67"/>
      <c r="L54" s="67"/>
      <c r="M54" s="67"/>
      <c r="N54" s="67"/>
      <c r="O54" s="64"/>
      <c r="P54" s="64"/>
      <c r="Q54" s="64"/>
    </row>
    <row r="55" spans="1:18" ht="15" customHeight="1">
      <c r="A55" s="107"/>
      <c r="B55" s="64"/>
      <c r="C55" s="110"/>
      <c r="D55" s="75"/>
      <c r="E55" s="64"/>
      <c r="F55" s="64"/>
      <c r="G55" s="64"/>
      <c r="H55" s="107"/>
      <c r="I55" s="107"/>
      <c r="J55" s="67"/>
      <c r="K55" s="67"/>
      <c r="L55" s="67"/>
      <c r="M55" s="67"/>
      <c r="N55" s="67"/>
      <c r="O55" s="64"/>
      <c r="P55" s="64"/>
      <c r="Q55" s="64"/>
    </row>
    <row r="56" spans="1:18" ht="15" customHeight="1">
      <c r="A56" s="107"/>
      <c r="B56" s="64"/>
      <c r="C56" s="64"/>
      <c r="D56" s="75"/>
      <c r="E56" s="64"/>
      <c r="F56" s="64"/>
      <c r="G56" s="65"/>
      <c r="H56" s="64"/>
      <c r="I56" s="64"/>
      <c r="J56" s="107"/>
      <c r="K56" s="67"/>
      <c r="L56" s="67"/>
      <c r="M56" s="67"/>
      <c r="N56" s="67"/>
      <c r="O56" s="67"/>
      <c r="P56" s="64"/>
      <c r="Q56" s="64"/>
      <c r="R56" s="64"/>
    </row>
    <row r="57" spans="1:18" ht="15" customHeight="1">
      <c r="A57" s="107"/>
      <c r="B57" s="64"/>
      <c r="C57" s="64"/>
      <c r="D57" s="75"/>
      <c r="F57" s="64"/>
      <c r="G57" s="65"/>
      <c r="H57" s="64"/>
      <c r="I57" s="64"/>
      <c r="J57" s="107"/>
      <c r="K57" s="67"/>
      <c r="L57" s="67"/>
      <c r="M57" s="67"/>
      <c r="N57" s="67"/>
      <c r="O57" s="67"/>
      <c r="P57" s="64"/>
      <c r="Q57" s="64"/>
      <c r="R57" s="64"/>
    </row>
    <row r="58" spans="1:18" ht="15" customHeight="1">
      <c r="F58" s="64"/>
      <c r="G58" s="65"/>
      <c r="H58" s="64"/>
      <c r="I58" s="64"/>
      <c r="J58" s="107"/>
      <c r="K58" s="67"/>
      <c r="L58" s="67"/>
      <c r="M58" s="67"/>
      <c r="N58" s="67"/>
      <c r="O58" s="67"/>
      <c r="P58" s="64"/>
      <c r="Q58" s="64"/>
      <c r="R58" s="64"/>
    </row>
    <row r="59" spans="1:18" ht="15" customHeight="1">
      <c r="F59" s="64"/>
      <c r="G59" s="65"/>
      <c r="H59" s="64"/>
      <c r="I59" s="64"/>
      <c r="J59" s="107"/>
      <c r="K59" s="67"/>
      <c r="L59" s="67"/>
      <c r="M59" s="67"/>
      <c r="N59" s="67"/>
      <c r="O59" s="67"/>
      <c r="P59" s="64"/>
      <c r="Q59" s="64"/>
      <c r="R59" s="64"/>
    </row>
    <row r="60" spans="1:18" ht="15" customHeight="1">
      <c r="F60" s="64"/>
      <c r="G60" s="65"/>
      <c r="H60" s="64"/>
      <c r="I60" s="64"/>
      <c r="J60" s="107"/>
      <c r="K60" s="67"/>
      <c r="L60" s="67"/>
      <c r="M60" s="67"/>
      <c r="N60" s="67"/>
      <c r="O60" s="67"/>
      <c r="P60" s="64"/>
      <c r="Q60" s="64"/>
      <c r="R60" s="64"/>
    </row>
    <row r="61" spans="1:18" ht="15" customHeight="1">
      <c r="F61" s="64"/>
      <c r="G61" s="65"/>
      <c r="H61" s="64"/>
      <c r="I61" s="64"/>
      <c r="J61" s="107"/>
      <c r="K61" s="67"/>
      <c r="L61" s="67"/>
      <c r="M61" s="67"/>
      <c r="N61" s="67"/>
      <c r="O61" s="67"/>
      <c r="P61" s="64"/>
      <c r="Q61" s="64"/>
      <c r="R61" s="64"/>
    </row>
    <row r="62" spans="1:18" ht="15" customHeight="1">
      <c r="F62" s="64"/>
      <c r="G62" s="65"/>
      <c r="H62" s="64"/>
      <c r="I62" s="64"/>
      <c r="J62" s="107"/>
      <c r="K62" s="67"/>
      <c r="L62" s="67"/>
      <c r="M62" s="67"/>
      <c r="N62" s="67"/>
      <c r="O62" s="67"/>
      <c r="P62" s="64"/>
      <c r="Q62" s="64"/>
      <c r="R62" s="64"/>
    </row>
    <row r="63" spans="1:18" ht="15" customHeight="1">
      <c r="F63" s="64"/>
      <c r="G63" s="65"/>
      <c r="H63" s="64"/>
      <c r="I63" s="64"/>
      <c r="J63" s="107"/>
      <c r="K63" s="67"/>
      <c r="L63" s="67"/>
      <c r="M63" s="67"/>
      <c r="N63" s="67"/>
      <c r="O63" s="67"/>
      <c r="P63" s="64"/>
      <c r="Q63" s="64"/>
      <c r="R63" s="64"/>
    </row>
    <row r="64" spans="1:18" ht="15" customHeight="1">
      <c r="F64" s="64"/>
      <c r="G64" s="65"/>
      <c r="H64" s="64"/>
      <c r="I64" s="64"/>
      <c r="J64" s="107"/>
      <c r="K64" s="67"/>
      <c r="L64" s="67"/>
      <c r="M64" s="67"/>
      <c r="N64" s="67"/>
      <c r="O64" s="67"/>
      <c r="P64" s="64"/>
      <c r="Q64" s="64"/>
      <c r="R64" s="64"/>
    </row>
    <row r="65" spans="6:18" ht="15" customHeight="1">
      <c r="F65" s="64"/>
      <c r="G65" s="65"/>
      <c r="H65" s="64"/>
      <c r="I65" s="64"/>
      <c r="J65" s="107"/>
      <c r="K65" s="67"/>
      <c r="L65" s="67"/>
      <c r="M65" s="67"/>
      <c r="N65" s="67"/>
      <c r="O65" s="67"/>
      <c r="P65" s="64"/>
      <c r="Q65" s="64"/>
      <c r="R65" s="64"/>
    </row>
    <row r="66" spans="6:18" ht="15" customHeight="1">
      <c r="F66" s="64"/>
      <c r="G66" s="65"/>
      <c r="H66" s="64"/>
      <c r="I66" s="64"/>
      <c r="J66" s="107"/>
      <c r="K66" s="67"/>
      <c r="L66" s="67"/>
      <c r="M66" s="67"/>
      <c r="N66" s="67"/>
      <c r="O66" s="67"/>
      <c r="P66" s="64"/>
      <c r="Q66" s="64"/>
      <c r="R66" s="64"/>
    </row>
    <row r="67" spans="6:18" ht="15" customHeight="1">
      <c r="F67" s="64"/>
      <c r="G67" s="65"/>
      <c r="H67" s="64"/>
      <c r="I67" s="64"/>
      <c r="J67" s="107"/>
      <c r="K67" s="67"/>
      <c r="L67" s="67"/>
      <c r="M67" s="67"/>
      <c r="N67" s="67"/>
      <c r="O67" s="67"/>
      <c r="P67" s="64"/>
      <c r="Q67" s="64"/>
      <c r="R67" s="64"/>
    </row>
    <row r="68" spans="6:18" ht="15" customHeight="1">
      <c r="F68" s="64"/>
      <c r="G68" s="65"/>
      <c r="H68" s="64"/>
      <c r="I68" s="64"/>
      <c r="J68" s="107"/>
      <c r="K68" s="67"/>
      <c r="L68" s="67"/>
      <c r="M68" s="67"/>
      <c r="N68" s="67"/>
      <c r="O68" s="67"/>
      <c r="P68" s="64"/>
      <c r="Q68" s="64"/>
      <c r="R68" s="64"/>
    </row>
    <row r="69" spans="6:18" ht="15" customHeight="1">
      <c r="F69" s="64"/>
      <c r="G69" s="65"/>
      <c r="H69" s="64"/>
      <c r="I69" s="64"/>
      <c r="J69" s="107"/>
      <c r="K69" s="67"/>
      <c r="L69" s="67"/>
      <c r="M69" s="67"/>
      <c r="N69" s="67"/>
      <c r="O69" s="67"/>
      <c r="P69" s="64"/>
      <c r="Q69" s="64"/>
      <c r="R69" s="64"/>
    </row>
    <row r="70" spans="6:18" ht="15" customHeight="1">
      <c r="F70" s="64"/>
      <c r="G70" s="65"/>
      <c r="H70" s="64"/>
      <c r="I70" s="64"/>
      <c r="J70" s="107"/>
      <c r="K70" s="67"/>
      <c r="L70" s="67"/>
      <c r="M70" s="67"/>
      <c r="N70" s="67"/>
      <c r="O70" s="67"/>
      <c r="P70" s="64"/>
      <c r="Q70" s="64"/>
      <c r="R70" s="64"/>
    </row>
    <row r="71" spans="6:18" ht="15" customHeight="1">
      <c r="F71" s="64"/>
      <c r="G71" s="65"/>
      <c r="H71" s="64"/>
      <c r="I71" s="64"/>
      <c r="J71" s="107"/>
      <c r="K71" s="67"/>
      <c r="L71" s="67"/>
      <c r="M71" s="67"/>
      <c r="N71" s="67"/>
      <c r="O71" s="67"/>
      <c r="P71" s="64"/>
      <c r="Q71" s="64"/>
      <c r="R71" s="64"/>
    </row>
    <row r="72" spans="6:18" ht="15" customHeight="1">
      <c r="F72" s="64"/>
      <c r="G72" s="65"/>
      <c r="H72" s="64"/>
      <c r="I72" s="64"/>
      <c r="J72" s="107"/>
      <c r="K72" s="67"/>
      <c r="L72" s="67"/>
      <c r="M72" s="67"/>
      <c r="N72" s="67"/>
      <c r="O72" s="67"/>
      <c r="P72" s="64"/>
      <c r="Q72" s="64"/>
      <c r="R72" s="64"/>
    </row>
    <row r="73" spans="6:18" ht="15" customHeight="1">
      <c r="F73" s="64"/>
      <c r="G73" s="65"/>
      <c r="H73" s="64"/>
      <c r="I73" s="64"/>
      <c r="J73" s="107"/>
      <c r="K73" s="67"/>
      <c r="L73" s="67"/>
      <c r="M73" s="67"/>
      <c r="N73" s="67"/>
      <c r="O73" s="67"/>
      <c r="P73" s="64"/>
      <c r="Q73" s="64"/>
      <c r="R73" s="64"/>
    </row>
    <row r="74" spans="6:18" ht="15" customHeight="1">
      <c r="F74" s="64"/>
      <c r="G74" s="65"/>
      <c r="H74" s="64"/>
      <c r="I74" s="64"/>
      <c r="J74" s="107"/>
      <c r="K74" s="67"/>
      <c r="L74" s="67"/>
      <c r="M74" s="67"/>
      <c r="N74" s="67"/>
      <c r="O74" s="67"/>
      <c r="P74" s="64"/>
      <c r="Q74" s="64"/>
      <c r="R74" s="64"/>
    </row>
    <row r="75" spans="6:18" ht="15" customHeight="1">
      <c r="F75" s="64"/>
      <c r="G75" s="65"/>
      <c r="H75" s="64"/>
      <c r="I75" s="64"/>
      <c r="J75" s="107"/>
      <c r="K75" s="67"/>
      <c r="L75" s="67"/>
      <c r="M75" s="67"/>
      <c r="N75" s="67"/>
      <c r="O75" s="67"/>
      <c r="P75" s="64"/>
      <c r="Q75" s="64"/>
      <c r="R75" s="64"/>
    </row>
    <row r="76" spans="6:18" ht="15" customHeight="1">
      <c r="F76" s="64"/>
      <c r="G76" s="65"/>
      <c r="H76" s="64"/>
      <c r="I76" s="64"/>
      <c r="J76" s="107"/>
      <c r="K76" s="67"/>
      <c r="L76" s="67"/>
      <c r="M76" s="67"/>
      <c r="N76" s="67"/>
      <c r="O76" s="67"/>
      <c r="P76" s="64"/>
      <c r="Q76" s="64"/>
      <c r="R76" s="64"/>
    </row>
    <row r="77" spans="6:18" ht="15" customHeight="1">
      <c r="F77" s="64"/>
      <c r="G77" s="65"/>
      <c r="H77" s="64"/>
      <c r="I77" s="64"/>
      <c r="J77" s="107"/>
      <c r="K77" s="67"/>
      <c r="L77" s="67"/>
      <c r="M77" s="67"/>
      <c r="N77" s="67"/>
      <c r="O77" s="67"/>
      <c r="P77" s="64"/>
      <c r="Q77" s="64"/>
      <c r="R77" s="64"/>
    </row>
    <row r="78" spans="6:18" ht="15" customHeight="1">
      <c r="F78" s="64"/>
      <c r="G78" s="65"/>
      <c r="H78" s="64"/>
      <c r="I78" s="64"/>
      <c r="J78" s="107"/>
      <c r="K78" s="67"/>
      <c r="L78" s="67"/>
      <c r="M78" s="67"/>
      <c r="N78" s="67"/>
      <c r="O78" s="67"/>
      <c r="P78" s="64"/>
      <c r="Q78" s="64"/>
      <c r="R78" s="64"/>
    </row>
    <row r="79" spans="6:18" ht="15" customHeight="1">
      <c r="F79" s="64"/>
      <c r="G79" s="65"/>
      <c r="H79" s="64"/>
      <c r="I79" s="64"/>
      <c r="J79" s="107"/>
      <c r="K79" s="67"/>
      <c r="L79" s="67"/>
      <c r="M79" s="67"/>
      <c r="N79" s="67"/>
      <c r="O79" s="67"/>
      <c r="P79" s="64"/>
      <c r="Q79" s="64"/>
      <c r="R79" s="64"/>
    </row>
    <row r="80" spans="6:18" ht="15" customHeight="1">
      <c r="F80" s="64"/>
      <c r="G80" s="65"/>
      <c r="H80" s="64"/>
      <c r="I80" s="64"/>
      <c r="J80" s="107"/>
      <c r="K80" s="67"/>
      <c r="L80" s="67"/>
      <c r="M80" s="67"/>
      <c r="N80" s="67"/>
      <c r="O80" s="67"/>
      <c r="P80" s="64"/>
      <c r="Q80" s="64"/>
      <c r="R80" s="64"/>
    </row>
    <row r="81" spans="6:18" ht="15" customHeight="1">
      <c r="F81" s="64"/>
      <c r="G81" s="65"/>
      <c r="H81" s="64"/>
      <c r="I81" s="64"/>
      <c r="J81" s="107"/>
      <c r="K81" s="67"/>
      <c r="L81" s="67"/>
      <c r="M81" s="67"/>
      <c r="N81" s="67"/>
      <c r="O81" s="67"/>
      <c r="P81" s="64"/>
      <c r="Q81" s="64"/>
      <c r="R81" s="64"/>
    </row>
    <row r="82" spans="6:18" ht="15" customHeight="1">
      <c r="F82" s="64"/>
      <c r="G82" s="65"/>
      <c r="H82" s="64"/>
      <c r="I82" s="64"/>
      <c r="J82" s="107"/>
      <c r="K82" s="67"/>
      <c r="L82" s="67"/>
      <c r="M82" s="67"/>
      <c r="N82" s="67"/>
      <c r="O82" s="67"/>
      <c r="P82" s="64"/>
      <c r="Q82" s="64"/>
      <c r="R82" s="64"/>
    </row>
    <row r="83" spans="6:18" ht="15" customHeight="1">
      <c r="F83" s="64"/>
      <c r="G83" s="65"/>
      <c r="H83" s="64"/>
      <c r="I83" s="64"/>
      <c r="J83" s="107"/>
      <c r="K83" s="67"/>
      <c r="L83" s="67"/>
      <c r="M83" s="67"/>
      <c r="N83" s="67"/>
      <c r="O83" s="67"/>
      <c r="P83" s="64"/>
      <c r="Q83" s="64"/>
      <c r="R83" s="64"/>
    </row>
    <row r="84" spans="6:18" ht="15" customHeight="1">
      <c r="F84" s="64"/>
      <c r="G84" s="65"/>
      <c r="H84" s="64"/>
      <c r="I84" s="64"/>
      <c r="J84" s="107"/>
      <c r="K84" s="67"/>
      <c r="L84" s="67"/>
      <c r="M84" s="67"/>
      <c r="N84" s="67"/>
      <c r="O84" s="67"/>
      <c r="P84" s="64"/>
      <c r="Q84" s="64"/>
      <c r="R84" s="64"/>
    </row>
    <row r="85" spans="6:18" ht="15" customHeight="1">
      <c r="F85" s="64"/>
      <c r="G85" s="65"/>
      <c r="H85" s="64"/>
      <c r="I85" s="64"/>
      <c r="J85" s="107"/>
      <c r="K85" s="67"/>
      <c r="L85" s="67"/>
      <c r="M85" s="67"/>
      <c r="N85" s="67"/>
      <c r="O85" s="67"/>
      <c r="P85" s="64"/>
      <c r="Q85" s="64"/>
      <c r="R85" s="64"/>
    </row>
    <row r="86" spans="6:18" ht="15" customHeight="1">
      <c r="F86" s="64"/>
      <c r="G86" s="65"/>
      <c r="H86" s="64"/>
      <c r="I86" s="64"/>
      <c r="J86" s="107"/>
      <c r="K86" s="67"/>
      <c r="L86" s="67"/>
      <c r="M86" s="67"/>
      <c r="N86" s="67"/>
      <c r="O86" s="67"/>
      <c r="P86" s="64"/>
      <c r="Q86" s="64"/>
      <c r="R86" s="64"/>
    </row>
    <row r="87" spans="6:18" ht="15" customHeight="1">
      <c r="F87" s="64"/>
      <c r="G87" s="65"/>
      <c r="H87" s="64"/>
      <c r="I87" s="64"/>
      <c r="J87" s="107"/>
      <c r="K87" s="67"/>
      <c r="L87" s="67"/>
      <c r="M87" s="67"/>
      <c r="N87" s="67"/>
      <c r="O87" s="67"/>
      <c r="P87" s="64"/>
      <c r="Q87" s="64"/>
      <c r="R87" s="64"/>
    </row>
    <row r="88" spans="6:18" ht="15" customHeight="1">
      <c r="F88" s="64"/>
      <c r="G88" s="65"/>
      <c r="H88" s="64"/>
      <c r="I88" s="64"/>
      <c r="J88" s="107"/>
      <c r="K88" s="67"/>
      <c r="L88" s="67"/>
      <c r="M88" s="67"/>
      <c r="N88" s="67"/>
      <c r="O88" s="67"/>
      <c r="P88" s="64"/>
      <c r="Q88" s="64"/>
      <c r="R88" s="64"/>
    </row>
    <row r="89" spans="6:18" ht="15" customHeight="1">
      <c r="F89" s="64"/>
      <c r="G89" s="65"/>
      <c r="H89" s="64"/>
      <c r="I89" s="64"/>
      <c r="J89" s="107"/>
      <c r="K89" s="67"/>
      <c r="L89" s="67"/>
      <c r="M89" s="67"/>
      <c r="N89" s="67"/>
      <c r="O89" s="67"/>
      <c r="P89" s="64"/>
      <c r="Q89" s="64"/>
      <c r="R89" s="64"/>
    </row>
    <row r="90" spans="6:18" ht="15" customHeight="1">
      <c r="F90" s="64"/>
      <c r="G90" s="65"/>
      <c r="H90" s="64"/>
      <c r="I90" s="64"/>
      <c r="J90" s="107"/>
      <c r="K90" s="67"/>
      <c r="L90" s="67"/>
      <c r="M90" s="67"/>
      <c r="N90" s="67"/>
      <c r="O90" s="67"/>
      <c r="P90" s="64"/>
      <c r="Q90" s="64"/>
      <c r="R90" s="64"/>
    </row>
    <row r="91" spans="6:18" ht="15" customHeight="1">
      <c r="F91" s="64"/>
      <c r="G91" s="65"/>
      <c r="H91" s="64"/>
      <c r="I91" s="64"/>
      <c r="J91" s="107"/>
      <c r="K91" s="67"/>
      <c r="L91" s="67"/>
      <c r="M91" s="67"/>
      <c r="N91" s="67"/>
      <c r="O91" s="67"/>
      <c r="P91" s="64"/>
      <c r="Q91" s="64"/>
      <c r="R91" s="64"/>
    </row>
    <row r="92" spans="6:18" ht="15" customHeight="1">
      <c r="F92" s="64"/>
      <c r="G92" s="65"/>
      <c r="H92" s="64"/>
      <c r="I92" s="64"/>
      <c r="J92" s="107"/>
      <c r="K92" s="67"/>
      <c r="L92" s="67"/>
      <c r="M92" s="67"/>
      <c r="N92" s="67"/>
      <c r="O92" s="67"/>
      <c r="P92" s="64"/>
      <c r="Q92" s="64"/>
      <c r="R92" s="64"/>
    </row>
    <row r="93" spans="6:18" ht="15" customHeight="1">
      <c r="F93" s="64"/>
      <c r="G93" s="65"/>
      <c r="H93" s="64"/>
      <c r="I93" s="64"/>
      <c r="J93" s="107"/>
      <c r="K93" s="67"/>
      <c r="L93" s="67"/>
      <c r="M93" s="67"/>
      <c r="N93" s="67"/>
      <c r="O93" s="67"/>
      <c r="P93" s="64"/>
      <c r="Q93" s="64"/>
      <c r="R93" s="64"/>
    </row>
    <row r="94" spans="6:18" ht="15" customHeight="1">
      <c r="F94" s="64"/>
      <c r="G94" s="65"/>
      <c r="H94" s="64"/>
      <c r="I94" s="64"/>
      <c r="J94" s="107"/>
      <c r="K94" s="67"/>
      <c r="L94" s="67"/>
      <c r="M94" s="67"/>
      <c r="N94" s="67"/>
      <c r="O94" s="67"/>
      <c r="P94" s="64"/>
      <c r="Q94" s="64"/>
      <c r="R94" s="64"/>
    </row>
    <row r="95" spans="6:18" ht="15" customHeight="1">
      <c r="F95" s="64"/>
      <c r="G95" s="65"/>
      <c r="H95" s="64"/>
      <c r="I95" s="64"/>
      <c r="J95" s="107"/>
      <c r="K95" s="67"/>
      <c r="L95" s="67"/>
      <c r="M95" s="67"/>
      <c r="N95" s="67"/>
      <c r="O95" s="67"/>
      <c r="P95" s="64"/>
      <c r="Q95" s="64"/>
      <c r="R95" s="64"/>
    </row>
    <row r="96" spans="6:18" ht="15" customHeight="1">
      <c r="F96" s="64"/>
      <c r="G96" s="65"/>
      <c r="H96" s="64"/>
      <c r="I96" s="64"/>
      <c r="J96" s="107"/>
      <c r="K96" s="67"/>
      <c r="L96" s="67"/>
      <c r="M96" s="67"/>
      <c r="N96" s="67"/>
      <c r="O96" s="67"/>
      <c r="P96" s="64"/>
      <c r="Q96" s="64"/>
      <c r="R96" s="64"/>
    </row>
    <row r="97" spans="6:18" ht="15" customHeight="1">
      <c r="F97" s="64"/>
      <c r="G97" s="65"/>
      <c r="H97" s="64"/>
      <c r="I97" s="64"/>
      <c r="J97" s="107"/>
      <c r="K97" s="67"/>
      <c r="L97" s="67"/>
      <c r="M97" s="67"/>
      <c r="N97" s="67"/>
      <c r="O97" s="67"/>
      <c r="P97" s="64"/>
      <c r="Q97" s="64"/>
      <c r="R97" s="64"/>
    </row>
    <row r="98" spans="6:18" ht="15" customHeight="1">
      <c r="F98" s="64"/>
      <c r="G98" s="65"/>
      <c r="H98" s="64"/>
      <c r="I98" s="64"/>
      <c r="J98" s="107"/>
      <c r="K98" s="67"/>
      <c r="L98" s="67"/>
      <c r="M98" s="67"/>
      <c r="N98" s="67"/>
      <c r="O98" s="67"/>
      <c r="P98" s="64"/>
      <c r="Q98" s="64"/>
      <c r="R98" s="64"/>
    </row>
    <row r="99" spans="6:18" ht="15" customHeight="1">
      <c r="F99" s="64"/>
      <c r="G99" s="65"/>
      <c r="H99" s="64"/>
      <c r="I99" s="64"/>
      <c r="J99" s="107"/>
      <c r="K99" s="67"/>
      <c r="L99" s="67"/>
      <c r="M99" s="67"/>
      <c r="N99" s="67"/>
      <c r="O99" s="67"/>
      <c r="P99" s="64"/>
      <c r="Q99" s="64"/>
      <c r="R99" s="64"/>
    </row>
    <row r="100" spans="6:18" ht="15" customHeight="1">
      <c r="F100" s="64"/>
      <c r="G100" s="65"/>
      <c r="H100" s="64"/>
      <c r="I100" s="64"/>
      <c r="J100" s="107"/>
      <c r="K100" s="67"/>
      <c r="L100" s="67"/>
      <c r="M100" s="67"/>
      <c r="N100" s="67"/>
      <c r="O100" s="67"/>
      <c r="P100" s="64"/>
      <c r="Q100" s="64"/>
      <c r="R100" s="64"/>
    </row>
    <row r="101" spans="6:18" ht="15" customHeight="1">
      <c r="F101" s="64"/>
      <c r="G101" s="65"/>
      <c r="H101" s="64"/>
      <c r="I101" s="64"/>
      <c r="J101" s="107"/>
      <c r="K101" s="67"/>
      <c r="L101" s="67"/>
      <c r="M101" s="67"/>
      <c r="N101" s="67"/>
      <c r="O101" s="67"/>
      <c r="P101" s="64"/>
      <c r="Q101" s="64"/>
      <c r="R101" s="64"/>
    </row>
    <row r="102" spans="6:18" ht="15" customHeight="1">
      <c r="F102" s="64"/>
      <c r="G102" s="65"/>
      <c r="H102" s="64"/>
      <c r="I102" s="64"/>
      <c r="J102" s="107"/>
      <c r="K102" s="67"/>
      <c r="L102" s="67"/>
      <c r="M102" s="67"/>
      <c r="N102" s="67"/>
      <c r="O102" s="67"/>
      <c r="P102" s="64"/>
      <c r="Q102" s="64"/>
      <c r="R102" s="64"/>
    </row>
    <row r="103" spans="6:18" ht="15" customHeight="1">
      <c r="F103" s="64"/>
      <c r="G103" s="65"/>
      <c r="H103" s="64"/>
      <c r="I103" s="64"/>
      <c r="J103" s="107"/>
      <c r="K103" s="67"/>
      <c r="L103" s="67"/>
      <c r="M103" s="67"/>
      <c r="N103" s="67"/>
      <c r="O103" s="67"/>
      <c r="P103" s="64"/>
      <c r="Q103" s="64"/>
      <c r="R103" s="64"/>
    </row>
    <row r="104" spans="6:18" ht="15" customHeight="1">
      <c r="F104" s="64"/>
      <c r="G104" s="65"/>
      <c r="H104" s="64"/>
      <c r="I104" s="64"/>
      <c r="J104" s="107"/>
      <c r="K104" s="67"/>
      <c r="L104" s="67"/>
      <c r="M104" s="67"/>
      <c r="N104" s="67"/>
      <c r="O104" s="67"/>
      <c r="P104" s="64"/>
      <c r="Q104" s="64"/>
      <c r="R104" s="64"/>
    </row>
    <row r="105" spans="6:18" ht="15" customHeight="1">
      <c r="F105" s="64"/>
      <c r="G105" s="65"/>
      <c r="H105" s="64"/>
      <c r="I105" s="64"/>
      <c r="J105" s="107"/>
      <c r="K105" s="67"/>
      <c r="L105" s="67"/>
      <c r="M105" s="67"/>
      <c r="N105" s="67"/>
      <c r="O105" s="67"/>
      <c r="P105" s="64"/>
      <c r="Q105" s="64"/>
      <c r="R105" s="64"/>
    </row>
    <row r="106" spans="6:18" ht="15" customHeight="1">
      <c r="F106" s="64"/>
      <c r="G106" s="65"/>
      <c r="H106" s="64"/>
      <c r="I106" s="64"/>
      <c r="J106" s="107"/>
      <c r="K106" s="67"/>
      <c r="L106" s="67"/>
      <c r="M106" s="67"/>
      <c r="N106" s="67"/>
      <c r="O106" s="67"/>
      <c r="P106" s="64"/>
      <c r="Q106" s="64"/>
      <c r="R106" s="64"/>
    </row>
    <row r="107" spans="6:18" ht="15" customHeight="1">
      <c r="F107" s="64"/>
      <c r="G107" s="65"/>
      <c r="H107" s="64"/>
      <c r="I107" s="64"/>
      <c r="J107" s="107"/>
      <c r="K107" s="67"/>
      <c r="L107" s="67"/>
      <c r="M107" s="67"/>
      <c r="N107" s="67"/>
      <c r="O107" s="67"/>
      <c r="P107" s="64"/>
      <c r="Q107" s="64"/>
      <c r="R107" s="64"/>
    </row>
    <row r="108" spans="6:18" ht="15" customHeight="1">
      <c r="F108" s="64"/>
      <c r="G108" s="65"/>
      <c r="H108" s="64"/>
      <c r="I108" s="64"/>
      <c r="J108" s="107"/>
      <c r="K108" s="67"/>
      <c r="L108" s="67"/>
      <c r="M108" s="67"/>
      <c r="N108" s="67"/>
      <c r="O108" s="67"/>
      <c r="P108" s="64"/>
      <c r="Q108" s="64"/>
      <c r="R108" s="64"/>
    </row>
    <row r="109" spans="6:18" ht="15" customHeight="1">
      <c r="F109" s="64"/>
      <c r="G109" s="65"/>
      <c r="H109" s="64"/>
      <c r="I109" s="64"/>
      <c r="J109" s="107"/>
      <c r="K109" s="67"/>
      <c r="L109" s="67"/>
      <c r="M109" s="67"/>
      <c r="N109" s="67"/>
      <c r="O109" s="67"/>
      <c r="P109" s="64"/>
      <c r="Q109" s="64"/>
      <c r="R109" s="64"/>
    </row>
    <row r="110" spans="6:18" ht="15" customHeight="1">
      <c r="F110" s="64"/>
      <c r="G110" s="65"/>
      <c r="H110" s="64"/>
      <c r="I110" s="64"/>
      <c r="J110" s="107"/>
      <c r="K110" s="67"/>
      <c r="L110" s="67"/>
      <c r="M110" s="67"/>
      <c r="N110" s="67"/>
      <c r="O110" s="67"/>
      <c r="P110" s="64"/>
      <c r="Q110" s="64"/>
      <c r="R110" s="64"/>
    </row>
    <row r="111" spans="6:18" ht="15" customHeight="1">
      <c r="F111" s="64"/>
      <c r="G111" s="65"/>
      <c r="H111" s="64"/>
      <c r="I111" s="64"/>
      <c r="J111" s="107"/>
      <c r="K111" s="67"/>
      <c r="L111" s="67"/>
      <c r="M111" s="67"/>
      <c r="N111" s="67"/>
      <c r="O111" s="67"/>
      <c r="P111" s="64"/>
      <c r="Q111" s="64"/>
      <c r="R111" s="64"/>
    </row>
    <row r="112" spans="6:18" ht="15" customHeight="1">
      <c r="F112" s="64"/>
      <c r="G112" s="65"/>
      <c r="H112" s="64"/>
      <c r="I112" s="64"/>
      <c r="J112" s="107"/>
      <c r="K112" s="67"/>
      <c r="L112" s="67"/>
      <c r="M112" s="67"/>
      <c r="N112" s="67"/>
      <c r="O112" s="67"/>
      <c r="P112" s="64"/>
      <c r="Q112" s="64"/>
      <c r="R112" s="64"/>
    </row>
    <row r="113" spans="6:18" ht="15" customHeight="1">
      <c r="F113" s="64"/>
      <c r="G113" s="65"/>
      <c r="H113" s="64"/>
      <c r="I113" s="64"/>
      <c r="J113" s="107"/>
      <c r="K113" s="67"/>
      <c r="L113" s="67"/>
      <c r="M113" s="67"/>
      <c r="N113" s="67"/>
      <c r="O113" s="67"/>
      <c r="P113" s="64"/>
      <c r="Q113" s="64"/>
      <c r="R113" s="64"/>
    </row>
    <row r="114" spans="6:18" ht="15" customHeight="1">
      <c r="F114" s="64"/>
      <c r="G114" s="65"/>
      <c r="H114" s="64"/>
      <c r="I114" s="64"/>
      <c r="J114" s="107"/>
      <c r="K114" s="67"/>
      <c r="L114" s="67"/>
      <c r="M114" s="67"/>
      <c r="N114" s="67"/>
      <c r="O114" s="67"/>
      <c r="P114" s="64"/>
      <c r="Q114" s="64"/>
      <c r="R114" s="64"/>
    </row>
    <row r="115" spans="6:18" ht="15" customHeight="1">
      <c r="F115" s="64"/>
      <c r="G115" s="65"/>
      <c r="H115" s="64"/>
      <c r="I115" s="64"/>
      <c r="J115" s="107"/>
      <c r="K115" s="67"/>
      <c r="L115" s="67"/>
      <c r="M115" s="67"/>
      <c r="N115" s="67"/>
      <c r="O115" s="67"/>
      <c r="P115" s="64"/>
      <c r="Q115" s="64"/>
      <c r="R115" s="64"/>
    </row>
    <row r="116" spans="6:18" ht="15" customHeight="1">
      <c r="F116" s="64"/>
      <c r="G116" s="65"/>
      <c r="H116" s="64"/>
      <c r="I116" s="64"/>
      <c r="J116" s="107"/>
      <c r="K116" s="67"/>
      <c r="L116" s="67"/>
      <c r="M116" s="67"/>
      <c r="N116" s="67"/>
      <c r="O116" s="67"/>
      <c r="P116" s="64"/>
      <c r="Q116" s="64"/>
      <c r="R116" s="64"/>
    </row>
    <row r="117" spans="6:18" ht="15" customHeight="1">
      <c r="F117" s="64"/>
      <c r="G117" s="65"/>
      <c r="H117" s="64"/>
      <c r="I117" s="64"/>
      <c r="J117" s="107"/>
      <c r="K117" s="67"/>
      <c r="L117" s="67"/>
      <c r="M117" s="67"/>
      <c r="N117" s="67"/>
      <c r="O117" s="67"/>
      <c r="P117" s="64"/>
      <c r="Q117" s="64"/>
      <c r="R117" s="64"/>
    </row>
    <row r="118" spans="6:18" ht="15" customHeight="1">
      <c r="F118" s="64"/>
      <c r="G118" s="65"/>
      <c r="H118" s="64"/>
      <c r="I118" s="64"/>
      <c r="J118" s="107"/>
      <c r="K118" s="67"/>
      <c r="L118" s="67"/>
      <c r="M118" s="67"/>
      <c r="N118" s="67"/>
      <c r="O118" s="67"/>
      <c r="P118" s="64"/>
      <c r="Q118" s="64"/>
      <c r="R118" s="64"/>
    </row>
    <row r="119" spans="6:18" ht="15" customHeight="1">
      <c r="F119" s="64"/>
      <c r="G119" s="65"/>
      <c r="H119" s="64"/>
      <c r="I119" s="64"/>
      <c r="J119" s="107"/>
      <c r="K119" s="67"/>
      <c r="L119" s="67"/>
      <c r="M119" s="67"/>
      <c r="N119" s="67"/>
      <c r="O119" s="67"/>
      <c r="P119" s="64"/>
      <c r="Q119" s="64"/>
      <c r="R119" s="64"/>
    </row>
    <row r="120" spans="6:18" ht="15" customHeight="1">
      <c r="F120" s="64"/>
      <c r="G120" s="65"/>
      <c r="H120" s="64"/>
      <c r="I120" s="64"/>
      <c r="J120" s="107"/>
      <c r="K120" s="67"/>
      <c r="L120" s="67"/>
      <c r="M120" s="67"/>
      <c r="N120" s="67"/>
      <c r="O120" s="67"/>
      <c r="P120" s="64"/>
      <c r="Q120" s="64"/>
      <c r="R120" s="64"/>
    </row>
    <row r="121" spans="6:18" ht="15" customHeight="1">
      <c r="F121" s="64"/>
      <c r="G121" s="65"/>
      <c r="H121" s="64"/>
      <c r="I121" s="64"/>
      <c r="J121" s="107"/>
      <c r="K121" s="67"/>
      <c r="L121" s="67"/>
      <c r="M121" s="67"/>
      <c r="N121" s="67"/>
      <c r="O121" s="67"/>
      <c r="P121" s="64"/>
      <c r="Q121" s="64"/>
      <c r="R121" s="64"/>
    </row>
    <row r="122" spans="6:18" ht="15" customHeight="1">
      <c r="F122" s="64"/>
      <c r="G122" s="65"/>
      <c r="H122" s="64"/>
      <c r="I122" s="64"/>
      <c r="J122" s="107"/>
      <c r="K122" s="67"/>
      <c r="L122" s="67"/>
      <c r="M122" s="67"/>
      <c r="N122" s="67"/>
      <c r="O122" s="67"/>
      <c r="P122" s="64"/>
      <c r="Q122" s="64"/>
      <c r="R122" s="64"/>
    </row>
    <row r="123" spans="6:18" ht="15" customHeight="1">
      <c r="F123" s="64"/>
      <c r="G123" s="65"/>
      <c r="H123" s="64"/>
      <c r="I123" s="64"/>
      <c r="J123" s="107"/>
      <c r="K123" s="67"/>
      <c r="L123" s="67"/>
      <c r="M123" s="67"/>
      <c r="N123" s="67"/>
      <c r="O123" s="67"/>
      <c r="P123" s="64"/>
      <c r="Q123" s="64"/>
      <c r="R123" s="64"/>
    </row>
    <row r="124" spans="6:18" ht="15" customHeight="1">
      <c r="F124" s="64"/>
      <c r="G124" s="65"/>
      <c r="H124" s="64"/>
      <c r="I124" s="64"/>
      <c r="J124" s="107"/>
      <c r="K124" s="67"/>
      <c r="L124" s="67"/>
      <c r="M124" s="67"/>
      <c r="N124" s="67"/>
      <c r="O124" s="67"/>
      <c r="P124" s="64"/>
      <c r="Q124" s="64"/>
      <c r="R124" s="64"/>
    </row>
    <row r="125" spans="6:18" ht="15" customHeight="1">
      <c r="F125" s="64"/>
      <c r="G125" s="65"/>
      <c r="H125" s="64"/>
      <c r="I125" s="64"/>
      <c r="J125" s="107"/>
      <c r="K125" s="67"/>
      <c r="L125" s="67"/>
      <c r="M125" s="67"/>
      <c r="N125" s="67"/>
      <c r="O125" s="67"/>
      <c r="P125" s="64"/>
      <c r="Q125" s="64"/>
      <c r="R125" s="64"/>
    </row>
    <row r="126" spans="6:18" ht="15" customHeight="1">
      <c r="F126" s="64"/>
      <c r="G126" s="65"/>
      <c r="H126" s="64"/>
      <c r="I126" s="64"/>
      <c r="J126" s="107"/>
      <c r="K126" s="67"/>
      <c r="L126" s="67"/>
      <c r="M126" s="67"/>
      <c r="N126" s="67"/>
      <c r="O126" s="67"/>
      <c r="P126" s="64"/>
      <c r="Q126" s="64"/>
      <c r="R126" s="64"/>
    </row>
    <row r="127" spans="6:18" ht="15" customHeight="1">
      <c r="F127" s="64"/>
      <c r="G127" s="65"/>
      <c r="H127" s="64"/>
      <c r="I127" s="64"/>
      <c r="J127" s="107"/>
      <c r="K127" s="67"/>
      <c r="L127" s="67"/>
      <c r="M127" s="67"/>
      <c r="N127" s="67"/>
      <c r="O127" s="67"/>
      <c r="P127" s="64"/>
      <c r="Q127" s="64"/>
      <c r="R127" s="64"/>
    </row>
    <row r="128" spans="6:18" ht="15" customHeight="1">
      <c r="F128" s="64"/>
      <c r="G128" s="65"/>
      <c r="H128" s="64"/>
      <c r="I128" s="64"/>
      <c r="J128" s="107"/>
      <c r="K128" s="67"/>
      <c r="L128" s="67"/>
      <c r="M128" s="67"/>
      <c r="N128" s="67"/>
      <c r="O128" s="67"/>
      <c r="P128" s="64"/>
      <c r="Q128" s="64"/>
      <c r="R128" s="64"/>
    </row>
    <row r="129" spans="6:18" ht="15" customHeight="1">
      <c r="F129" s="64"/>
      <c r="G129" s="65"/>
      <c r="H129" s="64"/>
      <c r="I129" s="64"/>
      <c r="J129" s="107"/>
      <c r="K129" s="67"/>
      <c r="L129" s="67"/>
      <c r="M129" s="67"/>
      <c r="N129" s="67"/>
      <c r="O129" s="67"/>
      <c r="P129" s="64"/>
      <c r="Q129" s="64"/>
      <c r="R129" s="64"/>
    </row>
    <row r="130" spans="6:18" ht="15" customHeight="1">
      <c r="F130" s="64"/>
      <c r="G130" s="65"/>
      <c r="H130" s="64"/>
      <c r="I130" s="64"/>
      <c r="J130" s="107"/>
      <c r="K130" s="67"/>
      <c r="L130" s="67"/>
      <c r="M130" s="67"/>
      <c r="N130" s="67"/>
      <c r="O130" s="67"/>
      <c r="P130" s="64"/>
      <c r="Q130" s="64"/>
      <c r="R130" s="64"/>
    </row>
    <row r="131" spans="6:18" ht="15" customHeight="1">
      <c r="F131" s="64"/>
      <c r="G131" s="65"/>
      <c r="H131" s="64"/>
      <c r="I131" s="64"/>
      <c r="J131" s="107"/>
      <c r="K131" s="67"/>
      <c r="L131" s="67"/>
      <c r="M131" s="67"/>
      <c r="N131" s="67"/>
      <c r="O131" s="67"/>
      <c r="P131" s="64"/>
      <c r="Q131" s="64"/>
      <c r="R131" s="64"/>
    </row>
    <row r="132" spans="6:18" ht="15" customHeight="1">
      <c r="F132" s="64"/>
      <c r="G132" s="65"/>
      <c r="H132" s="64"/>
      <c r="I132" s="64"/>
      <c r="J132" s="107"/>
      <c r="K132" s="67"/>
      <c r="L132" s="67"/>
      <c r="M132" s="67"/>
      <c r="N132" s="67"/>
      <c r="O132" s="67"/>
      <c r="P132" s="64"/>
      <c r="Q132" s="64"/>
      <c r="R132" s="64"/>
    </row>
    <row r="133" spans="6:18" ht="15" customHeight="1">
      <c r="F133" s="64"/>
      <c r="G133" s="65"/>
      <c r="H133" s="64"/>
      <c r="I133" s="64"/>
      <c r="J133" s="107"/>
      <c r="K133" s="67"/>
      <c r="L133" s="67"/>
      <c r="M133" s="67"/>
      <c r="N133" s="67"/>
      <c r="O133" s="67"/>
      <c r="P133" s="64"/>
      <c r="Q133" s="64"/>
      <c r="R133" s="64"/>
    </row>
    <row r="134" spans="6:18" ht="15" customHeight="1">
      <c r="F134" s="64"/>
      <c r="G134" s="65"/>
      <c r="H134" s="64"/>
      <c r="I134" s="64"/>
      <c r="J134" s="107"/>
      <c r="K134" s="67"/>
      <c r="L134" s="67"/>
      <c r="M134" s="67"/>
      <c r="N134" s="67"/>
      <c r="O134" s="67"/>
      <c r="P134" s="64"/>
      <c r="Q134" s="64"/>
      <c r="R134" s="64"/>
    </row>
    <row r="135" spans="6:18" ht="15" customHeight="1">
      <c r="F135" s="64"/>
      <c r="G135" s="65"/>
      <c r="H135" s="64"/>
      <c r="I135" s="64"/>
      <c r="J135" s="107"/>
      <c r="K135" s="67"/>
      <c r="L135" s="67"/>
      <c r="M135" s="67"/>
      <c r="N135" s="67"/>
      <c r="O135" s="67"/>
      <c r="P135" s="64"/>
      <c r="Q135" s="64"/>
      <c r="R135" s="64"/>
    </row>
    <row r="136" spans="6:18" ht="15" customHeight="1">
      <c r="F136" s="64"/>
      <c r="G136" s="65"/>
      <c r="H136" s="64"/>
      <c r="I136" s="64"/>
      <c r="J136" s="107"/>
      <c r="K136" s="67"/>
      <c r="L136" s="67"/>
      <c r="M136" s="67"/>
      <c r="N136" s="67"/>
      <c r="O136" s="67"/>
      <c r="P136" s="64"/>
      <c r="Q136" s="64"/>
      <c r="R136" s="64"/>
    </row>
    <row r="137" spans="6:18" ht="15" customHeight="1">
      <c r="F137" s="64"/>
      <c r="G137" s="65"/>
      <c r="H137" s="64"/>
      <c r="I137" s="64"/>
      <c r="J137" s="107"/>
      <c r="K137" s="67"/>
      <c r="L137" s="67"/>
      <c r="M137" s="67"/>
      <c r="N137" s="67"/>
      <c r="O137" s="67"/>
      <c r="P137" s="64"/>
      <c r="Q137" s="64"/>
      <c r="R137" s="64"/>
    </row>
    <row r="138" spans="6:18" ht="15" customHeight="1">
      <c r="F138" s="64"/>
      <c r="G138" s="65"/>
      <c r="H138" s="64"/>
      <c r="I138" s="64"/>
      <c r="J138" s="107"/>
      <c r="K138" s="67"/>
      <c r="L138" s="67"/>
      <c r="M138" s="67"/>
      <c r="N138" s="67"/>
      <c r="O138" s="67"/>
      <c r="P138" s="64"/>
      <c r="Q138" s="64"/>
      <c r="R138" s="64"/>
    </row>
    <row r="139" spans="6:18" ht="15" customHeight="1">
      <c r="F139" s="64"/>
      <c r="G139" s="65"/>
      <c r="H139" s="64"/>
      <c r="I139" s="64"/>
      <c r="J139" s="107"/>
      <c r="K139" s="67"/>
      <c r="L139" s="67"/>
      <c r="M139" s="67"/>
      <c r="N139" s="67"/>
      <c r="O139" s="67"/>
      <c r="P139" s="64"/>
      <c r="Q139" s="64"/>
      <c r="R139" s="64"/>
    </row>
    <row r="140" spans="6:18" ht="15" customHeight="1">
      <c r="F140" s="64"/>
      <c r="G140" s="65"/>
      <c r="H140" s="64"/>
      <c r="I140" s="64"/>
      <c r="J140" s="107"/>
      <c r="K140" s="67"/>
      <c r="L140" s="67"/>
      <c r="M140" s="67"/>
      <c r="N140" s="67"/>
      <c r="O140" s="67"/>
      <c r="P140" s="64"/>
      <c r="Q140" s="64"/>
      <c r="R140" s="64"/>
    </row>
    <row r="141" spans="6:18" ht="15" customHeight="1">
      <c r="F141" s="64"/>
      <c r="G141" s="65"/>
      <c r="H141" s="64"/>
      <c r="I141" s="64"/>
      <c r="J141" s="107"/>
      <c r="K141" s="67"/>
      <c r="L141" s="67"/>
      <c r="M141" s="67"/>
      <c r="N141" s="67"/>
      <c r="O141" s="67"/>
      <c r="P141" s="64"/>
      <c r="Q141" s="64"/>
      <c r="R141" s="64"/>
    </row>
    <row r="142" spans="6:18" ht="15" customHeight="1">
      <c r="F142" s="64"/>
      <c r="G142" s="65"/>
      <c r="H142" s="64"/>
      <c r="I142" s="64"/>
      <c r="J142" s="107"/>
      <c r="K142" s="67"/>
      <c r="L142" s="67"/>
      <c r="M142" s="67"/>
      <c r="N142" s="67"/>
      <c r="O142" s="67"/>
      <c r="P142" s="64"/>
      <c r="Q142" s="64"/>
      <c r="R142" s="64"/>
    </row>
    <row r="143" spans="6:18" ht="15" customHeight="1">
      <c r="F143" s="64"/>
      <c r="G143" s="65"/>
      <c r="H143" s="64"/>
      <c r="I143" s="64"/>
      <c r="J143" s="107"/>
      <c r="K143" s="67"/>
      <c r="L143" s="67"/>
      <c r="M143" s="67"/>
      <c r="N143" s="67"/>
      <c r="O143" s="67"/>
      <c r="P143" s="64"/>
      <c r="Q143" s="64"/>
      <c r="R143" s="64"/>
    </row>
    <row r="144" spans="6:18" ht="15" customHeight="1">
      <c r="F144" s="64"/>
      <c r="G144" s="65"/>
      <c r="H144" s="64"/>
      <c r="I144" s="64"/>
      <c r="J144" s="107"/>
      <c r="K144" s="67"/>
      <c r="L144" s="67"/>
      <c r="M144" s="67"/>
      <c r="N144" s="67"/>
      <c r="O144" s="67"/>
      <c r="P144" s="64"/>
      <c r="Q144" s="64"/>
      <c r="R144" s="64"/>
    </row>
    <row r="145" spans="6:18" ht="15" customHeight="1">
      <c r="F145" s="64"/>
      <c r="G145" s="65"/>
      <c r="H145" s="64"/>
      <c r="I145" s="64"/>
      <c r="J145" s="107"/>
      <c r="K145" s="67"/>
      <c r="L145" s="67"/>
      <c r="M145" s="67"/>
      <c r="N145" s="67"/>
      <c r="O145" s="67"/>
      <c r="P145" s="64"/>
      <c r="Q145" s="64"/>
      <c r="R145" s="64"/>
    </row>
    <row r="146" spans="6:18" ht="15" customHeight="1">
      <c r="F146" s="64"/>
      <c r="G146" s="65"/>
      <c r="H146" s="64"/>
      <c r="I146" s="64"/>
      <c r="J146" s="107"/>
      <c r="K146" s="67"/>
      <c r="L146" s="67"/>
      <c r="M146" s="67"/>
      <c r="N146" s="67"/>
      <c r="O146" s="67"/>
      <c r="P146" s="64"/>
      <c r="Q146" s="64"/>
      <c r="R146" s="64"/>
    </row>
    <row r="147" spans="6:18" ht="15" customHeight="1">
      <c r="F147" s="64"/>
      <c r="G147" s="65"/>
      <c r="H147" s="64"/>
      <c r="I147" s="64"/>
      <c r="J147" s="107"/>
      <c r="K147" s="67"/>
      <c r="L147" s="67"/>
      <c r="M147" s="67"/>
      <c r="N147" s="67"/>
      <c r="O147" s="67"/>
      <c r="P147" s="64"/>
      <c r="Q147" s="64"/>
      <c r="R147" s="64"/>
    </row>
    <row r="148" spans="6:18" ht="15" customHeight="1">
      <c r="F148" s="64"/>
      <c r="G148" s="65"/>
      <c r="H148" s="64"/>
      <c r="I148" s="64"/>
      <c r="J148" s="107"/>
      <c r="K148" s="67"/>
      <c r="L148" s="67"/>
      <c r="M148" s="67"/>
      <c r="N148" s="67"/>
      <c r="O148" s="67"/>
      <c r="P148" s="64"/>
      <c r="Q148" s="64"/>
      <c r="R148" s="64"/>
    </row>
    <row r="149" spans="6:18" ht="15" customHeight="1">
      <c r="F149" s="64"/>
      <c r="G149" s="65"/>
      <c r="H149" s="64"/>
      <c r="I149" s="64"/>
      <c r="J149" s="107"/>
      <c r="K149" s="67"/>
      <c r="L149" s="67"/>
      <c r="M149" s="67"/>
      <c r="N149" s="67"/>
      <c r="O149" s="67"/>
      <c r="P149" s="64"/>
      <c r="Q149" s="64"/>
      <c r="R149" s="64"/>
    </row>
    <row r="150" spans="6:18" ht="15" customHeight="1">
      <c r="F150" s="64"/>
      <c r="G150" s="65"/>
      <c r="H150" s="64"/>
      <c r="I150" s="64"/>
      <c r="J150" s="107"/>
      <c r="K150" s="67"/>
      <c r="L150" s="67"/>
      <c r="M150" s="67"/>
      <c r="N150" s="67"/>
      <c r="O150" s="67"/>
      <c r="P150" s="64"/>
      <c r="Q150" s="64"/>
      <c r="R150" s="64"/>
    </row>
    <row r="151" spans="6:18" ht="15" customHeight="1">
      <c r="F151" s="64"/>
      <c r="G151" s="65"/>
      <c r="H151" s="64"/>
      <c r="I151" s="64"/>
      <c r="J151" s="107"/>
      <c r="K151" s="67"/>
      <c r="L151" s="67"/>
      <c r="M151" s="67"/>
      <c r="N151" s="67"/>
      <c r="O151" s="67"/>
      <c r="P151" s="64"/>
      <c r="Q151" s="64"/>
      <c r="R151" s="64"/>
    </row>
    <row r="152" spans="6:18" ht="15" customHeight="1">
      <c r="F152" s="64"/>
      <c r="G152" s="65"/>
      <c r="H152" s="64"/>
      <c r="I152" s="64"/>
      <c r="J152" s="107"/>
      <c r="K152" s="67"/>
      <c r="L152" s="67"/>
      <c r="M152" s="67"/>
      <c r="N152" s="67"/>
      <c r="O152" s="67"/>
      <c r="P152" s="64"/>
      <c r="Q152" s="64"/>
      <c r="R152" s="64"/>
    </row>
    <row r="153" spans="6:18" ht="15" customHeight="1">
      <c r="F153" s="64"/>
      <c r="G153" s="65"/>
      <c r="H153" s="64"/>
      <c r="I153" s="64"/>
      <c r="J153" s="107"/>
      <c r="K153" s="67"/>
      <c r="L153" s="67"/>
      <c r="M153" s="67"/>
      <c r="N153" s="67"/>
      <c r="O153" s="67"/>
      <c r="P153" s="64"/>
      <c r="Q153" s="64"/>
      <c r="R153" s="64"/>
    </row>
    <row r="154" spans="6:18" ht="15" customHeight="1">
      <c r="F154" s="64"/>
      <c r="G154" s="65"/>
      <c r="H154" s="64"/>
      <c r="I154" s="64"/>
      <c r="J154" s="107"/>
      <c r="K154" s="67"/>
      <c r="L154" s="67"/>
      <c r="M154" s="67"/>
      <c r="N154" s="67"/>
      <c r="O154" s="67"/>
      <c r="P154" s="64"/>
      <c r="Q154" s="64"/>
      <c r="R154" s="64"/>
    </row>
    <row r="155" spans="6:18" ht="15" customHeight="1">
      <c r="G155" s="65"/>
      <c r="H155" s="64"/>
      <c r="I155" s="64"/>
      <c r="J155" s="107"/>
      <c r="K155" s="67"/>
      <c r="L155" s="67"/>
      <c r="M155" s="67"/>
      <c r="N155" s="67"/>
      <c r="O155" s="67"/>
      <c r="P155" s="64"/>
      <c r="Q155" s="64"/>
      <c r="R155" s="64"/>
    </row>
    <row r="156" spans="6:18" ht="15" customHeight="1">
      <c r="G156" s="65"/>
      <c r="H156" s="64"/>
      <c r="I156" s="64"/>
      <c r="J156" s="107"/>
      <c r="K156" s="67"/>
      <c r="L156" s="67"/>
      <c r="M156" s="67"/>
      <c r="N156" s="67"/>
      <c r="O156" s="67"/>
      <c r="P156" s="64"/>
      <c r="Q156" s="64"/>
      <c r="R156" s="64"/>
    </row>
    <row r="157" spans="6:18" ht="15" customHeight="1">
      <c r="G157" s="65"/>
      <c r="H157" s="64"/>
      <c r="I157" s="64"/>
      <c r="J157" s="107"/>
      <c r="K157" s="67"/>
      <c r="L157" s="67"/>
      <c r="M157" s="67"/>
      <c r="N157" s="67"/>
      <c r="O157" s="67"/>
      <c r="P157" s="64"/>
      <c r="Q157" s="64"/>
      <c r="R157" s="64"/>
    </row>
    <row r="158" spans="6:18" ht="15" customHeight="1">
      <c r="G158" s="65"/>
      <c r="H158" s="64"/>
      <c r="I158" s="64"/>
      <c r="J158" s="107"/>
      <c r="K158" s="67"/>
      <c r="L158" s="67"/>
      <c r="M158" s="67"/>
      <c r="N158" s="67"/>
      <c r="O158" s="67"/>
      <c r="P158" s="64"/>
      <c r="Q158" s="64"/>
      <c r="R158" s="64"/>
    </row>
  </sheetData>
  <sheetProtection algorithmName="SHA-512" hashValue="VzTRzMhqP4ZHCWNcEblfy75RH2ziQSm1tq5FDfbOpLghQkEQwtXDtgv1pTb9zn0F8aXpszz5CAjL5O7bGAgZiA==" saltValue="V9ghug5bquLcNUMn+KV+9w==" spinCount="100000" sheet="1" objects="1" scenarios="1"/>
  <mergeCells count="2">
    <mergeCell ref="A2:F2"/>
    <mergeCell ref="A1:F1"/>
  </mergeCells>
  <phoneticPr fontId="8" type="noConversion"/>
  <pageMargins left="0.74803149606299213" right="0.74803149606299213" top="0.98425196850393704" bottom="0.98425196850393704" header="0.51181102362204722" footer="0.51181102362204722"/>
  <pageSetup paperSize="9" scale="62" fitToHeight="0" orientation="portrait" horizontalDpi="1200" verticalDpi="1200" r:id="rId1"/>
  <headerFooter alignWithMargins="0">
    <oddFooter>&amp;L&amp;F&amp;C&amp;D&amp;R&amp;A</oddFooter>
  </headerFooter>
  <rowBreaks count="1" manualBreakCount="1">
    <brk id="6" max="5" man="1"/>
  </rowBreaks>
  <tableParts count="4">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theme="0" tint="-0.14999847407452621"/>
  </sheetPr>
  <dimension ref="A1:HL245"/>
  <sheetViews>
    <sheetView view="pageBreakPreview" zoomScaleNormal="40" zoomScaleSheetLayoutView="100" workbookViewId="0">
      <pane ySplit="4" topLeftCell="A5" activePane="bottomLeft" state="frozen"/>
      <selection activeCell="T6105" sqref="T6105"/>
      <selection pane="bottomLeft" sqref="A1:P1"/>
    </sheetView>
  </sheetViews>
  <sheetFormatPr defaultColWidth="10.28515625" defaultRowHeight="15" customHeight="1"/>
  <cols>
    <col min="1" max="1" width="7.85546875" style="49" customWidth="1"/>
    <col min="2" max="2" width="25" style="132" customWidth="1"/>
    <col min="3" max="3" width="12.28515625" style="132" bestFit="1" customWidth="1"/>
    <col min="4" max="4" width="10.140625" style="132" customWidth="1"/>
    <col min="5" max="5" width="14.28515625" style="132" customWidth="1"/>
    <col min="6" max="6" width="10.28515625" style="28" customWidth="1"/>
    <col min="7" max="7" width="13.42578125" style="49" bestFit="1" customWidth="1"/>
    <col min="8" max="8" width="11.140625" style="49" customWidth="1"/>
    <col min="9" max="9" width="32.140625" style="140" bestFit="1" customWidth="1"/>
    <col min="10" max="10" width="10" style="49" customWidth="1"/>
    <col min="11" max="11" width="23.140625" style="140" bestFit="1" customWidth="1"/>
    <col min="12" max="12" width="10" style="49" customWidth="1"/>
    <col min="13" max="13" width="19.140625" style="143" customWidth="1"/>
    <col min="14" max="14" width="14.5703125" style="143" bestFit="1" customWidth="1"/>
    <col min="15" max="15" width="13.85546875" style="144" customWidth="1"/>
    <col min="16" max="16" width="18.7109375" style="134" bestFit="1" customWidth="1"/>
    <col min="17" max="17" width="12" style="28" customWidth="1"/>
    <col min="18" max="18" width="12.42578125" style="37" customWidth="1"/>
    <col min="19" max="19" width="16.42578125" style="37" customWidth="1"/>
    <col min="20" max="20" width="16.42578125" style="145" customWidth="1"/>
    <col min="21" max="21" width="16.7109375" style="146" customWidth="1"/>
    <col min="22" max="22" width="17" style="147" bestFit="1" customWidth="1"/>
    <col min="23" max="23" width="16.42578125" style="148" customWidth="1"/>
    <col min="24" max="24" width="16.42578125" style="145" customWidth="1"/>
    <col min="25" max="25" width="16.42578125" style="146" customWidth="1"/>
    <col min="26" max="26" width="16.42578125" style="149" customWidth="1"/>
    <col min="27" max="28" width="16.42578125" style="28" customWidth="1"/>
    <col min="29" max="30" width="16.42578125" style="150" customWidth="1"/>
    <col min="31" max="31" width="16.42578125" style="56" customWidth="1"/>
    <col min="32" max="32" width="16.42578125" style="63" customWidth="1"/>
    <col min="33" max="33" width="2.5703125" style="63" customWidth="1"/>
    <col min="34" max="34" width="22.7109375" style="63" hidden="1" customWidth="1"/>
    <col min="35" max="35" width="4.42578125" style="115" customWidth="1"/>
    <col min="36" max="36" width="4.140625" style="115" customWidth="1"/>
    <col min="37" max="37" width="4.7109375" style="115" customWidth="1"/>
    <col min="38" max="38" width="4.140625" style="115" customWidth="1"/>
    <col min="39" max="39" width="4.28515625" style="115" customWidth="1"/>
    <col min="40" max="40" width="4.42578125" style="115" customWidth="1"/>
    <col min="41" max="41" width="3.5703125" style="115" customWidth="1"/>
    <col min="42" max="42" width="4.140625" style="115" customWidth="1"/>
    <col min="43" max="43" width="3.85546875" style="115" customWidth="1"/>
    <col min="44" max="45" width="4.140625" style="115" customWidth="1"/>
    <col min="46" max="46" width="4" style="115" customWidth="1"/>
    <col min="47" max="48" width="4.42578125" style="115" customWidth="1"/>
    <col min="49" max="49" width="4.140625" style="115" customWidth="1"/>
    <col min="50" max="50" width="3.85546875" style="115" customWidth="1"/>
    <col min="51" max="51" width="4" style="115" customWidth="1"/>
    <col min="52" max="52" width="3.42578125" style="115" customWidth="1"/>
    <col min="53" max="53" width="4" style="115" customWidth="1"/>
    <col min="54" max="54" width="2.28515625" style="116" customWidth="1"/>
    <col min="55" max="55" width="10.85546875" style="63" hidden="1" customWidth="1"/>
    <col min="56" max="56" width="3.7109375" style="115" customWidth="1"/>
    <col min="57" max="57" width="3.28515625" style="115" customWidth="1"/>
    <col min="58" max="58" width="3.42578125" style="115" customWidth="1"/>
    <col min="59" max="59" width="3.85546875" style="115" customWidth="1"/>
    <col min="60" max="60" width="3.42578125" style="115" customWidth="1"/>
    <col min="61" max="61" width="3.28515625" style="115" customWidth="1"/>
    <col min="62" max="62" width="3.140625" style="115" customWidth="1"/>
    <col min="63" max="63" width="4.140625" style="115" customWidth="1"/>
    <col min="64" max="64" width="3.5703125" style="115" customWidth="1"/>
    <col min="65" max="65" width="3.85546875" style="115" customWidth="1"/>
    <col min="66" max="66" width="3.28515625" style="115" customWidth="1"/>
    <col min="67" max="67" width="3.7109375" style="115" customWidth="1"/>
    <col min="68" max="68" width="3.5703125" style="115" customWidth="1"/>
    <col min="69" max="69" width="3.42578125" style="115" customWidth="1"/>
    <col min="70" max="72" width="3.28515625" style="115" customWidth="1"/>
    <col min="73" max="73" width="3.42578125" style="115" customWidth="1"/>
    <col min="74" max="74" width="3.85546875" style="115" customWidth="1"/>
    <col min="75" max="219" width="10.28515625" style="63"/>
    <col min="220" max="16384" width="10.28515625" style="28"/>
  </cols>
  <sheetData>
    <row r="1" spans="1:220" ht="15" customHeight="1">
      <c r="A1" s="391" t="s">
        <v>160</v>
      </c>
      <c r="B1" s="391"/>
      <c r="C1" s="391"/>
      <c r="D1" s="391"/>
      <c r="E1" s="391"/>
      <c r="F1" s="391"/>
      <c r="G1" s="391"/>
      <c r="H1" s="391"/>
      <c r="I1" s="391"/>
      <c r="J1" s="391"/>
      <c r="K1" s="391"/>
      <c r="L1" s="391"/>
      <c r="M1" s="391"/>
      <c r="N1" s="391"/>
      <c r="O1" s="391"/>
      <c r="P1" s="391"/>
      <c r="Q1" s="365"/>
      <c r="R1" s="365"/>
      <c r="S1" s="365"/>
      <c r="T1" s="365"/>
      <c r="U1" s="365"/>
      <c r="V1" s="365"/>
      <c r="W1" s="365"/>
      <c r="X1" s="365"/>
      <c r="Y1" s="365"/>
      <c r="Z1" s="365"/>
      <c r="AA1" s="365"/>
      <c r="AB1" s="365"/>
      <c r="AC1" s="365"/>
      <c r="AD1" s="365"/>
      <c r="AE1" s="365"/>
      <c r="AF1" s="365"/>
      <c r="AG1" s="27"/>
      <c r="AH1" s="27"/>
      <c r="BC1" s="27"/>
    </row>
    <row r="2" spans="1:220" ht="15" customHeight="1">
      <c r="A2" s="85"/>
      <c r="B2" s="117"/>
      <c r="C2" s="117"/>
      <c r="D2" s="117"/>
      <c r="E2" s="117"/>
      <c r="F2" s="63"/>
      <c r="G2" s="85"/>
      <c r="H2" s="85"/>
      <c r="I2" s="118"/>
      <c r="J2" s="119"/>
      <c r="K2" s="120"/>
      <c r="L2" s="85"/>
      <c r="M2" s="121"/>
      <c r="N2" s="121"/>
      <c r="O2" s="122"/>
      <c r="P2" s="123"/>
      <c r="Q2" s="63"/>
      <c r="R2" s="124"/>
      <c r="S2" s="63"/>
      <c r="T2" s="63"/>
      <c r="U2" s="63"/>
      <c r="V2" s="125"/>
      <c r="W2" s="87"/>
      <c r="X2" s="63"/>
      <c r="Y2" s="63"/>
      <c r="Z2" s="63"/>
      <c r="AA2" s="63"/>
      <c r="AB2" s="63"/>
      <c r="AC2" s="63"/>
      <c r="AD2" s="63"/>
      <c r="AE2" s="63"/>
      <c r="AI2" s="401" t="s">
        <v>253</v>
      </c>
      <c r="AJ2" s="401"/>
      <c r="AK2" s="401"/>
      <c r="AL2" s="401"/>
      <c r="AM2" s="401"/>
      <c r="AN2" s="401"/>
      <c r="AO2" s="401"/>
      <c r="AP2" s="401"/>
      <c r="AQ2" s="401"/>
      <c r="AR2" s="401"/>
      <c r="AS2" s="401"/>
      <c r="AT2" s="401"/>
      <c r="AU2" s="401"/>
      <c r="AV2" s="401"/>
      <c r="AW2" s="401"/>
      <c r="AX2" s="401"/>
      <c r="AY2" s="401"/>
      <c r="AZ2" s="401"/>
      <c r="BA2" s="401"/>
      <c r="BD2" s="402" t="s">
        <v>254</v>
      </c>
      <c r="BE2" s="402"/>
      <c r="BF2" s="402"/>
      <c r="BG2" s="402"/>
      <c r="BH2" s="402"/>
      <c r="BI2" s="402"/>
      <c r="BJ2" s="402"/>
      <c r="BK2" s="402"/>
      <c r="BL2" s="402"/>
      <c r="BM2" s="402"/>
      <c r="BN2" s="402"/>
      <c r="BO2" s="402"/>
      <c r="BP2" s="402"/>
      <c r="BQ2" s="402"/>
      <c r="BR2" s="402"/>
      <c r="BS2" s="402"/>
      <c r="BT2" s="402"/>
      <c r="BU2" s="402"/>
      <c r="BV2" s="402"/>
    </row>
    <row r="3" spans="1:220" s="63" customFormat="1" ht="15" customHeight="1">
      <c r="A3" s="85"/>
      <c r="B3" s="117"/>
      <c r="C3" s="117"/>
      <c r="D3" s="117"/>
      <c r="E3" s="117"/>
      <c r="G3" s="85"/>
      <c r="H3" s="85"/>
      <c r="I3" s="126"/>
      <c r="J3" s="85"/>
      <c r="K3" s="126"/>
      <c r="L3" s="85"/>
      <c r="M3" s="121"/>
      <c r="N3" s="121"/>
      <c r="O3" s="122"/>
      <c r="P3" s="123"/>
      <c r="R3" s="392" t="s">
        <v>222</v>
      </c>
      <c r="S3" s="393"/>
      <c r="T3" s="393"/>
      <c r="U3" s="393"/>
      <c r="V3" s="393"/>
      <c r="W3" s="394"/>
      <c r="X3" s="395" t="s">
        <v>223</v>
      </c>
      <c r="Y3" s="396"/>
      <c r="Z3" s="396"/>
      <c r="AA3" s="396"/>
      <c r="AB3" s="396"/>
      <c r="AC3" s="397"/>
      <c r="AD3" s="398" t="s">
        <v>224</v>
      </c>
      <c r="AE3" s="399"/>
      <c r="AF3" s="400"/>
      <c r="AG3" s="127"/>
      <c r="AH3" s="127"/>
      <c r="AI3" s="362" t="s">
        <v>255</v>
      </c>
      <c r="AJ3" s="362"/>
      <c r="AK3" s="362"/>
      <c r="AL3" s="362"/>
      <c r="AM3" s="362"/>
      <c r="AN3" s="362"/>
      <c r="AO3" s="362"/>
      <c r="AP3" s="362"/>
      <c r="AQ3" s="363" t="s">
        <v>256</v>
      </c>
      <c r="AR3" s="363"/>
      <c r="AS3" s="363"/>
      <c r="AT3" s="363"/>
      <c r="AU3" s="363"/>
      <c r="AV3" s="363"/>
      <c r="AW3" s="363"/>
      <c r="AX3" s="363"/>
      <c r="AY3" s="403" t="s">
        <v>257</v>
      </c>
      <c r="AZ3" s="403"/>
      <c r="BA3" s="403"/>
      <c r="BB3" s="128"/>
      <c r="BC3" s="127"/>
      <c r="BD3" s="362" t="s">
        <v>255</v>
      </c>
      <c r="BE3" s="362"/>
      <c r="BF3" s="362"/>
      <c r="BG3" s="362"/>
      <c r="BH3" s="362"/>
      <c r="BI3" s="362"/>
      <c r="BJ3" s="362"/>
      <c r="BK3" s="362"/>
      <c r="BL3" s="363" t="s">
        <v>256</v>
      </c>
      <c r="BM3" s="363"/>
      <c r="BN3" s="363"/>
      <c r="BO3" s="363"/>
      <c r="BP3" s="363"/>
      <c r="BQ3" s="363"/>
      <c r="BR3" s="363"/>
      <c r="BS3" s="363"/>
      <c r="BT3" s="403" t="s">
        <v>257</v>
      </c>
      <c r="BU3" s="403"/>
      <c r="BV3" s="403"/>
    </row>
    <row r="4" spans="1:220" s="29" customFormat="1" ht="46.5" customHeight="1">
      <c r="A4" s="268" t="s">
        <v>33</v>
      </c>
      <c r="B4" s="268" t="s">
        <v>122</v>
      </c>
      <c r="C4" s="268" t="s">
        <v>1279</v>
      </c>
      <c r="D4" s="268" t="s">
        <v>1280</v>
      </c>
      <c r="E4" s="268" t="s">
        <v>1281</v>
      </c>
      <c r="F4" s="268" t="s">
        <v>30</v>
      </c>
      <c r="G4" s="268" t="s">
        <v>111</v>
      </c>
      <c r="H4" s="268" t="s">
        <v>247</v>
      </c>
      <c r="I4" s="268" t="s">
        <v>96</v>
      </c>
      <c r="J4" s="268" t="s">
        <v>23</v>
      </c>
      <c r="K4" s="268" t="s">
        <v>112</v>
      </c>
      <c r="L4" s="268" t="s">
        <v>113</v>
      </c>
      <c r="M4" s="268" t="s">
        <v>37</v>
      </c>
      <c r="N4" s="268" t="s">
        <v>31</v>
      </c>
      <c r="O4" s="268" t="s">
        <v>124</v>
      </c>
      <c r="P4" s="268" t="s">
        <v>63</v>
      </c>
      <c r="Q4" s="268" t="s">
        <v>116</v>
      </c>
      <c r="R4" s="268" t="s">
        <v>114</v>
      </c>
      <c r="S4" s="268" t="s">
        <v>127</v>
      </c>
      <c r="T4" s="268" t="s">
        <v>128</v>
      </c>
      <c r="U4" s="268" t="s">
        <v>129</v>
      </c>
      <c r="V4" s="268" t="s">
        <v>125</v>
      </c>
      <c r="W4" s="268" t="s">
        <v>126</v>
      </c>
      <c r="X4" s="268" t="s">
        <v>115</v>
      </c>
      <c r="Y4" s="268" t="s">
        <v>134</v>
      </c>
      <c r="Z4" s="268" t="s">
        <v>130</v>
      </c>
      <c r="AA4" s="268" t="s">
        <v>131</v>
      </c>
      <c r="AB4" s="268" t="s">
        <v>132</v>
      </c>
      <c r="AC4" s="268" t="s">
        <v>133</v>
      </c>
      <c r="AD4" s="268" t="s">
        <v>118</v>
      </c>
      <c r="AE4" s="268" t="s">
        <v>35</v>
      </c>
      <c r="AF4" s="268" t="s">
        <v>1260</v>
      </c>
      <c r="AG4" s="268" t="s">
        <v>193</v>
      </c>
      <c r="AH4" s="268" t="s">
        <v>1243</v>
      </c>
      <c r="AI4" s="268" t="s">
        <v>258</v>
      </c>
      <c r="AJ4" s="268" t="s">
        <v>259</v>
      </c>
      <c r="AK4" s="268" t="s">
        <v>260</v>
      </c>
      <c r="AL4" s="268" t="s">
        <v>261</v>
      </c>
      <c r="AM4" s="268" t="s">
        <v>262</v>
      </c>
      <c r="AN4" s="268" t="s">
        <v>263</v>
      </c>
      <c r="AO4" s="268" t="s">
        <v>264</v>
      </c>
      <c r="AP4" s="268" t="s">
        <v>265</v>
      </c>
      <c r="AQ4" s="268" t="s">
        <v>266</v>
      </c>
      <c r="AR4" s="268" t="s">
        <v>267</v>
      </c>
      <c r="AS4" s="268" t="s">
        <v>268</v>
      </c>
      <c r="AT4" s="268" t="s">
        <v>269</v>
      </c>
      <c r="AU4" s="268" t="s">
        <v>270</v>
      </c>
      <c r="AV4" s="268" t="s">
        <v>271</v>
      </c>
      <c r="AW4" s="268" t="s">
        <v>272</v>
      </c>
      <c r="AX4" s="268" t="s">
        <v>273</v>
      </c>
      <c r="AY4" s="268" t="s">
        <v>274</v>
      </c>
      <c r="AZ4" s="268" t="s">
        <v>275</v>
      </c>
      <c r="BA4" s="268" t="s">
        <v>276</v>
      </c>
      <c r="BB4" s="268" t="s">
        <v>165</v>
      </c>
      <c r="BC4" s="268" t="s">
        <v>277</v>
      </c>
      <c r="BD4" s="268" t="s">
        <v>1583</v>
      </c>
      <c r="BE4" s="268" t="s">
        <v>1584</v>
      </c>
      <c r="BF4" s="268" t="s">
        <v>1585</v>
      </c>
      <c r="BG4" s="268" t="s">
        <v>1586</v>
      </c>
      <c r="BH4" s="268" t="s">
        <v>1587</v>
      </c>
      <c r="BI4" s="268" t="s">
        <v>1588</v>
      </c>
      <c r="BJ4" s="268" t="s">
        <v>1589</v>
      </c>
      <c r="BK4" s="268" t="s">
        <v>1590</v>
      </c>
      <c r="BL4" s="268" t="s">
        <v>1591</v>
      </c>
      <c r="BM4" s="268" t="s">
        <v>1592</v>
      </c>
      <c r="BN4" s="268" t="s">
        <v>1593</v>
      </c>
      <c r="BO4" s="268" t="s">
        <v>1594</v>
      </c>
      <c r="BP4" s="268" t="s">
        <v>1595</v>
      </c>
      <c r="BQ4" s="268" t="s">
        <v>1596</v>
      </c>
      <c r="BR4" s="268" t="s">
        <v>1597</v>
      </c>
      <c r="BS4" s="268" t="s">
        <v>1598</v>
      </c>
      <c r="BT4" s="268" t="s">
        <v>1599</v>
      </c>
      <c r="BU4" s="268" t="s">
        <v>1600</v>
      </c>
      <c r="BV4" s="268" t="s">
        <v>1601</v>
      </c>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row>
    <row r="5" spans="1:220" s="29" customFormat="1" ht="15" customHeight="1">
      <c r="A5" s="100">
        <v>1</v>
      </c>
      <c r="B5" s="132" t="str">
        <f>VLOOKUP(Ruimtestaat[[#This Row],[Code]],Locaties[[Code]:[Locatie]],2,FALSE)</f>
        <v>Mirtehuis</v>
      </c>
      <c r="C5" s="132" t="str">
        <f>VLOOKUP(Ruimtestaat[[#This Row],[Code]],Locaties[[#All],[Code]:[Adres]],4,FALSE)</f>
        <v>Weseperweg 6</v>
      </c>
      <c r="D5" s="132" t="str">
        <f>VLOOKUP(Ruimtestaat[[#This Row],[Code]],Locaties[[#All],[Code]:[Postcode]],5,FALSE)</f>
        <v>8111 PK</v>
      </c>
      <c r="E5" s="132" t="str">
        <f>VLOOKUP(Ruimtestaat[[#This Row],[Code]],Locaties[#All],6,FALSE)</f>
        <v>Heeten</v>
      </c>
      <c r="F5" s="100"/>
      <c r="G5" s="100" t="s">
        <v>1675</v>
      </c>
      <c r="H5" s="344"/>
      <c r="I5" s="345" t="s">
        <v>38</v>
      </c>
      <c r="J5" s="100">
        <v>7</v>
      </c>
      <c r="K5" s="129" t="str">
        <f>VLOOKUP(Ruimtestaat[[#This Row],[Ruimte code]],Ruimtegroepen[[#All],[Code]:[Ruimte omschrijving]],2,FALSE)</f>
        <v>Entree</v>
      </c>
      <c r="L5" s="100" t="s">
        <v>99</v>
      </c>
      <c r="M5" s="345" t="s">
        <v>1633</v>
      </c>
      <c r="N5" s="133">
        <v>3.31</v>
      </c>
      <c r="O5" s="100"/>
      <c r="P5" s="134" t="str">
        <f>VLOOKUP(Ruimtestaat[[#This Row],[Ruimte code]],Ruimtegroepen[],4,FALSE)</f>
        <v>Ve</v>
      </c>
      <c r="Q5" s="100">
        <v>51</v>
      </c>
      <c r="R5" s="100" t="s">
        <v>2</v>
      </c>
      <c r="S5" s="100">
        <f>IF(Q5&gt;0,IF(RIGHT(Ruimtestaat[[#This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5" s="100">
        <f>IF(S5&gt;0,VLOOKUP($J5,Ruimtegroepen[],3,FALSE)*VLOOKUP($L5,Vloersoorten[],3,FALSE)*VLOOKUP($R5,Frequenties[],3,FALSE)*VLOOKUP($A5,Locaties[],3,FALSE),0)</f>
        <v>0</v>
      </c>
      <c r="U5" s="100">
        <f>Ruimtestaat[[#This Row],[Uitvoeringen werkdagen]]*Ruimtestaat[[#This Row],[Oppervlak (netto)]]</f>
        <v>844.05000000000007</v>
      </c>
      <c r="V5" s="135">
        <f>IF(T5&gt;0,Ruimtestaat[[#This Row],[Prest. (m2 /jaar) werkdagen]]/Ruimtestaat[[#This Row],[Norm (m2/uur) werkdagen]],0)</f>
        <v>0</v>
      </c>
      <c r="W5" s="136">
        <f>Ruimtestaat[[#This Row],[uren / jaar werkdagen]]*Tariefsopbouw!$E$35</f>
        <v>0</v>
      </c>
      <c r="X5" s="100"/>
      <c r="Y5" s="100">
        <f>IF(Ruimtestaat[[#This Row],[Frequentie weekend]]&gt;0,VALUE(LEFT(X5,1))*Q5,0)</f>
        <v>0</v>
      </c>
      <c r="Z5" s="99">
        <f>IF($Y5&gt;0,VLOOKUP($J5,Ruimtegroepen[],3,FALSE)*VLOOKUP($L5,Vloersoorten[],3,FALSE)*VLOOKUP($X5,Frequenties[],3,FALSE)*VLOOKUP(Ruimtestaat[[#This Row],[Code]],Locaties[],3,FALSE),0)</f>
        <v>0</v>
      </c>
      <c r="AA5" s="99">
        <f>Ruimtestaat[[#This Row],[Uitvoeringen weekend]]*Ruimtestaat[[#This Row],[Oppervlak (netto)]]</f>
        <v>0</v>
      </c>
      <c r="AB5" s="99">
        <f>IF(Z5&gt;0,Ruimtestaat[[#This Row],[Prest. (m2 /jaar) weekend]]/Ruimtestaat[[#This Row],[Norm (m2/uur) weekend]],0)</f>
        <v>0</v>
      </c>
      <c r="AC5" s="136">
        <f>Ruimtestaat[[#This Row],[uren / jaar weekend]]*Tariefsopbouw!$D$40</f>
        <v>0</v>
      </c>
      <c r="AD5" s="135">
        <f>Ruimtestaat[[#This Row],[Prest. (m2 /jaar) weekend]]+Ruimtestaat[[#This Row],[Prest. (m2 /jaar) werkdagen]]</f>
        <v>844.05000000000007</v>
      </c>
      <c r="AE5" s="135">
        <f>Ruimtestaat[[#This Row],[uren / jaar weekend]]+Ruimtestaat[[#This Row],[uren / jaar werkdagen]]</f>
        <v>0</v>
      </c>
      <c r="AF5" s="130">
        <f>Ruimtestaat[[#This Row],[kosten / jaar weekend]]+Ruimtestaat[[#This Row],[kosten / jaar werkdagen]]</f>
        <v>0</v>
      </c>
      <c r="AG5" s="130"/>
      <c r="AH5" s="137" t="str">
        <f>IF(Ruimtestaat[[#This Row],[Frequentie werkdagen]]="","",_xlfn.CONCAT(Ruimtestaat[[#This Row],[Ruimte code]],"-",Ruimtestaat[[#This Row],[Frequentie werkdagen]]," ",Ruimtestaat[[#This Row],[Vloer code]]))</f>
        <v>7-5w T</v>
      </c>
      <c r="AI5" s="142" t="str">
        <f>_xlfn.IFNA(VLOOKUP($AH5,Programma!$F$3:$G$1101,2,0),"")</f>
        <v>_</v>
      </c>
      <c r="AJ5" s="142" t="str">
        <f>_xlfn.IFNA(VLOOKUP($AH5,Programma!$F$3:$H$1101,3,0),"")</f>
        <v>5w</v>
      </c>
      <c r="AK5" s="142" t="str">
        <f>_xlfn.IFNA(VLOOKUP($AH5,Programma!$F$3:$I$1101,4,0),"")</f>
        <v>_</v>
      </c>
      <c r="AL5" s="142" t="str">
        <f>_xlfn.IFNA(VLOOKUP($AH5,Programma!$F$3:$J$1101,5,0),"")</f>
        <v>_</v>
      </c>
      <c r="AM5" s="142" t="str">
        <f>_xlfn.IFNA(VLOOKUP($AH5,Programma!$F$3:$K$1101,6,0),"")</f>
        <v>_</v>
      </c>
      <c r="AN5" s="142" t="str">
        <f>_xlfn.IFNA(VLOOKUP($AH5,Programma!$F$3:$L$1101,7,0),"")</f>
        <v>_</v>
      </c>
      <c r="AO5" s="142" t="str">
        <f>_xlfn.IFNA(VLOOKUP($AH5,Programma!$F$3:$M$1101,8,0),"")</f>
        <v>_</v>
      </c>
      <c r="AP5" s="142" t="str">
        <f>_xlfn.IFNA(VLOOKUP($AH5,Programma!$F$3:$N$1101,9,0),"")</f>
        <v>_</v>
      </c>
      <c r="AQ5" s="142" t="str">
        <f>_xlfn.IFNA(VLOOKUP($AH5,Programma!$F$3:$O$1101,10,0),"")</f>
        <v>5w</v>
      </c>
      <c r="AR5" s="142" t="str">
        <f>_xlfn.IFNA(VLOOKUP($AH5,Programma!$F$3:$P$1101,11,0),"")</f>
        <v>5w</v>
      </c>
      <c r="AS5" s="142" t="str">
        <f>_xlfn.IFNA(VLOOKUP($AH5,Programma!$F$3:$Q$1101,12,0),"")</f>
        <v>1w</v>
      </c>
      <c r="AT5" s="142" t="str">
        <f>_xlfn.IFNA(VLOOKUP($AH5,Programma!$F$3:$R$1101,13,0),"")</f>
        <v>1w</v>
      </c>
      <c r="AU5" s="142" t="str">
        <f>_xlfn.IFNA(VLOOKUP($AH5,Programma!$F$3:$S$1101,14,0),"")</f>
        <v>1m</v>
      </c>
      <c r="AV5" s="142" t="str">
        <f>_xlfn.IFNA(VLOOKUP($AH5,Programma!$F$3:$T$1101,15,0),"")</f>
        <v>2j</v>
      </c>
      <c r="AW5" s="142" t="str">
        <f>_xlfn.IFNA(VLOOKUP($AH5,Programma!$F$3:$U$1101,16,0),"")</f>
        <v>1j</v>
      </c>
      <c r="AX5" s="142" t="str">
        <f>_xlfn.IFNA(VLOOKUP($AH5,Programma!$F$3:$V$1101,17,0),"")</f>
        <v>_</v>
      </c>
      <c r="AY5" s="142" t="str">
        <f>_xlfn.IFNA(VLOOKUP($AH5,Programma!$F$3:$W$1101,18,0),"")</f>
        <v>_</v>
      </c>
      <c r="AZ5" s="142" t="str">
        <f>_xlfn.IFNA(VLOOKUP($AH5,Programma!$F$3:$X$1101,19,0),"")</f>
        <v>_</v>
      </c>
      <c r="BA5" s="142" t="str">
        <f>_xlfn.IFNA(VLOOKUP($AH5,Programma!$F$3:$Y$1101,20,0),"")</f>
        <v>_</v>
      </c>
      <c r="BB5" s="138"/>
      <c r="BC5" s="137" t="str">
        <f>IF(Ruimtestaat[[#This Row],[Frequentie weekend]]="","",_xlfn.CONCAT(Ruimtestaat[[#This Row],[Ruimte code]],"-",Ruimtestaat[[#This Row],[Frequentie weekend]]," ",Ruimtestaat[[#This Row],[Vloer code]]))</f>
        <v/>
      </c>
      <c r="BD5" s="142" t="str">
        <f>_xlfn.IFNA(VLOOKUP($BC5,Programma!$F$3:$G$1101,2,0),"")</f>
        <v/>
      </c>
      <c r="BE5" s="142" t="str">
        <f>_xlfn.IFNA(VLOOKUP($BC5,Programma!$F$3:$H$1101,3,0),"")</f>
        <v/>
      </c>
      <c r="BF5" s="142" t="str">
        <f>_xlfn.IFNA(VLOOKUP($BC5,Programma!$F$3:$I$1101,4,0),"")</f>
        <v/>
      </c>
      <c r="BG5" s="142" t="str">
        <f>_xlfn.IFNA(VLOOKUP($BC5,Programma!$F$3:$J$1101,5,0),"")</f>
        <v/>
      </c>
      <c r="BH5" s="142" t="str">
        <f>_xlfn.IFNA(VLOOKUP($BC5,Programma!$F$3:$K$1101,6,0),"")</f>
        <v/>
      </c>
      <c r="BI5" s="142" t="str">
        <f>_xlfn.IFNA(VLOOKUP($BC5,Programma!$F$3:$L$1101,7,0),"")</f>
        <v/>
      </c>
      <c r="BJ5" s="142" t="str">
        <f>_xlfn.IFNA(VLOOKUP($BC5,Programma!$F$3:$M$1101,8,0),"")</f>
        <v/>
      </c>
      <c r="BK5" s="142" t="str">
        <f>_xlfn.IFNA(VLOOKUP($BC5,Programma!$F$3:$N$1101,9,0),"")</f>
        <v/>
      </c>
      <c r="BL5" s="142" t="str">
        <f>_xlfn.IFNA(VLOOKUP($BC5,Programma!$F$3:$O$1101,10,0),"")</f>
        <v/>
      </c>
      <c r="BM5" s="142" t="str">
        <f>_xlfn.IFNA(VLOOKUP($BC5,Programma!$F$3:$P$1101,11,0),"")</f>
        <v/>
      </c>
      <c r="BN5" s="142" t="str">
        <f>_xlfn.IFNA(VLOOKUP($BC5,Programma!$F$3:$Q$1101,12,0),"")</f>
        <v/>
      </c>
      <c r="BO5" s="142" t="str">
        <f>_xlfn.IFNA(VLOOKUP($BC5,Programma!$F$3:$R$1101,13,0),"")</f>
        <v/>
      </c>
      <c r="BP5" s="142" t="str">
        <f>_xlfn.IFNA(VLOOKUP($BC5,Programma!$F$3:$S$1101,14,0),"")</f>
        <v/>
      </c>
      <c r="BQ5" s="142" t="str">
        <f>_xlfn.IFNA(VLOOKUP($BC5,Programma!$F$3:$T$1101,15,0),"")</f>
        <v/>
      </c>
      <c r="BR5" s="142" t="str">
        <f>_xlfn.IFNA(VLOOKUP($BC5,Programma!$F$3:$U$1101,16,0),"")</f>
        <v/>
      </c>
      <c r="BS5" s="142" t="str">
        <f>_xlfn.IFNA(VLOOKUP($BC5,Programma!$F$3:$V$1101,17,0),"")</f>
        <v/>
      </c>
      <c r="BT5" s="142" t="str">
        <f>_xlfn.IFNA(VLOOKUP($BC5,Programma!$F$3:$W$1101,18,0),"")</f>
        <v/>
      </c>
      <c r="BU5" s="142" t="str">
        <f>_xlfn.IFNA(VLOOKUP($BC5,Programma!$F$3:$X$1101,19,0),"")</f>
        <v/>
      </c>
      <c r="BV5" s="142" t="str">
        <f>_xlfn.IFNA(VLOOKUP($BC5,Programma!$F$3:$Y$1101,20,0),"")</f>
        <v/>
      </c>
    </row>
    <row r="6" spans="1:220" s="29" customFormat="1" ht="15" customHeight="1">
      <c r="A6" s="100">
        <v>1</v>
      </c>
      <c r="B6" s="132" t="str">
        <f>VLOOKUP(Ruimtestaat[[#This Row],[Code]],Locaties[[Code]:[Locatie]],2,FALSE)</f>
        <v>Mirtehuis</v>
      </c>
      <c r="C6" s="132" t="str">
        <f>VLOOKUP(Ruimtestaat[[#This Row],[Code]],Locaties[[#All],[Code]:[Adres]],4,FALSE)</f>
        <v>Weseperweg 6</v>
      </c>
      <c r="D6" s="132" t="str">
        <f>VLOOKUP(Ruimtestaat[[#This Row],[Code]],Locaties[[#All],[Code]:[Postcode]],5,FALSE)</f>
        <v>8111 PK</v>
      </c>
      <c r="E6" s="132" t="str">
        <f>VLOOKUP(Ruimtestaat[[#This Row],[Code]],Locaties[#All],6,FALSE)</f>
        <v>Heeten</v>
      </c>
      <c r="F6" s="100"/>
      <c r="G6" s="100" t="s">
        <v>1675</v>
      </c>
      <c r="H6" s="344"/>
      <c r="I6" s="345" t="s">
        <v>1632</v>
      </c>
      <c r="J6" s="100">
        <v>6</v>
      </c>
      <c r="K6" s="129" t="str">
        <f>VLOOKUP(Ruimtestaat[[#This Row],[Ruimte code]],Ruimtegroepen[[#All],[Code]:[Ruimte omschrijving]],2,FALSE)</f>
        <v>Gangen/hallen</v>
      </c>
      <c r="L6" s="100" t="s">
        <v>101</v>
      </c>
      <c r="M6" s="345" t="s">
        <v>1634</v>
      </c>
      <c r="N6" s="133">
        <v>7</v>
      </c>
      <c r="O6" s="139"/>
      <c r="P6" s="134" t="str">
        <f>VLOOKUP(Ruimtestaat[[#This Row],[Ruimte code]],Ruimtegroepen[],4,FALSE)</f>
        <v>Ve</v>
      </c>
      <c r="Q6" s="100">
        <v>51</v>
      </c>
      <c r="R6" s="100" t="s">
        <v>2</v>
      </c>
      <c r="S6" s="100">
        <f>IF(Q6&gt;0,IF(RIGHT(Ruimtestaat[[#This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6" s="100">
        <f>IF(S6&gt;0,VLOOKUP($J6,Ruimtegroepen[],3,FALSE)*VLOOKUP($L6,Vloersoorten[],3,FALSE)*VLOOKUP($R6,Frequenties[],3,FALSE)*VLOOKUP($A6,Locaties[],3,FALSE),0)</f>
        <v>0</v>
      </c>
      <c r="U6" s="100">
        <f>Ruimtestaat[[#This Row],[Uitvoeringen werkdagen]]*Ruimtestaat[[#This Row],[Oppervlak (netto)]]</f>
        <v>1785</v>
      </c>
      <c r="V6" s="135">
        <f>IF(T6&gt;0,Ruimtestaat[[#This Row],[Prest. (m2 /jaar) werkdagen]]/Ruimtestaat[[#This Row],[Norm (m2/uur) werkdagen]],0)</f>
        <v>0</v>
      </c>
      <c r="W6" s="136">
        <f>Ruimtestaat[[#This Row],[uren / jaar werkdagen]]*Tariefsopbouw!$E$35</f>
        <v>0</v>
      </c>
      <c r="X6" s="100"/>
      <c r="Y6" s="100">
        <f>IF(Ruimtestaat[[#This Row],[Frequentie weekend]]&gt;0,VALUE(LEFT(X6,1))*Q6,0)</f>
        <v>0</v>
      </c>
      <c r="Z6" s="99">
        <f>IF($Y6&gt;0,VLOOKUP($J6,Ruimtegroepen[],3,FALSE)*VLOOKUP($L6,Vloersoorten[],3,FALSE)*VLOOKUP($X6,Frequenties[],3,FALSE)*VLOOKUP(Ruimtestaat[[#This Row],[Code]],Locaties[],3,FALSE),0)</f>
        <v>0</v>
      </c>
      <c r="AA6" s="99">
        <f>Ruimtestaat[[#This Row],[Uitvoeringen weekend]]*Ruimtestaat[[#This Row],[Oppervlak (netto)]]</f>
        <v>0</v>
      </c>
      <c r="AB6" s="99">
        <f>IF(Z6&gt;0,Ruimtestaat[[#This Row],[Prest. (m2 /jaar) weekend]]/Ruimtestaat[[#This Row],[Norm (m2/uur) weekend]],0)</f>
        <v>0</v>
      </c>
      <c r="AC6" s="136">
        <f>Ruimtestaat[[#This Row],[uren / jaar weekend]]*Tariefsopbouw!$D$40</f>
        <v>0</v>
      </c>
      <c r="AD6" s="135">
        <f>Ruimtestaat[[#This Row],[Prest. (m2 /jaar) weekend]]+Ruimtestaat[[#This Row],[Prest. (m2 /jaar) werkdagen]]</f>
        <v>1785</v>
      </c>
      <c r="AE6" s="135">
        <f>Ruimtestaat[[#This Row],[uren / jaar weekend]]+Ruimtestaat[[#This Row],[uren / jaar werkdagen]]</f>
        <v>0</v>
      </c>
      <c r="AF6" s="130">
        <f>Ruimtestaat[[#This Row],[kosten / jaar weekend]]+Ruimtestaat[[#This Row],[kosten / jaar werkdagen]]</f>
        <v>0</v>
      </c>
      <c r="AG6" s="130"/>
      <c r="AH6" s="137" t="str">
        <f>IF(Ruimtestaat[[#This Row],[Frequentie werkdagen]]="","",_xlfn.CONCAT(Ruimtestaat[[#This Row],[Ruimte code]],"-",Ruimtestaat[[#This Row],[Frequentie werkdagen]]," ",Ruimtestaat[[#This Row],[Vloer code]]))</f>
        <v>6-5w S</v>
      </c>
      <c r="AI6" s="142" t="str">
        <f>_xlfn.IFNA(VLOOKUP($AH6,Programma!$F$3:$G$1101,2,0),"")</f>
        <v>_</v>
      </c>
      <c r="AJ6" s="142" t="str">
        <f>_xlfn.IFNA(VLOOKUP($AH6,Programma!$F$3:$H$1101,3,0),"")</f>
        <v>_</v>
      </c>
      <c r="AK6" s="142" t="str">
        <f>_xlfn.IFNA(VLOOKUP($AH6,Programma!$F$3:$I$1101,4,0),"")</f>
        <v>5w</v>
      </c>
      <c r="AL6" s="142" t="str">
        <f>_xlfn.IFNA(VLOOKUP($AH6,Programma!$F$3:$J$1101,5,0),"")</f>
        <v>_</v>
      </c>
      <c r="AM6" s="142" t="str">
        <f>_xlfn.IFNA(VLOOKUP($AH6,Programma!$F$3:$K$1101,6,0),"")</f>
        <v>5w</v>
      </c>
      <c r="AN6" s="142" t="str">
        <f>_xlfn.IFNA(VLOOKUP($AH6,Programma!$F$3:$L$1101,7,0),"")</f>
        <v>_</v>
      </c>
      <c r="AO6" s="142" t="str">
        <f>_xlfn.IFNA(VLOOKUP($AH6,Programma!$F$3:$M$1101,8,0),"")</f>
        <v>_</v>
      </c>
      <c r="AP6" s="142" t="str">
        <f>_xlfn.IFNA(VLOOKUP($AH6,Programma!$F$3:$N$1101,9,0),"")</f>
        <v>_</v>
      </c>
      <c r="AQ6" s="142" t="str">
        <f>_xlfn.IFNA(VLOOKUP($AH6,Programma!$F$3:$O$1101,10,0),"")</f>
        <v>5w</v>
      </c>
      <c r="AR6" s="142" t="str">
        <f>_xlfn.IFNA(VLOOKUP($AH6,Programma!$F$3:$P$1101,11,0),"")</f>
        <v>5w</v>
      </c>
      <c r="AS6" s="142" t="str">
        <f>_xlfn.IFNA(VLOOKUP($AH6,Programma!$F$3:$Q$1101,12,0),"")</f>
        <v>1w</v>
      </c>
      <c r="AT6" s="142" t="str">
        <f>_xlfn.IFNA(VLOOKUP($AH6,Programma!$F$3:$R$1101,13,0),"")</f>
        <v>1w</v>
      </c>
      <c r="AU6" s="142" t="str">
        <f>_xlfn.IFNA(VLOOKUP($AH6,Programma!$F$3:$S$1101,14,0),"")</f>
        <v>1m</v>
      </c>
      <c r="AV6" s="142" t="str">
        <f>_xlfn.IFNA(VLOOKUP($AH6,Programma!$F$3:$T$1101,15,0),"")</f>
        <v>2j</v>
      </c>
      <c r="AW6" s="142" t="str">
        <f>_xlfn.IFNA(VLOOKUP($AH6,Programma!$F$3:$U$1101,16,0),"")</f>
        <v>1j</v>
      </c>
      <c r="AX6" s="142" t="str">
        <f>_xlfn.IFNA(VLOOKUP($AH6,Programma!$F$3:$V$1101,17,0),"")</f>
        <v>_</v>
      </c>
      <c r="AY6" s="142" t="str">
        <f>_xlfn.IFNA(VLOOKUP($AH6,Programma!$F$3:$W$1101,18,0),"")</f>
        <v>_</v>
      </c>
      <c r="AZ6" s="142" t="str">
        <f>_xlfn.IFNA(VLOOKUP($AH6,Programma!$F$3:$X$1101,19,0),"")</f>
        <v>_</v>
      </c>
      <c r="BA6" s="142" t="str">
        <f>_xlfn.IFNA(VLOOKUP($AH6,Programma!$F$3:$Y$1101,20,0),"")</f>
        <v>_</v>
      </c>
      <c r="BB6" s="138"/>
      <c r="BC6" s="137" t="str">
        <f>IF(Ruimtestaat[[#This Row],[Frequentie weekend]]="","",_xlfn.CONCAT(Ruimtestaat[[#This Row],[Ruimte code]],"-",Ruimtestaat[[#This Row],[Frequentie weekend]]," ",Ruimtestaat[[#This Row],[Vloer code]]))</f>
        <v/>
      </c>
      <c r="BD6" s="142" t="str">
        <f>_xlfn.IFNA(VLOOKUP($BC6,Programma!$F$3:$G$1101,2,0),"")</f>
        <v/>
      </c>
      <c r="BE6" s="142" t="str">
        <f>_xlfn.IFNA(VLOOKUP($BC6,Programma!$F$3:$H$1101,3,0),"")</f>
        <v/>
      </c>
      <c r="BF6" s="142" t="str">
        <f>_xlfn.IFNA(VLOOKUP($BC6,Programma!$F$3:$I$1101,4,0),"")</f>
        <v/>
      </c>
      <c r="BG6" s="142" t="str">
        <f>_xlfn.IFNA(VLOOKUP($BC6,Programma!$F$3:$J$1101,5,0),"")</f>
        <v/>
      </c>
      <c r="BH6" s="142" t="str">
        <f>_xlfn.IFNA(VLOOKUP($BC6,Programma!$F$3:$K$1101,6,0),"")</f>
        <v/>
      </c>
      <c r="BI6" s="142" t="str">
        <f>_xlfn.IFNA(VLOOKUP($BC6,Programma!$F$3:$L$1101,7,0),"")</f>
        <v/>
      </c>
      <c r="BJ6" s="142" t="str">
        <f>_xlfn.IFNA(VLOOKUP($BC6,Programma!$F$3:$M$1101,8,0),"")</f>
        <v/>
      </c>
      <c r="BK6" s="142" t="str">
        <f>_xlfn.IFNA(VLOOKUP($BC6,Programma!$F$3:$N$1101,9,0),"")</f>
        <v/>
      </c>
      <c r="BL6" s="142" t="str">
        <f>_xlfn.IFNA(VLOOKUP($BC6,Programma!$F$3:$O$1101,10,0),"")</f>
        <v/>
      </c>
      <c r="BM6" s="142" t="str">
        <f>_xlfn.IFNA(VLOOKUP($BC6,Programma!$F$3:$P$1101,11,0),"")</f>
        <v/>
      </c>
      <c r="BN6" s="142" t="str">
        <f>_xlfn.IFNA(VLOOKUP($BC6,Programma!$F$3:$Q$1101,12,0),"")</f>
        <v/>
      </c>
      <c r="BO6" s="142" t="str">
        <f>_xlfn.IFNA(VLOOKUP($BC6,Programma!$F$3:$R$1101,13,0),"")</f>
        <v/>
      </c>
      <c r="BP6" s="142" t="str">
        <f>_xlfn.IFNA(VLOOKUP($BC6,Programma!$F$3:$S$1101,14,0),"")</f>
        <v/>
      </c>
      <c r="BQ6" s="142" t="str">
        <f>_xlfn.IFNA(VLOOKUP($BC6,Programma!$F$3:$T$1101,15,0),"")</f>
        <v/>
      </c>
      <c r="BR6" s="142" t="str">
        <f>_xlfn.IFNA(VLOOKUP($BC6,Programma!$F$3:$U$1101,16,0),"")</f>
        <v/>
      </c>
      <c r="BS6" s="142" t="str">
        <f>_xlfn.IFNA(VLOOKUP($BC6,Programma!$F$3:$V$1101,17,0),"")</f>
        <v/>
      </c>
      <c r="BT6" s="142" t="str">
        <f>_xlfn.IFNA(VLOOKUP($BC6,Programma!$F$3:$W$1101,18,0),"")</f>
        <v/>
      </c>
      <c r="BU6" s="142" t="str">
        <f>_xlfn.IFNA(VLOOKUP($BC6,Programma!$F$3:$X$1101,19,0),"")</f>
        <v/>
      </c>
      <c r="BV6" s="142" t="str">
        <f>_xlfn.IFNA(VLOOKUP($BC6,Programma!$F$3:$Y$1101,20,0),"")</f>
        <v/>
      </c>
    </row>
    <row r="7" spans="1:220" ht="15" customHeight="1">
      <c r="A7" s="100">
        <v>1</v>
      </c>
      <c r="B7" s="132" t="str">
        <f>VLOOKUP(Ruimtestaat[[#This Row],[Code]],Locaties[[Code]:[Locatie]],2,FALSE)</f>
        <v>Mirtehuis</v>
      </c>
      <c r="C7" s="132" t="str">
        <f>VLOOKUP(Ruimtestaat[[#This Row],[Code]],Locaties[[#All],[Code]:[Adres]],4,FALSE)</f>
        <v>Weseperweg 6</v>
      </c>
      <c r="D7" s="132" t="str">
        <f>VLOOKUP(Ruimtestaat[[#This Row],[Code]],Locaties[[#All],[Code]:[Postcode]],5,FALSE)</f>
        <v>8111 PK</v>
      </c>
      <c r="E7" s="132" t="str">
        <f>VLOOKUP(Ruimtestaat[[#This Row],[Code]],Locaties[#All],6,FALSE)</f>
        <v>Heeten</v>
      </c>
      <c r="F7" s="100"/>
      <c r="G7" s="100" t="s">
        <v>1675</v>
      </c>
      <c r="H7" s="344"/>
      <c r="I7" s="345" t="s">
        <v>1635</v>
      </c>
      <c r="J7" s="49">
        <v>10</v>
      </c>
      <c r="K7" s="140" t="str">
        <f>VLOOKUP(Ruimtestaat[[#This Row],[Ruimte code]],Ruimtegroepen[[#All],[Code]:[Ruimte omschrijving]],2,FALSE)</f>
        <v>Trappenhuizen/lift</v>
      </c>
      <c r="L7" s="100" t="s">
        <v>99</v>
      </c>
      <c r="M7" s="345" t="s">
        <v>36</v>
      </c>
      <c r="N7" s="133">
        <v>2.85</v>
      </c>
      <c r="O7" s="139"/>
      <c r="P7" s="134" t="str">
        <f>VLOOKUP(Ruimtestaat[[#This Row],[Ruimte code]],Ruimtegroepen[],4,FALSE)</f>
        <v>Ve</v>
      </c>
      <c r="Q7" s="100">
        <v>51</v>
      </c>
      <c r="R7" s="100" t="s">
        <v>18</v>
      </c>
      <c r="S7" s="100">
        <f>IF(Q7&gt;0,IF(RIGHT(Ruimtestaat[[#This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153</v>
      </c>
      <c r="T7" s="100">
        <f>IF(S7&gt;0,VLOOKUP($J7,Ruimtegroepen[],3,FALSE)*VLOOKUP($L7,Vloersoorten[],3,FALSE)*VLOOKUP($R7,Frequenties[],3,FALSE)*VLOOKUP($A7,Locaties[],3,FALSE),0)</f>
        <v>0</v>
      </c>
      <c r="U7" s="100">
        <f>Ruimtestaat[[#This Row],[Uitvoeringen werkdagen]]*Ruimtestaat[[#This Row],[Oppervlak (netto)]]</f>
        <v>436.05</v>
      </c>
      <c r="V7" s="135">
        <f>IF(T7&gt;0,Ruimtestaat[[#This Row],[Prest. (m2 /jaar) werkdagen]]/Ruimtestaat[[#This Row],[Norm (m2/uur) werkdagen]],0)</f>
        <v>0</v>
      </c>
      <c r="W7" s="136">
        <f>Ruimtestaat[[#This Row],[uren / jaar werkdagen]]*Tariefsopbouw!$E$35</f>
        <v>0</v>
      </c>
      <c r="X7" s="100"/>
      <c r="Y7" s="100">
        <f>IF(Ruimtestaat[[#This Row],[Frequentie weekend]]&gt;0,VALUE(LEFT(X7,1))*Q7,0)</f>
        <v>0</v>
      </c>
      <c r="Z7" s="99">
        <f>IF($Y7&gt;0,VLOOKUP($J7,Ruimtegroepen[],3,FALSE)*VLOOKUP($L7,Vloersoorten[],3,FALSE)*VLOOKUP($X7,Frequenties[],3,FALSE)*VLOOKUP(Ruimtestaat[[#This Row],[Code]],Locaties[],3,FALSE),0)</f>
        <v>0</v>
      </c>
      <c r="AA7" s="99">
        <f>Ruimtestaat[[#This Row],[Uitvoeringen weekend]]*Ruimtestaat[[#This Row],[Oppervlak (netto)]]</f>
        <v>0</v>
      </c>
      <c r="AB7" s="99">
        <f>IF(Z7&gt;0,Ruimtestaat[[#This Row],[Prest. (m2 /jaar) weekend]]/Ruimtestaat[[#This Row],[Norm (m2/uur) weekend]],0)</f>
        <v>0</v>
      </c>
      <c r="AC7" s="136">
        <f>Ruimtestaat[[#This Row],[uren / jaar weekend]]*Tariefsopbouw!$D$40</f>
        <v>0</v>
      </c>
      <c r="AD7" s="135">
        <f>Ruimtestaat[[#This Row],[Prest. (m2 /jaar) weekend]]+Ruimtestaat[[#This Row],[Prest. (m2 /jaar) werkdagen]]</f>
        <v>436.05</v>
      </c>
      <c r="AE7" s="135">
        <f>Ruimtestaat[[#This Row],[uren / jaar weekend]]+Ruimtestaat[[#This Row],[uren / jaar werkdagen]]</f>
        <v>0</v>
      </c>
      <c r="AF7" s="130">
        <f>Ruimtestaat[[#This Row],[kosten / jaar weekend]]+Ruimtestaat[[#This Row],[kosten / jaar werkdagen]]</f>
        <v>0</v>
      </c>
      <c r="AG7" s="130"/>
      <c r="AH7" s="137" t="str">
        <f>IF(Ruimtestaat[[#This Row],[Frequentie werkdagen]]="","",_xlfn.CONCAT(Ruimtestaat[[#This Row],[Ruimte code]],"-",Ruimtestaat[[#This Row],[Frequentie werkdagen]]," ",Ruimtestaat[[#This Row],[Vloer code]]))</f>
        <v>10-3w T</v>
      </c>
      <c r="AI7" s="142" t="str">
        <f>_xlfn.IFNA(VLOOKUP($AH7,Programma!$F$3:$G$1101,2,0),"")</f>
        <v>_</v>
      </c>
      <c r="AJ7" s="142" t="str">
        <f>_xlfn.IFNA(VLOOKUP($AH7,Programma!$F$3:$H$1101,3,0),"")</f>
        <v>3w</v>
      </c>
      <c r="AK7" s="142" t="str">
        <f>_xlfn.IFNA(VLOOKUP($AH7,Programma!$F$3:$I$1101,4,0),"")</f>
        <v>_</v>
      </c>
      <c r="AL7" s="142" t="str">
        <f>_xlfn.IFNA(VLOOKUP($AH7,Programma!$F$3:$J$1101,5,0),"")</f>
        <v>_</v>
      </c>
      <c r="AM7" s="142" t="str">
        <f>_xlfn.IFNA(VLOOKUP($AH7,Programma!$F$3:$K$1101,6,0),"")</f>
        <v>_</v>
      </c>
      <c r="AN7" s="142" t="str">
        <f>_xlfn.IFNA(VLOOKUP($AH7,Programma!$F$3:$L$1101,7,0),"")</f>
        <v>_</v>
      </c>
      <c r="AO7" s="142" t="str">
        <f>_xlfn.IFNA(VLOOKUP($AH7,Programma!$F$3:$M$1101,8,0),"")</f>
        <v>_</v>
      </c>
      <c r="AP7" s="142" t="str">
        <f>_xlfn.IFNA(VLOOKUP($AH7,Programma!$F$3:$N$1101,9,0),"")</f>
        <v>_</v>
      </c>
      <c r="AQ7" s="142" t="str">
        <f>_xlfn.IFNA(VLOOKUP($AH7,Programma!$F$3:$O$1101,10,0),"")</f>
        <v>3w</v>
      </c>
      <c r="AR7" s="142" t="str">
        <f>_xlfn.IFNA(VLOOKUP($AH7,Programma!$F$3:$P$1101,11,0),"")</f>
        <v>3w</v>
      </c>
      <c r="AS7" s="142" t="str">
        <f>_xlfn.IFNA(VLOOKUP($AH7,Programma!$F$3:$Q$1101,12,0),"")</f>
        <v>1w</v>
      </c>
      <c r="AT7" s="142" t="str">
        <f>_xlfn.IFNA(VLOOKUP($AH7,Programma!$F$3:$R$1101,13,0),"")</f>
        <v>1w</v>
      </c>
      <c r="AU7" s="142" t="str">
        <f>_xlfn.IFNA(VLOOKUP($AH7,Programma!$F$3:$S$1101,14,0),"")</f>
        <v>1m</v>
      </c>
      <c r="AV7" s="142" t="str">
        <f>_xlfn.IFNA(VLOOKUP($AH7,Programma!$F$3:$T$1101,15,0),"")</f>
        <v>2j</v>
      </c>
      <c r="AW7" s="142" t="str">
        <f>_xlfn.IFNA(VLOOKUP($AH7,Programma!$F$3:$U$1101,16,0),"")</f>
        <v>1j</v>
      </c>
      <c r="AX7" s="142" t="str">
        <f>_xlfn.IFNA(VLOOKUP($AH7,Programma!$F$3:$V$1101,17,0),"")</f>
        <v>_</v>
      </c>
      <c r="AY7" s="142" t="str">
        <f>_xlfn.IFNA(VLOOKUP($AH7,Programma!$F$3:$W$1101,18,0),"")</f>
        <v>_</v>
      </c>
      <c r="AZ7" s="142" t="str">
        <f>_xlfn.IFNA(VLOOKUP($AH7,Programma!$F$3:$X$1101,19,0),"")</f>
        <v>_</v>
      </c>
      <c r="BA7" s="142" t="str">
        <f>_xlfn.IFNA(VLOOKUP($AH7,Programma!$F$3:$Y$1101,20,0),"")</f>
        <v>_</v>
      </c>
      <c r="BB7" s="138"/>
      <c r="BC7" s="137" t="str">
        <f>IF(Ruimtestaat[[#This Row],[Frequentie weekend]]="","",_xlfn.CONCAT(Ruimtestaat[[#This Row],[Ruimte code]],"-",Ruimtestaat[[#This Row],[Frequentie weekend]]," ",Ruimtestaat[[#This Row],[Vloer code]]))</f>
        <v/>
      </c>
      <c r="BD7" s="142" t="str">
        <f>_xlfn.IFNA(VLOOKUP($BC7,Programma!$F$3:$G$1101,2,0),"")</f>
        <v/>
      </c>
      <c r="BE7" s="142" t="str">
        <f>_xlfn.IFNA(VLOOKUP($BC7,Programma!$F$3:$H$1101,3,0),"")</f>
        <v/>
      </c>
      <c r="BF7" s="142" t="str">
        <f>_xlfn.IFNA(VLOOKUP($BC7,Programma!$F$3:$I$1101,4,0),"")</f>
        <v/>
      </c>
      <c r="BG7" s="142" t="str">
        <f>_xlfn.IFNA(VLOOKUP($BC7,Programma!$F$3:$J$1101,5,0),"")</f>
        <v/>
      </c>
      <c r="BH7" s="142" t="str">
        <f>_xlfn.IFNA(VLOOKUP($BC7,Programma!$F$3:$K$1101,6,0),"")</f>
        <v/>
      </c>
      <c r="BI7" s="142" t="str">
        <f>_xlfn.IFNA(VLOOKUP($BC7,Programma!$F$3:$L$1101,7,0),"")</f>
        <v/>
      </c>
      <c r="BJ7" s="142" t="str">
        <f>_xlfn.IFNA(VLOOKUP($BC7,Programma!$F$3:$M$1101,8,0),"")</f>
        <v/>
      </c>
      <c r="BK7" s="142" t="str">
        <f>_xlfn.IFNA(VLOOKUP($BC7,Programma!$F$3:$N$1101,9,0),"")</f>
        <v/>
      </c>
      <c r="BL7" s="142" t="str">
        <f>_xlfn.IFNA(VLOOKUP($BC7,Programma!$F$3:$O$1101,10,0),"")</f>
        <v/>
      </c>
      <c r="BM7" s="142" t="str">
        <f>_xlfn.IFNA(VLOOKUP($BC7,Programma!$F$3:$P$1101,11,0),"")</f>
        <v/>
      </c>
      <c r="BN7" s="142" t="str">
        <f>_xlfn.IFNA(VLOOKUP($BC7,Programma!$F$3:$Q$1101,12,0),"")</f>
        <v/>
      </c>
      <c r="BO7" s="142" t="str">
        <f>_xlfn.IFNA(VLOOKUP($BC7,Programma!$F$3:$R$1101,13,0),"")</f>
        <v/>
      </c>
      <c r="BP7" s="142" t="str">
        <f>_xlfn.IFNA(VLOOKUP($BC7,Programma!$F$3:$S$1101,14,0),"")</f>
        <v/>
      </c>
      <c r="BQ7" s="142" t="str">
        <f>_xlfn.IFNA(VLOOKUP($BC7,Programma!$F$3:$T$1101,15,0),"")</f>
        <v/>
      </c>
      <c r="BR7" s="142" t="str">
        <f>_xlfn.IFNA(VLOOKUP($BC7,Programma!$F$3:$U$1101,16,0),"")</f>
        <v/>
      </c>
      <c r="BS7" s="142" t="str">
        <f>_xlfn.IFNA(VLOOKUP($BC7,Programma!$F$3:$V$1101,17,0),"")</f>
        <v/>
      </c>
      <c r="BT7" s="142" t="str">
        <f>_xlfn.IFNA(VLOOKUP($BC7,Programma!$F$3:$W$1101,18,0),"")</f>
        <v/>
      </c>
      <c r="BU7" s="142" t="str">
        <f>_xlfn.IFNA(VLOOKUP($BC7,Programma!$F$3:$X$1101,19,0),"")</f>
        <v/>
      </c>
      <c r="BV7" s="142" t="str">
        <f>_xlfn.IFNA(VLOOKUP($BC7,Programma!$F$3:$Y$1101,20,0),"")</f>
        <v/>
      </c>
      <c r="BW7" s="28"/>
      <c r="BX7" s="28"/>
      <c r="BY7" s="28"/>
      <c r="BZ7" s="28"/>
      <c r="CA7" s="28"/>
      <c r="CB7" s="28"/>
      <c r="CC7" s="28"/>
      <c r="CD7" s="28"/>
      <c r="CE7" s="28"/>
      <c r="CF7" s="28"/>
      <c r="CG7" s="28"/>
      <c r="CH7" s="28"/>
      <c r="CI7" s="28"/>
      <c r="CJ7" s="28"/>
      <c r="CK7" s="28"/>
      <c r="CL7" s="28"/>
      <c r="CM7" s="28"/>
      <c r="CN7" s="28"/>
      <c r="CO7" s="28"/>
      <c r="CP7" s="28"/>
      <c r="CQ7" s="28"/>
      <c r="CR7" s="28"/>
      <c r="CS7" s="28"/>
      <c r="CT7" s="28"/>
      <c r="CU7" s="28"/>
      <c r="CV7" s="28"/>
      <c r="CW7" s="28"/>
      <c r="CX7" s="28"/>
      <c r="CY7" s="28"/>
      <c r="CZ7" s="28"/>
      <c r="DA7" s="28"/>
      <c r="DB7" s="28"/>
      <c r="DC7" s="28"/>
      <c r="DD7" s="28"/>
      <c r="DE7" s="28"/>
      <c r="DF7" s="28"/>
      <c r="DG7" s="28"/>
      <c r="DH7" s="28"/>
      <c r="DI7" s="28"/>
      <c r="DJ7" s="28"/>
      <c r="DK7" s="28"/>
      <c r="DL7" s="28"/>
      <c r="DM7" s="28"/>
      <c r="DN7" s="28"/>
      <c r="DO7" s="28"/>
      <c r="DP7" s="28"/>
      <c r="DQ7" s="28"/>
      <c r="DR7" s="28"/>
      <c r="DS7" s="28"/>
      <c r="DT7" s="28"/>
      <c r="DU7" s="28"/>
      <c r="DV7" s="28"/>
      <c r="DW7" s="28"/>
      <c r="DX7" s="28"/>
      <c r="DY7" s="28"/>
      <c r="DZ7" s="28"/>
      <c r="EA7" s="28"/>
      <c r="EB7" s="28"/>
      <c r="EC7" s="28"/>
      <c r="ED7" s="28"/>
      <c r="EE7" s="28"/>
      <c r="EF7" s="28"/>
      <c r="EG7" s="28"/>
      <c r="EH7" s="28"/>
      <c r="EI7" s="28"/>
      <c r="EJ7" s="28"/>
      <c r="EK7" s="28"/>
      <c r="EL7" s="28"/>
      <c r="EM7" s="28"/>
      <c r="EN7" s="28"/>
      <c r="EO7" s="28"/>
      <c r="EP7" s="28"/>
      <c r="EQ7" s="28"/>
      <c r="ER7" s="28"/>
      <c r="ES7" s="28"/>
      <c r="ET7" s="28"/>
      <c r="EU7" s="28"/>
      <c r="EV7" s="28"/>
      <c r="EW7" s="28"/>
      <c r="EX7" s="28"/>
      <c r="EY7" s="28"/>
      <c r="EZ7" s="28"/>
      <c r="FA7" s="28"/>
      <c r="FB7" s="28"/>
      <c r="FC7" s="28"/>
      <c r="FD7" s="28"/>
      <c r="FE7" s="28"/>
      <c r="FF7" s="28"/>
      <c r="FG7" s="28"/>
      <c r="FH7" s="28"/>
      <c r="FI7" s="28"/>
      <c r="FJ7" s="28"/>
      <c r="FK7" s="28"/>
      <c r="FL7" s="28"/>
      <c r="FM7" s="28"/>
      <c r="FN7" s="28"/>
      <c r="FO7" s="28"/>
      <c r="FP7" s="28"/>
      <c r="FQ7" s="28"/>
      <c r="FR7" s="28"/>
      <c r="FS7" s="28"/>
      <c r="FT7" s="28"/>
      <c r="FU7" s="28"/>
      <c r="FV7" s="28"/>
      <c r="FW7" s="28"/>
      <c r="FX7" s="28"/>
      <c r="FY7" s="28"/>
      <c r="FZ7" s="28"/>
      <c r="GA7" s="28"/>
      <c r="GB7" s="28"/>
      <c r="GC7" s="28"/>
      <c r="GD7" s="28"/>
      <c r="GE7" s="28"/>
      <c r="GF7" s="28"/>
      <c r="GG7" s="28"/>
      <c r="GH7" s="28"/>
      <c r="GI7" s="28"/>
      <c r="GJ7" s="28"/>
      <c r="GK7" s="28"/>
      <c r="GL7" s="28"/>
      <c r="GM7" s="28"/>
      <c r="GN7" s="28"/>
      <c r="GO7" s="28"/>
      <c r="GP7" s="28"/>
      <c r="GQ7" s="28"/>
      <c r="GR7" s="28"/>
      <c r="GS7" s="28"/>
      <c r="GT7" s="28"/>
      <c r="GU7" s="28"/>
      <c r="GV7" s="28"/>
      <c r="GW7" s="28"/>
      <c r="GX7" s="28"/>
      <c r="GY7" s="28"/>
      <c r="GZ7" s="28"/>
      <c r="HA7" s="28"/>
      <c r="HB7" s="28"/>
      <c r="HC7" s="28"/>
      <c r="HD7" s="28"/>
      <c r="HE7" s="28"/>
      <c r="HF7" s="28"/>
      <c r="HG7" s="28"/>
      <c r="HH7" s="28"/>
      <c r="HI7" s="28"/>
      <c r="HJ7" s="28"/>
      <c r="HK7" s="28"/>
    </row>
    <row r="8" spans="1:220" ht="12" customHeight="1">
      <c r="A8" s="100">
        <v>1</v>
      </c>
      <c r="B8" s="132" t="str">
        <f>VLOOKUP(Ruimtestaat[[#This Row],[Code]],Locaties[[Code]:[Locatie]],2,FALSE)</f>
        <v>Mirtehuis</v>
      </c>
      <c r="C8" s="132" t="str">
        <f>VLOOKUP(Ruimtestaat[[#This Row],[Code]],Locaties[[#All],[Code]:[Adres]],4,FALSE)</f>
        <v>Weseperweg 6</v>
      </c>
      <c r="D8" s="132" t="str">
        <f>VLOOKUP(Ruimtestaat[[#This Row],[Code]],Locaties[[#All],[Code]:[Postcode]],5,FALSE)</f>
        <v>8111 PK</v>
      </c>
      <c r="E8" s="132" t="str">
        <f>VLOOKUP(Ruimtestaat[[#This Row],[Code]],Locaties[#All],6,FALSE)</f>
        <v>Heeten</v>
      </c>
      <c r="F8" s="100"/>
      <c r="G8" s="100" t="s">
        <v>1675</v>
      </c>
      <c r="H8" s="344" t="s">
        <v>1637</v>
      </c>
      <c r="I8" s="345" t="s">
        <v>1638</v>
      </c>
      <c r="J8" s="100">
        <v>6</v>
      </c>
      <c r="K8" s="140" t="str">
        <f>VLOOKUP(Ruimtestaat[[#This Row],[Ruimte code]],Ruimtegroepen[[#All],[Code]:[Ruimte omschrijving]],2,FALSE)</f>
        <v>Gangen/hallen</v>
      </c>
      <c r="L8" s="100" t="s">
        <v>100</v>
      </c>
      <c r="M8" s="345" t="s">
        <v>1636</v>
      </c>
      <c r="N8" s="133">
        <v>78.2</v>
      </c>
      <c r="O8" s="139"/>
      <c r="P8" s="134" t="str">
        <f>VLOOKUP(Ruimtestaat[[#This Row],[Ruimte code]],Ruimtegroepen[],4,FALSE)</f>
        <v>Ve</v>
      </c>
      <c r="Q8" s="100">
        <v>51</v>
      </c>
      <c r="R8" s="100" t="s">
        <v>2</v>
      </c>
      <c r="S8" s="100">
        <f>IF(Q8&gt;0,IF(RIGHT(Ruimtestaat[[#This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8" s="100">
        <f>IF(S8&gt;0,VLOOKUP($J8,Ruimtegroepen[],3,FALSE)*VLOOKUP($L8,Vloersoorten[],3,FALSE)*VLOOKUP($R8,Frequenties[],3,FALSE)*VLOOKUP($A8,Locaties[],3,FALSE),0)</f>
        <v>0</v>
      </c>
      <c r="U8" s="100">
        <f>Ruimtestaat[[#This Row],[Uitvoeringen werkdagen]]*Ruimtestaat[[#This Row],[Oppervlak (netto)]]</f>
        <v>19941</v>
      </c>
      <c r="V8" s="135">
        <f>IF(T8&gt;0,Ruimtestaat[[#This Row],[Prest. (m2 /jaar) werkdagen]]/Ruimtestaat[[#This Row],[Norm (m2/uur) werkdagen]],0)</f>
        <v>0</v>
      </c>
      <c r="W8" s="136">
        <f>Ruimtestaat[[#This Row],[uren / jaar werkdagen]]*Tariefsopbouw!$E$35</f>
        <v>0</v>
      </c>
      <c r="X8" s="100"/>
      <c r="Y8" s="100">
        <f>IF(Ruimtestaat[[#This Row],[Frequentie weekend]]&gt;0,VALUE(LEFT(X8,1))*Q8,0)</f>
        <v>0</v>
      </c>
      <c r="Z8" s="99">
        <f>IF($Y8&gt;0,VLOOKUP($J8,Ruimtegroepen[],3,FALSE)*VLOOKUP($L8,Vloersoorten[],3,FALSE)*VLOOKUP($X8,Frequenties[],3,FALSE)*VLOOKUP(Ruimtestaat[[#This Row],[Code]],Locaties[],3,FALSE),0)</f>
        <v>0</v>
      </c>
      <c r="AA8" s="99">
        <f>Ruimtestaat[[#This Row],[Uitvoeringen weekend]]*Ruimtestaat[[#This Row],[Oppervlak (netto)]]</f>
        <v>0</v>
      </c>
      <c r="AB8" s="99">
        <f>IF(Z8&gt;0,Ruimtestaat[[#This Row],[Prest. (m2 /jaar) weekend]]/Ruimtestaat[[#This Row],[Norm (m2/uur) weekend]],0)</f>
        <v>0</v>
      </c>
      <c r="AC8" s="136">
        <f>Ruimtestaat[[#This Row],[uren / jaar weekend]]*Tariefsopbouw!$D$40</f>
        <v>0</v>
      </c>
      <c r="AD8" s="135">
        <f>Ruimtestaat[[#This Row],[Prest. (m2 /jaar) weekend]]+Ruimtestaat[[#This Row],[Prest. (m2 /jaar) werkdagen]]</f>
        <v>19941</v>
      </c>
      <c r="AE8" s="135">
        <f>Ruimtestaat[[#This Row],[uren / jaar weekend]]+Ruimtestaat[[#This Row],[uren / jaar werkdagen]]</f>
        <v>0</v>
      </c>
      <c r="AF8" s="130">
        <f>Ruimtestaat[[#This Row],[kosten / jaar weekend]]+Ruimtestaat[[#This Row],[kosten / jaar werkdagen]]</f>
        <v>0</v>
      </c>
      <c r="AG8" s="130"/>
      <c r="AH8" s="137" t="str">
        <f>IF(Ruimtestaat[[#This Row],[Frequentie werkdagen]]="","",_xlfn.CONCAT(Ruimtestaat[[#This Row],[Ruimte code]],"-",Ruimtestaat[[#This Row],[Frequentie werkdagen]]," ",Ruimtestaat[[#This Row],[Vloer code]]))</f>
        <v>6-5w L</v>
      </c>
      <c r="AI8" s="142" t="str">
        <f>_xlfn.IFNA(VLOOKUP($AH8,Programma!$F$3:$G$1101,2,0),"")</f>
        <v>_</v>
      </c>
      <c r="AJ8" s="142" t="str">
        <f>_xlfn.IFNA(VLOOKUP($AH8,Programma!$F$3:$H$1101,3,0),"")</f>
        <v>_</v>
      </c>
      <c r="AK8" s="142" t="str">
        <f>_xlfn.IFNA(VLOOKUP($AH8,Programma!$F$3:$I$1101,4,0),"")</f>
        <v>_</v>
      </c>
      <c r="AL8" s="142" t="str">
        <f>_xlfn.IFNA(VLOOKUP($AH8,Programma!$F$3:$J$1101,5,0),"")</f>
        <v>5w</v>
      </c>
      <c r="AM8" s="142" t="str">
        <f>_xlfn.IFNA(VLOOKUP($AH8,Programma!$F$3:$K$1101,6,0),"")</f>
        <v>_</v>
      </c>
      <c r="AN8" s="142" t="str">
        <f>_xlfn.IFNA(VLOOKUP($AH8,Programma!$F$3:$L$1101,7,0),"")</f>
        <v>_</v>
      </c>
      <c r="AO8" s="142" t="str">
        <f>_xlfn.IFNA(VLOOKUP($AH8,Programma!$F$3:$M$1101,8,0),"")</f>
        <v>_</v>
      </c>
      <c r="AP8" s="142" t="str">
        <f>_xlfn.IFNA(VLOOKUP($AH8,Programma!$F$3:$N$1101,9,0),"")</f>
        <v>_</v>
      </c>
      <c r="AQ8" s="142" t="str">
        <f>_xlfn.IFNA(VLOOKUP($AH8,Programma!$F$3:$O$1101,10,0),"")</f>
        <v>5w</v>
      </c>
      <c r="AR8" s="142" t="str">
        <f>_xlfn.IFNA(VLOOKUP($AH8,Programma!$F$3:$P$1101,11,0),"")</f>
        <v>5w</v>
      </c>
      <c r="AS8" s="142" t="str">
        <f>_xlfn.IFNA(VLOOKUP($AH8,Programma!$F$3:$Q$1101,12,0),"")</f>
        <v>1w</v>
      </c>
      <c r="AT8" s="142" t="str">
        <f>_xlfn.IFNA(VLOOKUP($AH8,Programma!$F$3:$R$1101,13,0),"")</f>
        <v>1w</v>
      </c>
      <c r="AU8" s="142" t="str">
        <f>_xlfn.IFNA(VLOOKUP($AH8,Programma!$F$3:$S$1101,14,0),"")</f>
        <v>1m</v>
      </c>
      <c r="AV8" s="142" t="str">
        <f>_xlfn.IFNA(VLOOKUP($AH8,Programma!$F$3:$T$1101,15,0),"")</f>
        <v>2j</v>
      </c>
      <c r="AW8" s="142" t="str">
        <f>_xlfn.IFNA(VLOOKUP($AH8,Programma!$F$3:$U$1101,16,0),"")</f>
        <v>1j</v>
      </c>
      <c r="AX8" s="142" t="str">
        <f>_xlfn.IFNA(VLOOKUP($AH8,Programma!$F$3:$V$1101,17,0),"")</f>
        <v>_</v>
      </c>
      <c r="AY8" s="142" t="str">
        <f>_xlfn.IFNA(VLOOKUP($AH8,Programma!$F$3:$W$1101,18,0),"")</f>
        <v>_</v>
      </c>
      <c r="AZ8" s="142" t="str">
        <f>_xlfn.IFNA(VLOOKUP($AH8,Programma!$F$3:$X$1101,19,0),"")</f>
        <v>_</v>
      </c>
      <c r="BA8" s="142" t="str">
        <f>_xlfn.IFNA(VLOOKUP($AH8,Programma!$F$3:$Y$1101,20,0),"")</f>
        <v>_</v>
      </c>
      <c r="BB8" s="138"/>
      <c r="BC8" s="137" t="str">
        <f>IF(Ruimtestaat[[#This Row],[Frequentie weekend]]="","",_xlfn.CONCAT(Ruimtestaat[[#This Row],[Ruimte code]],"-",Ruimtestaat[[#This Row],[Frequentie weekend]]," ",Ruimtestaat[[#This Row],[Vloer code]]))</f>
        <v/>
      </c>
      <c r="BD8" s="142" t="str">
        <f>_xlfn.IFNA(VLOOKUP($BC8,Programma!$F$3:$G$1101,2,0),"")</f>
        <v/>
      </c>
      <c r="BE8" s="142" t="str">
        <f>_xlfn.IFNA(VLOOKUP($BC8,Programma!$F$3:$H$1101,3,0),"")</f>
        <v/>
      </c>
      <c r="BF8" s="142" t="str">
        <f>_xlfn.IFNA(VLOOKUP($BC8,Programma!$F$3:$I$1101,4,0),"")</f>
        <v/>
      </c>
      <c r="BG8" s="142" t="str">
        <f>_xlfn.IFNA(VLOOKUP($BC8,Programma!$F$3:$J$1101,5,0),"")</f>
        <v/>
      </c>
      <c r="BH8" s="142" t="str">
        <f>_xlfn.IFNA(VLOOKUP($BC8,Programma!$F$3:$K$1101,6,0),"")</f>
        <v/>
      </c>
      <c r="BI8" s="142" t="str">
        <f>_xlfn.IFNA(VLOOKUP($BC8,Programma!$F$3:$L$1101,7,0),"")</f>
        <v/>
      </c>
      <c r="BJ8" s="142" t="str">
        <f>_xlfn.IFNA(VLOOKUP($BC8,Programma!$F$3:$M$1101,8,0),"")</f>
        <v/>
      </c>
      <c r="BK8" s="142" t="str">
        <f>_xlfn.IFNA(VLOOKUP($BC8,Programma!$F$3:$N$1101,9,0),"")</f>
        <v/>
      </c>
      <c r="BL8" s="142" t="str">
        <f>_xlfn.IFNA(VLOOKUP($BC8,Programma!$F$3:$O$1101,10,0),"")</f>
        <v/>
      </c>
      <c r="BM8" s="142" t="str">
        <f>_xlfn.IFNA(VLOOKUP($BC8,Programma!$F$3:$P$1101,11,0),"")</f>
        <v/>
      </c>
      <c r="BN8" s="142" t="str">
        <f>_xlfn.IFNA(VLOOKUP($BC8,Programma!$F$3:$Q$1101,12,0),"")</f>
        <v/>
      </c>
      <c r="BO8" s="142" t="str">
        <f>_xlfn.IFNA(VLOOKUP($BC8,Programma!$F$3:$R$1101,13,0),"")</f>
        <v/>
      </c>
      <c r="BP8" s="142" t="str">
        <f>_xlfn.IFNA(VLOOKUP($BC8,Programma!$F$3:$S$1101,14,0),"")</f>
        <v/>
      </c>
      <c r="BQ8" s="142" t="str">
        <f>_xlfn.IFNA(VLOOKUP($BC8,Programma!$F$3:$T$1101,15,0),"")</f>
        <v/>
      </c>
      <c r="BR8" s="142" t="str">
        <f>_xlfn.IFNA(VLOOKUP($BC8,Programma!$F$3:$U$1101,16,0),"")</f>
        <v/>
      </c>
      <c r="BS8" s="142" t="str">
        <f>_xlfn.IFNA(VLOOKUP($BC8,Programma!$F$3:$V$1101,17,0),"")</f>
        <v/>
      </c>
      <c r="BT8" s="142" t="str">
        <f>_xlfn.IFNA(VLOOKUP($BC8,Programma!$F$3:$W$1101,18,0),"")</f>
        <v/>
      </c>
      <c r="BU8" s="142" t="str">
        <f>_xlfn.IFNA(VLOOKUP($BC8,Programma!$F$3:$X$1101,19,0),"")</f>
        <v/>
      </c>
      <c r="BV8" s="142" t="str">
        <f>_xlfn.IFNA(VLOOKUP($BC8,Programma!$F$3:$Y$1101,20,0),"")</f>
        <v/>
      </c>
      <c r="BW8" s="28"/>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c r="CY8" s="28"/>
      <c r="CZ8" s="28"/>
      <c r="DA8" s="28"/>
      <c r="DB8" s="28"/>
      <c r="DC8" s="28"/>
      <c r="DD8" s="28"/>
      <c r="DE8" s="28"/>
      <c r="DF8" s="28"/>
      <c r="DG8" s="28"/>
      <c r="DH8" s="28"/>
      <c r="DI8" s="28"/>
      <c r="DJ8" s="28"/>
      <c r="DK8" s="28"/>
      <c r="DL8" s="28"/>
      <c r="DM8" s="28"/>
      <c r="DN8" s="28"/>
      <c r="DO8" s="28"/>
      <c r="DP8" s="28"/>
      <c r="DQ8" s="28"/>
      <c r="DR8" s="28"/>
      <c r="DS8" s="28"/>
      <c r="DT8" s="28"/>
      <c r="DU8" s="28"/>
      <c r="DV8" s="28"/>
      <c r="DW8" s="28"/>
      <c r="DX8" s="28"/>
      <c r="DY8" s="28"/>
      <c r="DZ8" s="28"/>
      <c r="EA8" s="28"/>
      <c r="EB8" s="28"/>
      <c r="EC8" s="28"/>
      <c r="ED8" s="28"/>
      <c r="EE8" s="28"/>
      <c r="EF8" s="28"/>
      <c r="EG8" s="28"/>
      <c r="EH8" s="28"/>
      <c r="EI8" s="28"/>
      <c r="EJ8" s="28"/>
      <c r="EK8" s="28"/>
      <c r="EL8" s="28"/>
      <c r="EM8" s="28"/>
      <c r="EN8" s="28"/>
      <c r="EO8" s="28"/>
      <c r="EP8" s="28"/>
      <c r="EQ8" s="28"/>
      <c r="ER8" s="28"/>
      <c r="ES8" s="28"/>
      <c r="ET8" s="28"/>
      <c r="EU8" s="28"/>
      <c r="EV8" s="28"/>
      <c r="EW8" s="28"/>
      <c r="EX8" s="28"/>
      <c r="EY8" s="28"/>
      <c r="EZ8" s="28"/>
      <c r="FA8" s="28"/>
      <c r="FB8" s="28"/>
      <c r="FC8" s="28"/>
      <c r="FD8" s="28"/>
      <c r="FE8" s="28"/>
      <c r="FF8" s="28"/>
      <c r="FG8" s="28"/>
      <c r="FH8" s="28"/>
      <c r="FI8" s="28"/>
      <c r="FJ8" s="28"/>
      <c r="FK8" s="28"/>
      <c r="FL8" s="28"/>
      <c r="FM8" s="28"/>
      <c r="FN8" s="28"/>
      <c r="FO8" s="28"/>
      <c r="FP8" s="28"/>
      <c r="FQ8" s="28"/>
      <c r="FR8" s="28"/>
      <c r="FS8" s="28"/>
      <c r="FT8" s="28"/>
      <c r="FU8" s="28"/>
      <c r="FV8" s="28"/>
      <c r="FW8" s="28"/>
      <c r="FX8" s="28"/>
      <c r="FY8" s="28"/>
      <c r="FZ8" s="28"/>
      <c r="GA8" s="28"/>
      <c r="GB8" s="28"/>
      <c r="GC8" s="28"/>
      <c r="GD8" s="28"/>
      <c r="GE8" s="28"/>
      <c r="GF8" s="28"/>
      <c r="GG8" s="28"/>
      <c r="GH8" s="28"/>
      <c r="GI8" s="28"/>
      <c r="GJ8" s="28"/>
      <c r="GK8" s="28"/>
      <c r="GL8" s="28"/>
      <c r="GM8" s="28"/>
      <c r="GN8" s="28"/>
      <c r="GO8" s="28"/>
      <c r="GP8" s="28"/>
      <c r="GQ8" s="28"/>
      <c r="GR8" s="28"/>
      <c r="GS8" s="28"/>
      <c r="GT8" s="28"/>
      <c r="GU8" s="28"/>
      <c r="GV8" s="28"/>
      <c r="GW8" s="28"/>
      <c r="GX8" s="28"/>
      <c r="GY8" s="28"/>
      <c r="GZ8" s="28"/>
      <c r="HA8" s="28"/>
      <c r="HB8" s="28"/>
      <c r="HC8" s="28"/>
      <c r="HD8" s="28"/>
      <c r="HE8" s="28"/>
      <c r="HF8" s="28"/>
      <c r="HG8" s="28"/>
      <c r="HH8" s="28"/>
      <c r="HI8" s="28"/>
      <c r="HJ8" s="28"/>
      <c r="HK8" s="28"/>
    </row>
    <row r="9" spans="1:220" ht="15" customHeight="1">
      <c r="A9" s="100">
        <v>1</v>
      </c>
      <c r="B9" s="132" t="str">
        <f>VLOOKUP(Ruimtestaat[[#This Row],[Code]],Locaties[[Code]:[Locatie]],2,FALSE)</f>
        <v>Mirtehuis</v>
      </c>
      <c r="C9" s="132" t="str">
        <f>VLOOKUP(Ruimtestaat[[#This Row],[Code]],Locaties[[#All],[Code]:[Adres]],4,FALSE)</f>
        <v>Weseperweg 6</v>
      </c>
      <c r="D9" s="132" t="str">
        <f>VLOOKUP(Ruimtestaat[[#This Row],[Code]],Locaties[[#All],[Code]:[Postcode]],5,FALSE)</f>
        <v>8111 PK</v>
      </c>
      <c r="E9" s="132" t="str">
        <f>VLOOKUP(Ruimtestaat[[#This Row],[Code]],Locaties[#All],6,FALSE)</f>
        <v>Heeten</v>
      </c>
      <c r="F9" s="100"/>
      <c r="G9" s="100" t="s">
        <v>1675</v>
      </c>
      <c r="H9" s="344" t="s">
        <v>1639</v>
      </c>
      <c r="I9" s="345" t="s">
        <v>1640</v>
      </c>
      <c r="J9" s="49">
        <v>2</v>
      </c>
      <c r="K9" s="140" t="str">
        <f>VLOOKUP(Ruimtestaat[[#This Row],[Ruimte code]],Ruimtegroepen[[#All],[Code]:[Ruimte omschrijving]],2,FALSE)</f>
        <v>Kantoren</v>
      </c>
      <c r="L9" s="100" t="s">
        <v>1306</v>
      </c>
      <c r="M9" s="345" t="s">
        <v>248</v>
      </c>
      <c r="N9" s="133">
        <v>12.5</v>
      </c>
      <c r="O9" s="100"/>
      <c r="P9" s="134" t="str">
        <f>VLOOKUP(Ruimtestaat[[#This Row],[Ruimte code]],Ruimtegroepen[],4,FALSE)</f>
        <v>Bu</v>
      </c>
      <c r="Q9" s="100">
        <v>51</v>
      </c>
      <c r="R9" s="100" t="s">
        <v>17</v>
      </c>
      <c r="S9" s="100">
        <f>IF(Q9&gt;0,IF(RIGHT(Ruimtestaat[[#This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102</v>
      </c>
      <c r="T9" s="100">
        <f>IF(S9&gt;0,VLOOKUP($J9,Ruimtegroepen[],3,FALSE)*VLOOKUP($L9,Vloersoorten[],3,FALSE)*VLOOKUP($R9,Frequenties[],3,FALSE)*VLOOKUP($A9,Locaties[],3,FALSE),0)</f>
        <v>0</v>
      </c>
      <c r="U9" s="100">
        <f>Ruimtestaat[[#This Row],[Uitvoeringen werkdagen]]*Ruimtestaat[[#This Row],[Oppervlak (netto)]]</f>
        <v>1275</v>
      </c>
      <c r="V9" s="135">
        <f>IF(T9&gt;0,Ruimtestaat[[#This Row],[Prest. (m2 /jaar) werkdagen]]/Ruimtestaat[[#This Row],[Norm (m2/uur) werkdagen]],0)</f>
        <v>0</v>
      </c>
      <c r="W9" s="136">
        <f>Ruimtestaat[[#This Row],[uren / jaar werkdagen]]*Tariefsopbouw!$E$35</f>
        <v>0</v>
      </c>
      <c r="X9" s="100"/>
      <c r="Y9" s="100">
        <f>IF(Ruimtestaat[[#This Row],[Frequentie weekend]]&gt;0,VALUE(LEFT(X9,1))*Q9,0)</f>
        <v>0</v>
      </c>
      <c r="Z9" s="99">
        <f>IF($Y9&gt;0,VLOOKUP($J9,Ruimtegroepen[],3,FALSE)*VLOOKUP($L9,Vloersoorten[],3,FALSE)*VLOOKUP($X9,Frequenties[],3,FALSE)*VLOOKUP(Ruimtestaat[[#This Row],[Code]],Locaties[],3,FALSE),0)</f>
        <v>0</v>
      </c>
      <c r="AA9" s="99">
        <f>Ruimtestaat[[#This Row],[Uitvoeringen weekend]]*Ruimtestaat[[#This Row],[Oppervlak (netto)]]</f>
        <v>0</v>
      </c>
      <c r="AB9" s="99">
        <f>IF(Z9&gt;0,Ruimtestaat[[#This Row],[Prest. (m2 /jaar) weekend]]/Ruimtestaat[[#This Row],[Norm (m2/uur) weekend]],0)</f>
        <v>0</v>
      </c>
      <c r="AC9" s="136">
        <f>Ruimtestaat[[#This Row],[uren / jaar weekend]]*Tariefsopbouw!$D$40</f>
        <v>0</v>
      </c>
      <c r="AD9" s="135">
        <f>Ruimtestaat[[#This Row],[Prest. (m2 /jaar) weekend]]+Ruimtestaat[[#This Row],[Prest. (m2 /jaar) werkdagen]]</f>
        <v>1275</v>
      </c>
      <c r="AE9" s="135">
        <f>Ruimtestaat[[#This Row],[uren / jaar weekend]]+Ruimtestaat[[#This Row],[uren / jaar werkdagen]]</f>
        <v>0</v>
      </c>
      <c r="AF9" s="130">
        <f>Ruimtestaat[[#This Row],[kosten / jaar weekend]]+Ruimtestaat[[#This Row],[kosten / jaar werkdagen]]</f>
        <v>0</v>
      </c>
      <c r="AG9" s="130"/>
      <c r="AH9" s="137" t="str">
        <f>IF(Ruimtestaat[[#This Row],[Frequentie werkdagen]]="","",_xlfn.CONCAT(Ruimtestaat[[#This Row],[Ruimte code]],"-",Ruimtestaat[[#This Row],[Frequentie werkdagen]]," ",Ruimtestaat[[#This Row],[Vloer code]]))</f>
        <v>2-2w H</v>
      </c>
      <c r="AI9" s="142" t="str">
        <f>_xlfn.IFNA(VLOOKUP($AH9,Programma!$F$3:$G$1101,2,0),"")</f>
        <v>_</v>
      </c>
      <c r="AJ9" s="142" t="str">
        <f>_xlfn.IFNA(VLOOKUP($AH9,Programma!$F$3:$H$1101,3,0),"")</f>
        <v>_</v>
      </c>
      <c r="AK9" s="142" t="str">
        <f>_xlfn.IFNA(VLOOKUP($AH9,Programma!$F$3:$I$1101,4,0),"")</f>
        <v>1w</v>
      </c>
      <c r="AL9" s="142" t="str">
        <f>_xlfn.IFNA(VLOOKUP($AH9,Programma!$F$3:$J$1101,5,0),"")</f>
        <v>1w</v>
      </c>
      <c r="AM9" s="142" t="str">
        <f>_xlfn.IFNA(VLOOKUP($AH9,Programma!$F$3:$K$1101,6,0),"")</f>
        <v>1j</v>
      </c>
      <c r="AN9" s="142" t="str">
        <f>_xlfn.IFNA(VLOOKUP($AH9,Programma!$F$3:$L$1101,7,0),"")</f>
        <v>_</v>
      </c>
      <c r="AO9" s="142" t="str">
        <f>_xlfn.IFNA(VLOOKUP($AH9,Programma!$F$3:$M$1101,8,0),"")</f>
        <v>_</v>
      </c>
      <c r="AP9" s="142" t="str">
        <f>_xlfn.IFNA(VLOOKUP($AH9,Programma!$F$3:$N$1101,9,0),"")</f>
        <v>_</v>
      </c>
      <c r="AQ9" s="142" t="str">
        <f>_xlfn.IFNA(VLOOKUP($AH9,Programma!$F$3:$O$1101,10,0),"")</f>
        <v>2w</v>
      </c>
      <c r="AR9" s="142" t="str">
        <f>_xlfn.IFNA(VLOOKUP($AH9,Programma!$F$3:$P$1101,11,0),"")</f>
        <v>2w</v>
      </c>
      <c r="AS9" s="142" t="str">
        <f>_xlfn.IFNA(VLOOKUP($AH9,Programma!$F$3:$Q$1101,12,0),"")</f>
        <v>1w</v>
      </c>
      <c r="AT9" s="142" t="str">
        <f>_xlfn.IFNA(VLOOKUP($AH9,Programma!$F$3:$R$1101,13,0),"")</f>
        <v>1w</v>
      </c>
      <c r="AU9" s="142" t="str">
        <f>_xlfn.IFNA(VLOOKUP($AH9,Programma!$F$3:$S$1101,14,0),"")</f>
        <v>1m</v>
      </c>
      <c r="AV9" s="142" t="str">
        <f>_xlfn.IFNA(VLOOKUP($AH9,Programma!$F$3:$T$1101,15,0),"")</f>
        <v>2j</v>
      </c>
      <c r="AW9" s="142" t="str">
        <f>_xlfn.IFNA(VLOOKUP($AH9,Programma!$F$3:$U$1101,16,0),"")</f>
        <v>1j</v>
      </c>
      <c r="AX9" s="142" t="str">
        <f>_xlfn.IFNA(VLOOKUP($AH9,Programma!$F$3:$V$1101,17,0),"")</f>
        <v>_</v>
      </c>
      <c r="AY9" s="142" t="str">
        <f>_xlfn.IFNA(VLOOKUP($AH9,Programma!$F$3:$W$1101,18,0),"")</f>
        <v>_</v>
      </c>
      <c r="AZ9" s="142" t="str">
        <f>_xlfn.IFNA(VLOOKUP($AH9,Programma!$F$3:$X$1101,19,0),"")</f>
        <v>_</v>
      </c>
      <c r="BA9" s="142" t="str">
        <f>_xlfn.IFNA(VLOOKUP($AH9,Programma!$F$3:$Y$1101,20,0),"")</f>
        <v>_</v>
      </c>
      <c r="BB9" s="138"/>
      <c r="BC9" s="137" t="str">
        <f>IF(Ruimtestaat[[#This Row],[Frequentie weekend]]="","",_xlfn.CONCAT(Ruimtestaat[[#This Row],[Ruimte code]],"-",Ruimtestaat[[#This Row],[Frequentie weekend]]," ",Ruimtestaat[[#This Row],[Vloer code]]))</f>
        <v/>
      </c>
      <c r="BD9" s="142" t="str">
        <f>_xlfn.IFNA(VLOOKUP($BC9,Programma!$F$3:$G$1101,2,0),"")</f>
        <v/>
      </c>
      <c r="BE9" s="142" t="str">
        <f>_xlfn.IFNA(VLOOKUP($BC9,Programma!$F$3:$H$1101,3,0),"")</f>
        <v/>
      </c>
      <c r="BF9" s="142" t="str">
        <f>_xlfn.IFNA(VLOOKUP($BC9,Programma!$F$3:$I$1101,4,0),"")</f>
        <v/>
      </c>
      <c r="BG9" s="142" t="str">
        <f>_xlfn.IFNA(VLOOKUP($BC9,Programma!$F$3:$J$1101,5,0),"")</f>
        <v/>
      </c>
      <c r="BH9" s="142" t="str">
        <f>_xlfn.IFNA(VLOOKUP($BC9,Programma!$F$3:$K$1101,6,0),"")</f>
        <v/>
      </c>
      <c r="BI9" s="142" t="str">
        <f>_xlfn.IFNA(VLOOKUP($BC9,Programma!$F$3:$L$1101,7,0),"")</f>
        <v/>
      </c>
      <c r="BJ9" s="142" t="str">
        <f>_xlfn.IFNA(VLOOKUP($BC9,Programma!$F$3:$M$1101,8,0),"")</f>
        <v/>
      </c>
      <c r="BK9" s="142" t="str">
        <f>_xlfn.IFNA(VLOOKUP($BC9,Programma!$F$3:$N$1101,9,0),"")</f>
        <v/>
      </c>
      <c r="BL9" s="142" t="str">
        <f>_xlfn.IFNA(VLOOKUP($BC9,Programma!$F$3:$O$1101,10,0),"")</f>
        <v/>
      </c>
      <c r="BM9" s="142" t="str">
        <f>_xlfn.IFNA(VLOOKUP($BC9,Programma!$F$3:$P$1101,11,0),"")</f>
        <v/>
      </c>
      <c r="BN9" s="142" t="str">
        <f>_xlfn.IFNA(VLOOKUP($BC9,Programma!$F$3:$Q$1101,12,0),"")</f>
        <v/>
      </c>
      <c r="BO9" s="142" t="str">
        <f>_xlfn.IFNA(VLOOKUP($BC9,Programma!$F$3:$R$1101,13,0),"")</f>
        <v/>
      </c>
      <c r="BP9" s="142" t="str">
        <f>_xlfn.IFNA(VLOOKUP($BC9,Programma!$F$3:$S$1101,14,0),"")</f>
        <v/>
      </c>
      <c r="BQ9" s="142" t="str">
        <f>_xlfn.IFNA(VLOOKUP($BC9,Programma!$F$3:$T$1101,15,0),"")</f>
        <v/>
      </c>
      <c r="BR9" s="142" t="str">
        <f>_xlfn.IFNA(VLOOKUP($BC9,Programma!$F$3:$U$1101,16,0),"")</f>
        <v/>
      </c>
      <c r="BS9" s="142" t="str">
        <f>_xlfn.IFNA(VLOOKUP($BC9,Programma!$F$3:$V$1101,17,0),"")</f>
        <v/>
      </c>
      <c r="BT9" s="142" t="str">
        <f>_xlfn.IFNA(VLOOKUP($BC9,Programma!$F$3:$W$1101,18,0),"")</f>
        <v/>
      </c>
      <c r="BU9" s="142" t="str">
        <f>_xlfn.IFNA(VLOOKUP($BC9,Programma!$F$3:$X$1101,19,0),"")</f>
        <v/>
      </c>
      <c r="BV9" s="142" t="str">
        <f>_xlfn.IFNA(VLOOKUP($BC9,Programma!$F$3:$Y$1101,20,0),"")</f>
        <v/>
      </c>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28"/>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8"/>
      <c r="EZ9" s="28"/>
      <c r="FA9" s="28"/>
      <c r="FB9" s="28"/>
      <c r="FC9" s="28"/>
      <c r="FD9" s="28"/>
      <c r="FE9" s="28"/>
      <c r="FF9" s="28"/>
      <c r="FG9" s="28"/>
      <c r="FH9" s="28"/>
      <c r="FI9" s="28"/>
      <c r="FJ9" s="28"/>
      <c r="FK9" s="28"/>
      <c r="FL9" s="28"/>
      <c r="FM9" s="28"/>
      <c r="FN9" s="28"/>
      <c r="FO9" s="28"/>
      <c r="FP9" s="28"/>
      <c r="FQ9" s="28"/>
      <c r="FR9" s="28"/>
      <c r="FS9" s="28"/>
      <c r="FT9" s="28"/>
      <c r="FU9" s="28"/>
      <c r="FV9" s="28"/>
      <c r="FW9" s="28"/>
      <c r="FX9" s="28"/>
      <c r="FY9" s="28"/>
      <c r="FZ9" s="28"/>
      <c r="GA9" s="28"/>
      <c r="GB9" s="28"/>
      <c r="GC9" s="28"/>
      <c r="GD9" s="28"/>
      <c r="GE9" s="28"/>
      <c r="GF9" s="28"/>
      <c r="GG9" s="28"/>
      <c r="GH9" s="28"/>
      <c r="GI9" s="28"/>
      <c r="GJ9" s="28"/>
      <c r="GK9" s="28"/>
      <c r="GL9" s="28"/>
      <c r="GM9" s="28"/>
      <c r="GN9" s="28"/>
      <c r="GO9" s="28"/>
      <c r="GP9" s="28"/>
      <c r="GQ9" s="28"/>
      <c r="GR9" s="28"/>
      <c r="GS9" s="28"/>
      <c r="GT9" s="28"/>
      <c r="GU9" s="28"/>
      <c r="GV9" s="28"/>
      <c r="GW9" s="28"/>
      <c r="GX9" s="28"/>
      <c r="GY9" s="28"/>
      <c r="GZ9" s="28"/>
      <c r="HA9" s="28"/>
      <c r="HB9" s="28"/>
      <c r="HC9" s="28"/>
      <c r="HD9" s="28"/>
      <c r="HE9" s="28"/>
      <c r="HF9" s="28"/>
      <c r="HG9" s="28"/>
      <c r="HH9" s="28"/>
      <c r="HI9" s="28"/>
      <c r="HJ9" s="28"/>
      <c r="HK9" s="28"/>
    </row>
    <row r="10" spans="1:220" ht="15" customHeight="1">
      <c r="A10" s="100">
        <v>1</v>
      </c>
      <c r="B10" s="132" t="str">
        <f>VLOOKUP(Ruimtestaat[[#This Row],[Code]],Locaties[[Code]:[Locatie]],2,FALSE)</f>
        <v>Mirtehuis</v>
      </c>
      <c r="C10" s="132" t="str">
        <f>VLOOKUP(Ruimtestaat[[#This Row],[Code]],Locaties[[#All],[Code]:[Adres]],4,FALSE)</f>
        <v>Weseperweg 6</v>
      </c>
      <c r="D10" s="132" t="str">
        <f>VLOOKUP(Ruimtestaat[[#This Row],[Code]],Locaties[[#All],[Code]:[Postcode]],5,FALSE)</f>
        <v>8111 PK</v>
      </c>
      <c r="E10" s="132" t="str">
        <f>VLOOKUP(Ruimtestaat[[#This Row],[Code]],Locaties[#All],6,FALSE)</f>
        <v>Heeten</v>
      </c>
      <c r="F10" s="100"/>
      <c r="G10" s="100" t="s">
        <v>1675</v>
      </c>
      <c r="H10" s="344"/>
      <c r="I10" s="345" t="s">
        <v>1641</v>
      </c>
      <c r="J10" s="49">
        <v>5</v>
      </c>
      <c r="K10" s="140" t="str">
        <f>VLOOKUP(Ruimtestaat[[#This Row],[Ruimte code]],Ruimtegroepen[[#All],[Code]:[Ruimte omschrijving]],2,FALSE)</f>
        <v>Sanitair</v>
      </c>
      <c r="L10" s="100" t="s">
        <v>101</v>
      </c>
      <c r="M10" s="345" t="s">
        <v>1642</v>
      </c>
      <c r="N10" s="133">
        <v>4.9000000000000004</v>
      </c>
      <c r="O10" s="100"/>
      <c r="P10" s="134" t="str">
        <f>VLOOKUP(Ruimtestaat[[#This Row],[Ruimte code]],Ruimtegroepen[],4,FALSE)</f>
        <v>Sa</v>
      </c>
      <c r="Q10" s="100">
        <v>51</v>
      </c>
      <c r="R10" s="100" t="s">
        <v>2</v>
      </c>
      <c r="S10" s="100">
        <f>IF(Q10&gt;0,IF(RIGHT(Ruimtestaat[[#This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0" s="100">
        <f>IF(S10&gt;0,VLOOKUP($J10,Ruimtegroepen[],3,FALSE)*VLOOKUP($L10,Vloersoorten[],3,FALSE)*VLOOKUP($R10,Frequenties[],3,FALSE)*VLOOKUP($A10,Locaties[],3,FALSE),0)</f>
        <v>0</v>
      </c>
      <c r="U10" s="100">
        <f>Ruimtestaat[[#This Row],[Uitvoeringen werkdagen]]*Ruimtestaat[[#This Row],[Oppervlak (netto)]]</f>
        <v>1249.5</v>
      </c>
      <c r="V10" s="135">
        <f>IF(T10&gt;0,Ruimtestaat[[#This Row],[Prest. (m2 /jaar) werkdagen]]/Ruimtestaat[[#This Row],[Norm (m2/uur) werkdagen]],0)</f>
        <v>0</v>
      </c>
      <c r="W10" s="136">
        <f>Ruimtestaat[[#This Row],[uren / jaar werkdagen]]*Tariefsopbouw!$E$35</f>
        <v>0</v>
      </c>
      <c r="X10" s="100"/>
      <c r="Y10" s="100">
        <f>IF(Ruimtestaat[[#This Row],[Frequentie weekend]]&gt;0,VALUE(LEFT(X10,1))*Q10,0)</f>
        <v>0</v>
      </c>
      <c r="Z10" s="99">
        <f>IF($Y10&gt;0,VLOOKUP($J10,Ruimtegroepen[],3,FALSE)*VLOOKUP($L10,Vloersoorten[],3,FALSE)*VLOOKUP($X10,Frequenties[],3,FALSE)*VLOOKUP(Ruimtestaat[[#This Row],[Code]],Locaties[],3,FALSE),0)</f>
        <v>0</v>
      </c>
      <c r="AA10" s="99">
        <f>Ruimtestaat[[#This Row],[Uitvoeringen weekend]]*Ruimtestaat[[#This Row],[Oppervlak (netto)]]</f>
        <v>0</v>
      </c>
      <c r="AB10" s="99">
        <f>IF(Z10&gt;0,Ruimtestaat[[#This Row],[Prest. (m2 /jaar) weekend]]/Ruimtestaat[[#This Row],[Norm (m2/uur) weekend]],0)</f>
        <v>0</v>
      </c>
      <c r="AC10" s="136">
        <f>Ruimtestaat[[#This Row],[uren / jaar weekend]]*Tariefsopbouw!$D$40</f>
        <v>0</v>
      </c>
      <c r="AD10" s="135">
        <f>Ruimtestaat[[#This Row],[Prest. (m2 /jaar) weekend]]+Ruimtestaat[[#This Row],[Prest. (m2 /jaar) werkdagen]]</f>
        <v>1249.5</v>
      </c>
      <c r="AE10" s="135">
        <f>Ruimtestaat[[#This Row],[uren / jaar weekend]]+Ruimtestaat[[#This Row],[uren / jaar werkdagen]]</f>
        <v>0</v>
      </c>
      <c r="AF10" s="130">
        <f>Ruimtestaat[[#This Row],[kosten / jaar weekend]]+Ruimtestaat[[#This Row],[kosten / jaar werkdagen]]</f>
        <v>0</v>
      </c>
      <c r="AG10" s="130"/>
      <c r="AH10" s="137" t="str">
        <f>IF(Ruimtestaat[[#This Row],[Frequentie werkdagen]]="","",_xlfn.CONCAT(Ruimtestaat[[#This Row],[Ruimte code]],"-",Ruimtestaat[[#This Row],[Frequentie werkdagen]]," ",Ruimtestaat[[#This Row],[Vloer code]]))</f>
        <v>5-5w S</v>
      </c>
      <c r="AI10" s="142" t="str">
        <f>_xlfn.IFNA(VLOOKUP($AH10,Programma!$F$3:$G$1101,2,0),"")</f>
        <v>_</v>
      </c>
      <c r="AJ10" s="142" t="str">
        <f>_xlfn.IFNA(VLOOKUP($AH10,Programma!$F$3:$H$1101,3,0),"")</f>
        <v>_</v>
      </c>
      <c r="AK10" s="142" t="str">
        <f>_xlfn.IFNA(VLOOKUP($AH10,Programma!$F$3:$I$1101,4,0),"")</f>
        <v>_</v>
      </c>
      <c r="AL10" s="142" t="str">
        <f>_xlfn.IFNA(VLOOKUP($AH10,Programma!$F$3:$J$1101,5,0),"")</f>
        <v>4w</v>
      </c>
      <c r="AM10" s="142" t="str">
        <f>_xlfn.IFNA(VLOOKUP($AH10,Programma!$F$3:$K$1101,6,0),"")</f>
        <v>1w</v>
      </c>
      <c r="AN10" s="142" t="str">
        <f>_xlfn.IFNA(VLOOKUP($AH10,Programma!$F$3:$L$1101,7,0),"")</f>
        <v>_</v>
      </c>
      <c r="AO10" s="142" t="str">
        <f>_xlfn.IFNA(VLOOKUP($AH10,Programma!$F$3:$M$1101,8,0),"")</f>
        <v>_</v>
      </c>
      <c r="AP10" s="142" t="str">
        <f>_xlfn.IFNA(VLOOKUP($AH10,Programma!$F$3:$N$1101,9,0),"")</f>
        <v>_</v>
      </c>
      <c r="AQ10" s="142" t="str">
        <f>_xlfn.IFNA(VLOOKUP($AH10,Programma!$F$3:$O$1101,10,0),"")</f>
        <v>_</v>
      </c>
      <c r="AR10" s="142" t="str">
        <f>_xlfn.IFNA(VLOOKUP($AH10,Programma!$F$3:$P$1101,11,0),"")</f>
        <v>_</v>
      </c>
      <c r="AS10" s="142" t="str">
        <f>_xlfn.IFNA(VLOOKUP($AH10,Programma!$F$3:$Q$1101,12,0),"")</f>
        <v>_</v>
      </c>
      <c r="AT10" s="142" t="str">
        <f>_xlfn.IFNA(VLOOKUP($AH10,Programma!$F$3:$R$1101,13,0),"")</f>
        <v>_</v>
      </c>
      <c r="AU10" s="142" t="str">
        <f>_xlfn.IFNA(VLOOKUP($AH10,Programma!$F$3:$S$1101,14,0),"")</f>
        <v>_</v>
      </c>
      <c r="AV10" s="142" t="str">
        <f>_xlfn.IFNA(VLOOKUP($AH10,Programma!$F$3:$T$1101,15,0),"")</f>
        <v>_</v>
      </c>
      <c r="AW10" s="142" t="str">
        <f>_xlfn.IFNA(VLOOKUP($AH10,Programma!$F$3:$U$1101,16,0),"")</f>
        <v>_</v>
      </c>
      <c r="AX10" s="142" t="str">
        <f>_xlfn.IFNA(VLOOKUP($AH10,Programma!$F$3:$V$1101,17,0),"")</f>
        <v>_</v>
      </c>
      <c r="AY10" s="142" t="str">
        <f>_xlfn.IFNA(VLOOKUP($AH10,Programma!$F$3:$W$1101,18,0),"")</f>
        <v>4w</v>
      </c>
      <c r="AZ10" s="142" t="str">
        <f>_xlfn.IFNA(VLOOKUP($AH10,Programma!$F$3:$X$1101,19,0),"")</f>
        <v>1w</v>
      </c>
      <c r="BA10" s="142" t="str">
        <f>_xlfn.IFNA(VLOOKUP($AH10,Programma!$F$3:$Y$1101,20,0),"")</f>
        <v>_</v>
      </c>
      <c r="BB10" s="138"/>
      <c r="BC10" s="137" t="str">
        <f>IF(Ruimtestaat[[#This Row],[Frequentie weekend]]="","",_xlfn.CONCAT(Ruimtestaat[[#This Row],[Ruimte code]],"-",Ruimtestaat[[#This Row],[Frequentie weekend]]," ",Ruimtestaat[[#This Row],[Vloer code]]))</f>
        <v/>
      </c>
      <c r="BD10" s="142" t="str">
        <f>_xlfn.IFNA(VLOOKUP($BC10,Programma!$F$3:$G$1101,2,0),"")</f>
        <v/>
      </c>
      <c r="BE10" s="142" t="str">
        <f>_xlfn.IFNA(VLOOKUP($BC10,Programma!$F$3:$H$1101,3,0),"")</f>
        <v/>
      </c>
      <c r="BF10" s="142" t="str">
        <f>_xlfn.IFNA(VLOOKUP($BC10,Programma!$F$3:$I$1101,4,0),"")</f>
        <v/>
      </c>
      <c r="BG10" s="142" t="str">
        <f>_xlfn.IFNA(VLOOKUP($BC10,Programma!$F$3:$J$1101,5,0),"")</f>
        <v/>
      </c>
      <c r="BH10" s="142" t="str">
        <f>_xlfn.IFNA(VLOOKUP($BC10,Programma!$F$3:$K$1101,6,0),"")</f>
        <v/>
      </c>
      <c r="BI10" s="142" t="str">
        <f>_xlfn.IFNA(VLOOKUP($BC10,Programma!$F$3:$L$1101,7,0),"")</f>
        <v/>
      </c>
      <c r="BJ10" s="142" t="str">
        <f>_xlfn.IFNA(VLOOKUP($BC10,Programma!$F$3:$M$1101,8,0),"")</f>
        <v/>
      </c>
      <c r="BK10" s="142" t="str">
        <f>_xlfn.IFNA(VLOOKUP($BC10,Programma!$F$3:$N$1101,9,0),"")</f>
        <v/>
      </c>
      <c r="BL10" s="142" t="str">
        <f>_xlfn.IFNA(VLOOKUP($BC10,Programma!$F$3:$O$1101,10,0),"")</f>
        <v/>
      </c>
      <c r="BM10" s="142" t="str">
        <f>_xlfn.IFNA(VLOOKUP($BC10,Programma!$F$3:$P$1101,11,0),"")</f>
        <v/>
      </c>
      <c r="BN10" s="142" t="str">
        <f>_xlfn.IFNA(VLOOKUP($BC10,Programma!$F$3:$Q$1101,12,0),"")</f>
        <v/>
      </c>
      <c r="BO10" s="142" t="str">
        <f>_xlfn.IFNA(VLOOKUP($BC10,Programma!$F$3:$R$1101,13,0),"")</f>
        <v/>
      </c>
      <c r="BP10" s="142" t="str">
        <f>_xlfn.IFNA(VLOOKUP($BC10,Programma!$F$3:$S$1101,14,0),"")</f>
        <v/>
      </c>
      <c r="BQ10" s="142" t="str">
        <f>_xlfn.IFNA(VLOOKUP($BC10,Programma!$F$3:$T$1101,15,0),"")</f>
        <v/>
      </c>
      <c r="BR10" s="142" t="str">
        <f>_xlfn.IFNA(VLOOKUP($BC10,Programma!$F$3:$U$1101,16,0),"")</f>
        <v/>
      </c>
      <c r="BS10" s="142" t="str">
        <f>_xlfn.IFNA(VLOOKUP($BC10,Programma!$F$3:$V$1101,17,0),"")</f>
        <v/>
      </c>
      <c r="BT10" s="142" t="str">
        <f>_xlfn.IFNA(VLOOKUP($BC10,Programma!$F$3:$W$1101,18,0),"")</f>
        <v/>
      </c>
      <c r="BU10" s="142" t="str">
        <f>_xlfn.IFNA(VLOOKUP($BC10,Programma!$F$3:$X$1101,19,0),"")</f>
        <v/>
      </c>
      <c r="BV10" s="142" t="str">
        <f>_xlfn.IFNA(VLOOKUP($BC10,Programma!$F$3:$Y$1101,20,0),"")</f>
        <v/>
      </c>
      <c r="BW10" s="28"/>
      <c r="BX10" s="28"/>
      <c r="BY10" s="28"/>
      <c r="BZ10" s="28"/>
      <c r="CA10" s="28"/>
      <c r="CB10" s="28"/>
      <c r="CC10" s="28"/>
      <c r="CD10" s="28"/>
      <c r="CE10" s="28"/>
      <c r="CF10" s="28"/>
      <c r="CG10" s="28"/>
      <c r="CH10" s="28"/>
      <c r="CI10" s="28"/>
      <c r="CJ10" s="28"/>
      <c r="CK10" s="28"/>
      <c r="CL10" s="28"/>
      <c r="CM10" s="28"/>
      <c r="CN10" s="28"/>
      <c r="CO10" s="28"/>
      <c r="CP10" s="28"/>
      <c r="CQ10" s="28"/>
      <c r="CR10" s="28"/>
      <c r="CS10" s="28"/>
      <c r="CT10" s="28"/>
      <c r="CU10" s="28"/>
      <c r="CV10" s="28"/>
      <c r="CW10" s="28"/>
      <c r="CX10" s="28"/>
      <c r="CY10" s="28"/>
      <c r="CZ10" s="28"/>
      <c r="DA10" s="28"/>
      <c r="DB10" s="28"/>
      <c r="DC10" s="28"/>
      <c r="DD10" s="28"/>
      <c r="DE10" s="28"/>
      <c r="DF10" s="28"/>
      <c r="DG10" s="28"/>
      <c r="DH10" s="28"/>
      <c r="DI10" s="28"/>
      <c r="DJ10" s="28"/>
      <c r="DK10" s="28"/>
      <c r="DL10" s="28"/>
      <c r="DM10" s="28"/>
      <c r="DN10" s="28"/>
      <c r="DO10" s="28"/>
      <c r="DP10" s="28"/>
      <c r="DQ10" s="28"/>
      <c r="DR10" s="28"/>
      <c r="DS10" s="28"/>
      <c r="DT10" s="28"/>
      <c r="DU10" s="28"/>
      <c r="DV10" s="28"/>
      <c r="DW10" s="28"/>
      <c r="DX10" s="28"/>
      <c r="DY10" s="28"/>
      <c r="DZ10" s="28"/>
      <c r="EA10" s="28"/>
      <c r="EB10" s="28"/>
      <c r="EC10" s="28"/>
      <c r="ED10" s="28"/>
      <c r="EE10" s="28"/>
      <c r="EF10" s="28"/>
      <c r="EG10" s="28"/>
      <c r="EH10" s="28"/>
      <c r="EI10" s="28"/>
      <c r="EJ10" s="28"/>
      <c r="EK10" s="28"/>
      <c r="EL10" s="28"/>
      <c r="EM10" s="28"/>
      <c r="EN10" s="28"/>
      <c r="EO10" s="28"/>
      <c r="EP10" s="28"/>
      <c r="EQ10" s="28"/>
      <c r="ER10" s="28"/>
      <c r="ES10" s="28"/>
      <c r="ET10" s="28"/>
      <c r="EU10" s="28"/>
      <c r="EV10" s="28"/>
      <c r="EW10" s="28"/>
      <c r="EX10" s="28"/>
      <c r="EY10" s="28"/>
      <c r="EZ10" s="28"/>
      <c r="FA10" s="28"/>
      <c r="FB10" s="28"/>
      <c r="FC10" s="28"/>
      <c r="FD10" s="28"/>
      <c r="FE10" s="28"/>
      <c r="FF10" s="28"/>
      <c r="FG10" s="28"/>
      <c r="FH10" s="28"/>
      <c r="FI10" s="28"/>
      <c r="FJ10" s="28"/>
      <c r="FK10" s="28"/>
      <c r="FL10" s="28"/>
      <c r="FM10" s="28"/>
      <c r="FN10" s="28"/>
      <c r="FO10" s="28"/>
      <c r="FP10" s="28"/>
      <c r="FQ10" s="28"/>
      <c r="FR10" s="28"/>
      <c r="FS10" s="28"/>
      <c r="FT10" s="28"/>
      <c r="FU10" s="28"/>
      <c r="FV10" s="28"/>
      <c r="FW10" s="28"/>
      <c r="FX10" s="28"/>
      <c r="FY10" s="28"/>
      <c r="FZ10" s="28"/>
      <c r="GA10" s="28"/>
      <c r="GB10" s="28"/>
      <c r="GC10" s="28"/>
      <c r="GD10" s="28"/>
      <c r="GE10" s="28"/>
      <c r="GF10" s="28"/>
      <c r="GG10" s="28"/>
      <c r="GH10" s="28"/>
      <c r="GI10" s="28"/>
      <c r="GJ10" s="28"/>
      <c r="GK10" s="28"/>
      <c r="GL10" s="28"/>
      <c r="GM10" s="28"/>
      <c r="GN10" s="28"/>
      <c r="GO10" s="28"/>
      <c r="GP10" s="28"/>
      <c r="GQ10" s="28"/>
      <c r="GR10" s="28"/>
      <c r="GS10" s="28"/>
      <c r="GT10" s="28"/>
      <c r="GU10" s="28"/>
      <c r="GV10" s="28"/>
      <c r="GW10" s="28"/>
      <c r="GX10" s="28"/>
      <c r="GY10" s="28"/>
      <c r="GZ10" s="28"/>
      <c r="HA10" s="28"/>
      <c r="HB10" s="28"/>
      <c r="HC10" s="28"/>
      <c r="HD10" s="28"/>
      <c r="HE10" s="28"/>
      <c r="HF10" s="28"/>
      <c r="HG10" s="28"/>
      <c r="HH10" s="28"/>
      <c r="HI10" s="28"/>
      <c r="HJ10" s="28"/>
      <c r="HK10" s="28"/>
    </row>
    <row r="11" spans="1:220" ht="15" customHeight="1">
      <c r="A11" s="100">
        <v>1</v>
      </c>
      <c r="B11" s="132" t="str">
        <f>VLOOKUP(Ruimtestaat[[#This Row],[Code]],Locaties[[Code]:[Locatie]],2,FALSE)</f>
        <v>Mirtehuis</v>
      </c>
      <c r="C11" s="132" t="str">
        <f>VLOOKUP(Ruimtestaat[[#This Row],[Code]],Locaties[[#All],[Code]:[Adres]],4,FALSE)</f>
        <v>Weseperweg 6</v>
      </c>
      <c r="D11" s="132" t="str">
        <f>VLOOKUP(Ruimtestaat[[#This Row],[Code]],Locaties[[#All],[Code]:[Postcode]],5,FALSE)</f>
        <v>8111 PK</v>
      </c>
      <c r="E11" s="132" t="str">
        <f>VLOOKUP(Ruimtestaat[[#This Row],[Code]],Locaties[#All],6,FALSE)</f>
        <v>Heeten</v>
      </c>
      <c r="F11" s="100"/>
      <c r="G11" s="100" t="s">
        <v>1675</v>
      </c>
      <c r="H11" s="344"/>
      <c r="I11" s="345" t="s">
        <v>1632</v>
      </c>
      <c r="J11" s="49">
        <v>6</v>
      </c>
      <c r="K11" s="140" t="str">
        <f>VLOOKUP(Ruimtestaat[[#This Row],[Ruimte code]],Ruimtegroepen[[#All],[Code]:[Ruimte omschrijving]],2,FALSE)</f>
        <v>Gangen/hallen</v>
      </c>
      <c r="L11" s="100" t="s">
        <v>100</v>
      </c>
      <c r="M11" s="345" t="s">
        <v>1636</v>
      </c>
      <c r="N11" s="133">
        <v>14</v>
      </c>
      <c r="O11" s="139"/>
      <c r="P11" s="134" t="str">
        <f>VLOOKUP(Ruimtestaat[[#This Row],[Ruimte code]],Ruimtegroepen[],4,FALSE)</f>
        <v>Ve</v>
      </c>
      <c r="Q11" s="100">
        <v>51</v>
      </c>
      <c r="R11" s="100" t="s">
        <v>2</v>
      </c>
      <c r="S11" s="100">
        <f>IF(Q11&gt;0,IF(RIGHT(Ruimtestaat[[#This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1" s="100">
        <f>IF(S11&gt;0,VLOOKUP($J11,Ruimtegroepen[],3,FALSE)*VLOOKUP($L11,Vloersoorten[],3,FALSE)*VLOOKUP($R11,Frequenties[],3,FALSE)*VLOOKUP($A11,Locaties[],3,FALSE),0)</f>
        <v>0</v>
      </c>
      <c r="U11" s="100">
        <f>Ruimtestaat[[#This Row],[Uitvoeringen werkdagen]]*Ruimtestaat[[#This Row],[Oppervlak (netto)]]</f>
        <v>3570</v>
      </c>
      <c r="V11" s="135">
        <f>IF(T11&gt;0,Ruimtestaat[[#This Row],[Prest. (m2 /jaar) werkdagen]]/Ruimtestaat[[#This Row],[Norm (m2/uur) werkdagen]],0)</f>
        <v>0</v>
      </c>
      <c r="W11" s="136">
        <f>Ruimtestaat[[#This Row],[uren / jaar werkdagen]]*Tariefsopbouw!$E$35</f>
        <v>0</v>
      </c>
      <c r="X11" s="100"/>
      <c r="Y11" s="100">
        <f>IF(Ruimtestaat[[#This Row],[Frequentie weekend]]&gt;0,VALUE(LEFT(X11,1))*Q11,0)</f>
        <v>0</v>
      </c>
      <c r="Z11" s="99">
        <f>IF($Y11&gt;0,VLOOKUP($J11,Ruimtegroepen[],3,FALSE)*VLOOKUP($L11,Vloersoorten[],3,FALSE)*VLOOKUP($X11,Frequenties[],3,FALSE)*VLOOKUP(Ruimtestaat[[#This Row],[Code]],Locaties[],3,FALSE),0)</f>
        <v>0</v>
      </c>
      <c r="AA11" s="99">
        <f>Ruimtestaat[[#This Row],[Uitvoeringen weekend]]*Ruimtestaat[[#This Row],[Oppervlak (netto)]]</f>
        <v>0</v>
      </c>
      <c r="AB11" s="99">
        <f>IF(Z11&gt;0,Ruimtestaat[[#This Row],[Prest. (m2 /jaar) weekend]]/Ruimtestaat[[#This Row],[Norm (m2/uur) weekend]],0)</f>
        <v>0</v>
      </c>
      <c r="AC11" s="136">
        <f>Ruimtestaat[[#This Row],[uren / jaar weekend]]*Tariefsopbouw!$D$40</f>
        <v>0</v>
      </c>
      <c r="AD11" s="135">
        <f>Ruimtestaat[[#This Row],[Prest. (m2 /jaar) weekend]]+Ruimtestaat[[#This Row],[Prest. (m2 /jaar) werkdagen]]</f>
        <v>3570</v>
      </c>
      <c r="AE11" s="135">
        <f>Ruimtestaat[[#This Row],[uren / jaar weekend]]+Ruimtestaat[[#This Row],[uren / jaar werkdagen]]</f>
        <v>0</v>
      </c>
      <c r="AF11" s="130">
        <f>Ruimtestaat[[#This Row],[kosten / jaar weekend]]+Ruimtestaat[[#This Row],[kosten / jaar werkdagen]]</f>
        <v>0</v>
      </c>
      <c r="AG11" s="130"/>
      <c r="AH11" s="137" t="str">
        <f>IF(Ruimtestaat[[#This Row],[Frequentie werkdagen]]="","",_xlfn.CONCAT(Ruimtestaat[[#This Row],[Ruimte code]],"-",Ruimtestaat[[#This Row],[Frequentie werkdagen]]," ",Ruimtestaat[[#This Row],[Vloer code]]))</f>
        <v>6-5w L</v>
      </c>
      <c r="AI11" s="142" t="str">
        <f>_xlfn.IFNA(VLOOKUP($AH11,Programma!$F$3:$G$1101,2,0),"")</f>
        <v>_</v>
      </c>
      <c r="AJ11" s="142" t="str">
        <f>_xlfn.IFNA(VLOOKUP($AH11,Programma!$F$3:$H$1101,3,0),"")</f>
        <v>_</v>
      </c>
      <c r="AK11" s="142" t="str">
        <f>_xlfn.IFNA(VLOOKUP($AH11,Programma!$F$3:$I$1101,4,0),"")</f>
        <v>_</v>
      </c>
      <c r="AL11" s="142" t="str">
        <f>_xlfn.IFNA(VLOOKUP($AH11,Programma!$F$3:$J$1101,5,0),"")</f>
        <v>5w</v>
      </c>
      <c r="AM11" s="142" t="str">
        <f>_xlfn.IFNA(VLOOKUP($AH11,Programma!$F$3:$K$1101,6,0),"")</f>
        <v>_</v>
      </c>
      <c r="AN11" s="142" t="str">
        <f>_xlfn.IFNA(VLOOKUP($AH11,Programma!$F$3:$L$1101,7,0),"")</f>
        <v>_</v>
      </c>
      <c r="AO11" s="142" t="str">
        <f>_xlfn.IFNA(VLOOKUP($AH11,Programma!$F$3:$M$1101,8,0),"")</f>
        <v>_</v>
      </c>
      <c r="AP11" s="142" t="str">
        <f>_xlfn.IFNA(VLOOKUP($AH11,Programma!$F$3:$N$1101,9,0),"")</f>
        <v>_</v>
      </c>
      <c r="AQ11" s="142" t="str">
        <f>_xlfn.IFNA(VLOOKUP($AH11,Programma!$F$3:$O$1101,10,0),"")</f>
        <v>5w</v>
      </c>
      <c r="AR11" s="142" t="str">
        <f>_xlfn.IFNA(VLOOKUP($AH11,Programma!$F$3:$P$1101,11,0),"")</f>
        <v>5w</v>
      </c>
      <c r="AS11" s="142" t="str">
        <f>_xlfn.IFNA(VLOOKUP($AH11,Programma!$F$3:$Q$1101,12,0),"")</f>
        <v>1w</v>
      </c>
      <c r="AT11" s="142" t="str">
        <f>_xlfn.IFNA(VLOOKUP($AH11,Programma!$F$3:$R$1101,13,0),"")</f>
        <v>1w</v>
      </c>
      <c r="AU11" s="142" t="str">
        <f>_xlfn.IFNA(VLOOKUP($AH11,Programma!$F$3:$S$1101,14,0),"")</f>
        <v>1m</v>
      </c>
      <c r="AV11" s="142" t="str">
        <f>_xlfn.IFNA(VLOOKUP($AH11,Programma!$F$3:$T$1101,15,0),"")</f>
        <v>2j</v>
      </c>
      <c r="AW11" s="142" t="str">
        <f>_xlfn.IFNA(VLOOKUP($AH11,Programma!$F$3:$U$1101,16,0),"")</f>
        <v>1j</v>
      </c>
      <c r="AX11" s="142" t="str">
        <f>_xlfn.IFNA(VLOOKUP($AH11,Programma!$F$3:$V$1101,17,0),"")</f>
        <v>_</v>
      </c>
      <c r="AY11" s="142" t="str">
        <f>_xlfn.IFNA(VLOOKUP($AH11,Programma!$F$3:$W$1101,18,0),"")</f>
        <v>_</v>
      </c>
      <c r="AZ11" s="142" t="str">
        <f>_xlfn.IFNA(VLOOKUP($AH11,Programma!$F$3:$X$1101,19,0),"")</f>
        <v>_</v>
      </c>
      <c r="BA11" s="142" t="str">
        <f>_xlfn.IFNA(VLOOKUP($AH11,Programma!$F$3:$Y$1101,20,0),"")</f>
        <v>_</v>
      </c>
      <c r="BB11" s="138"/>
      <c r="BC11" s="137" t="str">
        <f>IF(Ruimtestaat[[#This Row],[Frequentie weekend]]="","",_xlfn.CONCAT(Ruimtestaat[[#This Row],[Ruimte code]],"-",Ruimtestaat[[#This Row],[Frequentie weekend]]," ",Ruimtestaat[[#This Row],[Vloer code]]))</f>
        <v/>
      </c>
      <c r="BD11" s="142" t="str">
        <f>_xlfn.IFNA(VLOOKUP($BC11,Programma!$F$3:$G$1101,2,0),"")</f>
        <v/>
      </c>
      <c r="BE11" s="142" t="str">
        <f>_xlfn.IFNA(VLOOKUP($BC11,Programma!$F$3:$H$1101,3,0),"")</f>
        <v/>
      </c>
      <c r="BF11" s="142" t="str">
        <f>_xlfn.IFNA(VLOOKUP($BC11,Programma!$F$3:$I$1101,4,0),"")</f>
        <v/>
      </c>
      <c r="BG11" s="142" t="str">
        <f>_xlfn.IFNA(VLOOKUP($BC11,Programma!$F$3:$J$1101,5,0),"")</f>
        <v/>
      </c>
      <c r="BH11" s="142" t="str">
        <f>_xlfn.IFNA(VLOOKUP($BC11,Programma!$F$3:$K$1101,6,0),"")</f>
        <v/>
      </c>
      <c r="BI11" s="142" t="str">
        <f>_xlfn.IFNA(VLOOKUP($BC11,Programma!$F$3:$L$1101,7,0),"")</f>
        <v/>
      </c>
      <c r="BJ11" s="142" t="str">
        <f>_xlfn.IFNA(VLOOKUP($BC11,Programma!$F$3:$M$1101,8,0),"")</f>
        <v/>
      </c>
      <c r="BK11" s="142" t="str">
        <f>_xlfn.IFNA(VLOOKUP($BC11,Programma!$F$3:$N$1101,9,0),"")</f>
        <v/>
      </c>
      <c r="BL11" s="142" t="str">
        <f>_xlfn.IFNA(VLOOKUP($BC11,Programma!$F$3:$O$1101,10,0),"")</f>
        <v/>
      </c>
      <c r="BM11" s="142" t="str">
        <f>_xlfn.IFNA(VLOOKUP($BC11,Programma!$F$3:$P$1101,11,0),"")</f>
        <v/>
      </c>
      <c r="BN11" s="142" t="str">
        <f>_xlfn.IFNA(VLOOKUP($BC11,Programma!$F$3:$Q$1101,12,0),"")</f>
        <v/>
      </c>
      <c r="BO11" s="142" t="str">
        <f>_xlfn.IFNA(VLOOKUP($BC11,Programma!$F$3:$R$1101,13,0),"")</f>
        <v/>
      </c>
      <c r="BP11" s="142" t="str">
        <f>_xlfn.IFNA(VLOOKUP($BC11,Programma!$F$3:$S$1101,14,0),"")</f>
        <v/>
      </c>
      <c r="BQ11" s="142" t="str">
        <f>_xlfn.IFNA(VLOOKUP($BC11,Programma!$F$3:$T$1101,15,0),"")</f>
        <v/>
      </c>
      <c r="BR11" s="142" t="str">
        <f>_xlfn.IFNA(VLOOKUP($BC11,Programma!$F$3:$U$1101,16,0),"")</f>
        <v/>
      </c>
      <c r="BS11" s="142" t="str">
        <f>_xlfn.IFNA(VLOOKUP($BC11,Programma!$F$3:$V$1101,17,0),"")</f>
        <v/>
      </c>
      <c r="BT11" s="142" t="str">
        <f>_xlfn.IFNA(VLOOKUP($BC11,Programma!$F$3:$W$1101,18,0),"")</f>
        <v/>
      </c>
      <c r="BU11" s="142" t="str">
        <f>_xlfn.IFNA(VLOOKUP($BC11,Programma!$F$3:$X$1101,19,0),"")</f>
        <v/>
      </c>
      <c r="BV11" s="142" t="str">
        <f>_xlfn.IFNA(VLOOKUP($BC11,Programma!$F$3:$Y$1101,20,0),"")</f>
        <v/>
      </c>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c r="EF11" s="28"/>
      <c r="EG11" s="28"/>
      <c r="EH11" s="28"/>
      <c r="EI11" s="28"/>
      <c r="EJ11" s="28"/>
      <c r="EK11" s="28"/>
      <c r="EL11" s="28"/>
      <c r="EM11" s="28"/>
      <c r="EN11" s="28"/>
      <c r="EO11" s="28"/>
      <c r="EP11" s="28"/>
      <c r="EQ11" s="28"/>
      <c r="ER11" s="28"/>
      <c r="ES11" s="28"/>
      <c r="ET11" s="28"/>
      <c r="EU11" s="28"/>
      <c r="EV11" s="28"/>
      <c r="EW11" s="28"/>
      <c r="EX11" s="28"/>
      <c r="EY11" s="28"/>
      <c r="EZ11" s="28"/>
      <c r="FA11" s="28"/>
      <c r="FB11" s="28"/>
      <c r="FC11" s="28"/>
      <c r="FD11" s="28"/>
      <c r="FE11" s="28"/>
      <c r="FF11" s="28"/>
      <c r="FG11" s="28"/>
      <c r="FH11" s="28"/>
      <c r="FI11" s="28"/>
      <c r="FJ11" s="28"/>
      <c r="FK11" s="28"/>
      <c r="FL11" s="28"/>
      <c r="FM11" s="28"/>
      <c r="FN11" s="28"/>
      <c r="FO11" s="28"/>
      <c r="FP11" s="28"/>
      <c r="FQ11" s="28"/>
      <c r="FR11" s="28"/>
      <c r="FS11" s="28"/>
      <c r="FT11" s="28"/>
      <c r="FU11" s="28"/>
      <c r="FV11" s="28"/>
      <c r="FW11" s="28"/>
      <c r="FX11" s="28"/>
      <c r="FY11" s="28"/>
      <c r="FZ11" s="28"/>
      <c r="GA11" s="28"/>
      <c r="GB11" s="28"/>
      <c r="GC11" s="28"/>
      <c r="GD11" s="28"/>
      <c r="GE11" s="28"/>
      <c r="GF11" s="28"/>
      <c r="GG11" s="28"/>
      <c r="GH11" s="28"/>
      <c r="GI11" s="28"/>
      <c r="GJ11" s="28"/>
      <c r="GK11" s="28"/>
      <c r="GL11" s="28"/>
      <c r="GM11" s="28"/>
      <c r="GN11" s="28"/>
      <c r="GO11" s="28"/>
      <c r="GP11" s="28"/>
      <c r="GQ11" s="28"/>
      <c r="GR11" s="28"/>
      <c r="GS11" s="28"/>
      <c r="GT11" s="28"/>
      <c r="GU11" s="28"/>
      <c r="GV11" s="28"/>
      <c r="GW11" s="28"/>
      <c r="GX11" s="28"/>
      <c r="GY11" s="28"/>
      <c r="GZ11" s="28"/>
      <c r="HA11" s="28"/>
      <c r="HB11" s="28"/>
      <c r="HC11" s="28"/>
      <c r="HD11" s="28"/>
      <c r="HE11" s="28"/>
      <c r="HF11" s="28"/>
      <c r="HG11" s="28"/>
      <c r="HH11" s="28"/>
      <c r="HI11" s="28"/>
      <c r="HJ11" s="28"/>
      <c r="HK11" s="28"/>
    </row>
    <row r="12" spans="1:220" ht="15" customHeight="1">
      <c r="A12" s="100">
        <v>1</v>
      </c>
      <c r="B12" s="132" t="str">
        <f>VLOOKUP(Ruimtestaat[[#This Row],[Code]],Locaties[[Code]:[Locatie]],2,FALSE)</f>
        <v>Mirtehuis</v>
      </c>
      <c r="C12" s="132" t="str">
        <f>VLOOKUP(Ruimtestaat[[#This Row],[Code]],Locaties[[#All],[Code]:[Adres]],4,FALSE)</f>
        <v>Weseperweg 6</v>
      </c>
      <c r="D12" s="132" t="str">
        <f>VLOOKUP(Ruimtestaat[[#This Row],[Code]],Locaties[[#All],[Code]:[Postcode]],5,FALSE)</f>
        <v>8111 PK</v>
      </c>
      <c r="E12" s="132" t="str">
        <f>VLOOKUP(Ruimtestaat[[#This Row],[Code]],Locaties[#All],6,FALSE)</f>
        <v>Heeten</v>
      </c>
      <c r="F12" s="100"/>
      <c r="G12" s="100" t="s">
        <v>1675</v>
      </c>
      <c r="H12" s="344"/>
      <c r="I12" s="345" t="s">
        <v>1641</v>
      </c>
      <c r="J12" s="49">
        <v>5</v>
      </c>
      <c r="K12" s="140" t="str">
        <f>VLOOKUP(Ruimtestaat[[#This Row],[Ruimte code]],Ruimtegroepen[[#All],[Code]:[Ruimte omschrijving]],2,FALSE)</f>
        <v>Sanitair</v>
      </c>
      <c r="L12" s="100" t="s">
        <v>101</v>
      </c>
      <c r="M12" s="345" t="s">
        <v>1642</v>
      </c>
      <c r="N12" s="133">
        <v>1</v>
      </c>
      <c r="O12" s="139"/>
      <c r="P12" s="134" t="str">
        <f>VLOOKUP(Ruimtestaat[[#This Row],[Ruimte code]],Ruimtegroepen[],4,FALSE)</f>
        <v>Sa</v>
      </c>
      <c r="Q12" s="100">
        <v>51</v>
      </c>
      <c r="R12" s="100" t="s">
        <v>2</v>
      </c>
      <c r="S12" s="100">
        <f>IF(Q12&gt;0,IF(RIGHT(Ruimtestaat[[#This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2" s="100">
        <f>IF(S12&gt;0,VLOOKUP($J12,Ruimtegroepen[],3,FALSE)*VLOOKUP($L12,Vloersoorten[],3,FALSE)*VLOOKUP($R12,Frequenties[],3,FALSE)*VLOOKUP($A12,Locaties[],3,FALSE),0)</f>
        <v>0</v>
      </c>
      <c r="U12" s="100">
        <f>Ruimtestaat[[#This Row],[Uitvoeringen werkdagen]]*Ruimtestaat[[#This Row],[Oppervlak (netto)]]</f>
        <v>255</v>
      </c>
      <c r="V12" s="135">
        <f>IF(T12&gt;0,Ruimtestaat[[#This Row],[Prest. (m2 /jaar) werkdagen]]/Ruimtestaat[[#This Row],[Norm (m2/uur) werkdagen]],0)</f>
        <v>0</v>
      </c>
      <c r="W12" s="136">
        <f>Ruimtestaat[[#This Row],[uren / jaar werkdagen]]*Tariefsopbouw!$E$35</f>
        <v>0</v>
      </c>
      <c r="X12" s="100"/>
      <c r="Y12" s="100">
        <f>IF(Ruimtestaat[[#This Row],[Frequentie weekend]]&gt;0,VALUE(LEFT(X12,1))*Q12,0)</f>
        <v>0</v>
      </c>
      <c r="Z12" s="99">
        <f>IF($Y12&gt;0,VLOOKUP($J12,Ruimtegroepen[],3,FALSE)*VLOOKUP($L12,Vloersoorten[],3,FALSE)*VLOOKUP($X12,Frequenties[],3,FALSE)*VLOOKUP(Ruimtestaat[[#This Row],[Code]],Locaties[],3,FALSE),0)</f>
        <v>0</v>
      </c>
      <c r="AA12" s="99">
        <f>Ruimtestaat[[#This Row],[Uitvoeringen weekend]]*Ruimtestaat[[#This Row],[Oppervlak (netto)]]</f>
        <v>0</v>
      </c>
      <c r="AB12" s="99">
        <f>IF(Z12&gt;0,Ruimtestaat[[#This Row],[Prest. (m2 /jaar) weekend]]/Ruimtestaat[[#This Row],[Norm (m2/uur) weekend]],0)</f>
        <v>0</v>
      </c>
      <c r="AC12" s="136">
        <f>Ruimtestaat[[#This Row],[uren / jaar weekend]]*Tariefsopbouw!$D$40</f>
        <v>0</v>
      </c>
      <c r="AD12" s="135">
        <f>Ruimtestaat[[#This Row],[Prest. (m2 /jaar) weekend]]+Ruimtestaat[[#This Row],[Prest. (m2 /jaar) werkdagen]]</f>
        <v>255</v>
      </c>
      <c r="AE12" s="135">
        <f>Ruimtestaat[[#This Row],[uren / jaar weekend]]+Ruimtestaat[[#This Row],[uren / jaar werkdagen]]</f>
        <v>0</v>
      </c>
      <c r="AF12" s="130">
        <f>Ruimtestaat[[#This Row],[kosten / jaar weekend]]+Ruimtestaat[[#This Row],[kosten / jaar werkdagen]]</f>
        <v>0</v>
      </c>
      <c r="AG12" s="130"/>
      <c r="AH12" s="137" t="str">
        <f>IF(Ruimtestaat[[#This Row],[Frequentie werkdagen]]="","",_xlfn.CONCAT(Ruimtestaat[[#This Row],[Ruimte code]],"-",Ruimtestaat[[#This Row],[Frequentie werkdagen]]," ",Ruimtestaat[[#This Row],[Vloer code]]))</f>
        <v>5-5w S</v>
      </c>
      <c r="AI12" s="142" t="str">
        <f>_xlfn.IFNA(VLOOKUP($AH12,Programma!$F$3:$G$1101,2,0),"")</f>
        <v>_</v>
      </c>
      <c r="AJ12" s="142" t="str">
        <f>_xlfn.IFNA(VLOOKUP($AH12,Programma!$F$3:$H$1101,3,0),"")</f>
        <v>_</v>
      </c>
      <c r="AK12" s="142" t="str">
        <f>_xlfn.IFNA(VLOOKUP($AH12,Programma!$F$3:$I$1101,4,0),"")</f>
        <v>_</v>
      </c>
      <c r="AL12" s="142" t="str">
        <f>_xlfn.IFNA(VLOOKUP($AH12,Programma!$F$3:$J$1101,5,0),"")</f>
        <v>4w</v>
      </c>
      <c r="AM12" s="142" t="str">
        <f>_xlfn.IFNA(VLOOKUP($AH12,Programma!$F$3:$K$1101,6,0),"")</f>
        <v>1w</v>
      </c>
      <c r="AN12" s="142" t="str">
        <f>_xlfn.IFNA(VLOOKUP($AH12,Programma!$F$3:$L$1101,7,0),"")</f>
        <v>_</v>
      </c>
      <c r="AO12" s="142" t="str">
        <f>_xlfn.IFNA(VLOOKUP($AH12,Programma!$F$3:$M$1101,8,0),"")</f>
        <v>_</v>
      </c>
      <c r="AP12" s="142" t="str">
        <f>_xlfn.IFNA(VLOOKUP($AH12,Programma!$F$3:$N$1101,9,0),"")</f>
        <v>_</v>
      </c>
      <c r="AQ12" s="142" t="str">
        <f>_xlfn.IFNA(VLOOKUP($AH12,Programma!$F$3:$O$1101,10,0),"")</f>
        <v>_</v>
      </c>
      <c r="AR12" s="142" t="str">
        <f>_xlfn.IFNA(VLOOKUP($AH12,Programma!$F$3:$P$1101,11,0),"")</f>
        <v>_</v>
      </c>
      <c r="AS12" s="142" t="str">
        <f>_xlfn.IFNA(VLOOKUP($AH12,Programma!$F$3:$Q$1101,12,0),"")</f>
        <v>_</v>
      </c>
      <c r="AT12" s="142" t="str">
        <f>_xlfn.IFNA(VLOOKUP($AH12,Programma!$F$3:$R$1101,13,0),"")</f>
        <v>_</v>
      </c>
      <c r="AU12" s="142" t="str">
        <f>_xlfn.IFNA(VLOOKUP($AH12,Programma!$F$3:$S$1101,14,0),"")</f>
        <v>_</v>
      </c>
      <c r="AV12" s="142" t="str">
        <f>_xlfn.IFNA(VLOOKUP($AH12,Programma!$F$3:$T$1101,15,0),"")</f>
        <v>_</v>
      </c>
      <c r="AW12" s="142" t="str">
        <f>_xlfn.IFNA(VLOOKUP($AH12,Programma!$F$3:$U$1101,16,0),"")</f>
        <v>_</v>
      </c>
      <c r="AX12" s="142" t="str">
        <f>_xlfn.IFNA(VLOOKUP($AH12,Programma!$F$3:$V$1101,17,0),"")</f>
        <v>_</v>
      </c>
      <c r="AY12" s="142" t="str">
        <f>_xlfn.IFNA(VLOOKUP($AH12,Programma!$F$3:$W$1101,18,0),"")</f>
        <v>4w</v>
      </c>
      <c r="AZ12" s="142" t="str">
        <f>_xlfn.IFNA(VLOOKUP($AH12,Programma!$F$3:$X$1101,19,0),"")</f>
        <v>1w</v>
      </c>
      <c r="BA12" s="142" t="str">
        <f>_xlfn.IFNA(VLOOKUP($AH12,Programma!$F$3:$Y$1101,20,0),"")</f>
        <v>_</v>
      </c>
      <c r="BB12" s="138"/>
      <c r="BC12" s="137" t="str">
        <f>IF(Ruimtestaat[[#This Row],[Frequentie weekend]]="","",_xlfn.CONCAT(Ruimtestaat[[#This Row],[Ruimte code]],"-",Ruimtestaat[[#This Row],[Frequentie weekend]]," ",Ruimtestaat[[#This Row],[Vloer code]]))</f>
        <v/>
      </c>
      <c r="BD12" s="142" t="str">
        <f>_xlfn.IFNA(VLOOKUP($BC12,Programma!$F$3:$G$1101,2,0),"")</f>
        <v/>
      </c>
      <c r="BE12" s="142" t="str">
        <f>_xlfn.IFNA(VLOOKUP($BC12,Programma!$F$3:$H$1101,3,0),"")</f>
        <v/>
      </c>
      <c r="BF12" s="142" t="str">
        <f>_xlfn.IFNA(VLOOKUP($BC12,Programma!$F$3:$I$1101,4,0),"")</f>
        <v/>
      </c>
      <c r="BG12" s="142" t="str">
        <f>_xlfn.IFNA(VLOOKUP($BC12,Programma!$F$3:$J$1101,5,0),"")</f>
        <v/>
      </c>
      <c r="BH12" s="142" t="str">
        <f>_xlfn.IFNA(VLOOKUP($BC12,Programma!$F$3:$K$1101,6,0),"")</f>
        <v/>
      </c>
      <c r="BI12" s="142" t="str">
        <f>_xlfn.IFNA(VLOOKUP($BC12,Programma!$F$3:$L$1101,7,0),"")</f>
        <v/>
      </c>
      <c r="BJ12" s="142" t="str">
        <f>_xlfn.IFNA(VLOOKUP($BC12,Programma!$F$3:$M$1101,8,0),"")</f>
        <v/>
      </c>
      <c r="BK12" s="142" t="str">
        <f>_xlfn.IFNA(VLOOKUP($BC12,Programma!$F$3:$N$1101,9,0),"")</f>
        <v/>
      </c>
      <c r="BL12" s="142" t="str">
        <f>_xlfn.IFNA(VLOOKUP($BC12,Programma!$F$3:$O$1101,10,0),"")</f>
        <v/>
      </c>
      <c r="BM12" s="142" t="str">
        <f>_xlfn.IFNA(VLOOKUP($BC12,Programma!$F$3:$P$1101,11,0),"")</f>
        <v/>
      </c>
      <c r="BN12" s="142" t="str">
        <f>_xlfn.IFNA(VLOOKUP($BC12,Programma!$F$3:$Q$1101,12,0),"")</f>
        <v/>
      </c>
      <c r="BO12" s="142" t="str">
        <f>_xlfn.IFNA(VLOOKUP($BC12,Programma!$F$3:$R$1101,13,0),"")</f>
        <v/>
      </c>
      <c r="BP12" s="142" t="str">
        <f>_xlfn.IFNA(VLOOKUP($BC12,Programma!$F$3:$S$1101,14,0),"")</f>
        <v/>
      </c>
      <c r="BQ12" s="142" t="str">
        <f>_xlfn.IFNA(VLOOKUP($BC12,Programma!$F$3:$T$1101,15,0),"")</f>
        <v/>
      </c>
      <c r="BR12" s="142" t="str">
        <f>_xlfn.IFNA(VLOOKUP($BC12,Programma!$F$3:$U$1101,16,0),"")</f>
        <v/>
      </c>
      <c r="BS12" s="142" t="str">
        <f>_xlfn.IFNA(VLOOKUP($BC12,Programma!$F$3:$V$1101,17,0),"")</f>
        <v/>
      </c>
      <c r="BT12" s="142" t="str">
        <f>_xlfn.IFNA(VLOOKUP($BC12,Programma!$F$3:$W$1101,18,0),"")</f>
        <v/>
      </c>
      <c r="BU12" s="142" t="str">
        <f>_xlfn.IFNA(VLOOKUP($BC12,Programma!$F$3:$X$1101,19,0),"")</f>
        <v/>
      </c>
      <c r="BV12" s="142" t="str">
        <f>_xlfn.IFNA(VLOOKUP($BC12,Programma!$F$3:$Y$1101,20,0),"")</f>
        <v/>
      </c>
      <c r="BW12" s="28"/>
      <c r="BX12" s="28"/>
      <c r="BY12" s="28"/>
      <c r="BZ12" s="28"/>
      <c r="CA12" s="28"/>
      <c r="CB12" s="28"/>
      <c r="CC12" s="28"/>
      <c r="CD12" s="28"/>
      <c r="CE12" s="28"/>
      <c r="CF12" s="28"/>
      <c r="CG12" s="28"/>
      <c r="CH12" s="28"/>
      <c r="CI12" s="28"/>
      <c r="CJ12" s="28"/>
      <c r="CK12" s="28"/>
      <c r="CL12" s="28"/>
      <c r="CM12" s="28"/>
      <c r="CN12" s="28"/>
      <c r="CO12" s="28"/>
      <c r="CP12" s="28"/>
      <c r="CQ12" s="28"/>
      <c r="CR12" s="28"/>
      <c r="CS12" s="28"/>
      <c r="CT12" s="28"/>
      <c r="CU12" s="28"/>
      <c r="CV12" s="28"/>
      <c r="CW12" s="28"/>
      <c r="CX12" s="28"/>
      <c r="CY12" s="28"/>
      <c r="CZ12" s="28"/>
      <c r="DA12" s="28"/>
      <c r="DB12" s="28"/>
      <c r="DC12" s="28"/>
      <c r="DD12" s="28"/>
      <c r="DE12" s="28"/>
      <c r="DF12" s="28"/>
      <c r="DG12" s="28"/>
      <c r="DH12" s="28"/>
      <c r="DI12" s="28"/>
      <c r="DJ12" s="28"/>
      <c r="DK12" s="28"/>
      <c r="DL12" s="28"/>
      <c r="DM12" s="28"/>
      <c r="DN12" s="28"/>
      <c r="DO12" s="28"/>
      <c r="DP12" s="28"/>
      <c r="DQ12" s="28"/>
      <c r="DR12" s="28"/>
      <c r="DS12" s="28"/>
      <c r="DT12" s="28"/>
      <c r="DU12" s="28"/>
      <c r="DV12" s="28"/>
      <c r="DW12" s="28"/>
      <c r="DX12" s="28"/>
      <c r="DY12" s="28"/>
      <c r="DZ12" s="28"/>
      <c r="EA12" s="28"/>
      <c r="EB12" s="28"/>
      <c r="EC12" s="28"/>
      <c r="ED12" s="28"/>
      <c r="EE12" s="28"/>
      <c r="EF12" s="28"/>
      <c r="EG12" s="28"/>
      <c r="EH12" s="28"/>
      <c r="EI12" s="28"/>
      <c r="EJ12" s="28"/>
      <c r="EK12" s="28"/>
      <c r="EL12" s="28"/>
      <c r="EM12" s="28"/>
      <c r="EN12" s="28"/>
      <c r="EO12" s="28"/>
      <c r="EP12" s="28"/>
      <c r="EQ12" s="28"/>
      <c r="ER12" s="28"/>
      <c r="ES12" s="28"/>
      <c r="ET12" s="28"/>
      <c r="EU12" s="28"/>
      <c r="EV12" s="28"/>
      <c r="EW12" s="28"/>
      <c r="EX12" s="28"/>
      <c r="EY12" s="28"/>
      <c r="EZ12" s="28"/>
      <c r="FA12" s="28"/>
      <c r="FB12" s="28"/>
      <c r="FC12" s="28"/>
      <c r="FD12" s="28"/>
      <c r="FE12" s="28"/>
      <c r="FF12" s="28"/>
      <c r="FG12" s="28"/>
      <c r="FH12" s="28"/>
      <c r="FI12" s="28"/>
      <c r="FJ12" s="28"/>
      <c r="FK12" s="28"/>
      <c r="FL12" s="28"/>
      <c r="FM12" s="28"/>
      <c r="FN12" s="28"/>
      <c r="FO12" s="28"/>
      <c r="FP12" s="28"/>
      <c r="FQ12" s="28"/>
      <c r="FR12" s="28"/>
      <c r="FS12" s="28"/>
      <c r="FT12" s="28"/>
      <c r="FU12" s="28"/>
      <c r="FV12" s="28"/>
      <c r="FW12" s="28"/>
      <c r="FX12" s="28"/>
      <c r="FY12" s="28"/>
      <c r="FZ12" s="28"/>
      <c r="GA12" s="28"/>
      <c r="GB12" s="28"/>
      <c r="GC12" s="28"/>
      <c r="GD12" s="28"/>
      <c r="GE12" s="28"/>
      <c r="GF12" s="28"/>
      <c r="GG12" s="28"/>
      <c r="GH12" s="28"/>
      <c r="GI12" s="28"/>
      <c r="GJ12" s="28"/>
      <c r="GK12" s="28"/>
      <c r="GL12" s="28"/>
      <c r="GM12" s="28"/>
      <c r="GN12" s="28"/>
      <c r="GO12" s="28"/>
      <c r="GP12" s="28"/>
      <c r="GQ12" s="28"/>
      <c r="GR12" s="28"/>
      <c r="GS12" s="28"/>
      <c r="GT12" s="28"/>
      <c r="GU12" s="28"/>
      <c r="GV12" s="28"/>
      <c r="GW12" s="28"/>
      <c r="GX12" s="28"/>
      <c r="GY12" s="28"/>
      <c r="GZ12" s="28"/>
      <c r="HA12" s="28"/>
      <c r="HB12" s="28"/>
      <c r="HC12" s="28"/>
      <c r="HD12" s="28"/>
      <c r="HE12" s="28"/>
      <c r="HF12" s="28"/>
      <c r="HG12" s="28"/>
      <c r="HH12" s="28"/>
      <c r="HI12" s="28"/>
      <c r="HJ12" s="28"/>
      <c r="HK12" s="28"/>
    </row>
    <row r="13" spans="1:220" ht="15" customHeight="1">
      <c r="A13" s="100">
        <v>1</v>
      </c>
      <c r="B13" s="132" t="str">
        <f>VLOOKUP(Ruimtestaat[[#This Row],[Code]],Locaties[[Code]:[Locatie]],2,FALSE)</f>
        <v>Mirtehuis</v>
      </c>
      <c r="C13" s="132" t="str">
        <f>VLOOKUP(Ruimtestaat[[#This Row],[Code]],Locaties[[#All],[Code]:[Adres]],4,FALSE)</f>
        <v>Weseperweg 6</v>
      </c>
      <c r="D13" s="132" t="str">
        <f>VLOOKUP(Ruimtestaat[[#This Row],[Code]],Locaties[[#All],[Code]:[Postcode]],5,FALSE)</f>
        <v>8111 PK</v>
      </c>
      <c r="E13" s="132" t="str">
        <f>VLOOKUP(Ruimtestaat[[#This Row],[Code]],Locaties[#All],6,FALSE)</f>
        <v>Heeten</v>
      </c>
      <c r="F13" s="100"/>
      <c r="G13" s="100" t="s">
        <v>1675</v>
      </c>
      <c r="H13" s="344"/>
      <c r="I13" s="345" t="s">
        <v>1635</v>
      </c>
      <c r="J13" s="49">
        <v>10</v>
      </c>
      <c r="K13" s="140" t="str">
        <f>VLOOKUP(Ruimtestaat[[#This Row],[Ruimte code]],Ruimtegroepen[[#All],[Code]:[Ruimte omschrijving]],2,FALSE)</f>
        <v>Trappenhuizen/lift</v>
      </c>
      <c r="L13" s="100" t="s">
        <v>99</v>
      </c>
      <c r="M13" s="345" t="s">
        <v>36</v>
      </c>
      <c r="N13" s="133">
        <v>2.75</v>
      </c>
      <c r="O13" s="100"/>
      <c r="P13" s="134" t="str">
        <f>VLOOKUP(Ruimtestaat[[#This Row],[Ruimte code]],Ruimtegroepen[],4,FALSE)</f>
        <v>Ve</v>
      </c>
      <c r="Q13" s="100">
        <v>51</v>
      </c>
      <c r="R13" s="100" t="s">
        <v>18</v>
      </c>
      <c r="S13" s="100">
        <f>IF(Q13&gt;0,IF(RIGHT(Ruimtestaat[[#This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153</v>
      </c>
      <c r="T13" s="100">
        <f>IF(S13&gt;0,VLOOKUP($J13,Ruimtegroepen[],3,FALSE)*VLOOKUP($L13,Vloersoorten[],3,FALSE)*VLOOKUP($R13,Frequenties[],3,FALSE)*VLOOKUP($A13,Locaties[],3,FALSE),0)</f>
        <v>0</v>
      </c>
      <c r="U13" s="100">
        <f>Ruimtestaat[[#This Row],[Uitvoeringen werkdagen]]*Ruimtestaat[[#This Row],[Oppervlak (netto)]]</f>
        <v>420.75</v>
      </c>
      <c r="V13" s="135">
        <f>IF(T13&gt;0,Ruimtestaat[[#This Row],[Prest. (m2 /jaar) werkdagen]]/Ruimtestaat[[#This Row],[Norm (m2/uur) werkdagen]],0)</f>
        <v>0</v>
      </c>
      <c r="W13" s="136">
        <f>Ruimtestaat[[#This Row],[uren / jaar werkdagen]]*Tariefsopbouw!$E$35</f>
        <v>0</v>
      </c>
      <c r="X13" s="100"/>
      <c r="Y13" s="100">
        <f>IF(Ruimtestaat[[#This Row],[Frequentie weekend]]&gt;0,VALUE(LEFT(X13,1))*Q13,0)</f>
        <v>0</v>
      </c>
      <c r="Z13" s="99">
        <f>IF($Y13&gt;0,VLOOKUP($J13,Ruimtegroepen[],3,FALSE)*VLOOKUP($L13,Vloersoorten[],3,FALSE)*VLOOKUP($X13,Frequenties[],3,FALSE)*VLOOKUP(Ruimtestaat[[#This Row],[Code]],Locaties[],3,FALSE),0)</f>
        <v>0</v>
      </c>
      <c r="AA13" s="99">
        <f>Ruimtestaat[[#This Row],[Uitvoeringen weekend]]*Ruimtestaat[[#This Row],[Oppervlak (netto)]]</f>
        <v>0</v>
      </c>
      <c r="AB13" s="99">
        <f>IF(Z13&gt;0,Ruimtestaat[[#This Row],[Prest. (m2 /jaar) weekend]]/Ruimtestaat[[#This Row],[Norm (m2/uur) weekend]],0)</f>
        <v>0</v>
      </c>
      <c r="AC13" s="136">
        <f>Ruimtestaat[[#This Row],[uren / jaar weekend]]*Tariefsopbouw!$D$40</f>
        <v>0</v>
      </c>
      <c r="AD13" s="135">
        <f>Ruimtestaat[[#This Row],[Prest. (m2 /jaar) weekend]]+Ruimtestaat[[#This Row],[Prest. (m2 /jaar) werkdagen]]</f>
        <v>420.75</v>
      </c>
      <c r="AE13" s="135">
        <f>Ruimtestaat[[#This Row],[uren / jaar weekend]]+Ruimtestaat[[#This Row],[uren / jaar werkdagen]]</f>
        <v>0</v>
      </c>
      <c r="AF13" s="130">
        <f>Ruimtestaat[[#This Row],[kosten / jaar weekend]]+Ruimtestaat[[#This Row],[kosten / jaar werkdagen]]</f>
        <v>0</v>
      </c>
      <c r="AG13" s="130"/>
      <c r="AH13" s="137" t="str">
        <f>IF(Ruimtestaat[[#This Row],[Frequentie werkdagen]]="","",_xlfn.CONCAT(Ruimtestaat[[#This Row],[Ruimte code]],"-",Ruimtestaat[[#This Row],[Frequentie werkdagen]]," ",Ruimtestaat[[#This Row],[Vloer code]]))</f>
        <v>10-3w T</v>
      </c>
      <c r="AI13" s="142" t="str">
        <f>_xlfn.IFNA(VLOOKUP($AH13,Programma!$F$3:$G$1101,2,0),"")</f>
        <v>_</v>
      </c>
      <c r="AJ13" s="142" t="str">
        <f>_xlfn.IFNA(VLOOKUP($AH13,Programma!$F$3:$H$1101,3,0),"")</f>
        <v>3w</v>
      </c>
      <c r="AK13" s="142" t="str">
        <f>_xlfn.IFNA(VLOOKUP($AH13,Programma!$F$3:$I$1101,4,0),"")</f>
        <v>_</v>
      </c>
      <c r="AL13" s="142" t="str">
        <f>_xlfn.IFNA(VLOOKUP($AH13,Programma!$F$3:$J$1101,5,0),"")</f>
        <v>_</v>
      </c>
      <c r="AM13" s="142" t="str">
        <f>_xlfn.IFNA(VLOOKUP($AH13,Programma!$F$3:$K$1101,6,0),"")</f>
        <v>_</v>
      </c>
      <c r="AN13" s="142" t="str">
        <f>_xlfn.IFNA(VLOOKUP($AH13,Programma!$F$3:$L$1101,7,0),"")</f>
        <v>_</v>
      </c>
      <c r="AO13" s="142" t="str">
        <f>_xlfn.IFNA(VLOOKUP($AH13,Programma!$F$3:$M$1101,8,0),"")</f>
        <v>_</v>
      </c>
      <c r="AP13" s="142" t="str">
        <f>_xlfn.IFNA(VLOOKUP($AH13,Programma!$F$3:$N$1101,9,0),"")</f>
        <v>_</v>
      </c>
      <c r="AQ13" s="142" t="str">
        <f>_xlfn.IFNA(VLOOKUP($AH13,Programma!$F$3:$O$1101,10,0),"")</f>
        <v>3w</v>
      </c>
      <c r="AR13" s="142" t="str">
        <f>_xlfn.IFNA(VLOOKUP($AH13,Programma!$F$3:$P$1101,11,0),"")</f>
        <v>3w</v>
      </c>
      <c r="AS13" s="142" t="str">
        <f>_xlfn.IFNA(VLOOKUP($AH13,Programma!$F$3:$Q$1101,12,0),"")</f>
        <v>1w</v>
      </c>
      <c r="AT13" s="142" t="str">
        <f>_xlfn.IFNA(VLOOKUP($AH13,Programma!$F$3:$R$1101,13,0),"")</f>
        <v>1w</v>
      </c>
      <c r="AU13" s="142" t="str">
        <f>_xlfn.IFNA(VLOOKUP($AH13,Programma!$F$3:$S$1101,14,0),"")</f>
        <v>1m</v>
      </c>
      <c r="AV13" s="142" t="str">
        <f>_xlfn.IFNA(VLOOKUP($AH13,Programma!$F$3:$T$1101,15,0),"")</f>
        <v>2j</v>
      </c>
      <c r="AW13" s="142" t="str">
        <f>_xlfn.IFNA(VLOOKUP($AH13,Programma!$F$3:$U$1101,16,0),"")</f>
        <v>1j</v>
      </c>
      <c r="AX13" s="142" t="str">
        <f>_xlfn.IFNA(VLOOKUP($AH13,Programma!$F$3:$V$1101,17,0),"")</f>
        <v>_</v>
      </c>
      <c r="AY13" s="142" t="str">
        <f>_xlfn.IFNA(VLOOKUP($AH13,Programma!$F$3:$W$1101,18,0),"")</f>
        <v>_</v>
      </c>
      <c r="AZ13" s="142" t="str">
        <f>_xlfn.IFNA(VLOOKUP($AH13,Programma!$F$3:$X$1101,19,0),"")</f>
        <v>_</v>
      </c>
      <c r="BA13" s="142" t="str">
        <f>_xlfn.IFNA(VLOOKUP($AH13,Programma!$F$3:$Y$1101,20,0),"")</f>
        <v>_</v>
      </c>
      <c r="BB13" s="138"/>
      <c r="BC13" s="137" t="str">
        <f>IF(Ruimtestaat[[#This Row],[Frequentie weekend]]="","",_xlfn.CONCAT(Ruimtestaat[[#This Row],[Ruimte code]],"-",Ruimtestaat[[#This Row],[Frequentie weekend]]," ",Ruimtestaat[[#This Row],[Vloer code]]))</f>
        <v/>
      </c>
      <c r="BD13" s="142" t="str">
        <f>_xlfn.IFNA(VLOOKUP($BC13,Programma!$F$3:$G$1101,2,0),"")</f>
        <v/>
      </c>
      <c r="BE13" s="142" t="str">
        <f>_xlfn.IFNA(VLOOKUP($BC13,Programma!$F$3:$H$1101,3,0),"")</f>
        <v/>
      </c>
      <c r="BF13" s="142" t="str">
        <f>_xlfn.IFNA(VLOOKUP($BC13,Programma!$F$3:$I$1101,4,0),"")</f>
        <v/>
      </c>
      <c r="BG13" s="142" t="str">
        <f>_xlfn.IFNA(VLOOKUP($BC13,Programma!$F$3:$J$1101,5,0),"")</f>
        <v/>
      </c>
      <c r="BH13" s="142" t="str">
        <f>_xlfn.IFNA(VLOOKUP($BC13,Programma!$F$3:$K$1101,6,0),"")</f>
        <v/>
      </c>
      <c r="BI13" s="142" t="str">
        <f>_xlfn.IFNA(VLOOKUP($BC13,Programma!$F$3:$L$1101,7,0),"")</f>
        <v/>
      </c>
      <c r="BJ13" s="142" t="str">
        <f>_xlfn.IFNA(VLOOKUP($BC13,Programma!$F$3:$M$1101,8,0),"")</f>
        <v/>
      </c>
      <c r="BK13" s="142" t="str">
        <f>_xlfn.IFNA(VLOOKUP($BC13,Programma!$F$3:$N$1101,9,0),"")</f>
        <v/>
      </c>
      <c r="BL13" s="142" t="str">
        <f>_xlfn.IFNA(VLOOKUP($BC13,Programma!$F$3:$O$1101,10,0),"")</f>
        <v/>
      </c>
      <c r="BM13" s="142" t="str">
        <f>_xlfn.IFNA(VLOOKUP($BC13,Programma!$F$3:$P$1101,11,0),"")</f>
        <v/>
      </c>
      <c r="BN13" s="142" t="str">
        <f>_xlfn.IFNA(VLOOKUP($BC13,Programma!$F$3:$Q$1101,12,0),"")</f>
        <v/>
      </c>
      <c r="BO13" s="142" t="str">
        <f>_xlfn.IFNA(VLOOKUP($BC13,Programma!$F$3:$R$1101,13,0),"")</f>
        <v/>
      </c>
      <c r="BP13" s="142" t="str">
        <f>_xlfn.IFNA(VLOOKUP($BC13,Programma!$F$3:$S$1101,14,0),"")</f>
        <v/>
      </c>
      <c r="BQ13" s="142" t="str">
        <f>_xlfn.IFNA(VLOOKUP($BC13,Programma!$F$3:$T$1101,15,0),"")</f>
        <v/>
      </c>
      <c r="BR13" s="142" t="str">
        <f>_xlfn.IFNA(VLOOKUP($BC13,Programma!$F$3:$U$1101,16,0),"")</f>
        <v/>
      </c>
      <c r="BS13" s="142" t="str">
        <f>_xlfn.IFNA(VLOOKUP($BC13,Programma!$F$3:$V$1101,17,0),"")</f>
        <v/>
      </c>
      <c r="BT13" s="142" t="str">
        <f>_xlfn.IFNA(VLOOKUP($BC13,Programma!$F$3:$W$1101,18,0),"")</f>
        <v/>
      </c>
      <c r="BU13" s="142" t="str">
        <f>_xlfn.IFNA(VLOOKUP($BC13,Programma!$F$3:$X$1101,19,0),"")</f>
        <v/>
      </c>
      <c r="BV13" s="142" t="str">
        <f>_xlfn.IFNA(VLOOKUP($BC13,Programma!$F$3:$Y$1101,20,0),"")</f>
        <v/>
      </c>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28"/>
      <c r="DL13" s="28"/>
      <c r="DM13" s="28"/>
      <c r="DN13" s="28"/>
      <c r="DO13" s="28"/>
      <c r="DP13" s="28"/>
      <c r="DQ13" s="28"/>
      <c r="DR13" s="28"/>
      <c r="DS13" s="28"/>
      <c r="DT13" s="28"/>
      <c r="DU13" s="28"/>
      <c r="DV13" s="28"/>
      <c r="DW13" s="28"/>
      <c r="DX13" s="28"/>
      <c r="DY13" s="28"/>
      <c r="DZ13" s="28"/>
      <c r="EA13" s="28"/>
      <c r="EB13" s="28"/>
      <c r="EC13" s="28"/>
      <c r="ED13" s="28"/>
      <c r="EE13" s="28"/>
      <c r="EF13" s="28"/>
      <c r="EG13" s="28"/>
      <c r="EH13" s="28"/>
      <c r="EI13" s="28"/>
      <c r="EJ13" s="28"/>
      <c r="EK13" s="28"/>
      <c r="EL13" s="28"/>
      <c r="EM13" s="28"/>
      <c r="EN13" s="28"/>
      <c r="EO13" s="28"/>
      <c r="EP13" s="28"/>
      <c r="EQ13" s="28"/>
      <c r="ER13" s="28"/>
      <c r="ES13" s="28"/>
      <c r="ET13" s="28"/>
      <c r="EU13" s="28"/>
      <c r="EV13" s="28"/>
      <c r="EW13" s="28"/>
      <c r="EX13" s="28"/>
      <c r="EY13" s="28"/>
      <c r="EZ13" s="28"/>
      <c r="FA13" s="28"/>
      <c r="FB13" s="28"/>
      <c r="FC13" s="28"/>
      <c r="FD13" s="28"/>
      <c r="FE13" s="28"/>
      <c r="FF13" s="28"/>
      <c r="FG13" s="28"/>
      <c r="FH13" s="28"/>
      <c r="FI13" s="28"/>
      <c r="FJ13" s="28"/>
      <c r="FK13" s="28"/>
      <c r="FL13" s="28"/>
      <c r="FM13" s="28"/>
      <c r="FN13" s="28"/>
      <c r="FO13" s="28"/>
      <c r="FP13" s="28"/>
      <c r="FQ13" s="28"/>
      <c r="FR13" s="28"/>
      <c r="FS13" s="28"/>
      <c r="FT13" s="28"/>
      <c r="FU13" s="28"/>
      <c r="FV13" s="28"/>
      <c r="FW13" s="28"/>
      <c r="FX13" s="28"/>
      <c r="FY13" s="28"/>
      <c r="FZ13" s="28"/>
      <c r="GA13" s="28"/>
      <c r="GB13" s="28"/>
      <c r="GC13" s="28"/>
      <c r="GD13" s="28"/>
      <c r="GE13" s="28"/>
      <c r="GF13" s="28"/>
      <c r="GG13" s="28"/>
      <c r="GH13" s="28"/>
      <c r="GI13" s="28"/>
      <c r="GJ13" s="28"/>
      <c r="GK13" s="28"/>
      <c r="GL13" s="28"/>
      <c r="GM13" s="28"/>
      <c r="GN13" s="28"/>
      <c r="GO13" s="28"/>
      <c r="GP13" s="28"/>
      <c r="GQ13" s="28"/>
      <c r="GR13" s="28"/>
      <c r="GS13" s="28"/>
      <c r="GT13" s="28"/>
      <c r="GU13" s="28"/>
      <c r="GV13" s="28"/>
      <c r="GW13" s="28"/>
      <c r="GX13" s="28"/>
      <c r="GY13" s="28"/>
      <c r="GZ13" s="28"/>
      <c r="HA13" s="28"/>
      <c r="HB13" s="28"/>
      <c r="HC13" s="28"/>
      <c r="HD13" s="28"/>
      <c r="HE13" s="28"/>
      <c r="HF13" s="28"/>
      <c r="HG13" s="28"/>
      <c r="HH13" s="28"/>
      <c r="HI13" s="28"/>
      <c r="HJ13" s="28"/>
      <c r="HK13" s="28"/>
    </row>
    <row r="14" spans="1:220" ht="15" customHeight="1">
      <c r="A14" s="100">
        <v>1</v>
      </c>
      <c r="B14" s="132" t="str">
        <f>VLOOKUP(Ruimtestaat[[#This Row],[Code]],Locaties[[Code]:[Locatie]],2,FALSE)</f>
        <v>Mirtehuis</v>
      </c>
      <c r="C14" s="132" t="str">
        <f>VLOOKUP(Ruimtestaat[[#This Row],[Code]],Locaties[[#All],[Code]:[Adres]],4,FALSE)</f>
        <v>Weseperweg 6</v>
      </c>
      <c r="D14" s="132" t="str">
        <f>VLOOKUP(Ruimtestaat[[#This Row],[Code]],Locaties[[#All],[Code]:[Postcode]],5,FALSE)</f>
        <v>8111 PK</v>
      </c>
      <c r="E14" s="132" t="str">
        <f>VLOOKUP(Ruimtestaat[[#This Row],[Code]],Locaties[#All],6,FALSE)</f>
        <v>Heeten</v>
      </c>
      <c r="F14" s="100"/>
      <c r="G14" s="100" t="s">
        <v>1675</v>
      </c>
      <c r="H14" s="344" t="s">
        <v>1643</v>
      </c>
      <c r="I14" s="345" t="s">
        <v>1644</v>
      </c>
      <c r="J14" s="49">
        <v>9</v>
      </c>
      <c r="K14" s="140" t="str">
        <f>VLOOKUP(Ruimtestaat[[#This Row],[Ruimte code]],Ruimtegroepen[[#All],[Code]:[Ruimte omschrijving]],2,FALSE)</f>
        <v>Woonruimte</v>
      </c>
      <c r="L14" s="100" t="s">
        <v>100</v>
      </c>
      <c r="M14" s="345" t="s">
        <v>1636</v>
      </c>
      <c r="N14" s="133">
        <v>27.5</v>
      </c>
      <c r="O14" s="139"/>
      <c r="P14" s="134" t="str">
        <f>VLOOKUP(Ruimtestaat[[#This Row],[Ruimte code]],Ruimtegroepen[],4,FALSE)</f>
        <v>Ve</v>
      </c>
      <c r="Q14" s="100">
        <v>51</v>
      </c>
      <c r="R14" s="100" t="s">
        <v>2</v>
      </c>
      <c r="S14" s="100">
        <f>IF(Q14&gt;0,IF(RIGHT(Ruimtestaat[[#This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4" s="100">
        <f>IF(S14&gt;0,VLOOKUP($J14,Ruimtegroepen[],3,FALSE)*VLOOKUP($L14,Vloersoorten[],3,FALSE)*VLOOKUP($R14,Frequenties[],3,FALSE)*VLOOKUP($A14,Locaties[],3,FALSE),0)</f>
        <v>0</v>
      </c>
      <c r="U14" s="100">
        <f>Ruimtestaat[[#This Row],[Uitvoeringen werkdagen]]*Ruimtestaat[[#This Row],[Oppervlak (netto)]]</f>
        <v>7012.5</v>
      </c>
      <c r="V14" s="135">
        <f>IF(T14&gt;0,Ruimtestaat[[#This Row],[Prest. (m2 /jaar) werkdagen]]/Ruimtestaat[[#This Row],[Norm (m2/uur) werkdagen]],0)</f>
        <v>0</v>
      </c>
      <c r="W14" s="136">
        <f>Ruimtestaat[[#This Row],[uren / jaar werkdagen]]*Tariefsopbouw!$E$35</f>
        <v>0</v>
      </c>
      <c r="X14" s="100"/>
      <c r="Y14" s="100">
        <f>IF(Ruimtestaat[[#This Row],[Frequentie weekend]]&gt;0,VALUE(LEFT(X14,1))*Q14,0)</f>
        <v>0</v>
      </c>
      <c r="Z14" s="99">
        <f>IF($Y14&gt;0,VLOOKUP($J14,Ruimtegroepen[],3,FALSE)*VLOOKUP($L14,Vloersoorten[],3,FALSE)*VLOOKUP($X14,Frequenties[],3,FALSE)*VLOOKUP(Ruimtestaat[[#This Row],[Code]],Locaties[],3,FALSE),0)</f>
        <v>0</v>
      </c>
      <c r="AA14" s="99">
        <f>Ruimtestaat[[#This Row],[Uitvoeringen weekend]]*Ruimtestaat[[#This Row],[Oppervlak (netto)]]</f>
        <v>0</v>
      </c>
      <c r="AB14" s="99">
        <f>IF(Z14&gt;0,Ruimtestaat[[#This Row],[Prest. (m2 /jaar) weekend]]/Ruimtestaat[[#This Row],[Norm (m2/uur) weekend]],0)</f>
        <v>0</v>
      </c>
      <c r="AC14" s="136">
        <f>Ruimtestaat[[#This Row],[uren / jaar weekend]]*Tariefsopbouw!$D$40</f>
        <v>0</v>
      </c>
      <c r="AD14" s="135">
        <f>Ruimtestaat[[#This Row],[Prest. (m2 /jaar) weekend]]+Ruimtestaat[[#This Row],[Prest. (m2 /jaar) werkdagen]]</f>
        <v>7012.5</v>
      </c>
      <c r="AE14" s="135">
        <f>Ruimtestaat[[#This Row],[uren / jaar weekend]]+Ruimtestaat[[#This Row],[uren / jaar werkdagen]]</f>
        <v>0</v>
      </c>
      <c r="AF14" s="130">
        <f>Ruimtestaat[[#This Row],[kosten / jaar weekend]]+Ruimtestaat[[#This Row],[kosten / jaar werkdagen]]</f>
        <v>0</v>
      </c>
      <c r="AG14" s="130"/>
      <c r="AH14" s="137" t="str">
        <f>IF(Ruimtestaat[[#This Row],[Frequentie werkdagen]]="","",_xlfn.CONCAT(Ruimtestaat[[#This Row],[Ruimte code]],"-",Ruimtestaat[[#This Row],[Frequentie werkdagen]]," ",Ruimtestaat[[#This Row],[Vloer code]]))</f>
        <v>9-5w L</v>
      </c>
      <c r="AI14" s="142" t="str">
        <f>_xlfn.IFNA(VLOOKUP($AH14,Programma!$F$3:$G$1101,2,0),"")</f>
        <v>_</v>
      </c>
      <c r="AJ14" s="142" t="str">
        <f>_xlfn.IFNA(VLOOKUP($AH14,Programma!$F$3:$H$1101,3,0),"")</f>
        <v>_</v>
      </c>
      <c r="AK14" s="142" t="str">
        <f>_xlfn.IFNA(VLOOKUP($AH14,Programma!$F$3:$I$1101,4,0),"")</f>
        <v>4w</v>
      </c>
      <c r="AL14" s="142" t="str">
        <f>_xlfn.IFNA(VLOOKUP($AH14,Programma!$F$3:$J$1101,5,0),"")</f>
        <v>1w</v>
      </c>
      <c r="AM14" s="142" t="str">
        <f>_xlfn.IFNA(VLOOKUP($AH14,Programma!$F$3:$K$1101,6,0),"")</f>
        <v>_</v>
      </c>
      <c r="AN14" s="142" t="str">
        <f>_xlfn.IFNA(VLOOKUP($AH14,Programma!$F$3:$L$1101,7,0),"")</f>
        <v>_</v>
      </c>
      <c r="AO14" s="142" t="str">
        <f>_xlfn.IFNA(VLOOKUP($AH14,Programma!$F$3:$M$1101,8,0),"")</f>
        <v>_</v>
      </c>
      <c r="AP14" s="142" t="str">
        <f>_xlfn.IFNA(VLOOKUP($AH14,Programma!$F$3:$N$1101,9,0),"")</f>
        <v>_</v>
      </c>
      <c r="AQ14" s="142" t="str">
        <f>_xlfn.IFNA(VLOOKUP($AH14,Programma!$F$3:$O$1101,10,0),"")</f>
        <v>5w</v>
      </c>
      <c r="AR14" s="142" t="str">
        <f>_xlfn.IFNA(VLOOKUP($AH14,Programma!$F$3:$P$1101,11,0),"")</f>
        <v>5w</v>
      </c>
      <c r="AS14" s="142" t="str">
        <f>_xlfn.IFNA(VLOOKUP($AH14,Programma!$F$3:$Q$1101,12,0),"")</f>
        <v>1w</v>
      </c>
      <c r="AT14" s="142" t="str">
        <f>_xlfn.IFNA(VLOOKUP($AH14,Programma!$F$3:$R$1101,13,0),"")</f>
        <v>1w</v>
      </c>
      <c r="AU14" s="142" t="str">
        <f>_xlfn.IFNA(VLOOKUP($AH14,Programma!$F$3:$S$1101,14,0),"")</f>
        <v>1m</v>
      </c>
      <c r="AV14" s="142" t="str">
        <f>_xlfn.IFNA(VLOOKUP($AH14,Programma!$F$3:$T$1101,15,0),"")</f>
        <v>2j</v>
      </c>
      <c r="AW14" s="142" t="str">
        <f>_xlfn.IFNA(VLOOKUP($AH14,Programma!$F$3:$U$1101,16,0),"")</f>
        <v>1j</v>
      </c>
      <c r="AX14" s="142" t="str">
        <f>_xlfn.IFNA(VLOOKUP($AH14,Programma!$F$3:$V$1101,17,0),"")</f>
        <v>_</v>
      </c>
      <c r="AY14" s="142" t="str">
        <f>_xlfn.IFNA(VLOOKUP($AH14,Programma!$F$3:$W$1101,18,0),"")</f>
        <v>_</v>
      </c>
      <c r="AZ14" s="142" t="str">
        <f>_xlfn.IFNA(VLOOKUP($AH14,Programma!$F$3:$X$1101,19,0),"")</f>
        <v>_</v>
      </c>
      <c r="BA14" s="142" t="str">
        <f>_xlfn.IFNA(VLOOKUP($AH14,Programma!$F$3:$Y$1101,20,0),"")</f>
        <v>_</v>
      </c>
      <c r="BB14" s="138"/>
      <c r="BC14" s="137" t="str">
        <f>IF(Ruimtestaat[[#This Row],[Frequentie weekend]]="","",_xlfn.CONCAT(Ruimtestaat[[#This Row],[Ruimte code]],"-",Ruimtestaat[[#This Row],[Frequentie weekend]]," ",Ruimtestaat[[#This Row],[Vloer code]]))</f>
        <v/>
      </c>
      <c r="BD14" s="142" t="str">
        <f>_xlfn.IFNA(VLOOKUP($BC14,Programma!$F$3:$G$1101,2,0),"")</f>
        <v/>
      </c>
      <c r="BE14" s="142" t="str">
        <f>_xlfn.IFNA(VLOOKUP($BC14,Programma!$F$3:$H$1101,3,0),"")</f>
        <v/>
      </c>
      <c r="BF14" s="142" t="str">
        <f>_xlfn.IFNA(VLOOKUP($BC14,Programma!$F$3:$I$1101,4,0),"")</f>
        <v/>
      </c>
      <c r="BG14" s="142" t="str">
        <f>_xlfn.IFNA(VLOOKUP($BC14,Programma!$F$3:$J$1101,5,0),"")</f>
        <v/>
      </c>
      <c r="BH14" s="142" t="str">
        <f>_xlfn.IFNA(VLOOKUP($BC14,Programma!$F$3:$K$1101,6,0),"")</f>
        <v/>
      </c>
      <c r="BI14" s="142" t="str">
        <f>_xlfn.IFNA(VLOOKUP($BC14,Programma!$F$3:$L$1101,7,0),"")</f>
        <v/>
      </c>
      <c r="BJ14" s="142" t="str">
        <f>_xlfn.IFNA(VLOOKUP($BC14,Programma!$F$3:$M$1101,8,0),"")</f>
        <v/>
      </c>
      <c r="BK14" s="142" t="str">
        <f>_xlfn.IFNA(VLOOKUP($BC14,Programma!$F$3:$N$1101,9,0),"")</f>
        <v/>
      </c>
      <c r="BL14" s="142" t="str">
        <f>_xlfn.IFNA(VLOOKUP($BC14,Programma!$F$3:$O$1101,10,0),"")</f>
        <v/>
      </c>
      <c r="BM14" s="142" t="str">
        <f>_xlfn.IFNA(VLOOKUP($BC14,Programma!$F$3:$P$1101,11,0),"")</f>
        <v/>
      </c>
      <c r="BN14" s="142" t="str">
        <f>_xlfn.IFNA(VLOOKUP($BC14,Programma!$F$3:$Q$1101,12,0),"")</f>
        <v/>
      </c>
      <c r="BO14" s="142" t="str">
        <f>_xlfn.IFNA(VLOOKUP($BC14,Programma!$F$3:$R$1101,13,0),"")</f>
        <v/>
      </c>
      <c r="BP14" s="142" t="str">
        <f>_xlfn.IFNA(VLOOKUP($BC14,Programma!$F$3:$S$1101,14,0),"")</f>
        <v/>
      </c>
      <c r="BQ14" s="142" t="str">
        <f>_xlfn.IFNA(VLOOKUP($BC14,Programma!$F$3:$T$1101,15,0),"")</f>
        <v/>
      </c>
      <c r="BR14" s="142" t="str">
        <f>_xlfn.IFNA(VLOOKUP($BC14,Programma!$F$3:$U$1101,16,0),"")</f>
        <v/>
      </c>
      <c r="BS14" s="142" t="str">
        <f>_xlfn.IFNA(VLOOKUP($BC14,Programma!$F$3:$V$1101,17,0),"")</f>
        <v/>
      </c>
      <c r="BT14" s="142" t="str">
        <f>_xlfn.IFNA(VLOOKUP($BC14,Programma!$F$3:$W$1101,18,0),"")</f>
        <v/>
      </c>
      <c r="BU14" s="142" t="str">
        <f>_xlfn.IFNA(VLOOKUP($BC14,Programma!$F$3:$X$1101,19,0),"")</f>
        <v/>
      </c>
      <c r="BV14" s="142" t="str">
        <f>_xlfn.IFNA(VLOOKUP($BC14,Programma!$F$3:$Y$1101,20,0),"")</f>
        <v/>
      </c>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c r="CY14" s="28"/>
      <c r="CZ14" s="28"/>
      <c r="DA14" s="28"/>
      <c r="DB14" s="28"/>
      <c r="DC14" s="28"/>
      <c r="DD14" s="28"/>
      <c r="DE14" s="28"/>
      <c r="DF14" s="28"/>
      <c r="DG14" s="28"/>
      <c r="DH14" s="28"/>
      <c r="DI14" s="28"/>
      <c r="DJ14" s="28"/>
      <c r="DK14" s="28"/>
      <c r="DL14" s="28"/>
      <c r="DM14" s="28"/>
      <c r="DN14" s="28"/>
      <c r="DO14" s="28"/>
      <c r="DP14" s="28"/>
      <c r="DQ14" s="28"/>
      <c r="DR14" s="28"/>
      <c r="DS14" s="28"/>
      <c r="DT14" s="28"/>
      <c r="DU14" s="28"/>
      <c r="DV14" s="28"/>
      <c r="DW14" s="28"/>
      <c r="DX14" s="28"/>
      <c r="DY14" s="28"/>
      <c r="DZ14" s="28"/>
      <c r="EA14" s="28"/>
      <c r="EB14" s="28"/>
      <c r="EC14" s="28"/>
      <c r="ED14" s="28"/>
      <c r="EE14" s="28"/>
      <c r="EF14" s="28"/>
      <c r="EG14" s="28"/>
      <c r="EH14" s="28"/>
      <c r="EI14" s="28"/>
      <c r="EJ14" s="28"/>
      <c r="EK14" s="28"/>
      <c r="EL14" s="28"/>
      <c r="EM14" s="28"/>
      <c r="EN14" s="28"/>
      <c r="EO14" s="28"/>
      <c r="EP14" s="28"/>
      <c r="EQ14" s="28"/>
      <c r="ER14" s="28"/>
      <c r="ES14" s="28"/>
      <c r="ET14" s="28"/>
      <c r="EU14" s="28"/>
      <c r="EV14" s="28"/>
      <c r="EW14" s="28"/>
      <c r="EX14" s="28"/>
      <c r="EY14" s="28"/>
      <c r="EZ14" s="28"/>
      <c r="FA14" s="28"/>
      <c r="FB14" s="28"/>
      <c r="FC14" s="28"/>
      <c r="FD14" s="28"/>
      <c r="FE14" s="28"/>
      <c r="FF14" s="28"/>
      <c r="FG14" s="28"/>
      <c r="FH14" s="28"/>
      <c r="FI14" s="28"/>
      <c r="FJ14" s="28"/>
      <c r="FK14" s="28"/>
      <c r="FL14" s="28"/>
      <c r="FM14" s="28"/>
      <c r="FN14" s="28"/>
      <c r="FO14" s="28"/>
      <c r="FP14" s="28"/>
      <c r="FQ14" s="28"/>
      <c r="FR14" s="28"/>
      <c r="FS14" s="28"/>
      <c r="FT14" s="28"/>
      <c r="FU14" s="28"/>
      <c r="FV14" s="28"/>
      <c r="FW14" s="28"/>
      <c r="FX14" s="28"/>
      <c r="FY14" s="28"/>
      <c r="FZ14" s="28"/>
      <c r="GA14" s="28"/>
      <c r="GB14" s="28"/>
      <c r="GC14" s="28"/>
      <c r="GD14" s="28"/>
      <c r="GE14" s="28"/>
      <c r="GF14" s="28"/>
      <c r="GG14" s="28"/>
      <c r="GH14" s="28"/>
      <c r="GI14" s="28"/>
      <c r="GJ14" s="28"/>
      <c r="GK14" s="28"/>
      <c r="GL14" s="28"/>
      <c r="GM14" s="28"/>
      <c r="GN14" s="28"/>
      <c r="GO14" s="28"/>
      <c r="GP14" s="28"/>
      <c r="GQ14" s="28"/>
      <c r="GR14" s="28"/>
      <c r="GS14" s="28"/>
      <c r="GT14" s="28"/>
      <c r="GU14" s="28"/>
      <c r="GV14" s="28"/>
      <c r="GW14" s="28"/>
      <c r="GX14" s="28"/>
      <c r="GY14" s="28"/>
      <c r="GZ14" s="28"/>
      <c r="HA14" s="28"/>
      <c r="HB14" s="28"/>
      <c r="HC14" s="28"/>
      <c r="HD14" s="28"/>
      <c r="HE14" s="28"/>
      <c r="HF14" s="28"/>
      <c r="HG14" s="28"/>
      <c r="HH14" s="28"/>
      <c r="HI14" s="28"/>
      <c r="HJ14" s="28"/>
      <c r="HK14" s="28"/>
    </row>
    <row r="15" spans="1:220" ht="15" customHeight="1">
      <c r="A15" s="100">
        <v>1</v>
      </c>
      <c r="B15" s="132" t="str">
        <f>VLOOKUP(Ruimtestaat[[#This Row],[Code]],Locaties[[Code]:[Locatie]],2,FALSE)</f>
        <v>Mirtehuis</v>
      </c>
      <c r="C15" s="132" t="str">
        <f>VLOOKUP(Ruimtestaat[[#This Row],[Code]],Locaties[[#All],[Code]:[Adres]],4,FALSE)</f>
        <v>Weseperweg 6</v>
      </c>
      <c r="D15" s="132" t="str">
        <f>VLOOKUP(Ruimtestaat[[#This Row],[Code]],Locaties[[#All],[Code]:[Postcode]],5,FALSE)</f>
        <v>8111 PK</v>
      </c>
      <c r="E15" s="132" t="str">
        <f>VLOOKUP(Ruimtestaat[[#This Row],[Code]],Locaties[#All],6,FALSE)</f>
        <v>Heeten</v>
      </c>
      <c r="F15" s="100"/>
      <c r="G15" s="100" t="s">
        <v>1675</v>
      </c>
      <c r="H15" s="344"/>
      <c r="I15" s="345" t="s">
        <v>1645</v>
      </c>
      <c r="J15" s="49">
        <v>15</v>
      </c>
      <c r="K15" s="140" t="str">
        <f>VLOOKUP(Ruimtestaat[[#This Row],[Ruimte code]],Ruimtegroepen[[#All],[Code]:[Ruimte omschrijving]],2,FALSE)</f>
        <v>Keuken/pantry</v>
      </c>
      <c r="L15" s="100" t="s">
        <v>100</v>
      </c>
      <c r="M15" s="345" t="s">
        <v>1636</v>
      </c>
      <c r="N15" s="133">
        <v>13.5</v>
      </c>
      <c r="O15" s="139"/>
      <c r="P15" s="134" t="str">
        <f>VLOOKUP(Ruimtestaat[[#This Row],[Ruimte code]],Ruimtegroepen[],4,FALSE)</f>
        <v>Ve</v>
      </c>
      <c r="Q15" s="100">
        <v>51</v>
      </c>
      <c r="R15" s="100" t="s">
        <v>2</v>
      </c>
      <c r="S15" s="100">
        <f>IF(Q15&gt;0,IF(RIGHT(Ruimtestaat[[#This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5" s="100">
        <f>IF(S15&gt;0,VLOOKUP($J15,Ruimtegroepen[],3,FALSE)*VLOOKUP($L15,Vloersoorten[],3,FALSE)*VLOOKUP($R15,Frequenties[],3,FALSE)*VLOOKUP($A15,Locaties[],3,FALSE),0)</f>
        <v>0</v>
      </c>
      <c r="U15" s="100">
        <f>Ruimtestaat[[#This Row],[Uitvoeringen werkdagen]]*Ruimtestaat[[#This Row],[Oppervlak (netto)]]</f>
        <v>3442.5</v>
      </c>
      <c r="V15" s="135">
        <f>IF(T15&gt;0,Ruimtestaat[[#This Row],[Prest. (m2 /jaar) werkdagen]]/Ruimtestaat[[#This Row],[Norm (m2/uur) werkdagen]],0)</f>
        <v>0</v>
      </c>
      <c r="W15" s="136">
        <f>Ruimtestaat[[#This Row],[uren / jaar werkdagen]]*Tariefsopbouw!$E$35</f>
        <v>0</v>
      </c>
      <c r="X15" s="100"/>
      <c r="Y15" s="100">
        <f>IF(Ruimtestaat[[#This Row],[Frequentie weekend]]&gt;0,VALUE(LEFT(X15,1))*Q15,0)</f>
        <v>0</v>
      </c>
      <c r="Z15" s="99">
        <f>IF($Y15&gt;0,VLOOKUP($J15,Ruimtegroepen[],3,FALSE)*VLOOKUP($L15,Vloersoorten[],3,FALSE)*VLOOKUP($X15,Frequenties[],3,FALSE)*VLOOKUP(Ruimtestaat[[#This Row],[Code]],Locaties[],3,FALSE),0)</f>
        <v>0</v>
      </c>
      <c r="AA15" s="99">
        <f>Ruimtestaat[[#This Row],[Uitvoeringen weekend]]*Ruimtestaat[[#This Row],[Oppervlak (netto)]]</f>
        <v>0</v>
      </c>
      <c r="AB15" s="99">
        <f>IF(Z15&gt;0,Ruimtestaat[[#This Row],[Prest. (m2 /jaar) weekend]]/Ruimtestaat[[#This Row],[Norm (m2/uur) weekend]],0)</f>
        <v>0</v>
      </c>
      <c r="AC15" s="136">
        <f>Ruimtestaat[[#This Row],[uren / jaar weekend]]*Tariefsopbouw!$D$40</f>
        <v>0</v>
      </c>
      <c r="AD15" s="135">
        <f>Ruimtestaat[[#This Row],[Prest. (m2 /jaar) weekend]]+Ruimtestaat[[#This Row],[Prest. (m2 /jaar) werkdagen]]</f>
        <v>3442.5</v>
      </c>
      <c r="AE15" s="135">
        <f>Ruimtestaat[[#This Row],[uren / jaar weekend]]+Ruimtestaat[[#This Row],[uren / jaar werkdagen]]</f>
        <v>0</v>
      </c>
      <c r="AF15" s="130">
        <f>Ruimtestaat[[#This Row],[kosten / jaar weekend]]+Ruimtestaat[[#This Row],[kosten / jaar werkdagen]]</f>
        <v>0</v>
      </c>
      <c r="AG15" s="130"/>
      <c r="AH15" s="137" t="str">
        <f>IF(Ruimtestaat[[#This Row],[Frequentie werkdagen]]="","",_xlfn.CONCAT(Ruimtestaat[[#This Row],[Ruimte code]],"-",Ruimtestaat[[#This Row],[Frequentie werkdagen]]," ",Ruimtestaat[[#This Row],[Vloer code]]))</f>
        <v>15-5w L</v>
      </c>
      <c r="AI15" s="142" t="str">
        <f>_xlfn.IFNA(VLOOKUP($AH15,Programma!$F$3:$G$1101,2,0),"")</f>
        <v>_</v>
      </c>
      <c r="AJ15" s="142" t="str">
        <f>_xlfn.IFNA(VLOOKUP($AH15,Programma!$F$3:$H$1101,3,0),"")</f>
        <v>_</v>
      </c>
      <c r="AK15" s="142" t="str">
        <f>_xlfn.IFNA(VLOOKUP($AH15,Programma!$F$3:$I$1101,4,0),"")</f>
        <v>_</v>
      </c>
      <c r="AL15" s="142" t="str">
        <f>_xlfn.IFNA(VLOOKUP($AH15,Programma!$F$3:$J$1101,5,0),"")</f>
        <v>5w</v>
      </c>
      <c r="AM15" s="142" t="str">
        <f>_xlfn.IFNA(VLOOKUP($AH15,Programma!$F$3:$K$1101,6,0),"")</f>
        <v>_</v>
      </c>
      <c r="AN15" s="142" t="str">
        <f>_xlfn.IFNA(VLOOKUP($AH15,Programma!$F$3:$L$1101,7,0),"")</f>
        <v>_</v>
      </c>
      <c r="AO15" s="142" t="str">
        <f>_xlfn.IFNA(VLOOKUP($AH15,Programma!$F$3:$M$1101,8,0),"")</f>
        <v>_</v>
      </c>
      <c r="AP15" s="142" t="str">
        <f>_xlfn.IFNA(VLOOKUP($AH15,Programma!$F$3:$N$1101,9,0),"")</f>
        <v>_</v>
      </c>
      <c r="AQ15" s="142" t="str">
        <f>_xlfn.IFNA(VLOOKUP($AH15,Programma!$F$3:$O$1101,10,0),"")</f>
        <v>5w</v>
      </c>
      <c r="AR15" s="142" t="str">
        <f>_xlfn.IFNA(VLOOKUP($AH15,Programma!$F$3:$P$1101,11,0),"")</f>
        <v>5w</v>
      </c>
      <c r="AS15" s="142" t="str">
        <f>_xlfn.IFNA(VLOOKUP($AH15,Programma!$F$3:$Q$1101,12,0),"")</f>
        <v>1w</v>
      </c>
      <c r="AT15" s="142" t="str">
        <f>_xlfn.IFNA(VLOOKUP($AH15,Programma!$F$3:$R$1101,13,0),"")</f>
        <v>1w</v>
      </c>
      <c r="AU15" s="142" t="str">
        <f>_xlfn.IFNA(VLOOKUP($AH15,Programma!$F$3:$S$1101,14,0),"")</f>
        <v>1m</v>
      </c>
      <c r="AV15" s="142" t="str">
        <f>_xlfn.IFNA(VLOOKUP($AH15,Programma!$F$3:$T$1101,15,0),"")</f>
        <v>2j</v>
      </c>
      <c r="AW15" s="142" t="str">
        <f>_xlfn.IFNA(VLOOKUP($AH15,Programma!$F$3:$U$1101,16,0),"")</f>
        <v>1j</v>
      </c>
      <c r="AX15" s="142" t="str">
        <f>_xlfn.IFNA(VLOOKUP($AH15,Programma!$F$3:$V$1101,17,0),"")</f>
        <v>_</v>
      </c>
      <c r="AY15" s="142" t="str">
        <f>_xlfn.IFNA(VLOOKUP($AH15,Programma!$F$3:$W$1101,18,0),"")</f>
        <v>_</v>
      </c>
      <c r="AZ15" s="142" t="str">
        <f>_xlfn.IFNA(VLOOKUP($AH15,Programma!$F$3:$X$1101,19,0),"")</f>
        <v>_</v>
      </c>
      <c r="BA15" s="142" t="str">
        <f>_xlfn.IFNA(VLOOKUP($AH15,Programma!$F$3:$Y$1101,20,0),"")</f>
        <v>_</v>
      </c>
      <c r="BB15" s="138"/>
      <c r="BC15" s="137" t="str">
        <f>IF(Ruimtestaat[[#This Row],[Frequentie weekend]]="","",_xlfn.CONCAT(Ruimtestaat[[#This Row],[Ruimte code]],"-",Ruimtestaat[[#This Row],[Frequentie weekend]]," ",Ruimtestaat[[#This Row],[Vloer code]]))</f>
        <v/>
      </c>
      <c r="BD15" s="142" t="str">
        <f>_xlfn.IFNA(VLOOKUP($BC15,Programma!$F$3:$G$1101,2,0),"")</f>
        <v/>
      </c>
      <c r="BE15" s="142" t="str">
        <f>_xlfn.IFNA(VLOOKUP($BC15,Programma!$F$3:$H$1101,3,0),"")</f>
        <v/>
      </c>
      <c r="BF15" s="142" t="str">
        <f>_xlfn.IFNA(VLOOKUP($BC15,Programma!$F$3:$I$1101,4,0),"")</f>
        <v/>
      </c>
      <c r="BG15" s="142" t="str">
        <f>_xlfn.IFNA(VLOOKUP($BC15,Programma!$F$3:$J$1101,5,0),"")</f>
        <v/>
      </c>
      <c r="BH15" s="142" t="str">
        <f>_xlfn.IFNA(VLOOKUP($BC15,Programma!$F$3:$K$1101,6,0),"")</f>
        <v/>
      </c>
      <c r="BI15" s="142" t="str">
        <f>_xlfn.IFNA(VLOOKUP($BC15,Programma!$F$3:$L$1101,7,0),"")</f>
        <v/>
      </c>
      <c r="BJ15" s="142" t="str">
        <f>_xlfn.IFNA(VLOOKUP($BC15,Programma!$F$3:$M$1101,8,0),"")</f>
        <v/>
      </c>
      <c r="BK15" s="142" t="str">
        <f>_xlfn.IFNA(VLOOKUP($BC15,Programma!$F$3:$N$1101,9,0),"")</f>
        <v/>
      </c>
      <c r="BL15" s="142" t="str">
        <f>_xlfn.IFNA(VLOOKUP($BC15,Programma!$F$3:$O$1101,10,0),"")</f>
        <v/>
      </c>
      <c r="BM15" s="142" t="str">
        <f>_xlfn.IFNA(VLOOKUP($BC15,Programma!$F$3:$P$1101,11,0),"")</f>
        <v/>
      </c>
      <c r="BN15" s="142" t="str">
        <f>_xlfn.IFNA(VLOOKUP($BC15,Programma!$F$3:$Q$1101,12,0),"")</f>
        <v/>
      </c>
      <c r="BO15" s="142" t="str">
        <f>_xlfn.IFNA(VLOOKUP($BC15,Programma!$F$3:$R$1101,13,0),"")</f>
        <v/>
      </c>
      <c r="BP15" s="142" t="str">
        <f>_xlfn.IFNA(VLOOKUP($BC15,Programma!$F$3:$S$1101,14,0),"")</f>
        <v/>
      </c>
      <c r="BQ15" s="142" t="str">
        <f>_xlfn.IFNA(VLOOKUP($BC15,Programma!$F$3:$T$1101,15,0),"")</f>
        <v/>
      </c>
      <c r="BR15" s="142" t="str">
        <f>_xlfn.IFNA(VLOOKUP($BC15,Programma!$F$3:$U$1101,16,0),"")</f>
        <v/>
      </c>
      <c r="BS15" s="142" t="str">
        <f>_xlfn.IFNA(VLOOKUP($BC15,Programma!$F$3:$V$1101,17,0),"")</f>
        <v/>
      </c>
      <c r="BT15" s="142" t="str">
        <f>_xlfn.IFNA(VLOOKUP($BC15,Programma!$F$3:$W$1101,18,0),"")</f>
        <v/>
      </c>
      <c r="BU15" s="142" t="str">
        <f>_xlfn.IFNA(VLOOKUP($BC15,Programma!$F$3:$X$1101,19,0),"")</f>
        <v/>
      </c>
      <c r="BV15" s="142" t="str">
        <f>_xlfn.IFNA(VLOOKUP($BC15,Programma!$F$3:$Y$1101,20,0),"")</f>
        <v/>
      </c>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28"/>
      <c r="EG15" s="28"/>
      <c r="EH15" s="28"/>
      <c r="EI15" s="28"/>
      <c r="EJ15" s="28"/>
      <c r="EK15" s="28"/>
      <c r="EL15" s="28"/>
      <c r="EM15" s="28"/>
      <c r="EN15" s="28"/>
      <c r="EO15" s="28"/>
      <c r="EP15" s="28"/>
      <c r="EQ15" s="28"/>
      <c r="ER15" s="28"/>
      <c r="ES15" s="28"/>
      <c r="ET15" s="28"/>
      <c r="EU15" s="28"/>
      <c r="EV15" s="28"/>
      <c r="EW15" s="28"/>
      <c r="EX15" s="28"/>
      <c r="EY15" s="28"/>
      <c r="EZ15" s="28"/>
      <c r="FA15" s="28"/>
      <c r="FB15" s="28"/>
      <c r="FC15" s="28"/>
      <c r="FD15" s="28"/>
      <c r="FE15" s="28"/>
      <c r="FF15" s="28"/>
      <c r="FG15" s="28"/>
      <c r="FH15" s="28"/>
      <c r="FI15" s="28"/>
      <c r="FJ15" s="28"/>
      <c r="FK15" s="28"/>
      <c r="FL15" s="28"/>
      <c r="FM15" s="28"/>
      <c r="FN15" s="28"/>
      <c r="FO15" s="28"/>
      <c r="FP15" s="28"/>
      <c r="FQ15" s="28"/>
      <c r="FR15" s="28"/>
      <c r="FS15" s="28"/>
      <c r="FT15" s="28"/>
      <c r="FU15" s="28"/>
      <c r="FV15" s="28"/>
      <c r="FW15" s="28"/>
      <c r="FX15" s="28"/>
      <c r="FY15" s="28"/>
      <c r="FZ15" s="28"/>
      <c r="GA15" s="28"/>
      <c r="GB15" s="28"/>
      <c r="GC15" s="28"/>
      <c r="GD15" s="28"/>
      <c r="GE15" s="28"/>
      <c r="GF15" s="28"/>
      <c r="GG15" s="28"/>
      <c r="GH15" s="28"/>
      <c r="GI15" s="28"/>
      <c r="GJ15" s="28"/>
      <c r="GK15" s="28"/>
      <c r="GL15" s="28"/>
      <c r="GM15" s="28"/>
      <c r="GN15" s="28"/>
      <c r="GO15" s="28"/>
      <c r="GP15" s="28"/>
      <c r="GQ15" s="28"/>
      <c r="GR15" s="28"/>
      <c r="GS15" s="28"/>
      <c r="GT15" s="28"/>
      <c r="GU15" s="28"/>
      <c r="GV15" s="28"/>
      <c r="GW15" s="28"/>
      <c r="GX15" s="28"/>
      <c r="GY15" s="28"/>
      <c r="GZ15" s="28"/>
      <c r="HA15" s="28"/>
      <c r="HB15" s="28"/>
      <c r="HC15" s="28"/>
      <c r="HD15" s="28"/>
      <c r="HE15" s="28"/>
      <c r="HF15" s="28"/>
      <c r="HG15" s="28"/>
      <c r="HH15" s="28"/>
      <c r="HI15" s="28"/>
      <c r="HJ15" s="28"/>
      <c r="HK15" s="28"/>
    </row>
    <row r="16" spans="1:220" ht="15" customHeight="1">
      <c r="A16" s="100">
        <v>1</v>
      </c>
      <c r="B16" s="132" t="str">
        <f>VLOOKUP(Ruimtestaat[[#This Row],[Code]],Locaties[[Code]:[Locatie]],2,FALSE)</f>
        <v>Mirtehuis</v>
      </c>
      <c r="C16" s="132" t="str">
        <f>VLOOKUP(Ruimtestaat[[#This Row],[Code]],Locaties[[#All],[Code]:[Adres]],4,FALSE)</f>
        <v>Weseperweg 6</v>
      </c>
      <c r="D16" s="132" t="str">
        <f>VLOOKUP(Ruimtestaat[[#This Row],[Code]],Locaties[[#All],[Code]:[Postcode]],5,FALSE)</f>
        <v>8111 PK</v>
      </c>
      <c r="E16" s="132" t="str">
        <f>VLOOKUP(Ruimtestaat[[#This Row],[Code]],Locaties[#All],6,FALSE)</f>
        <v>Heeten</v>
      </c>
      <c r="F16" s="100"/>
      <c r="G16" s="100" t="s">
        <v>1675</v>
      </c>
      <c r="H16" s="344"/>
      <c r="I16" s="345" t="s">
        <v>1646</v>
      </c>
      <c r="J16" s="49">
        <v>6</v>
      </c>
      <c r="K16" s="140" t="str">
        <f>VLOOKUP(Ruimtestaat[[#This Row],[Ruimte code]],Ruimtegroepen[[#All],[Code]:[Ruimte omschrijving]],2,FALSE)</f>
        <v>Gangen/hallen</v>
      </c>
      <c r="L16" s="100" t="s">
        <v>99</v>
      </c>
      <c r="M16" s="345" t="s">
        <v>36</v>
      </c>
      <c r="N16" s="133">
        <v>1.45</v>
      </c>
      <c r="O16" s="100"/>
      <c r="P16" s="134" t="str">
        <f>VLOOKUP(Ruimtestaat[[#This Row],[Ruimte code]],Ruimtegroepen[],4,FALSE)</f>
        <v>Ve</v>
      </c>
      <c r="Q16" s="100">
        <v>51</v>
      </c>
      <c r="R16" s="100" t="s">
        <v>2</v>
      </c>
      <c r="S16" s="100">
        <f>IF(Q16&gt;0,IF(RIGHT(Ruimtestaat[[#This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6" s="100">
        <f>IF(S16&gt;0,VLOOKUP($J16,Ruimtegroepen[],3,FALSE)*VLOOKUP($L16,Vloersoorten[],3,FALSE)*VLOOKUP($R16,Frequenties[],3,FALSE)*VLOOKUP($A16,Locaties[],3,FALSE),0)</f>
        <v>0</v>
      </c>
      <c r="U16" s="100">
        <f>Ruimtestaat[[#This Row],[Uitvoeringen werkdagen]]*Ruimtestaat[[#This Row],[Oppervlak (netto)]]</f>
        <v>369.75</v>
      </c>
      <c r="V16" s="135">
        <f>IF(T16&gt;0,Ruimtestaat[[#This Row],[Prest. (m2 /jaar) werkdagen]]/Ruimtestaat[[#This Row],[Norm (m2/uur) werkdagen]],0)</f>
        <v>0</v>
      </c>
      <c r="W16" s="136">
        <f>Ruimtestaat[[#This Row],[uren / jaar werkdagen]]*Tariefsopbouw!$E$35</f>
        <v>0</v>
      </c>
      <c r="X16" s="100"/>
      <c r="Y16" s="100">
        <f>IF(Ruimtestaat[[#This Row],[Frequentie weekend]]&gt;0,VALUE(LEFT(X16,1))*Q16,0)</f>
        <v>0</v>
      </c>
      <c r="Z16" s="99">
        <f>IF($Y16&gt;0,VLOOKUP($J16,Ruimtegroepen[],3,FALSE)*VLOOKUP($L16,Vloersoorten[],3,FALSE)*VLOOKUP($X16,Frequenties[],3,FALSE)*VLOOKUP(Ruimtestaat[[#This Row],[Code]],Locaties[],3,FALSE),0)</f>
        <v>0</v>
      </c>
      <c r="AA16" s="99">
        <f>Ruimtestaat[[#This Row],[Uitvoeringen weekend]]*Ruimtestaat[[#This Row],[Oppervlak (netto)]]</f>
        <v>0</v>
      </c>
      <c r="AB16" s="99">
        <f>IF(Z16&gt;0,Ruimtestaat[[#This Row],[Prest. (m2 /jaar) weekend]]/Ruimtestaat[[#This Row],[Norm (m2/uur) weekend]],0)</f>
        <v>0</v>
      </c>
      <c r="AC16" s="136">
        <f>Ruimtestaat[[#This Row],[uren / jaar weekend]]*Tariefsopbouw!$D$40</f>
        <v>0</v>
      </c>
      <c r="AD16" s="135">
        <f>Ruimtestaat[[#This Row],[Prest. (m2 /jaar) weekend]]+Ruimtestaat[[#This Row],[Prest. (m2 /jaar) werkdagen]]</f>
        <v>369.75</v>
      </c>
      <c r="AE16" s="135">
        <f>Ruimtestaat[[#This Row],[uren / jaar weekend]]+Ruimtestaat[[#This Row],[uren / jaar werkdagen]]</f>
        <v>0</v>
      </c>
      <c r="AF16" s="130">
        <f>Ruimtestaat[[#This Row],[kosten / jaar weekend]]+Ruimtestaat[[#This Row],[kosten / jaar werkdagen]]</f>
        <v>0</v>
      </c>
      <c r="AG16" s="130"/>
      <c r="AH16" s="137" t="str">
        <f>IF(Ruimtestaat[[#This Row],[Frequentie werkdagen]]="","",_xlfn.CONCAT(Ruimtestaat[[#This Row],[Ruimte code]],"-",Ruimtestaat[[#This Row],[Frequentie werkdagen]]," ",Ruimtestaat[[#This Row],[Vloer code]]))</f>
        <v>6-5w T</v>
      </c>
      <c r="AI16" s="142" t="str">
        <f>_xlfn.IFNA(VLOOKUP($AH16,Programma!$F$3:$G$1101,2,0),"")</f>
        <v>_</v>
      </c>
      <c r="AJ16" s="142" t="str">
        <f>_xlfn.IFNA(VLOOKUP($AH16,Programma!$F$3:$H$1101,3,0),"")</f>
        <v>5w</v>
      </c>
      <c r="AK16" s="142" t="str">
        <f>_xlfn.IFNA(VLOOKUP($AH16,Programma!$F$3:$I$1101,4,0),"")</f>
        <v>_</v>
      </c>
      <c r="AL16" s="142" t="str">
        <f>_xlfn.IFNA(VLOOKUP($AH16,Programma!$F$3:$J$1101,5,0),"")</f>
        <v>_</v>
      </c>
      <c r="AM16" s="142" t="str">
        <f>_xlfn.IFNA(VLOOKUP($AH16,Programma!$F$3:$K$1101,6,0),"")</f>
        <v>_</v>
      </c>
      <c r="AN16" s="142" t="str">
        <f>_xlfn.IFNA(VLOOKUP($AH16,Programma!$F$3:$L$1101,7,0),"")</f>
        <v>_</v>
      </c>
      <c r="AO16" s="142" t="str">
        <f>_xlfn.IFNA(VLOOKUP($AH16,Programma!$F$3:$M$1101,8,0),"")</f>
        <v>_</v>
      </c>
      <c r="AP16" s="142" t="str">
        <f>_xlfn.IFNA(VLOOKUP($AH16,Programma!$F$3:$N$1101,9,0),"")</f>
        <v>_</v>
      </c>
      <c r="AQ16" s="142" t="str">
        <f>_xlfn.IFNA(VLOOKUP($AH16,Programma!$F$3:$O$1101,10,0),"")</f>
        <v>5w</v>
      </c>
      <c r="AR16" s="142" t="str">
        <f>_xlfn.IFNA(VLOOKUP($AH16,Programma!$F$3:$P$1101,11,0),"")</f>
        <v>5w</v>
      </c>
      <c r="AS16" s="142" t="str">
        <f>_xlfn.IFNA(VLOOKUP($AH16,Programma!$F$3:$Q$1101,12,0),"")</f>
        <v>1w</v>
      </c>
      <c r="AT16" s="142" t="str">
        <f>_xlfn.IFNA(VLOOKUP($AH16,Programma!$F$3:$R$1101,13,0),"")</f>
        <v>1w</v>
      </c>
      <c r="AU16" s="142" t="str">
        <f>_xlfn.IFNA(VLOOKUP($AH16,Programma!$F$3:$S$1101,14,0),"")</f>
        <v>1m</v>
      </c>
      <c r="AV16" s="142" t="str">
        <f>_xlfn.IFNA(VLOOKUP($AH16,Programma!$F$3:$T$1101,15,0),"")</f>
        <v>2j</v>
      </c>
      <c r="AW16" s="142" t="str">
        <f>_xlfn.IFNA(VLOOKUP($AH16,Programma!$F$3:$U$1101,16,0),"")</f>
        <v>1j</v>
      </c>
      <c r="AX16" s="142" t="str">
        <f>_xlfn.IFNA(VLOOKUP($AH16,Programma!$F$3:$V$1101,17,0),"")</f>
        <v>_</v>
      </c>
      <c r="AY16" s="142" t="str">
        <f>_xlfn.IFNA(VLOOKUP($AH16,Programma!$F$3:$W$1101,18,0),"")</f>
        <v>_</v>
      </c>
      <c r="AZ16" s="142" t="str">
        <f>_xlfn.IFNA(VLOOKUP($AH16,Programma!$F$3:$X$1101,19,0),"")</f>
        <v>_</v>
      </c>
      <c r="BA16" s="142" t="str">
        <f>_xlfn.IFNA(VLOOKUP($AH16,Programma!$F$3:$Y$1101,20,0),"")</f>
        <v>_</v>
      </c>
      <c r="BB16" s="138"/>
      <c r="BC16" s="137" t="str">
        <f>IF(Ruimtestaat[[#This Row],[Frequentie weekend]]="","",_xlfn.CONCAT(Ruimtestaat[[#This Row],[Ruimte code]],"-",Ruimtestaat[[#This Row],[Frequentie weekend]]," ",Ruimtestaat[[#This Row],[Vloer code]]))</f>
        <v/>
      </c>
      <c r="BD16" s="142" t="str">
        <f>_xlfn.IFNA(VLOOKUP($BC16,Programma!$F$3:$G$1101,2,0),"")</f>
        <v/>
      </c>
      <c r="BE16" s="142" t="str">
        <f>_xlfn.IFNA(VLOOKUP($BC16,Programma!$F$3:$H$1101,3,0),"")</f>
        <v/>
      </c>
      <c r="BF16" s="142" t="str">
        <f>_xlfn.IFNA(VLOOKUP($BC16,Programma!$F$3:$I$1101,4,0),"")</f>
        <v/>
      </c>
      <c r="BG16" s="142" t="str">
        <f>_xlfn.IFNA(VLOOKUP($BC16,Programma!$F$3:$J$1101,5,0),"")</f>
        <v/>
      </c>
      <c r="BH16" s="142" t="str">
        <f>_xlfn.IFNA(VLOOKUP($BC16,Programma!$F$3:$K$1101,6,0),"")</f>
        <v/>
      </c>
      <c r="BI16" s="142" t="str">
        <f>_xlfn.IFNA(VLOOKUP($BC16,Programma!$F$3:$L$1101,7,0),"")</f>
        <v/>
      </c>
      <c r="BJ16" s="142" t="str">
        <f>_xlfn.IFNA(VLOOKUP($BC16,Programma!$F$3:$M$1101,8,0),"")</f>
        <v/>
      </c>
      <c r="BK16" s="142" t="str">
        <f>_xlfn.IFNA(VLOOKUP($BC16,Programma!$F$3:$N$1101,9,0),"")</f>
        <v/>
      </c>
      <c r="BL16" s="142" t="str">
        <f>_xlfn.IFNA(VLOOKUP($BC16,Programma!$F$3:$O$1101,10,0),"")</f>
        <v/>
      </c>
      <c r="BM16" s="142" t="str">
        <f>_xlfn.IFNA(VLOOKUP($BC16,Programma!$F$3:$P$1101,11,0),"")</f>
        <v/>
      </c>
      <c r="BN16" s="142" t="str">
        <f>_xlfn.IFNA(VLOOKUP($BC16,Programma!$F$3:$Q$1101,12,0),"")</f>
        <v/>
      </c>
      <c r="BO16" s="142" t="str">
        <f>_xlfn.IFNA(VLOOKUP($BC16,Programma!$F$3:$R$1101,13,0),"")</f>
        <v/>
      </c>
      <c r="BP16" s="142" t="str">
        <f>_xlfn.IFNA(VLOOKUP($BC16,Programma!$F$3:$S$1101,14,0),"")</f>
        <v/>
      </c>
      <c r="BQ16" s="142" t="str">
        <f>_xlfn.IFNA(VLOOKUP($BC16,Programma!$F$3:$T$1101,15,0),"")</f>
        <v/>
      </c>
      <c r="BR16" s="142" t="str">
        <f>_xlfn.IFNA(VLOOKUP($BC16,Programma!$F$3:$U$1101,16,0),"")</f>
        <v/>
      </c>
      <c r="BS16" s="142" t="str">
        <f>_xlfn.IFNA(VLOOKUP($BC16,Programma!$F$3:$V$1101,17,0),"")</f>
        <v/>
      </c>
      <c r="BT16" s="142" t="str">
        <f>_xlfn.IFNA(VLOOKUP($BC16,Programma!$F$3:$W$1101,18,0),"")</f>
        <v/>
      </c>
      <c r="BU16" s="142" t="str">
        <f>_xlfn.IFNA(VLOOKUP($BC16,Programma!$F$3:$X$1101,19,0),"")</f>
        <v/>
      </c>
      <c r="BV16" s="142" t="str">
        <f>_xlfn.IFNA(VLOOKUP($BC16,Programma!$F$3:$Y$1101,20,0),"")</f>
        <v/>
      </c>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28"/>
      <c r="EY16" s="28"/>
      <c r="EZ16" s="28"/>
      <c r="FA16" s="28"/>
      <c r="FB16" s="28"/>
      <c r="FC16" s="28"/>
      <c r="FD16" s="28"/>
      <c r="FE16" s="28"/>
      <c r="FF16" s="28"/>
      <c r="FG16" s="28"/>
      <c r="FH16" s="28"/>
      <c r="FI16" s="28"/>
      <c r="FJ16" s="28"/>
      <c r="FK16" s="28"/>
      <c r="FL16" s="28"/>
      <c r="FM16" s="28"/>
      <c r="FN16" s="28"/>
      <c r="FO16" s="28"/>
      <c r="FP16" s="28"/>
      <c r="FQ16" s="28"/>
      <c r="FR16" s="28"/>
      <c r="FS16" s="28"/>
      <c r="FT16" s="28"/>
      <c r="FU16" s="28"/>
      <c r="FV16" s="28"/>
      <c r="FW16" s="28"/>
      <c r="FX16" s="28"/>
      <c r="FY16" s="28"/>
      <c r="FZ16" s="28"/>
      <c r="GA16" s="28"/>
      <c r="GB16" s="28"/>
      <c r="GC16" s="28"/>
      <c r="GD16" s="28"/>
      <c r="GE16" s="28"/>
      <c r="GF16" s="28"/>
      <c r="GG16" s="28"/>
      <c r="GH16" s="28"/>
      <c r="GI16" s="28"/>
      <c r="GJ16" s="28"/>
      <c r="GK16" s="28"/>
      <c r="GL16" s="28"/>
      <c r="GM16" s="28"/>
      <c r="GN16" s="28"/>
      <c r="GO16" s="28"/>
      <c r="GP16" s="28"/>
      <c r="GQ16" s="28"/>
      <c r="GR16" s="28"/>
      <c r="GS16" s="28"/>
      <c r="GT16" s="28"/>
      <c r="GU16" s="28"/>
      <c r="GV16" s="28"/>
      <c r="GW16" s="28"/>
      <c r="GX16" s="28"/>
      <c r="GY16" s="28"/>
      <c r="GZ16" s="28"/>
      <c r="HA16" s="28"/>
      <c r="HB16" s="28"/>
      <c r="HC16" s="28"/>
      <c r="HD16" s="28"/>
      <c r="HE16" s="28"/>
      <c r="HF16" s="28"/>
      <c r="HG16" s="28"/>
      <c r="HH16" s="28"/>
      <c r="HI16" s="28"/>
      <c r="HJ16" s="28"/>
      <c r="HK16" s="28"/>
    </row>
    <row r="17" spans="1:219" ht="15" customHeight="1">
      <c r="A17" s="100">
        <v>1</v>
      </c>
      <c r="B17" s="132" t="str">
        <f>VLOOKUP(Ruimtestaat[[#This Row],[Code]],Locaties[[Code]:[Locatie]],2,FALSE)</f>
        <v>Mirtehuis</v>
      </c>
      <c r="C17" s="132" t="str">
        <f>VLOOKUP(Ruimtestaat[[#This Row],[Code]],Locaties[[#All],[Code]:[Adres]],4,FALSE)</f>
        <v>Weseperweg 6</v>
      </c>
      <c r="D17" s="132" t="str">
        <f>VLOOKUP(Ruimtestaat[[#This Row],[Code]],Locaties[[#All],[Code]:[Postcode]],5,FALSE)</f>
        <v>8111 PK</v>
      </c>
      <c r="E17" s="132" t="str">
        <f>VLOOKUP(Ruimtestaat[[#This Row],[Code]],Locaties[#All],6,FALSE)</f>
        <v>Heeten</v>
      </c>
      <c r="F17" s="100"/>
      <c r="G17" s="100" t="s">
        <v>1675</v>
      </c>
      <c r="H17" s="344"/>
      <c r="I17" s="345" t="s">
        <v>1647</v>
      </c>
      <c r="J17" s="49">
        <v>15</v>
      </c>
      <c r="K17" s="140" t="str">
        <f>VLOOKUP(Ruimtestaat[[#This Row],[Ruimte code]],Ruimtegroepen[[#All],[Code]:[Ruimte omschrijving]],2,FALSE)</f>
        <v>Keuken/pantry</v>
      </c>
      <c r="L17" s="100" t="s">
        <v>100</v>
      </c>
      <c r="M17" s="345" t="s">
        <v>1636</v>
      </c>
      <c r="N17" s="133">
        <v>6.5</v>
      </c>
      <c r="O17" s="139"/>
      <c r="P17" s="134" t="str">
        <f>VLOOKUP(Ruimtestaat[[#This Row],[Ruimte code]],Ruimtegroepen[],4,FALSE)</f>
        <v>Ve</v>
      </c>
      <c r="Q17" s="100">
        <v>51</v>
      </c>
      <c r="R17" s="100" t="s">
        <v>2</v>
      </c>
      <c r="S17" s="100">
        <f>IF(Q17&gt;0,IF(RIGHT(Ruimtestaat[[#This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7" s="100">
        <f>IF(S17&gt;0,VLOOKUP($J17,Ruimtegroepen[],3,FALSE)*VLOOKUP($L17,Vloersoorten[],3,FALSE)*VLOOKUP($R17,Frequenties[],3,FALSE)*VLOOKUP($A17,Locaties[],3,FALSE),0)</f>
        <v>0</v>
      </c>
      <c r="U17" s="100">
        <f>Ruimtestaat[[#This Row],[Uitvoeringen werkdagen]]*Ruimtestaat[[#This Row],[Oppervlak (netto)]]</f>
        <v>1657.5</v>
      </c>
      <c r="V17" s="135">
        <f>IF(T17&gt;0,Ruimtestaat[[#This Row],[Prest. (m2 /jaar) werkdagen]]/Ruimtestaat[[#This Row],[Norm (m2/uur) werkdagen]],0)</f>
        <v>0</v>
      </c>
      <c r="W17" s="136">
        <f>Ruimtestaat[[#This Row],[uren / jaar werkdagen]]*Tariefsopbouw!$E$35</f>
        <v>0</v>
      </c>
      <c r="X17" s="100"/>
      <c r="Y17" s="100">
        <f>IF(Ruimtestaat[[#This Row],[Frequentie weekend]]&gt;0,VALUE(LEFT(X17,1))*Q17,0)</f>
        <v>0</v>
      </c>
      <c r="Z17" s="99">
        <f>IF($Y17&gt;0,VLOOKUP($J17,Ruimtegroepen[],3,FALSE)*VLOOKUP($L17,Vloersoorten[],3,FALSE)*VLOOKUP($X17,Frequenties[],3,FALSE)*VLOOKUP(Ruimtestaat[[#This Row],[Code]],Locaties[],3,FALSE),0)</f>
        <v>0</v>
      </c>
      <c r="AA17" s="99">
        <f>Ruimtestaat[[#This Row],[Uitvoeringen weekend]]*Ruimtestaat[[#This Row],[Oppervlak (netto)]]</f>
        <v>0</v>
      </c>
      <c r="AB17" s="99">
        <f>IF(Z17&gt;0,Ruimtestaat[[#This Row],[Prest. (m2 /jaar) weekend]]/Ruimtestaat[[#This Row],[Norm (m2/uur) weekend]],0)</f>
        <v>0</v>
      </c>
      <c r="AC17" s="136">
        <f>Ruimtestaat[[#This Row],[uren / jaar weekend]]*Tariefsopbouw!$D$40</f>
        <v>0</v>
      </c>
      <c r="AD17" s="135">
        <f>Ruimtestaat[[#This Row],[Prest. (m2 /jaar) weekend]]+Ruimtestaat[[#This Row],[Prest. (m2 /jaar) werkdagen]]</f>
        <v>1657.5</v>
      </c>
      <c r="AE17" s="135">
        <f>Ruimtestaat[[#This Row],[uren / jaar weekend]]+Ruimtestaat[[#This Row],[uren / jaar werkdagen]]</f>
        <v>0</v>
      </c>
      <c r="AF17" s="130">
        <f>Ruimtestaat[[#This Row],[kosten / jaar weekend]]+Ruimtestaat[[#This Row],[kosten / jaar werkdagen]]</f>
        <v>0</v>
      </c>
      <c r="AG17" s="130"/>
      <c r="AH17" s="137" t="str">
        <f>IF(Ruimtestaat[[#This Row],[Frequentie werkdagen]]="","",_xlfn.CONCAT(Ruimtestaat[[#This Row],[Ruimte code]],"-",Ruimtestaat[[#This Row],[Frequentie werkdagen]]," ",Ruimtestaat[[#This Row],[Vloer code]]))</f>
        <v>15-5w L</v>
      </c>
      <c r="AI17" s="142" t="str">
        <f>_xlfn.IFNA(VLOOKUP($AH17,Programma!$F$3:$G$1101,2,0),"")</f>
        <v>_</v>
      </c>
      <c r="AJ17" s="142" t="str">
        <f>_xlfn.IFNA(VLOOKUP($AH17,Programma!$F$3:$H$1101,3,0),"")</f>
        <v>_</v>
      </c>
      <c r="AK17" s="142" t="str">
        <f>_xlfn.IFNA(VLOOKUP($AH17,Programma!$F$3:$I$1101,4,0),"")</f>
        <v>_</v>
      </c>
      <c r="AL17" s="142" t="str">
        <f>_xlfn.IFNA(VLOOKUP($AH17,Programma!$F$3:$J$1101,5,0),"")</f>
        <v>5w</v>
      </c>
      <c r="AM17" s="142" t="str">
        <f>_xlfn.IFNA(VLOOKUP($AH17,Programma!$F$3:$K$1101,6,0),"")</f>
        <v>_</v>
      </c>
      <c r="AN17" s="142" t="str">
        <f>_xlfn.IFNA(VLOOKUP($AH17,Programma!$F$3:$L$1101,7,0),"")</f>
        <v>_</v>
      </c>
      <c r="AO17" s="142" t="str">
        <f>_xlfn.IFNA(VLOOKUP($AH17,Programma!$F$3:$M$1101,8,0),"")</f>
        <v>_</v>
      </c>
      <c r="AP17" s="142" t="str">
        <f>_xlfn.IFNA(VLOOKUP($AH17,Programma!$F$3:$N$1101,9,0),"")</f>
        <v>_</v>
      </c>
      <c r="AQ17" s="142" t="str">
        <f>_xlfn.IFNA(VLOOKUP($AH17,Programma!$F$3:$O$1101,10,0),"")</f>
        <v>5w</v>
      </c>
      <c r="AR17" s="142" t="str">
        <f>_xlfn.IFNA(VLOOKUP($AH17,Programma!$F$3:$P$1101,11,0),"")</f>
        <v>5w</v>
      </c>
      <c r="AS17" s="142" t="str">
        <f>_xlfn.IFNA(VLOOKUP($AH17,Programma!$F$3:$Q$1101,12,0),"")</f>
        <v>1w</v>
      </c>
      <c r="AT17" s="142" t="str">
        <f>_xlfn.IFNA(VLOOKUP($AH17,Programma!$F$3:$R$1101,13,0),"")</f>
        <v>1w</v>
      </c>
      <c r="AU17" s="142" t="str">
        <f>_xlfn.IFNA(VLOOKUP($AH17,Programma!$F$3:$S$1101,14,0),"")</f>
        <v>1m</v>
      </c>
      <c r="AV17" s="142" t="str">
        <f>_xlfn.IFNA(VLOOKUP($AH17,Programma!$F$3:$T$1101,15,0),"")</f>
        <v>2j</v>
      </c>
      <c r="AW17" s="142" t="str">
        <f>_xlfn.IFNA(VLOOKUP($AH17,Programma!$F$3:$U$1101,16,0),"")</f>
        <v>1j</v>
      </c>
      <c r="AX17" s="142" t="str">
        <f>_xlfn.IFNA(VLOOKUP($AH17,Programma!$F$3:$V$1101,17,0),"")</f>
        <v>_</v>
      </c>
      <c r="AY17" s="142" t="str">
        <f>_xlfn.IFNA(VLOOKUP($AH17,Programma!$F$3:$W$1101,18,0),"")</f>
        <v>_</v>
      </c>
      <c r="AZ17" s="142" t="str">
        <f>_xlfn.IFNA(VLOOKUP($AH17,Programma!$F$3:$X$1101,19,0),"")</f>
        <v>_</v>
      </c>
      <c r="BA17" s="142" t="str">
        <f>_xlfn.IFNA(VLOOKUP($AH17,Programma!$F$3:$Y$1101,20,0),"")</f>
        <v>_</v>
      </c>
      <c r="BB17" s="138"/>
      <c r="BC17" s="137" t="str">
        <f>IF(Ruimtestaat[[#This Row],[Frequentie weekend]]="","",_xlfn.CONCAT(Ruimtestaat[[#This Row],[Ruimte code]],"-",Ruimtestaat[[#This Row],[Frequentie weekend]]," ",Ruimtestaat[[#This Row],[Vloer code]]))</f>
        <v/>
      </c>
      <c r="BD17" s="142" t="str">
        <f>_xlfn.IFNA(VLOOKUP($BC17,Programma!$F$3:$G$1101,2,0),"")</f>
        <v/>
      </c>
      <c r="BE17" s="142" t="str">
        <f>_xlfn.IFNA(VLOOKUP($BC17,Programma!$F$3:$H$1101,3,0),"")</f>
        <v/>
      </c>
      <c r="BF17" s="142" t="str">
        <f>_xlfn.IFNA(VLOOKUP($BC17,Programma!$F$3:$I$1101,4,0),"")</f>
        <v/>
      </c>
      <c r="BG17" s="142" t="str">
        <f>_xlfn.IFNA(VLOOKUP($BC17,Programma!$F$3:$J$1101,5,0),"")</f>
        <v/>
      </c>
      <c r="BH17" s="142" t="str">
        <f>_xlfn.IFNA(VLOOKUP($BC17,Programma!$F$3:$K$1101,6,0),"")</f>
        <v/>
      </c>
      <c r="BI17" s="142" t="str">
        <f>_xlfn.IFNA(VLOOKUP($BC17,Programma!$F$3:$L$1101,7,0),"")</f>
        <v/>
      </c>
      <c r="BJ17" s="142" t="str">
        <f>_xlfn.IFNA(VLOOKUP($BC17,Programma!$F$3:$M$1101,8,0),"")</f>
        <v/>
      </c>
      <c r="BK17" s="142" t="str">
        <f>_xlfn.IFNA(VLOOKUP($BC17,Programma!$F$3:$N$1101,9,0),"")</f>
        <v/>
      </c>
      <c r="BL17" s="142" t="str">
        <f>_xlfn.IFNA(VLOOKUP($BC17,Programma!$F$3:$O$1101,10,0),"")</f>
        <v/>
      </c>
      <c r="BM17" s="142" t="str">
        <f>_xlfn.IFNA(VLOOKUP($BC17,Programma!$F$3:$P$1101,11,0),"")</f>
        <v/>
      </c>
      <c r="BN17" s="142" t="str">
        <f>_xlfn.IFNA(VLOOKUP($BC17,Programma!$F$3:$Q$1101,12,0),"")</f>
        <v/>
      </c>
      <c r="BO17" s="142" t="str">
        <f>_xlfn.IFNA(VLOOKUP($BC17,Programma!$F$3:$R$1101,13,0),"")</f>
        <v/>
      </c>
      <c r="BP17" s="142" t="str">
        <f>_xlfn.IFNA(VLOOKUP($BC17,Programma!$F$3:$S$1101,14,0),"")</f>
        <v/>
      </c>
      <c r="BQ17" s="142" t="str">
        <f>_xlfn.IFNA(VLOOKUP($BC17,Programma!$F$3:$T$1101,15,0),"")</f>
        <v/>
      </c>
      <c r="BR17" s="142" t="str">
        <f>_xlfn.IFNA(VLOOKUP($BC17,Programma!$F$3:$U$1101,16,0),"")</f>
        <v/>
      </c>
      <c r="BS17" s="142" t="str">
        <f>_xlfn.IFNA(VLOOKUP($BC17,Programma!$F$3:$V$1101,17,0),"")</f>
        <v/>
      </c>
      <c r="BT17" s="142" t="str">
        <f>_xlfn.IFNA(VLOOKUP($BC17,Programma!$F$3:$W$1101,18,0),"")</f>
        <v/>
      </c>
      <c r="BU17" s="142" t="str">
        <f>_xlfn.IFNA(VLOOKUP($BC17,Programma!$F$3:$X$1101,19,0),"")</f>
        <v/>
      </c>
      <c r="BV17" s="142" t="str">
        <f>_xlfn.IFNA(VLOOKUP($BC17,Programma!$F$3:$Y$1101,20,0),"")</f>
        <v/>
      </c>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28"/>
      <c r="EG17" s="28"/>
      <c r="EH17" s="28"/>
      <c r="EI17" s="28"/>
      <c r="EJ17" s="28"/>
      <c r="EK17" s="28"/>
      <c r="EL17" s="28"/>
      <c r="EM17" s="28"/>
      <c r="EN17" s="28"/>
      <c r="EO17" s="28"/>
      <c r="EP17" s="28"/>
      <c r="EQ17" s="28"/>
      <c r="ER17" s="28"/>
      <c r="ES17" s="28"/>
      <c r="ET17" s="28"/>
      <c r="EU17" s="28"/>
      <c r="EV17" s="28"/>
      <c r="EW17" s="28"/>
      <c r="EX17" s="28"/>
      <c r="EY17" s="28"/>
      <c r="EZ17" s="28"/>
      <c r="FA17" s="28"/>
      <c r="FB17" s="28"/>
      <c r="FC17" s="28"/>
      <c r="FD17" s="28"/>
      <c r="FE17" s="28"/>
      <c r="FF17" s="28"/>
      <c r="FG17" s="28"/>
      <c r="FH17" s="28"/>
      <c r="FI17" s="28"/>
      <c r="FJ17" s="28"/>
      <c r="FK17" s="28"/>
      <c r="FL17" s="28"/>
      <c r="FM17" s="28"/>
      <c r="FN17" s="28"/>
      <c r="FO17" s="28"/>
      <c r="FP17" s="28"/>
      <c r="FQ17" s="28"/>
      <c r="FR17" s="28"/>
      <c r="FS17" s="28"/>
      <c r="FT17" s="28"/>
      <c r="FU17" s="28"/>
      <c r="FV17" s="28"/>
      <c r="FW17" s="28"/>
      <c r="FX17" s="28"/>
      <c r="FY17" s="28"/>
      <c r="FZ17" s="28"/>
      <c r="GA17" s="28"/>
      <c r="GB17" s="28"/>
      <c r="GC17" s="28"/>
      <c r="GD17" s="28"/>
      <c r="GE17" s="28"/>
      <c r="GF17" s="28"/>
      <c r="GG17" s="28"/>
      <c r="GH17" s="28"/>
      <c r="GI17" s="28"/>
      <c r="GJ17" s="28"/>
      <c r="GK17" s="28"/>
      <c r="GL17" s="28"/>
      <c r="GM17" s="28"/>
      <c r="GN17" s="28"/>
      <c r="GO17" s="28"/>
      <c r="GP17" s="28"/>
      <c r="GQ17" s="28"/>
      <c r="GR17" s="28"/>
      <c r="GS17" s="28"/>
      <c r="GT17" s="28"/>
      <c r="GU17" s="28"/>
      <c r="GV17" s="28"/>
      <c r="GW17" s="28"/>
      <c r="GX17" s="28"/>
      <c r="GY17" s="28"/>
      <c r="GZ17" s="28"/>
      <c r="HA17" s="28"/>
      <c r="HB17" s="28"/>
      <c r="HC17" s="28"/>
      <c r="HD17" s="28"/>
      <c r="HE17" s="28"/>
      <c r="HF17" s="28"/>
      <c r="HG17" s="28"/>
      <c r="HH17" s="28"/>
      <c r="HI17" s="28"/>
      <c r="HJ17" s="28"/>
      <c r="HK17" s="28"/>
    </row>
    <row r="18" spans="1:219" ht="15" customHeight="1">
      <c r="A18" s="100">
        <v>1</v>
      </c>
      <c r="B18" s="132" t="str">
        <f>VLOOKUP(Ruimtestaat[[#This Row],[Code]],Locaties[[Code]:[Locatie]],2,FALSE)</f>
        <v>Mirtehuis</v>
      </c>
      <c r="C18" s="132" t="str">
        <f>VLOOKUP(Ruimtestaat[[#This Row],[Code]],Locaties[[#All],[Code]:[Adres]],4,FALSE)</f>
        <v>Weseperweg 6</v>
      </c>
      <c r="D18" s="132" t="str">
        <f>VLOOKUP(Ruimtestaat[[#This Row],[Code]],Locaties[[#All],[Code]:[Postcode]],5,FALSE)</f>
        <v>8111 PK</v>
      </c>
      <c r="E18" s="132" t="str">
        <f>VLOOKUP(Ruimtestaat[[#This Row],[Code]],Locaties[#All],6,FALSE)</f>
        <v>Heeten</v>
      </c>
      <c r="F18" s="100"/>
      <c r="G18" s="100" t="s">
        <v>1675</v>
      </c>
      <c r="H18" s="344" t="s">
        <v>1648</v>
      </c>
      <c r="I18" s="345" t="s">
        <v>1649</v>
      </c>
      <c r="J18" s="49">
        <v>9</v>
      </c>
      <c r="K18" s="140" t="str">
        <f>VLOOKUP(Ruimtestaat[[#This Row],[Ruimte code]],Ruimtegroepen[[#All],[Code]:[Ruimte omschrijving]],2,FALSE)</f>
        <v>Woonruimte</v>
      </c>
      <c r="L18" s="100" t="s">
        <v>1306</v>
      </c>
      <c r="M18" s="345" t="s">
        <v>248</v>
      </c>
      <c r="N18" s="133">
        <v>49.5</v>
      </c>
      <c r="O18" s="139"/>
      <c r="P18" s="134" t="str">
        <f>VLOOKUP(Ruimtestaat[[#This Row],[Ruimte code]],Ruimtegroepen[],4,FALSE)</f>
        <v>Ve</v>
      </c>
      <c r="Q18" s="100">
        <v>51</v>
      </c>
      <c r="R18" s="100" t="s">
        <v>2</v>
      </c>
      <c r="S18" s="100">
        <f>IF(Q18&gt;0,IF(RIGHT(Ruimtestaat[[#This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8" s="100">
        <f>IF(S18&gt;0,VLOOKUP($J18,Ruimtegroepen[],3,FALSE)*VLOOKUP($L18,Vloersoorten[],3,FALSE)*VLOOKUP($R18,Frequenties[],3,FALSE)*VLOOKUP($A18,Locaties[],3,FALSE),0)</f>
        <v>0</v>
      </c>
      <c r="U18" s="100">
        <f>Ruimtestaat[[#This Row],[Uitvoeringen werkdagen]]*Ruimtestaat[[#This Row],[Oppervlak (netto)]]</f>
        <v>12622.5</v>
      </c>
      <c r="V18" s="135">
        <f>IF(T18&gt;0,Ruimtestaat[[#This Row],[Prest. (m2 /jaar) werkdagen]]/Ruimtestaat[[#This Row],[Norm (m2/uur) werkdagen]],0)</f>
        <v>0</v>
      </c>
      <c r="W18" s="136">
        <f>Ruimtestaat[[#This Row],[uren / jaar werkdagen]]*Tariefsopbouw!$E$35</f>
        <v>0</v>
      </c>
      <c r="X18" s="100"/>
      <c r="Y18" s="100">
        <f>IF(Ruimtestaat[[#This Row],[Frequentie weekend]]&gt;0,VALUE(LEFT(X18,1))*Q18,0)</f>
        <v>0</v>
      </c>
      <c r="Z18" s="99">
        <f>IF($Y18&gt;0,VLOOKUP($J18,Ruimtegroepen[],3,FALSE)*VLOOKUP($L18,Vloersoorten[],3,FALSE)*VLOOKUP($X18,Frequenties[],3,FALSE)*VLOOKUP(Ruimtestaat[[#This Row],[Code]],Locaties[],3,FALSE),0)</f>
        <v>0</v>
      </c>
      <c r="AA18" s="99">
        <f>Ruimtestaat[[#This Row],[Uitvoeringen weekend]]*Ruimtestaat[[#This Row],[Oppervlak (netto)]]</f>
        <v>0</v>
      </c>
      <c r="AB18" s="99">
        <f>IF(Z18&gt;0,Ruimtestaat[[#This Row],[Prest. (m2 /jaar) weekend]]/Ruimtestaat[[#This Row],[Norm (m2/uur) weekend]],0)</f>
        <v>0</v>
      </c>
      <c r="AC18" s="136">
        <f>Ruimtestaat[[#This Row],[uren / jaar weekend]]*Tariefsopbouw!$D$40</f>
        <v>0</v>
      </c>
      <c r="AD18" s="135">
        <f>Ruimtestaat[[#This Row],[Prest. (m2 /jaar) weekend]]+Ruimtestaat[[#This Row],[Prest. (m2 /jaar) werkdagen]]</f>
        <v>12622.5</v>
      </c>
      <c r="AE18" s="135">
        <f>Ruimtestaat[[#This Row],[uren / jaar weekend]]+Ruimtestaat[[#This Row],[uren / jaar werkdagen]]</f>
        <v>0</v>
      </c>
      <c r="AF18" s="130">
        <f>Ruimtestaat[[#This Row],[kosten / jaar weekend]]+Ruimtestaat[[#This Row],[kosten / jaar werkdagen]]</f>
        <v>0</v>
      </c>
      <c r="AG18" s="130"/>
      <c r="AH18" s="137" t="str">
        <f>IF(Ruimtestaat[[#This Row],[Frequentie werkdagen]]="","",_xlfn.CONCAT(Ruimtestaat[[#This Row],[Ruimte code]],"-",Ruimtestaat[[#This Row],[Frequentie werkdagen]]," ",Ruimtestaat[[#This Row],[Vloer code]]))</f>
        <v>9-5w H</v>
      </c>
      <c r="AI18" s="142" t="str">
        <f>_xlfn.IFNA(VLOOKUP($AH18,Programma!$F$3:$G$1101,2,0),"")</f>
        <v>_</v>
      </c>
      <c r="AJ18" s="142" t="str">
        <f>_xlfn.IFNA(VLOOKUP($AH18,Programma!$F$3:$H$1101,3,0),"")</f>
        <v>_</v>
      </c>
      <c r="AK18" s="142" t="str">
        <f>_xlfn.IFNA(VLOOKUP($AH18,Programma!$F$3:$I$1101,4,0),"")</f>
        <v>5w</v>
      </c>
      <c r="AL18" s="142" t="str">
        <f>_xlfn.IFNA(VLOOKUP($AH18,Programma!$F$3:$J$1101,5,0),"")</f>
        <v>_</v>
      </c>
      <c r="AM18" s="142" t="str">
        <f>_xlfn.IFNA(VLOOKUP($AH18,Programma!$F$3:$K$1101,6,0),"")</f>
        <v>4j</v>
      </c>
      <c r="AN18" s="142" t="str">
        <f>_xlfn.IFNA(VLOOKUP($AH18,Programma!$F$3:$L$1101,7,0),"")</f>
        <v>_</v>
      </c>
      <c r="AO18" s="142" t="str">
        <f>_xlfn.IFNA(VLOOKUP($AH18,Programma!$F$3:$M$1101,8,0),"")</f>
        <v>_</v>
      </c>
      <c r="AP18" s="142" t="str">
        <f>_xlfn.IFNA(VLOOKUP($AH18,Programma!$F$3:$N$1101,9,0),"")</f>
        <v>_</v>
      </c>
      <c r="AQ18" s="142" t="str">
        <f>_xlfn.IFNA(VLOOKUP($AH18,Programma!$F$3:$O$1101,10,0),"")</f>
        <v>5w</v>
      </c>
      <c r="AR18" s="142" t="str">
        <f>_xlfn.IFNA(VLOOKUP($AH18,Programma!$F$3:$P$1101,11,0),"")</f>
        <v>5w</v>
      </c>
      <c r="AS18" s="142" t="str">
        <f>_xlfn.IFNA(VLOOKUP($AH18,Programma!$F$3:$Q$1101,12,0),"")</f>
        <v>1w</v>
      </c>
      <c r="AT18" s="142" t="str">
        <f>_xlfn.IFNA(VLOOKUP($AH18,Programma!$F$3:$R$1101,13,0),"")</f>
        <v>1w</v>
      </c>
      <c r="AU18" s="142" t="str">
        <f>_xlfn.IFNA(VLOOKUP($AH18,Programma!$F$3:$S$1101,14,0),"")</f>
        <v>1m</v>
      </c>
      <c r="AV18" s="142" t="str">
        <f>_xlfn.IFNA(VLOOKUP($AH18,Programma!$F$3:$T$1101,15,0),"")</f>
        <v>2j</v>
      </c>
      <c r="AW18" s="142" t="str">
        <f>_xlfn.IFNA(VLOOKUP($AH18,Programma!$F$3:$U$1101,16,0),"")</f>
        <v>1j</v>
      </c>
      <c r="AX18" s="142" t="str">
        <f>_xlfn.IFNA(VLOOKUP($AH18,Programma!$F$3:$V$1101,17,0),"")</f>
        <v>_</v>
      </c>
      <c r="AY18" s="142" t="str">
        <f>_xlfn.IFNA(VLOOKUP($AH18,Programma!$F$3:$W$1101,18,0),"")</f>
        <v>_</v>
      </c>
      <c r="AZ18" s="142" t="str">
        <f>_xlfn.IFNA(VLOOKUP($AH18,Programma!$F$3:$X$1101,19,0),"")</f>
        <v>_</v>
      </c>
      <c r="BA18" s="142" t="str">
        <f>_xlfn.IFNA(VLOOKUP($AH18,Programma!$F$3:$Y$1101,20,0),"")</f>
        <v>_</v>
      </c>
      <c r="BB18" s="138"/>
      <c r="BC18" s="137" t="str">
        <f>IF(Ruimtestaat[[#This Row],[Frequentie weekend]]="","",_xlfn.CONCAT(Ruimtestaat[[#This Row],[Ruimte code]],"-",Ruimtestaat[[#This Row],[Frequentie weekend]]," ",Ruimtestaat[[#This Row],[Vloer code]]))</f>
        <v/>
      </c>
      <c r="BD18" s="142" t="str">
        <f>_xlfn.IFNA(VLOOKUP($BC18,Programma!$F$3:$G$1101,2,0),"")</f>
        <v/>
      </c>
      <c r="BE18" s="142" t="str">
        <f>_xlfn.IFNA(VLOOKUP($BC18,Programma!$F$3:$H$1101,3,0),"")</f>
        <v/>
      </c>
      <c r="BF18" s="142" t="str">
        <f>_xlfn.IFNA(VLOOKUP($BC18,Programma!$F$3:$I$1101,4,0),"")</f>
        <v/>
      </c>
      <c r="BG18" s="142" t="str">
        <f>_xlfn.IFNA(VLOOKUP($BC18,Programma!$F$3:$J$1101,5,0),"")</f>
        <v/>
      </c>
      <c r="BH18" s="142" t="str">
        <f>_xlfn.IFNA(VLOOKUP($BC18,Programma!$F$3:$K$1101,6,0),"")</f>
        <v/>
      </c>
      <c r="BI18" s="142" t="str">
        <f>_xlfn.IFNA(VLOOKUP($BC18,Programma!$F$3:$L$1101,7,0),"")</f>
        <v/>
      </c>
      <c r="BJ18" s="142" t="str">
        <f>_xlfn.IFNA(VLOOKUP($BC18,Programma!$F$3:$M$1101,8,0),"")</f>
        <v/>
      </c>
      <c r="BK18" s="142" t="str">
        <f>_xlfn.IFNA(VLOOKUP($BC18,Programma!$F$3:$N$1101,9,0),"")</f>
        <v/>
      </c>
      <c r="BL18" s="142" t="str">
        <f>_xlfn.IFNA(VLOOKUP($BC18,Programma!$F$3:$O$1101,10,0),"")</f>
        <v/>
      </c>
      <c r="BM18" s="142" t="str">
        <f>_xlfn.IFNA(VLOOKUP($BC18,Programma!$F$3:$P$1101,11,0),"")</f>
        <v/>
      </c>
      <c r="BN18" s="142" t="str">
        <f>_xlfn.IFNA(VLOOKUP($BC18,Programma!$F$3:$Q$1101,12,0),"")</f>
        <v/>
      </c>
      <c r="BO18" s="142" t="str">
        <f>_xlfn.IFNA(VLOOKUP($BC18,Programma!$F$3:$R$1101,13,0),"")</f>
        <v/>
      </c>
      <c r="BP18" s="142" t="str">
        <f>_xlfn.IFNA(VLOOKUP($BC18,Programma!$F$3:$S$1101,14,0),"")</f>
        <v/>
      </c>
      <c r="BQ18" s="142" t="str">
        <f>_xlfn.IFNA(VLOOKUP($BC18,Programma!$F$3:$T$1101,15,0),"")</f>
        <v/>
      </c>
      <c r="BR18" s="142" t="str">
        <f>_xlfn.IFNA(VLOOKUP($BC18,Programma!$F$3:$U$1101,16,0),"")</f>
        <v/>
      </c>
      <c r="BS18" s="142" t="str">
        <f>_xlfn.IFNA(VLOOKUP($BC18,Programma!$F$3:$V$1101,17,0),"")</f>
        <v/>
      </c>
      <c r="BT18" s="142" t="str">
        <f>_xlfn.IFNA(VLOOKUP($BC18,Programma!$F$3:$W$1101,18,0),"")</f>
        <v/>
      </c>
      <c r="BU18" s="142" t="str">
        <f>_xlfn.IFNA(VLOOKUP($BC18,Programma!$F$3:$X$1101,19,0),"")</f>
        <v/>
      </c>
      <c r="BV18" s="142" t="str">
        <f>_xlfn.IFNA(VLOOKUP($BC18,Programma!$F$3:$Y$1101,20,0),"")</f>
        <v/>
      </c>
      <c r="BW18" s="28"/>
      <c r="BX18" s="28"/>
      <c r="BY18" s="28"/>
      <c r="BZ18" s="28"/>
      <c r="CA18" s="28"/>
      <c r="CB18" s="28"/>
      <c r="CC18" s="28"/>
      <c r="CD18" s="28"/>
      <c r="CE18" s="28"/>
      <c r="CF18" s="28"/>
      <c r="CG18" s="28"/>
      <c r="CH18" s="28"/>
      <c r="CI18" s="28"/>
      <c r="CJ18" s="28"/>
      <c r="CK18" s="28"/>
      <c r="CL18" s="28"/>
      <c r="CM18" s="28"/>
      <c r="CN18" s="28"/>
      <c r="CO18" s="28"/>
      <c r="CP18" s="28"/>
      <c r="CQ18" s="28"/>
      <c r="CR18" s="28"/>
      <c r="CS18" s="28"/>
      <c r="CT18" s="28"/>
      <c r="CU18" s="28"/>
      <c r="CV18" s="28"/>
      <c r="CW18" s="28"/>
      <c r="CX18" s="28"/>
      <c r="CY18" s="28"/>
      <c r="CZ18" s="28"/>
      <c r="DA18" s="28"/>
      <c r="DB18" s="28"/>
      <c r="DC18" s="28"/>
      <c r="DD18" s="28"/>
      <c r="DE18" s="28"/>
      <c r="DF18" s="28"/>
      <c r="DG18" s="28"/>
      <c r="DH18" s="28"/>
      <c r="DI18" s="28"/>
      <c r="DJ18" s="28"/>
      <c r="DK18" s="28"/>
      <c r="DL18" s="28"/>
      <c r="DM18" s="28"/>
      <c r="DN18" s="28"/>
      <c r="DO18" s="28"/>
      <c r="DP18" s="28"/>
      <c r="DQ18" s="28"/>
      <c r="DR18" s="28"/>
      <c r="DS18" s="28"/>
      <c r="DT18" s="28"/>
      <c r="DU18" s="28"/>
      <c r="DV18" s="28"/>
      <c r="DW18" s="28"/>
      <c r="DX18" s="28"/>
      <c r="DY18" s="28"/>
      <c r="DZ18" s="28"/>
      <c r="EA18" s="28"/>
      <c r="EB18" s="28"/>
      <c r="EC18" s="28"/>
      <c r="ED18" s="28"/>
      <c r="EE18" s="28"/>
      <c r="EF18" s="28"/>
      <c r="EG18" s="28"/>
      <c r="EH18" s="28"/>
      <c r="EI18" s="28"/>
      <c r="EJ18" s="28"/>
      <c r="EK18" s="28"/>
      <c r="EL18" s="28"/>
      <c r="EM18" s="28"/>
      <c r="EN18" s="28"/>
      <c r="EO18" s="28"/>
      <c r="EP18" s="28"/>
      <c r="EQ18" s="28"/>
      <c r="ER18" s="28"/>
      <c r="ES18" s="28"/>
      <c r="ET18" s="28"/>
      <c r="EU18" s="28"/>
      <c r="EV18" s="28"/>
      <c r="EW18" s="28"/>
      <c r="EX18" s="28"/>
      <c r="EY18" s="28"/>
      <c r="EZ18" s="28"/>
      <c r="FA18" s="28"/>
      <c r="FB18" s="28"/>
      <c r="FC18" s="28"/>
      <c r="FD18" s="28"/>
      <c r="FE18" s="28"/>
      <c r="FF18" s="28"/>
      <c r="FG18" s="28"/>
      <c r="FH18" s="28"/>
      <c r="FI18" s="28"/>
      <c r="FJ18" s="28"/>
      <c r="FK18" s="28"/>
      <c r="FL18" s="28"/>
      <c r="FM18" s="28"/>
      <c r="FN18" s="28"/>
      <c r="FO18" s="28"/>
      <c r="FP18" s="28"/>
      <c r="FQ18" s="28"/>
      <c r="FR18" s="28"/>
      <c r="FS18" s="28"/>
      <c r="FT18" s="28"/>
      <c r="FU18" s="28"/>
      <c r="FV18" s="28"/>
      <c r="FW18" s="28"/>
      <c r="FX18" s="28"/>
      <c r="FY18" s="28"/>
      <c r="FZ18" s="28"/>
      <c r="GA18" s="28"/>
      <c r="GB18" s="28"/>
      <c r="GC18" s="28"/>
      <c r="GD18" s="28"/>
      <c r="GE18" s="28"/>
      <c r="GF18" s="28"/>
      <c r="GG18" s="28"/>
      <c r="GH18" s="28"/>
      <c r="GI18" s="28"/>
      <c r="GJ18" s="28"/>
      <c r="GK18" s="28"/>
      <c r="GL18" s="28"/>
      <c r="GM18" s="28"/>
      <c r="GN18" s="28"/>
      <c r="GO18" s="28"/>
      <c r="GP18" s="28"/>
      <c r="GQ18" s="28"/>
      <c r="GR18" s="28"/>
      <c r="GS18" s="28"/>
      <c r="GT18" s="28"/>
      <c r="GU18" s="28"/>
      <c r="GV18" s="28"/>
      <c r="GW18" s="28"/>
      <c r="GX18" s="28"/>
      <c r="GY18" s="28"/>
      <c r="GZ18" s="28"/>
      <c r="HA18" s="28"/>
      <c r="HB18" s="28"/>
      <c r="HC18" s="28"/>
      <c r="HD18" s="28"/>
      <c r="HE18" s="28"/>
      <c r="HF18" s="28"/>
      <c r="HG18" s="28"/>
      <c r="HH18" s="28"/>
      <c r="HI18" s="28"/>
      <c r="HJ18" s="28"/>
      <c r="HK18" s="28"/>
    </row>
    <row r="19" spans="1:219" ht="15" customHeight="1">
      <c r="A19" s="100">
        <v>1</v>
      </c>
      <c r="B19" s="132" t="str">
        <f>VLOOKUP(Ruimtestaat[[#This Row],[Code]],Locaties[[Code]:[Locatie]],2,FALSE)</f>
        <v>Mirtehuis</v>
      </c>
      <c r="C19" s="132" t="str">
        <f>VLOOKUP(Ruimtestaat[[#This Row],[Code]],Locaties[[#All],[Code]:[Adres]],4,FALSE)</f>
        <v>Weseperweg 6</v>
      </c>
      <c r="D19" s="132" t="str">
        <f>VLOOKUP(Ruimtestaat[[#This Row],[Code]],Locaties[[#All],[Code]:[Postcode]],5,FALSE)</f>
        <v>8111 PK</v>
      </c>
      <c r="E19" s="132" t="str">
        <f>VLOOKUP(Ruimtestaat[[#This Row],[Code]],Locaties[#All],6,FALSE)</f>
        <v>Heeten</v>
      </c>
      <c r="F19" s="100"/>
      <c r="G19" s="100" t="s">
        <v>1675</v>
      </c>
      <c r="H19" s="344"/>
      <c r="I19" s="345" t="s">
        <v>1650</v>
      </c>
      <c r="J19" s="49">
        <v>6</v>
      </c>
      <c r="K19" s="140" t="str">
        <f>VLOOKUP(Ruimtestaat[[#This Row],[Ruimte code]],Ruimtegroepen[[#All],[Code]:[Ruimte omschrijving]],2,FALSE)</f>
        <v>Gangen/hallen</v>
      </c>
      <c r="L19" s="100" t="s">
        <v>100</v>
      </c>
      <c r="M19" s="345" t="s">
        <v>1636</v>
      </c>
      <c r="N19" s="133">
        <v>18</v>
      </c>
      <c r="O19" s="100"/>
      <c r="P19" s="134" t="str">
        <f>VLOOKUP(Ruimtestaat[[#This Row],[Ruimte code]],Ruimtegroepen[],4,FALSE)</f>
        <v>Ve</v>
      </c>
      <c r="Q19" s="100">
        <v>51</v>
      </c>
      <c r="R19" s="100" t="s">
        <v>2</v>
      </c>
      <c r="S19" s="100">
        <f>IF(Q19&gt;0,IF(RIGHT(Ruimtestaat[[#This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9" s="100">
        <f>IF(S19&gt;0,VLOOKUP($J19,Ruimtegroepen[],3,FALSE)*VLOOKUP($L19,Vloersoorten[],3,FALSE)*VLOOKUP($R19,Frequenties[],3,FALSE)*VLOOKUP($A19,Locaties[],3,FALSE),0)</f>
        <v>0</v>
      </c>
      <c r="U19" s="100">
        <f>Ruimtestaat[[#This Row],[Uitvoeringen werkdagen]]*Ruimtestaat[[#This Row],[Oppervlak (netto)]]</f>
        <v>4590</v>
      </c>
      <c r="V19" s="135">
        <f>IF(T19&gt;0,Ruimtestaat[[#This Row],[Prest. (m2 /jaar) werkdagen]]/Ruimtestaat[[#This Row],[Norm (m2/uur) werkdagen]],0)</f>
        <v>0</v>
      </c>
      <c r="W19" s="136">
        <f>Ruimtestaat[[#This Row],[uren / jaar werkdagen]]*Tariefsopbouw!$E$35</f>
        <v>0</v>
      </c>
      <c r="X19" s="100"/>
      <c r="Y19" s="100">
        <f>IF(Ruimtestaat[[#This Row],[Frequentie weekend]]&gt;0,VALUE(LEFT(X19,1))*Q19,0)</f>
        <v>0</v>
      </c>
      <c r="Z19" s="99">
        <f>IF($Y19&gt;0,VLOOKUP($J19,Ruimtegroepen[],3,FALSE)*VLOOKUP($L19,Vloersoorten[],3,FALSE)*VLOOKUP($X19,Frequenties[],3,FALSE)*VLOOKUP(Ruimtestaat[[#This Row],[Code]],Locaties[],3,FALSE),0)</f>
        <v>0</v>
      </c>
      <c r="AA19" s="99">
        <f>Ruimtestaat[[#This Row],[Uitvoeringen weekend]]*Ruimtestaat[[#This Row],[Oppervlak (netto)]]</f>
        <v>0</v>
      </c>
      <c r="AB19" s="99">
        <f>IF(Z19&gt;0,Ruimtestaat[[#This Row],[Prest. (m2 /jaar) weekend]]/Ruimtestaat[[#This Row],[Norm (m2/uur) weekend]],0)</f>
        <v>0</v>
      </c>
      <c r="AC19" s="136">
        <f>Ruimtestaat[[#This Row],[uren / jaar weekend]]*Tariefsopbouw!$D$40</f>
        <v>0</v>
      </c>
      <c r="AD19" s="135">
        <f>Ruimtestaat[[#This Row],[Prest. (m2 /jaar) weekend]]+Ruimtestaat[[#This Row],[Prest. (m2 /jaar) werkdagen]]</f>
        <v>4590</v>
      </c>
      <c r="AE19" s="135">
        <f>Ruimtestaat[[#This Row],[uren / jaar weekend]]+Ruimtestaat[[#This Row],[uren / jaar werkdagen]]</f>
        <v>0</v>
      </c>
      <c r="AF19" s="130">
        <f>Ruimtestaat[[#This Row],[kosten / jaar weekend]]+Ruimtestaat[[#This Row],[kosten / jaar werkdagen]]</f>
        <v>0</v>
      </c>
      <c r="AG19" s="130"/>
      <c r="AH19" s="137" t="str">
        <f>IF(Ruimtestaat[[#This Row],[Frequentie werkdagen]]="","",_xlfn.CONCAT(Ruimtestaat[[#This Row],[Ruimte code]],"-",Ruimtestaat[[#This Row],[Frequentie werkdagen]]," ",Ruimtestaat[[#This Row],[Vloer code]]))</f>
        <v>6-5w L</v>
      </c>
      <c r="AI19" s="142" t="str">
        <f>_xlfn.IFNA(VLOOKUP($AH19,Programma!$F$3:$G$1101,2,0),"")</f>
        <v>_</v>
      </c>
      <c r="AJ19" s="142" t="str">
        <f>_xlfn.IFNA(VLOOKUP($AH19,Programma!$F$3:$H$1101,3,0),"")</f>
        <v>_</v>
      </c>
      <c r="AK19" s="142" t="str">
        <f>_xlfn.IFNA(VLOOKUP($AH19,Programma!$F$3:$I$1101,4,0),"")</f>
        <v>_</v>
      </c>
      <c r="AL19" s="142" t="str">
        <f>_xlfn.IFNA(VLOOKUP($AH19,Programma!$F$3:$J$1101,5,0),"")</f>
        <v>5w</v>
      </c>
      <c r="AM19" s="142" t="str">
        <f>_xlfn.IFNA(VLOOKUP($AH19,Programma!$F$3:$K$1101,6,0),"")</f>
        <v>_</v>
      </c>
      <c r="AN19" s="142" t="str">
        <f>_xlfn.IFNA(VLOOKUP($AH19,Programma!$F$3:$L$1101,7,0),"")</f>
        <v>_</v>
      </c>
      <c r="AO19" s="142" t="str">
        <f>_xlfn.IFNA(VLOOKUP($AH19,Programma!$F$3:$M$1101,8,0),"")</f>
        <v>_</v>
      </c>
      <c r="AP19" s="142" t="str">
        <f>_xlfn.IFNA(VLOOKUP($AH19,Programma!$F$3:$N$1101,9,0),"")</f>
        <v>_</v>
      </c>
      <c r="AQ19" s="142" t="str">
        <f>_xlfn.IFNA(VLOOKUP($AH19,Programma!$F$3:$O$1101,10,0),"")</f>
        <v>5w</v>
      </c>
      <c r="AR19" s="142" t="str">
        <f>_xlfn.IFNA(VLOOKUP($AH19,Programma!$F$3:$P$1101,11,0),"")</f>
        <v>5w</v>
      </c>
      <c r="AS19" s="142" t="str">
        <f>_xlfn.IFNA(VLOOKUP($AH19,Programma!$F$3:$Q$1101,12,0),"")</f>
        <v>1w</v>
      </c>
      <c r="AT19" s="142" t="str">
        <f>_xlfn.IFNA(VLOOKUP($AH19,Programma!$F$3:$R$1101,13,0),"")</f>
        <v>1w</v>
      </c>
      <c r="AU19" s="142" t="str">
        <f>_xlfn.IFNA(VLOOKUP($AH19,Programma!$F$3:$S$1101,14,0),"")</f>
        <v>1m</v>
      </c>
      <c r="AV19" s="142" t="str">
        <f>_xlfn.IFNA(VLOOKUP($AH19,Programma!$F$3:$T$1101,15,0),"")</f>
        <v>2j</v>
      </c>
      <c r="AW19" s="142" t="str">
        <f>_xlfn.IFNA(VLOOKUP($AH19,Programma!$F$3:$U$1101,16,0),"")</f>
        <v>1j</v>
      </c>
      <c r="AX19" s="142" t="str">
        <f>_xlfn.IFNA(VLOOKUP($AH19,Programma!$F$3:$V$1101,17,0),"")</f>
        <v>_</v>
      </c>
      <c r="AY19" s="142" t="str">
        <f>_xlfn.IFNA(VLOOKUP($AH19,Programma!$F$3:$W$1101,18,0),"")</f>
        <v>_</v>
      </c>
      <c r="AZ19" s="142" t="str">
        <f>_xlfn.IFNA(VLOOKUP($AH19,Programma!$F$3:$X$1101,19,0),"")</f>
        <v>_</v>
      </c>
      <c r="BA19" s="142" t="str">
        <f>_xlfn.IFNA(VLOOKUP($AH19,Programma!$F$3:$Y$1101,20,0),"")</f>
        <v>_</v>
      </c>
      <c r="BB19" s="138"/>
      <c r="BC19" s="137" t="str">
        <f>IF(Ruimtestaat[[#This Row],[Frequentie weekend]]="","",_xlfn.CONCAT(Ruimtestaat[[#This Row],[Ruimte code]],"-",Ruimtestaat[[#This Row],[Frequentie weekend]]," ",Ruimtestaat[[#This Row],[Vloer code]]))</f>
        <v/>
      </c>
      <c r="BD19" s="142" t="str">
        <f>_xlfn.IFNA(VLOOKUP($BC19,Programma!$F$3:$G$1101,2,0),"")</f>
        <v/>
      </c>
      <c r="BE19" s="142" t="str">
        <f>_xlfn.IFNA(VLOOKUP($BC19,Programma!$F$3:$H$1101,3,0),"")</f>
        <v/>
      </c>
      <c r="BF19" s="142" t="str">
        <f>_xlfn.IFNA(VLOOKUP($BC19,Programma!$F$3:$I$1101,4,0),"")</f>
        <v/>
      </c>
      <c r="BG19" s="142" t="str">
        <f>_xlfn.IFNA(VLOOKUP($BC19,Programma!$F$3:$J$1101,5,0),"")</f>
        <v/>
      </c>
      <c r="BH19" s="142" t="str">
        <f>_xlfn.IFNA(VLOOKUP($BC19,Programma!$F$3:$K$1101,6,0),"")</f>
        <v/>
      </c>
      <c r="BI19" s="142" t="str">
        <f>_xlfn.IFNA(VLOOKUP($BC19,Programma!$F$3:$L$1101,7,0),"")</f>
        <v/>
      </c>
      <c r="BJ19" s="142" t="str">
        <f>_xlfn.IFNA(VLOOKUP($BC19,Programma!$F$3:$M$1101,8,0),"")</f>
        <v/>
      </c>
      <c r="BK19" s="142" t="str">
        <f>_xlfn.IFNA(VLOOKUP($BC19,Programma!$F$3:$N$1101,9,0),"")</f>
        <v/>
      </c>
      <c r="BL19" s="142" t="str">
        <f>_xlfn.IFNA(VLOOKUP($BC19,Programma!$F$3:$O$1101,10,0),"")</f>
        <v/>
      </c>
      <c r="BM19" s="142" t="str">
        <f>_xlfn.IFNA(VLOOKUP($BC19,Programma!$F$3:$P$1101,11,0),"")</f>
        <v/>
      </c>
      <c r="BN19" s="142" t="str">
        <f>_xlfn.IFNA(VLOOKUP($BC19,Programma!$F$3:$Q$1101,12,0),"")</f>
        <v/>
      </c>
      <c r="BO19" s="142" t="str">
        <f>_xlfn.IFNA(VLOOKUP($BC19,Programma!$F$3:$R$1101,13,0),"")</f>
        <v/>
      </c>
      <c r="BP19" s="142" t="str">
        <f>_xlfn.IFNA(VLOOKUP($BC19,Programma!$F$3:$S$1101,14,0),"")</f>
        <v/>
      </c>
      <c r="BQ19" s="142" t="str">
        <f>_xlfn.IFNA(VLOOKUP($BC19,Programma!$F$3:$T$1101,15,0),"")</f>
        <v/>
      </c>
      <c r="BR19" s="142" t="str">
        <f>_xlfn.IFNA(VLOOKUP($BC19,Programma!$F$3:$U$1101,16,0),"")</f>
        <v/>
      </c>
      <c r="BS19" s="142" t="str">
        <f>_xlfn.IFNA(VLOOKUP($BC19,Programma!$F$3:$V$1101,17,0),"")</f>
        <v/>
      </c>
      <c r="BT19" s="142" t="str">
        <f>_xlfn.IFNA(VLOOKUP($BC19,Programma!$F$3:$W$1101,18,0),"")</f>
        <v/>
      </c>
      <c r="BU19" s="142" t="str">
        <f>_xlfn.IFNA(VLOOKUP($BC19,Programma!$F$3:$X$1101,19,0),"")</f>
        <v/>
      </c>
      <c r="BV19" s="142" t="str">
        <f>_xlfn.IFNA(VLOOKUP($BC19,Programma!$F$3:$Y$1101,20,0),"")</f>
        <v/>
      </c>
      <c r="BW19" s="28"/>
      <c r="BX19" s="28"/>
      <c r="BY19" s="28"/>
      <c r="BZ19" s="28"/>
      <c r="CA19" s="28"/>
      <c r="CB19" s="28"/>
      <c r="CC19" s="28"/>
      <c r="CD19" s="28"/>
      <c r="CE19" s="28"/>
      <c r="CF19" s="28"/>
      <c r="CG19" s="28"/>
      <c r="CH19" s="28"/>
      <c r="CI19" s="28"/>
      <c r="CJ19" s="28"/>
      <c r="CK19" s="28"/>
      <c r="CL19" s="28"/>
      <c r="CM19" s="28"/>
      <c r="CN19" s="28"/>
      <c r="CO19" s="28"/>
      <c r="CP19" s="28"/>
      <c r="CQ19" s="28"/>
      <c r="CR19" s="28"/>
      <c r="CS19" s="28"/>
      <c r="CT19" s="28"/>
      <c r="CU19" s="28"/>
      <c r="CV19" s="28"/>
      <c r="CW19" s="28"/>
      <c r="CX19" s="28"/>
      <c r="CY19" s="28"/>
      <c r="CZ19" s="28"/>
      <c r="DA19" s="28"/>
      <c r="DB19" s="28"/>
      <c r="DC19" s="28"/>
      <c r="DD19" s="28"/>
      <c r="DE19" s="28"/>
      <c r="DF19" s="28"/>
      <c r="DG19" s="28"/>
      <c r="DH19" s="28"/>
      <c r="DI19" s="28"/>
      <c r="DJ19" s="28"/>
      <c r="DK19" s="28"/>
      <c r="DL19" s="28"/>
      <c r="DM19" s="28"/>
      <c r="DN19" s="28"/>
      <c r="DO19" s="28"/>
      <c r="DP19" s="28"/>
      <c r="DQ19" s="28"/>
      <c r="DR19" s="28"/>
      <c r="DS19" s="28"/>
      <c r="DT19" s="28"/>
      <c r="DU19" s="28"/>
      <c r="DV19" s="28"/>
      <c r="DW19" s="28"/>
      <c r="DX19" s="28"/>
      <c r="DY19" s="28"/>
      <c r="DZ19" s="28"/>
      <c r="EA19" s="28"/>
      <c r="EB19" s="28"/>
      <c r="EC19" s="28"/>
      <c r="ED19" s="28"/>
      <c r="EE19" s="28"/>
      <c r="EF19" s="28"/>
      <c r="EG19" s="28"/>
      <c r="EH19" s="28"/>
      <c r="EI19" s="28"/>
      <c r="EJ19" s="28"/>
      <c r="EK19" s="28"/>
      <c r="EL19" s="28"/>
      <c r="EM19" s="28"/>
      <c r="EN19" s="28"/>
      <c r="EO19" s="28"/>
      <c r="EP19" s="28"/>
      <c r="EQ19" s="28"/>
      <c r="ER19" s="28"/>
      <c r="ES19" s="28"/>
      <c r="ET19" s="28"/>
      <c r="EU19" s="28"/>
      <c r="EV19" s="28"/>
      <c r="EW19" s="28"/>
      <c r="EX19" s="28"/>
      <c r="EY19" s="28"/>
      <c r="EZ19" s="28"/>
      <c r="FA19" s="28"/>
      <c r="FB19" s="28"/>
      <c r="FC19" s="28"/>
      <c r="FD19" s="28"/>
      <c r="FE19" s="28"/>
      <c r="FF19" s="28"/>
      <c r="FG19" s="28"/>
      <c r="FH19" s="28"/>
      <c r="FI19" s="28"/>
      <c r="FJ19" s="28"/>
      <c r="FK19" s="28"/>
      <c r="FL19" s="28"/>
      <c r="FM19" s="28"/>
      <c r="FN19" s="28"/>
      <c r="FO19" s="28"/>
      <c r="FP19" s="28"/>
      <c r="FQ19" s="28"/>
      <c r="FR19" s="28"/>
      <c r="FS19" s="28"/>
      <c r="FT19" s="28"/>
      <c r="FU19" s="28"/>
      <c r="FV19" s="28"/>
      <c r="FW19" s="28"/>
      <c r="FX19" s="28"/>
      <c r="FY19" s="28"/>
      <c r="FZ19" s="28"/>
      <c r="GA19" s="28"/>
      <c r="GB19" s="28"/>
      <c r="GC19" s="28"/>
      <c r="GD19" s="28"/>
      <c r="GE19" s="28"/>
      <c r="GF19" s="28"/>
      <c r="GG19" s="28"/>
      <c r="GH19" s="28"/>
      <c r="GI19" s="28"/>
      <c r="GJ19" s="28"/>
      <c r="GK19" s="28"/>
      <c r="GL19" s="28"/>
      <c r="GM19" s="28"/>
      <c r="GN19" s="28"/>
      <c r="GO19" s="28"/>
      <c r="GP19" s="28"/>
      <c r="GQ19" s="28"/>
      <c r="GR19" s="28"/>
      <c r="GS19" s="28"/>
      <c r="GT19" s="28"/>
      <c r="GU19" s="28"/>
      <c r="GV19" s="28"/>
      <c r="GW19" s="28"/>
      <c r="GX19" s="28"/>
      <c r="GY19" s="28"/>
      <c r="GZ19" s="28"/>
      <c r="HA19" s="28"/>
      <c r="HB19" s="28"/>
      <c r="HC19" s="28"/>
      <c r="HD19" s="28"/>
      <c r="HE19" s="28"/>
      <c r="HF19" s="28"/>
      <c r="HG19" s="28"/>
      <c r="HH19" s="28"/>
      <c r="HI19" s="28"/>
      <c r="HJ19" s="28"/>
      <c r="HK19" s="28"/>
    </row>
    <row r="20" spans="1:219" ht="15" customHeight="1">
      <c r="A20" s="100">
        <v>1</v>
      </c>
      <c r="B20" s="132" t="str">
        <f>VLOOKUP(Ruimtestaat[[#This Row],[Code]],Locaties[[Code]:[Locatie]],2,FALSE)</f>
        <v>Mirtehuis</v>
      </c>
      <c r="C20" s="132" t="str">
        <f>VLOOKUP(Ruimtestaat[[#This Row],[Code]],Locaties[[#All],[Code]:[Adres]],4,FALSE)</f>
        <v>Weseperweg 6</v>
      </c>
      <c r="D20" s="132" t="str">
        <f>VLOOKUP(Ruimtestaat[[#This Row],[Code]],Locaties[[#All],[Code]:[Postcode]],5,FALSE)</f>
        <v>8111 PK</v>
      </c>
      <c r="E20" s="132" t="str">
        <f>VLOOKUP(Ruimtestaat[[#This Row],[Code]],Locaties[#All],6,FALSE)</f>
        <v>Heeten</v>
      </c>
      <c r="F20" s="100"/>
      <c r="G20" s="100" t="s">
        <v>1675</v>
      </c>
      <c r="H20" s="344" t="s">
        <v>1651</v>
      </c>
      <c r="I20" s="345" t="s">
        <v>1649</v>
      </c>
      <c r="J20" s="49">
        <v>9</v>
      </c>
      <c r="K20" s="140" t="str">
        <f>VLOOKUP(Ruimtestaat[[#This Row],[Ruimte code]],Ruimtegroepen[[#All],[Code]:[Ruimte omschrijving]],2,FALSE)</f>
        <v>Woonruimte</v>
      </c>
      <c r="L20" s="100" t="s">
        <v>100</v>
      </c>
      <c r="M20" s="345" t="s">
        <v>1636</v>
      </c>
      <c r="N20" s="133">
        <v>42</v>
      </c>
      <c r="O20" s="139"/>
      <c r="P20" s="134" t="str">
        <f>VLOOKUP(Ruimtestaat[[#This Row],[Ruimte code]],Ruimtegroepen[],4,FALSE)</f>
        <v>Ve</v>
      </c>
      <c r="Q20" s="100">
        <v>51</v>
      </c>
      <c r="R20" s="100" t="s">
        <v>2</v>
      </c>
      <c r="S20" s="100">
        <f>IF(Q20&gt;0,IF(RIGHT(Ruimtestaat[[#This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0" s="100">
        <f>IF(S20&gt;0,VLOOKUP($J20,Ruimtegroepen[],3,FALSE)*VLOOKUP($L20,Vloersoorten[],3,FALSE)*VLOOKUP($R20,Frequenties[],3,FALSE)*VLOOKUP($A20,Locaties[],3,FALSE),0)</f>
        <v>0</v>
      </c>
      <c r="U20" s="100">
        <f>Ruimtestaat[[#This Row],[Uitvoeringen werkdagen]]*Ruimtestaat[[#This Row],[Oppervlak (netto)]]</f>
        <v>10710</v>
      </c>
      <c r="V20" s="135">
        <f>IF(T20&gt;0,Ruimtestaat[[#This Row],[Prest. (m2 /jaar) werkdagen]]/Ruimtestaat[[#This Row],[Norm (m2/uur) werkdagen]],0)</f>
        <v>0</v>
      </c>
      <c r="W20" s="136">
        <f>Ruimtestaat[[#This Row],[uren / jaar werkdagen]]*Tariefsopbouw!$E$35</f>
        <v>0</v>
      </c>
      <c r="X20" s="100"/>
      <c r="Y20" s="100">
        <f>IF(Ruimtestaat[[#This Row],[Frequentie weekend]]&gt;0,VALUE(LEFT(X20,1))*Q20,0)</f>
        <v>0</v>
      </c>
      <c r="Z20" s="99">
        <f>IF($Y20&gt;0,VLOOKUP($J20,Ruimtegroepen[],3,FALSE)*VLOOKUP($L20,Vloersoorten[],3,FALSE)*VLOOKUP($X20,Frequenties[],3,FALSE)*VLOOKUP(Ruimtestaat[[#This Row],[Code]],Locaties[],3,FALSE),0)</f>
        <v>0</v>
      </c>
      <c r="AA20" s="99">
        <f>Ruimtestaat[[#This Row],[Uitvoeringen weekend]]*Ruimtestaat[[#This Row],[Oppervlak (netto)]]</f>
        <v>0</v>
      </c>
      <c r="AB20" s="99">
        <f>IF(Z20&gt;0,Ruimtestaat[[#This Row],[Prest. (m2 /jaar) weekend]]/Ruimtestaat[[#This Row],[Norm (m2/uur) weekend]],0)</f>
        <v>0</v>
      </c>
      <c r="AC20" s="136">
        <f>Ruimtestaat[[#This Row],[uren / jaar weekend]]*Tariefsopbouw!$D$40</f>
        <v>0</v>
      </c>
      <c r="AD20" s="135">
        <f>Ruimtestaat[[#This Row],[Prest. (m2 /jaar) weekend]]+Ruimtestaat[[#This Row],[Prest. (m2 /jaar) werkdagen]]</f>
        <v>10710</v>
      </c>
      <c r="AE20" s="135">
        <f>Ruimtestaat[[#This Row],[uren / jaar weekend]]+Ruimtestaat[[#This Row],[uren / jaar werkdagen]]</f>
        <v>0</v>
      </c>
      <c r="AF20" s="130">
        <f>Ruimtestaat[[#This Row],[kosten / jaar weekend]]+Ruimtestaat[[#This Row],[kosten / jaar werkdagen]]</f>
        <v>0</v>
      </c>
      <c r="AG20" s="130"/>
      <c r="AH20" s="137" t="str">
        <f>IF(Ruimtestaat[[#This Row],[Frequentie werkdagen]]="","",_xlfn.CONCAT(Ruimtestaat[[#This Row],[Ruimte code]],"-",Ruimtestaat[[#This Row],[Frequentie werkdagen]]," ",Ruimtestaat[[#This Row],[Vloer code]]))</f>
        <v>9-5w L</v>
      </c>
      <c r="AI20" s="142" t="str">
        <f>_xlfn.IFNA(VLOOKUP($AH20,Programma!$F$3:$G$1101,2,0),"")</f>
        <v>_</v>
      </c>
      <c r="AJ20" s="142" t="str">
        <f>_xlfn.IFNA(VLOOKUP($AH20,Programma!$F$3:$H$1101,3,0),"")</f>
        <v>_</v>
      </c>
      <c r="AK20" s="142" t="str">
        <f>_xlfn.IFNA(VLOOKUP($AH20,Programma!$F$3:$I$1101,4,0),"")</f>
        <v>4w</v>
      </c>
      <c r="AL20" s="142" t="str">
        <f>_xlfn.IFNA(VLOOKUP($AH20,Programma!$F$3:$J$1101,5,0),"")</f>
        <v>1w</v>
      </c>
      <c r="AM20" s="142" t="str">
        <f>_xlfn.IFNA(VLOOKUP($AH20,Programma!$F$3:$K$1101,6,0),"")</f>
        <v>_</v>
      </c>
      <c r="AN20" s="142" t="str">
        <f>_xlfn.IFNA(VLOOKUP($AH20,Programma!$F$3:$L$1101,7,0),"")</f>
        <v>_</v>
      </c>
      <c r="AO20" s="142" t="str">
        <f>_xlfn.IFNA(VLOOKUP($AH20,Programma!$F$3:$M$1101,8,0),"")</f>
        <v>_</v>
      </c>
      <c r="AP20" s="142" t="str">
        <f>_xlfn.IFNA(VLOOKUP($AH20,Programma!$F$3:$N$1101,9,0),"")</f>
        <v>_</v>
      </c>
      <c r="AQ20" s="142" t="str">
        <f>_xlfn.IFNA(VLOOKUP($AH20,Programma!$F$3:$O$1101,10,0),"")</f>
        <v>5w</v>
      </c>
      <c r="AR20" s="142" t="str">
        <f>_xlfn.IFNA(VLOOKUP($AH20,Programma!$F$3:$P$1101,11,0),"")</f>
        <v>5w</v>
      </c>
      <c r="AS20" s="142" t="str">
        <f>_xlfn.IFNA(VLOOKUP($AH20,Programma!$F$3:$Q$1101,12,0),"")</f>
        <v>1w</v>
      </c>
      <c r="AT20" s="142" t="str">
        <f>_xlfn.IFNA(VLOOKUP($AH20,Programma!$F$3:$R$1101,13,0),"")</f>
        <v>1w</v>
      </c>
      <c r="AU20" s="142" t="str">
        <f>_xlfn.IFNA(VLOOKUP($AH20,Programma!$F$3:$S$1101,14,0),"")</f>
        <v>1m</v>
      </c>
      <c r="AV20" s="142" t="str">
        <f>_xlfn.IFNA(VLOOKUP($AH20,Programma!$F$3:$T$1101,15,0),"")</f>
        <v>2j</v>
      </c>
      <c r="AW20" s="142" t="str">
        <f>_xlfn.IFNA(VLOOKUP($AH20,Programma!$F$3:$U$1101,16,0),"")</f>
        <v>1j</v>
      </c>
      <c r="AX20" s="142" t="str">
        <f>_xlfn.IFNA(VLOOKUP($AH20,Programma!$F$3:$V$1101,17,0),"")</f>
        <v>_</v>
      </c>
      <c r="AY20" s="142" t="str">
        <f>_xlfn.IFNA(VLOOKUP($AH20,Programma!$F$3:$W$1101,18,0),"")</f>
        <v>_</v>
      </c>
      <c r="AZ20" s="142" t="str">
        <f>_xlfn.IFNA(VLOOKUP($AH20,Programma!$F$3:$X$1101,19,0),"")</f>
        <v>_</v>
      </c>
      <c r="BA20" s="142" t="str">
        <f>_xlfn.IFNA(VLOOKUP($AH20,Programma!$F$3:$Y$1101,20,0),"")</f>
        <v>_</v>
      </c>
      <c r="BB20" s="138"/>
      <c r="BC20" s="137" t="str">
        <f>IF(Ruimtestaat[[#This Row],[Frequentie weekend]]="","",_xlfn.CONCAT(Ruimtestaat[[#This Row],[Ruimte code]],"-",Ruimtestaat[[#This Row],[Frequentie weekend]]," ",Ruimtestaat[[#This Row],[Vloer code]]))</f>
        <v/>
      </c>
      <c r="BD20" s="142" t="str">
        <f>_xlfn.IFNA(VLOOKUP($BC20,Programma!$F$3:$G$1101,2,0),"")</f>
        <v/>
      </c>
      <c r="BE20" s="142" t="str">
        <f>_xlfn.IFNA(VLOOKUP($BC20,Programma!$F$3:$H$1101,3,0),"")</f>
        <v/>
      </c>
      <c r="BF20" s="142" t="str">
        <f>_xlfn.IFNA(VLOOKUP($BC20,Programma!$F$3:$I$1101,4,0),"")</f>
        <v/>
      </c>
      <c r="BG20" s="142" t="str">
        <f>_xlfn.IFNA(VLOOKUP($BC20,Programma!$F$3:$J$1101,5,0),"")</f>
        <v/>
      </c>
      <c r="BH20" s="142" t="str">
        <f>_xlfn.IFNA(VLOOKUP($BC20,Programma!$F$3:$K$1101,6,0),"")</f>
        <v/>
      </c>
      <c r="BI20" s="142" t="str">
        <f>_xlfn.IFNA(VLOOKUP($BC20,Programma!$F$3:$L$1101,7,0),"")</f>
        <v/>
      </c>
      <c r="BJ20" s="142" t="str">
        <f>_xlfn.IFNA(VLOOKUP($BC20,Programma!$F$3:$M$1101,8,0),"")</f>
        <v/>
      </c>
      <c r="BK20" s="142" t="str">
        <f>_xlfn.IFNA(VLOOKUP($BC20,Programma!$F$3:$N$1101,9,0),"")</f>
        <v/>
      </c>
      <c r="BL20" s="142" t="str">
        <f>_xlfn.IFNA(VLOOKUP($BC20,Programma!$F$3:$O$1101,10,0),"")</f>
        <v/>
      </c>
      <c r="BM20" s="142" t="str">
        <f>_xlfn.IFNA(VLOOKUP($BC20,Programma!$F$3:$P$1101,11,0),"")</f>
        <v/>
      </c>
      <c r="BN20" s="142" t="str">
        <f>_xlfn.IFNA(VLOOKUP($BC20,Programma!$F$3:$Q$1101,12,0),"")</f>
        <v/>
      </c>
      <c r="BO20" s="142" t="str">
        <f>_xlfn.IFNA(VLOOKUP($BC20,Programma!$F$3:$R$1101,13,0),"")</f>
        <v/>
      </c>
      <c r="BP20" s="142" t="str">
        <f>_xlfn.IFNA(VLOOKUP($BC20,Programma!$F$3:$S$1101,14,0),"")</f>
        <v/>
      </c>
      <c r="BQ20" s="142" t="str">
        <f>_xlfn.IFNA(VLOOKUP($BC20,Programma!$F$3:$T$1101,15,0),"")</f>
        <v/>
      </c>
      <c r="BR20" s="142" t="str">
        <f>_xlfn.IFNA(VLOOKUP($BC20,Programma!$F$3:$U$1101,16,0),"")</f>
        <v/>
      </c>
      <c r="BS20" s="142" t="str">
        <f>_xlfn.IFNA(VLOOKUP($BC20,Programma!$F$3:$V$1101,17,0),"")</f>
        <v/>
      </c>
      <c r="BT20" s="142" t="str">
        <f>_xlfn.IFNA(VLOOKUP($BC20,Programma!$F$3:$W$1101,18,0),"")</f>
        <v/>
      </c>
      <c r="BU20" s="142" t="str">
        <f>_xlfn.IFNA(VLOOKUP($BC20,Programma!$F$3:$X$1101,19,0),"")</f>
        <v/>
      </c>
      <c r="BV20" s="142" t="str">
        <f>_xlfn.IFNA(VLOOKUP($BC20,Programma!$F$3:$Y$1101,20,0),"")</f>
        <v/>
      </c>
      <c r="BW20" s="28"/>
      <c r="BX20" s="28"/>
      <c r="BY20" s="28"/>
      <c r="BZ20" s="28"/>
      <c r="CA20" s="28"/>
      <c r="CB20" s="28"/>
      <c r="CC20" s="28"/>
      <c r="CD20" s="28"/>
      <c r="CE20" s="28"/>
      <c r="CF20" s="28"/>
      <c r="CG20" s="28"/>
      <c r="CH20" s="28"/>
      <c r="CI20" s="28"/>
      <c r="CJ20" s="28"/>
      <c r="CK20" s="28"/>
      <c r="CL20" s="28"/>
      <c r="CM20" s="28"/>
      <c r="CN20" s="28"/>
      <c r="CO20" s="28"/>
      <c r="CP20" s="28"/>
      <c r="CQ20" s="28"/>
      <c r="CR20" s="28"/>
      <c r="CS20" s="28"/>
      <c r="CT20" s="28"/>
      <c r="CU20" s="28"/>
      <c r="CV20" s="28"/>
      <c r="CW20" s="28"/>
      <c r="CX20" s="28"/>
      <c r="CY20" s="28"/>
      <c r="CZ20" s="28"/>
      <c r="DA20" s="28"/>
      <c r="DB20" s="28"/>
      <c r="DC20" s="28"/>
      <c r="DD20" s="28"/>
      <c r="DE20" s="28"/>
      <c r="DF20" s="28"/>
      <c r="DG20" s="28"/>
      <c r="DH20" s="28"/>
      <c r="DI20" s="28"/>
      <c r="DJ20" s="28"/>
      <c r="DK20" s="28"/>
      <c r="DL20" s="28"/>
      <c r="DM20" s="28"/>
      <c r="DN20" s="28"/>
      <c r="DO20" s="28"/>
      <c r="DP20" s="28"/>
      <c r="DQ20" s="28"/>
      <c r="DR20" s="28"/>
      <c r="DS20" s="28"/>
      <c r="DT20" s="28"/>
      <c r="DU20" s="28"/>
      <c r="DV20" s="28"/>
      <c r="DW20" s="28"/>
      <c r="DX20" s="28"/>
      <c r="DY20" s="28"/>
      <c r="DZ20" s="28"/>
      <c r="EA20" s="28"/>
      <c r="EB20" s="28"/>
      <c r="EC20" s="28"/>
      <c r="ED20" s="28"/>
      <c r="EE20" s="28"/>
      <c r="EF20" s="28"/>
      <c r="EG20" s="28"/>
      <c r="EH20" s="28"/>
      <c r="EI20" s="28"/>
      <c r="EJ20" s="28"/>
      <c r="EK20" s="28"/>
      <c r="EL20" s="28"/>
      <c r="EM20" s="28"/>
      <c r="EN20" s="28"/>
      <c r="EO20" s="28"/>
      <c r="EP20" s="28"/>
      <c r="EQ20" s="28"/>
      <c r="ER20" s="28"/>
      <c r="ES20" s="28"/>
      <c r="ET20" s="28"/>
      <c r="EU20" s="28"/>
      <c r="EV20" s="28"/>
      <c r="EW20" s="28"/>
      <c r="EX20" s="28"/>
      <c r="EY20" s="28"/>
      <c r="EZ20" s="28"/>
      <c r="FA20" s="28"/>
      <c r="FB20" s="28"/>
      <c r="FC20" s="28"/>
      <c r="FD20" s="28"/>
      <c r="FE20" s="28"/>
      <c r="FF20" s="28"/>
      <c r="FG20" s="28"/>
      <c r="FH20" s="28"/>
      <c r="FI20" s="28"/>
      <c r="FJ20" s="28"/>
      <c r="FK20" s="28"/>
      <c r="FL20" s="28"/>
      <c r="FM20" s="28"/>
      <c r="FN20" s="28"/>
      <c r="FO20" s="28"/>
      <c r="FP20" s="28"/>
      <c r="FQ20" s="28"/>
      <c r="FR20" s="28"/>
      <c r="FS20" s="28"/>
      <c r="FT20" s="28"/>
      <c r="FU20" s="28"/>
      <c r="FV20" s="28"/>
      <c r="FW20" s="28"/>
      <c r="FX20" s="28"/>
      <c r="FY20" s="28"/>
      <c r="FZ20" s="28"/>
      <c r="GA20" s="28"/>
      <c r="GB20" s="28"/>
      <c r="GC20" s="28"/>
      <c r="GD20" s="28"/>
      <c r="GE20" s="28"/>
      <c r="GF20" s="28"/>
      <c r="GG20" s="28"/>
      <c r="GH20" s="28"/>
      <c r="GI20" s="28"/>
      <c r="GJ20" s="28"/>
      <c r="GK20" s="28"/>
      <c r="GL20" s="28"/>
      <c r="GM20" s="28"/>
      <c r="GN20" s="28"/>
      <c r="GO20" s="28"/>
      <c r="GP20" s="28"/>
      <c r="GQ20" s="28"/>
      <c r="GR20" s="28"/>
      <c r="GS20" s="28"/>
      <c r="GT20" s="28"/>
      <c r="GU20" s="28"/>
      <c r="GV20" s="28"/>
      <c r="GW20" s="28"/>
      <c r="GX20" s="28"/>
      <c r="GY20" s="28"/>
      <c r="GZ20" s="28"/>
      <c r="HA20" s="28"/>
      <c r="HB20" s="28"/>
      <c r="HC20" s="28"/>
      <c r="HD20" s="28"/>
      <c r="HE20" s="28"/>
      <c r="HF20" s="28"/>
      <c r="HG20" s="28"/>
      <c r="HH20" s="28"/>
      <c r="HI20" s="28"/>
      <c r="HJ20" s="28"/>
      <c r="HK20" s="28"/>
    </row>
    <row r="21" spans="1:219" ht="15" customHeight="1">
      <c r="A21" s="100">
        <v>1</v>
      </c>
      <c r="B21" s="132" t="str">
        <f>VLOOKUP(Ruimtestaat[[#This Row],[Code]],Locaties[[Code]:[Locatie]],2,FALSE)</f>
        <v>Mirtehuis</v>
      </c>
      <c r="C21" s="132" t="str">
        <f>VLOOKUP(Ruimtestaat[[#This Row],[Code]],Locaties[[#All],[Code]:[Adres]],4,FALSE)</f>
        <v>Weseperweg 6</v>
      </c>
      <c r="D21" s="132" t="str">
        <f>VLOOKUP(Ruimtestaat[[#This Row],[Code]],Locaties[[#All],[Code]:[Postcode]],5,FALSE)</f>
        <v>8111 PK</v>
      </c>
      <c r="E21" s="132" t="str">
        <f>VLOOKUP(Ruimtestaat[[#This Row],[Code]],Locaties[#All],6,FALSE)</f>
        <v>Heeten</v>
      </c>
      <c r="F21" s="100"/>
      <c r="G21" s="100" t="s">
        <v>1675</v>
      </c>
      <c r="H21" s="344"/>
      <c r="I21" s="345" t="s">
        <v>1650</v>
      </c>
      <c r="J21" s="49">
        <v>6</v>
      </c>
      <c r="K21" s="140" t="str">
        <f>VLOOKUP(Ruimtestaat[[#This Row],[Ruimte code]],Ruimtegroepen[[#All],[Code]:[Ruimte omschrijving]],2,FALSE)</f>
        <v>Gangen/hallen</v>
      </c>
      <c r="L21" s="100" t="s">
        <v>100</v>
      </c>
      <c r="M21" s="345" t="s">
        <v>1636</v>
      </c>
      <c r="N21" s="133">
        <v>12.75</v>
      </c>
      <c r="O21" s="139"/>
      <c r="P21" s="134" t="str">
        <f>VLOOKUP(Ruimtestaat[[#This Row],[Ruimte code]],Ruimtegroepen[],4,FALSE)</f>
        <v>Ve</v>
      </c>
      <c r="Q21" s="100">
        <v>51</v>
      </c>
      <c r="R21" s="100" t="s">
        <v>2</v>
      </c>
      <c r="S21" s="100">
        <f>IF(Q21&gt;0,IF(RIGHT(Ruimtestaat[[#This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1" s="100">
        <f>IF(S21&gt;0,VLOOKUP($J21,Ruimtegroepen[],3,FALSE)*VLOOKUP($L21,Vloersoorten[],3,FALSE)*VLOOKUP($R21,Frequenties[],3,FALSE)*VLOOKUP($A21,Locaties[],3,FALSE),0)</f>
        <v>0</v>
      </c>
      <c r="U21" s="100">
        <f>Ruimtestaat[[#This Row],[Uitvoeringen werkdagen]]*Ruimtestaat[[#This Row],[Oppervlak (netto)]]</f>
        <v>3251.25</v>
      </c>
      <c r="V21" s="135">
        <f>IF(T21&gt;0,Ruimtestaat[[#This Row],[Prest. (m2 /jaar) werkdagen]]/Ruimtestaat[[#This Row],[Norm (m2/uur) werkdagen]],0)</f>
        <v>0</v>
      </c>
      <c r="W21" s="136">
        <f>Ruimtestaat[[#This Row],[uren / jaar werkdagen]]*Tariefsopbouw!$E$35</f>
        <v>0</v>
      </c>
      <c r="X21" s="100"/>
      <c r="Y21" s="100">
        <f>IF(Ruimtestaat[[#This Row],[Frequentie weekend]]&gt;0,VALUE(LEFT(X21,1))*Q21,0)</f>
        <v>0</v>
      </c>
      <c r="Z21" s="99">
        <f>IF($Y21&gt;0,VLOOKUP($J21,Ruimtegroepen[],3,FALSE)*VLOOKUP($L21,Vloersoorten[],3,FALSE)*VLOOKUP($X21,Frequenties[],3,FALSE)*VLOOKUP(Ruimtestaat[[#This Row],[Code]],Locaties[],3,FALSE),0)</f>
        <v>0</v>
      </c>
      <c r="AA21" s="99">
        <f>Ruimtestaat[[#This Row],[Uitvoeringen weekend]]*Ruimtestaat[[#This Row],[Oppervlak (netto)]]</f>
        <v>0</v>
      </c>
      <c r="AB21" s="99">
        <f>IF(Z21&gt;0,Ruimtestaat[[#This Row],[Prest. (m2 /jaar) weekend]]/Ruimtestaat[[#This Row],[Norm (m2/uur) weekend]],0)</f>
        <v>0</v>
      </c>
      <c r="AC21" s="136">
        <f>Ruimtestaat[[#This Row],[uren / jaar weekend]]*Tariefsopbouw!$D$40</f>
        <v>0</v>
      </c>
      <c r="AD21" s="135">
        <f>Ruimtestaat[[#This Row],[Prest. (m2 /jaar) weekend]]+Ruimtestaat[[#This Row],[Prest. (m2 /jaar) werkdagen]]</f>
        <v>3251.25</v>
      </c>
      <c r="AE21" s="135">
        <f>Ruimtestaat[[#This Row],[uren / jaar weekend]]+Ruimtestaat[[#This Row],[uren / jaar werkdagen]]</f>
        <v>0</v>
      </c>
      <c r="AF21" s="130">
        <f>Ruimtestaat[[#This Row],[kosten / jaar weekend]]+Ruimtestaat[[#This Row],[kosten / jaar werkdagen]]</f>
        <v>0</v>
      </c>
      <c r="AG21" s="130"/>
      <c r="AH21" s="137" t="str">
        <f>IF(Ruimtestaat[[#This Row],[Frequentie werkdagen]]="","",_xlfn.CONCAT(Ruimtestaat[[#This Row],[Ruimte code]],"-",Ruimtestaat[[#This Row],[Frequentie werkdagen]]," ",Ruimtestaat[[#This Row],[Vloer code]]))</f>
        <v>6-5w L</v>
      </c>
      <c r="AI21" s="142" t="str">
        <f>_xlfn.IFNA(VLOOKUP($AH21,Programma!$F$3:$G$1101,2,0),"")</f>
        <v>_</v>
      </c>
      <c r="AJ21" s="142" t="str">
        <f>_xlfn.IFNA(VLOOKUP($AH21,Programma!$F$3:$H$1101,3,0),"")</f>
        <v>_</v>
      </c>
      <c r="AK21" s="142" t="str">
        <f>_xlfn.IFNA(VLOOKUP($AH21,Programma!$F$3:$I$1101,4,0),"")</f>
        <v>_</v>
      </c>
      <c r="AL21" s="142" t="str">
        <f>_xlfn.IFNA(VLOOKUP($AH21,Programma!$F$3:$J$1101,5,0),"")</f>
        <v>5w</v>
      </c>
      <c r="AM21" s="142" t="str">
        <f>_xlfn.IFNA(VLOOKUP($AH21,Programma!$F$3:$K$1101,6,0),"")</f>
        <v>_</v>
      </c>
      <c r="AN21" s="142" t="str">
        <f>_xlfn.IFNA(VLOOKUP($AH21,Programma!$F$3:$L$1101,7,0),"")</f>
        <v>_</v>
      </c>
      <c r="AO21" s="142" t="str">
        <f>_xlfn.IFNA(VLOOKUP($AH21,Programma!$F$3:$M$1101,8,0),"")</f>
        <v>_</v>
      </c>
      <c r="AP21" s="142" t="str">
        <f>_xlfn.IFNA(VLOOKUP($AH21,Programma!$F$3:$N$1101,9,0),"")</f>
        <v>_</v>
      </c>
      <c r="AQ21" s="142" t="str">
        <f>_xlfn.IFNA(VLOOKUP($AH21,Programma!$F$3:$O$1101,10,0),"")</f>
        <v>5w</v>
      </c>
      <c r="AR21" s="142" t="str">
        <f>_xlfn.IFNA(VLOOKUP($AH21,Programma!$F$3:$P$1101,11,0),"")</f>
        <v>5w</v>
      </c>
      <c r="AS21" s="142" t="str">
        <f>_xlfn.IFNA(VLOOKUP($AH21,Programma!$F$3:$Q$1101,12,0),"")</f>
        <v>1w</v>
      </c>
      <c r="AT21" s="142" t="str">
        <f>_xlfn.IFNA(VLOOKUP($AH21,Programma!$F$3:$R$1101,13,0),"")</f>
        <v>1w</v>
      </c>
      <c r="AU21" s="142" t="str">
        <f>_xlfn.IFNA(VLOOKUP($AH21,Programma!$F$3:$S$1101,14,0),"")</f>
        <v>1m</v>
      </c>
      <c r="AV21" s="142" t="str">
        <f>_xlfn.IFNA(VLOOKUP($AH21,Programma!$F$3:$T$1101,15,0),"")</f>
        <v>2j</v>
      </c>
      <c r="AW21" s="142" t="str">
        <f>_xlfn.IFNA(VLOOKUP($AH21,Programma!$F$3:$U$1101,16,0),"")</f>
        <v>1j</v>
      </c>
      <c r="AX21" s="142" t="str">
        <f>_xlfn.IFNA(VLOOKUP($AH21,Programma!$F$3:$V$1101,17,0),"")</f>
        <v>_</v>
      </c>
      <c r="AY21" s="142" t="str">
        <f>_xlfn.IFNA(VLOOKUP($AH21,Programma!$F$3:$W$1101,18,0),"")</f>
        <v>_</v>
      </c>
      <c r="AZ21" s="142" t="str">
        <f>_xlfn.IFNA(VLOOKUP($AH21,Programma!$F$3:$X$1101,19,0),"")</f>
        <v>_</v>
      </c>
      <c r="BA21" s="142" t="str">
        <f>_xlfn.IFNA(VLOOKUP($AH21,Programma!$F$3:$Y$1101,20,0),"")</f>
        <v>_</v>
      </c>
      <c r="BB21" s="138"/>
      <c r="BC21" s="137" t="str">
        <f>IF(Ruimtestaat[[#This Row],[Frequentie weekend]]="","",_xlfn.CONCAT(Ruimtestaat[[#This Row],[Ruimte code]],"-",Ruimtestaat[[#This Row],[Frequentie weekend]]," ",Ruimtestaat[[#This Row],[Vloer code]]))</f>
        <v/>
      </c>
      <c r="BD21" s="142" t="str">
        <f>_xlfn.IFNA(VLOOKUP($BC21,Programma!$F$3:$G$1101,2,0),"")</f>
        <v/>
      </c>
      <c r="BE21" s="142" t="str">
        <f>_xlfn.IFNA(VLOOKUP($BC21,Programma!$F$3:$H$1101,3,0),"")</f>
        <v/>
      </c>
      <c r="BF21" s="142" t="str">
        <f>_xlfn.IFNA(VLOOKUP($BC21,Programma!$F$3:$I$1101,4,0),"")</f>
        <v/>
      </c>
      <c r="BG21" s="142" t="str">
        <f>_xlfn.IFNA(VLOOKUP($BC21,Programma!$F$3:$J$1101,5,0),"")</f>
        <v/>
      </c>
      <c r="BH21" s="142" t="str">
        <f>_xlfn.IFNA(VLOOKUP($BC21,Programma!$F$3:$K$1101,6,0),"")</f>
        <v/>
      </c>
      <c r="BI21" s="142" t="str">
        <f>_xlfn.IFNA(VLOOKUP($BC21,Programma!$F$3:$L$1101,7,0),"")</f>
        <v/>
      </c>
      <c r="BJ21" s="142" t="str">
        <f>_xlfn.IFNA(VLOOKUP($BC21,Programma!$F$3:$M$1101,8,0),"")</f>
        <v/>
      </c>
      <c r="BK21" s="142" t="str">
        <f>_xlfn.IFNA(VLOOKUP($BC21,Programma!$F$3:$N$1101,9,0),"")</f>
        <v/>
      </c>
      <c r="BL21" s="142" t="str">
        <f>_xlfn.IFNA(VLOOKUP($BC21,Programma!$F$3:$O$1101,10,0),"")</f>
        <v/>
      </c>
      <c r="BM21" s="142" t="str">
        <f>_xlfn.IFNA(VLOOKUP($BC21,Programma!$F$3:$P$1101,11,0),"")</f>
        <v/>
      </c>
      <c r="BN21" s="142" t="str">
        <f>_xlfn.IFNA(VLOOKUP($BC21,Programma!$F$3:$Q$1101,12,0),"")</f>
        <v/>
      </c>
      <c r="BO21" s="142" t="str">
        <f>_xlfn.IFNA(VLOOKUP($BC21,Programma!$F$3:$R$1101,13,0),"")</f>
        <v/>
      </c>
      <c r="BP21" s="142" t="str">
        <f>_xlfn.IFNA(VLOOKUP($BC21,Programma!$F$3:$S$1101,14,0),"")</f>
        <v/>
      </c>
      <c r="BQ21" s="142" t="str">
        <f>_xlfn.IFNA(VLOOKUP($BC21,Programma!$F$3:$T$1101,15,0),"")</f>
        <v/>
      </c>
      <c r="BR21" s="142" t="str">
        <f>_xlfn.IFNA(VLOOKUP($BC21,Programma!$F$3:$U$1101,16,0),"")</f>
        <v/>
      </c>
      <c r="BS21" s="142" t="str">
        <f>_xlfn.IFNA(VLOOKUP($BC21,Programma!$F$3:$V$1101,17,0),"")</f>
        <v/>
      </c>
      <c r="BT21" s="142" t="str">
        <f>_xlfn.IFNA(VLOOKUP($BC21,Programma!$F$3:$W$1101,18,0),"")</f>
        <v/>
      </c>
      <c r="BU21" s="142" t="str">
        <f>_xlfn.IFNA(VLOOKUP($BC21,Programma!$F$3:$X$1101,19,0),"")</f>
        <v/>
      </c>
      <c r="BV21" s="142" t="str">
        <f>_xlfn.IFNA(VLOOKUP($BC21,Programma!$F$3:$Y$1101,20,0),"")</f>
        <v/>
      </c>
      <c r="BW21" s="28"/>
      <c r="BX21" s="28"/>
      <c r="BY21" s="28"/>
      <c r="BZ21" s="28"/>
      <c r="CA21" s="28"/>
      <c r="CB21" s="28"/>
      <c r="CC21" s="28"/>
      <c r="CD21" s="28"/>
      <c r="CE21" s="28"/>
      <c r="CF21" s="28"/>
      <c r="CG21" s="28"/>
      <c r="CH21" s="28"/>
      <c r="CI21" s="28"/>
      <c r="CJ21" s="28"/>
      <c r="CK21" s="28"/>
      <c r="CL21" s="28"/>
      <c r="CM21" s="28"/>
      <c r="CN21" s="28"/>
      <c r="CO21" s="28"/>
      <c r="CP21" s="28"/>
      <c r="CQ21" s="28"/>
      <c r="CR21" s="28"/>
      <c r="CS21" s="28"/>
      <c r="CT21" s="28"/>
      <c r="CU21" s="28"/>
      <c r="CV21" s="28"/>
      <c r="CW21" s="28"/>
      <c r="CX21" s="28"/>
      <c r="CY21" s="28"/>
      <c r="CZ21" s="28"/>
      <c r="DA21" s="28"/>
      <c r="DB21" s="28"/>
      <c r="DC21" s="28"/>
      <c r="DD21" s="28"/>
      <c r="DE21" s="28"/>
      <c r="DF21" s="28"/>
      <c r="DG21" s="28"/>
      <c r="DH21" s="28"/>
      <c r="DI21" s="28"/>
      <c r="DJ21" s="28"/>
      <c r="DK21" s="28"/>
      <c r="DL21" s="28"/>
      <c r="DM21" s="28"/>
      <c r="DN21" s="28"/>
      <c r="DO21" s="28"/>
      <c r="DP21" s="28"/>
      <c r="DQ21" s="28"/>
      <c r="DR21" s="28"/>
      <c r="DS21" s="28"/>
      <c r="DT21" s="28"/>
      <c r="DU21" s="28"/>
      <c r="DV21" s="28"/>
      <c r="DW21" s="28"/>
      <c r="DX21" s="28"/>
      <c r="DY21" s="28"/>
      <c r="DZ21" s="28"/>
      <c r="EA21" s="28"/>
      <c r="EB21" s="28"/>
      <c r="EC21" s="28"/>
      <c r="ED21" s="28"/>
      <c r="EE21" s="28"/>
      <c r="EF21" s="28"/>
      <c r="EG21" s="28"/>
      <c r="EH21" s="28"/>
      <c r="EI21" s="28"/>
      <c r="EJ21" s="28"/>
      <c r="EK21" s="28"/>
      <c r="EL21" s="28"/>
      <c r="EM21" s="28"/>
      <c r="EN21" s="28"/>
      <c r="EO21" s="28"/>
      <c r="EP21" s="28"/>
      <c r="EQ21" s="28"/>
      <c r="ER21" s="28"/>
      <c r="ES21" s="28"/>
      <c r="ET21" s="28"/>
      <c r="EU21" s="28"/>
      <c r="EV21" s="28"/>
      <c r="EW21" s="28"/>
      <c r="EX21" s="28"/>
      <c r="EY21" s="28"/>
      <c r="EZ21" s="28"/>
      <c r="FA21" s="28"/>
      <c r="FB21" s="28"/>
      <c r="FC21" s="28"/>
      <c r="FD21" s="28"/>
      <c r="FE21" s="28"/>
      <c r="FF21" s="28"/>
      <c r="FG21" s="28"/>
      <c r="FH21" s="28"/>
      <c r="FI21" s="28"/>
      <c r="FJ21" s="28"/>
      <c r="FK21" s="28"/>
      <c r="FL21" s="28"/>
      <c r="FM21" s="28"/>
      <c r="FN21" s="28"/>
      <c r="FO21" s="28"/>
      <c r="FP21" s="28"/>
      <c r="FQ21" s="28"/>
      <c r="FR21" s="28"/>
      <c r="FS21" s="28"/>
      <c r="FT21" s="28"/>
      <c r="FU21" s="28"/>
      <c r="FV21" s="28"/>
      <c r="FW21" s="28"/>
      <c r="FX21" s="28"/>
      <c r="FY21" s="28"/>
      <c r="FZ21" s="28"/>
      <c r="GA21" s="28"/>
      <c r="GB21" s="28"/>
      <c r="GC21" s="28"/>
      <c r="GD21" s="28"/>
      <c r="GE21" s="28"/>
      <c r="GF21" s="28"/>
      <c r="GG21" s="28"/>
      <c r="GH21" s="28"/>
      <c r="GI21" s="28"/>
      <c r="GJ21" s="28"/>
      <c r="GK21" s="28"/>
      <c r="GL21" s="28"/>
      <c r="GM21" s="28"/>
      <c r="GN21" s="28"/>
      <c r="GO21" s="28"/>
      <c r="GP21" s="28"/>
      <c r="GQ21" s="28"/>
      <c r="GR21" s="28"/>
      <c r="GS21" s="28"/>
      <c r="GT21" s="28"/>
      <c r="GU21" s="28"/>
      <c r="GV21" s="28"/>
      <c r="GW21" s="28"/>
      <c r="GX21" s="28"/>
      <c r="GY21" s="28"/>
      <c r="GZ21" s="28"/>
      <c r="HA21" s="28"/>
      <c r="HB21" s="28"/>
      <c r="HC21" s="28"/>
      <c r="HD21" s="28"/>
      <c r="HE21" s="28"/>
      <c r="HF21" s="28"/>
      <c r="HG21" s="28"/>
      <c r="HH21" s="28"/>
      <c r="HI21" s="28"/>
      <c r="HJ21" s="28"/>
      <c r="HK21" s="28"/>
    </row>
    <row r="22" spans="1:219" ht="15" customHeight="1">
      <c r="A22" s="100">
        <v>1</v>
      </c>
      <c r="B22" s="132" t="str">
        <f>VLOOKUP(Ruimtestaat[[#This Row],[Code]],Locaties[[Code]:[Locatie]],2,FALSE)</f>
        <v>Mirtehuis</v>
      </c>
      <c r="C22" s="132" t="str">
        <f>VLOOKUP(Ruimtestaat[[#This Row],[Code]],Locaties[[#All],[Code]:[Adres]],4,FALSE)</f>
        <v>Weseperweg 6</v>
      </c>
      <c r="D22" s="132" t="str">
        <f>VLOOKUP(Ruimtestaat[[#This Row],[Code]],Locaties[[#All],[Code]:[Postcode]],5,FALSE)</f>
        <v>8111 PK</v>
      </c>
      <c r="E22" s="132" t="str">
        <f>VLOOKUP(Ruimtestaat[[#This Row],[Code]],Locaties[#All],6,FALSE)</f>
        <v>Heeten</v>
      </c>
      <c r="F22" s="100"/>
      <c r="G22" s="100" t="s">
        <v>1675</v>
      </c>
      <c r="H22" s="344" t="s">
        <v>1652</v>
      </c>
      <c r="I22" s="345" t="s">
        <v>1645</v>
      </c>
      <c r="J22" s="49">
        <v>15</v>
      </c>
      <c r="K22" s="140" t="str">
        <f>VLOOKUP(Ruimtestaat[[#This Row],[Ruimte code]],Ruimtegroepen[[#All],[Code]:[Ruimte omschrijving]],2,FALSE)</f>
        <v>Keuken/pantry</v>
      </c>
      <c r="L22" s="100" t="s">
        <v>100</v>
      </c>
      <c r="M22" s="345" t="s">
        <v>1636</v>
      </c>
      <c r="N22" s="133">
        <v>22.5</v>
      </c>
      <c r="O22" s="100"/>
      <c r="P22" s="134" t="str">
        <f>VLOOKUP(Ruimtestaat[[#This Row],[Ruimte code]],Ruimtegroepen[],4,FALSE)</f>
        <v>Ve</v>
      </c>
      <c r="Q22" s="100">
        <v>51</v>
      </c>
      <c r="R22" s="100" t="s">
        <v>2</v>
      </c>
      <c r="S22" s="100">
        <f>IF(Q22&gt;0,IF(RIGHT(Ruimtestaat[[#This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2" s="100">
        <f>IF(S22&gt;0,VLOOKUP($J22,Ruimtegroepen[],3,FALSE)*VLOOKUP($L22,Vloersoorten[],3,FALSE)*VLOOKUP($R22,Frequenties[],3,FALSE)*VLOOKUP($A22,Locaties[],3,FALSE),0)</f>
        <v>0</v>
      </c>
      <c r="U22" s="100">
        <f>Ruimtestaat[[#This Row],[Uitvoeringen werkdagen]]*Ruimtestaat[[#This Row],[Oppervlak (netto)]]</f>
        <v>5737.5</v>
      </c>
      <c r="V22" s="135">
        <f>IF(T22&gt;0,Ruimtestaat[[#This Row],[Prest. (m2 /jaar) werkdagen]]/Ruimtestaat[[#This Row],[Norm (m2/uur) werkdagen]],0)</f>
        <v>0</v>
      </c>
      <c r="W22" s="136">
        <f>Ruimtestaat[[#This Row],[uren / jaar werkdagen]]*Tariefsopbouw!$E$35</f>
        <v>0</v>
      </c>
      <c r="X22" s="100"/>
      <c r="Y22" s="100">
        <f>IF(Ruimtestaat[[#This Row],[Frequentie weekend]]&gt;0,VALUE(LEFT(X22,1))*Q22,0)</f>
        <v>0</v>
      </c>
      <c r="Z22" s="99">
        <f>IF($Y22&gt;0,VLOOKUP($J22,Ruimtegroepen[],3,FALSE)*VLOOKUP($L22,Vloersoorten[],3,FALSE)*VLOOKUP($X22,Frequenties[],3,FALSE)*VLOOKUP(Ruimtestaat[[#This Row],[Code]],Locaties[],3,FALSE),0)</f>
        <v>0</v>
      </c>
      <c r="AA22" s="99">
        <f>Ruimtestaat[[#This Row],[Uitvoeringen weekend]]*Ruimtestaat[[#This Row],[Oppervlak (netto)]]</f>
        <v>0</v>
      </c>
      <c r="AB22" s="99">
        <f>IF(Z22&gt;0,Ruimtestaat[[#This Row],[Prest. (m2 /jaar) weekend]]/Ruimtestaat[[#This Row],[Norm (m2/uur) weekend]],0)</f>
        <v>0</v>
      </c>
      <c r="AC22" s="136">
        <f>Ruimtestaat[[#This Row],[uren / jaar weekend]]*Tariefsopbouw!$D$40</f>
        <v>0</v>
      </c>
      <c r="AD22" s="135">
        <f>Ruimtestaat[[#This Row],[Prest. (m2 /jaar) weekend]]+Ruimtestaat[[#This Row],[Prest. (m2 /jaar) werkdagen]]</f>
        <v>5737.5</v>
      </c>
      <c r="AE22" s="135">
        <f>Ruimtestaat[[#This Row],[uren / jaar weekend]]+Ruimtestaat[[#This Row],[uren / jaar werkdagen]]</f>
        <v>0</v>
      </c>
      <c r="AF22" s="130">
        <f>Ruimtestaat[[#This Row],[kosten / jaar weekend]]+Ruimtestaat[[#This Row],[kosten / jaar werkdagen]]</f>
        <v>0</v>
      </c>
      <c r="AG22" s="130"/>
      <c r="AH22" s="137" t="str">
        <f>IF(Ruimtestaat[[#This Row],[Frequentie werkdagen]]="","",_xlfn.CONCAT(Ruimtestaat[[#This Row],[Ruimte code]],"-",Ruimtestaat[[#This Row],[Frequentie werkdagen]]," ",Ruimtestaat[[#This Row],[Vloer code]]))</f>
        <v>15-5w L</v>
      </c>
      <c r="AI22" s="142" t="str">
        <f>_xlfn.IFNA(VLOOKUP($AH22,Programma!$F$3:$G$1101,2,0),"")</f>
        <v>_</v>
      </c>
      <c r="AJ22" s="142" t="str">
        <f>_xlfn.IFNA(VLOOKUP($AH22,Programma!$F$3:$H$1101,3,0),"")</f>
        <v>_</v>
      </c>
      <c r="AK22" s="142" t="str">
        <f>_xlfn.IFNA(VLOOKUP($AH22,Programma!$F$3:$I$1101,4,0),"")</f>
        <v>_</v>
      </c>
      <c r="AL22" s="142" t="str">
        <f>_xlfn.IFNA(VLOOKUP($AH22,Programma!$F$3:$J$1101,5,0),"")</f>
        <v>5w</v>
      </c>
      <c r="AM22" s="142" t="str">
        <f>_xlfn.IFNA(VLOOKUP($AH22,Programma!$F$3:$K$1101,6,0),"")</f>
        <v>_</v>
      </c>
      <c r="AN22" s="142" t="str">
        <f>_xlfn.IFNA(VLOOKUP($AH22,Programma!$F$3:$L$1101,7,0),"")</f>
        <v>_</v>
      </c>
      <c r="AO22" s="142" t="str">
        <f>_xlfn.IFNA(VLOOKUP($AH22,Programma!$F$3:$M$1101,8,0),"")</f>
        <v>_</v>
      </c>
      <c r="AP22" s="142" t="str">
        <f>_xlfn.IFNA(VLOOKUP($AH22,Programma!$F$3:$N$1101,9,0),"")</f>
        <v>_</v>
      </c>
      <c r="AQ22" s="142" t="str">
        <f>_xlfn.IFNA(VLOOKUP($AH22,Programma!$F$3:$O$1101,10,0),"")</f>
        <v>5w</v>
      </c>
      <c r="AR22" s="142" t="str">
        <f>_xlfn.IFNA(VLOOKUP($AH22,Programma!$F$3:$P$1101,11,0),"")</f>
        <v>5w</v>
      </c>
      <c r="AS22" s="142" t="str">
        <f>_xlfn.IFNA(VLOOKUP($AH22,Programma!$F$3:$Q$1101,12,0),"")</f>
        <v>1w</v>
      </c>
      <c r="AT22" s="142" t="str">
        <f>_xlfn.IFNA(VLOOKUP($AH22,Programma!$F$3:$R$1101,13,0),"")</f>
        <v>1w</v>
      </c>
      <c r="AU22" s="142" t="str">
        <f>_xlfn.IFNA(VLOOKUP($AH22,Programma!$F$3:$S$1101,14,0),"")</f>
        <v>1m</v>
      </c>
      <c r="AV22" s="142" t="str">
        <f>_xlfn.IFNA(VLOOKUP($AH22,Programma!$F$3:$T$1101,15,0),"")</f>
        <v>2j</v>
      </c>
      <c r="AW22" s="142" t="str">
        <f>_xlfn.IFNA(VLOOKUP($AH22,Programma!$F$3:$U$1101,16,0),"")</f>
        <v>1j</v>
      </c>
      <c r="AX22" s="142" t="str">
        <f>_xlfn.IFNA(VLOOKUP($AH22,Programma!$F$3:$V$1101,17,0),"")</f>
        <v>_</v>
      </c>
      <c r="AY22" s="142" t="str">
        <f>_xlfn.IFNA(VLOOKUP($AH22,Programma!$F$3:$W$1101,18,0),"")</f>
        <v>_</v>
      </c>
      <c r="AZ22" s="142" t="str">
        <f>_xlfn.IFNA(VLOOKUP($AH22,Programma!$F$3:$X$1101,19,0),"")</f>
        <v>_</v>
      </c>
      <c r="BA22" s="142" t="str">
        <f>_xlfn.IFNA(VLOOKUP($AH22,Programma!$F$3:$Y$1101,20,0),"")</f>
        <v>_</v>
      </c>
      <c r="BB22" s="138"/>
      <c r="BC22" s="137" t="str">
        <f>IF(Ruimtestaat[[#This Row],[Frequentie weekend]]="","",_xlfn.CONCAT(Ruimtestaat[[#This Row],[Ruimte code]],"-",Ruimtestaat[[#This Row],[Frequentie weekend]]," ",Ruimtestaat[[#This Row],[Vloer code]]))</f>
        <v/>
      </c>
      <c r="BD22" s="142" t="str">
        <f>_xlfn.IFNA(VLOOKUP($BC22,Programma!$F$3:$G$1101,2,0),"")</f>
        <v/>
      </c>
      <c r="BE22" s="142" t="str">
        <f>_xlfn.IFNA(VLOOKUP($BC22,Programma!$F$3:$H$1101,3,0),"")</f>
        <v/>
      </c>
      <c r="BF22" s="142" t="str">
        <f>_xlfn.IFNA(VLOOKUP($BC22,Programma!$F$3:$I$1101,4,0),"")</f>
        <v/>
      </c>
      <c r="BG22" s="142" t="str">
        <f>_xlfn.IFNA(VLOOKUP($BC22,Programma!$F$3:$J$1101,5,0),"")</f>
        <v/>
      </c>
      <c r="BH22" s="142" t="str">
        <f>_xlfn.IFNA(VLOOKUP($BC22,Programma!$F$3:$K$1101,6,0),"")</f>
        <v/>
      </c>
      <c r="BI22" s="142" t="str">
        <f>_xlfn.IFNA(VLOOKUP($BC22,Programma!$F$3:$L$1101,7,0),"")</f>
        <v/>
      </c>
      <c r="BJ22" s="142" t="str">
        <f>_xlfn.IFNA(VLOOKUP($BC22,Programma!$F$3:$M$1101,8,0),"")</f>
        <v/>
      </c>
      <c r="BK22" s="142" t="str">
        <f>_xlfn.IFNA(VLOOKUP($BC22,Programma!$F$3:$N$1101,9,0),"")</f>
        <v/>
      </c>
      <c r="BL22" s="142" t="str">
        <f>_xlfn.IFNA(VLOOKUP($BC22,Programma!$F$3:$O$1101,10,0),"")</f>
        <v/>
      </c>
      <c r="BM22" s="142" t="str">
        <f>_xlfn.IFNA(VLOOKUP($BC22,Programma!$F$3:$P$1101,11,0),"")</f>
        <v/>
      </c>
      <c r="BN22" s="142" t="str">
        <f>_xlfn.IFNA(VLOOKUP($BC22,Programma!$F$3:$Q$1101,12,0),"")</f>
        <v/>
      </c>
      <c r="BO22" s="142" t="str">
        <f>_xlfn.IFNA(VLOOKUP($BC22,Programma!$F$3:$R$1101,13,0),"")</f>
        <v/>
      </c>
      <c r="BP22" s="142" t="str">
        <f>_xlfn.IFNA(VLOOKUP($BC22,Programma!$F$3:$S$1101,14,0),"")</f>
        <v/>
      </c>
      <c r="BQ22" s="142" t="str">
        <f>_xlfn.IFNA(VLOOKUP($BC22,Programma!$F$3:$T$1101,15,0),"")</f>
        <v/>
      </c>
      <c r="BR22" s="142" t="str">
        <f>_xlfn.IFNA(VLOOKUP($BC22,Programma!$F$3:$U$1101,16,0),"")</f>
        <v/>
      </c>
      <c r="BS22" s="142" t="str">
        <f>_xlfn.IFNA(VLOOKUP($BC22,Programma!$F$3:$V$1101,17,0),"")</f>
        <v/>
      </c>
      <c r="BT22" s="142" t="str">
        <f>_xlfn.IFNA(VLOOKUP($BC22,Programma!$F$3:$W$1101,18,0),"")</f>
        <v/>
      </c>
      <c r="BU22" s="142" t="str">
        <f>_xlfn.IFNA(VLOOKUP($BC22,Programma!$F$3:$X$1101,19,0),"")</f>
        <v/>
      </c>
      <c r="BV22" s="142" t="str">
        <f>_xlfn.IFNA(VLOOKUP($BC22,Programma!$F$3:$Y$1101,20,0),"")</f>
        <v/>
      </c>
      <c r="BW22" s="28"/>
      <c r="BX22" s="28"/>
      <c r="BY22" s="28"/>
      <c r="BZ22" s="28"/>
      <c r="CA22" s="28"/>
      <c r="CB22" s="28"/>
      <c r="CC22" s="28"/>
      <c r="CD22" s="28"/>
      <c r="CE22" s="28"/>
      <c r="CF22" s="28"/>
      <c r="CG22" s="28"/>
      <c r="CH22" s="28"/>
      <c r="CI22" s="28"/>
      <c r="CJ22" s="28"/>
      <c r="CK22" s="28"/>
      <c r="CL22" s="28"/>
      <c r="CM22" s="28"/>
      <c r="CN22" s="28"/>
      <c r="CO22" s="28"/>
      <c r="CP22" s="28"/>
      <c r="CQ22" s="28"/>
      <c r="CR22" s="28"/>
      <c r="CS22" s="28"/>
      <c r="CT22" s="28"/>
      <c r="CU22" s="28"/>
      <c r="CV22" s="28"/>
      <c r="CW22" s="28"/>
      <c r="CX22" s="28"/>
      <c r="CY22" s="28"/>
      <c r="CZ22" s="28"/>
      <c r="DA22" s="28"/>
      <c r="DB22" s="28"/>
      <c r="DC22" s="28"/>
      <c r="DD22" s="28"/>
      <c r="DE22" s="28"/>
      <c r="DF22" s="28"/>
      <c r="DG22" s="28"/>
      <c r="DH22" s="28"/>
      <c r="DI22" s="28"/>
      <c r="DJ22" s="28"/>
      <c r="DK22" s="28"/>
      <c r="DL22" s="28"/>
      <c r="DM22" s="28"/>
      <c r="DN22" s="28"/>
      <c r="DO22" s="28"/>
      <c r="DP22" s="28"/>
      <c r="DQ22" s="28"/>
      <c r="DR22" s="28"/>
      <c r="DS22" s="28"/>
      <c r="DT22" s="28"/>
      <c r="DU22" s="28"/>
      <c r="DV22" s="28"/>
      <c r="DW22" s="28"/>
      <c r="DX22" s="28"/>
      <c r="DY22" s="28"/>
      <c r="DZ22" s="28"/>
      <c r="EA22" s="28"/>
      <c r="EB22" s="28"/>
      <c r="EC22" s="28"/>
      <c r="ED22" s="28"/>
      <c r="EE22" s="28"/>
      <c r="EF22" s="28"/>
      <c r="EG22" s="28"/>
      <c r="EH22" s="28"/>
      <c r="EI22" s="28"/>
      <c r="EJ22" s="28"/>
      <c r="EK22" s="28"/>
      <c r="EL22" s="28"/>
      <c r="EM22" s="28"/>
      <c r="EN22" s="28"/>
      <c r="EO22" s="28"/>
      <c r="EP22" s="28"/>
      <c r="EQ22" s="28"/>
      <c r="ER22" s="28"/>
      <c r="ES22" s="28"/>
      <c r="ET22" s="28"/>
      <c r="EU22" s="28"/>
      <c r="EV22" s="28"/>
      <c r="EW22" s="28"/>
      <c r="EX22" s="28"/>
      <c r="EY22" s="28"/>
      <c r="EZ22" s="28"/>
      <c r="FA22" s="28"/>
      <c r="FB22" s="28"/>
      <c r="FC22" s="28"/>
      <c r="FD22" s="28"/>
      <c r="FE22" s="28"/>
      <c r="FF22" s="28"/>
      <c r="FG22" s="28"/>
      <c r="FH22" s="28"/>
      <c r="FI22" s="28"/>
      <c r="FJ22" s="28"/>
      <c r="FK22" s="28"/>
      <c r="FL22" s="28"/>
      <c r="FM22" s="28"/>
      <c r="FN22" s="28"/>
      <c r="FO22" s="28"/>
      <c r="FP22" s="28"/>
      <c r="FQ22" s="28"/>
      <c r="FR22" s="28"/>
      <c r="FS22" s="28"/>
      <c r="FT22" s="28"/>
      <c r="FU22" s="28"/>
      <c r="FV22" s="28"/>
      <c r="FW22" s="28"/>
      <c r="FX22" s="28"/>
      <c r="FY22" s="28"/>
      <c r="FZ22" s="28"/>
      <c r="GA22" s="28"/>
      <c r="GB22" s="28"/>
      <c r="GC22" s="28"/>
      <c r="GD22" s="28"/>
      <c r="GE22" s="28"/>
      <c r="GF22" s="28"/>
      <c r="GG22" s="28"/>
      <c r="GH22" s="28"/>
      <c r="GI22" s="28"/>
      <c r="GJ22" s="28"/>
      <c r="GK22" s="28"/>
      <c r="GL22" s="28"/>
      <c r="GM22" s="28"/>
      <c r="GN22" s="28"/>
      <c r="GO22" s="28"/>
      <c r="GP22" s="28"/>
      <c r="GQ22" s="28"/>
      <c r="GR22" s="28"/>
      <c r="GS22" s="28"/>
      <c r="GT22" s="28"/>
      <c r="GU22" s="28"/>
      <c r="GV22" s="28"/>
      <c r="GW22" s="28"/>
      <c r="GX22" s="28"/>
      <c r="GY22" s="28"/>
      <c r="GZ22" s="28"/>
      <c r="HA22" s="28"/>
      <c r="HB22" s="28"/>
      <c r="HC22" s="28"/>
      <c r="HD22" s="28"/>
      <c r="HE22" s="28"/>
      <c r="HF22" s="28"/>
      <c r="HG22" s="28"/>
      <c r="HH22" s="28"/>
      <c r="HI22" s="28"/>
      <c r="HJ22" s="28"/>
      <c r="HK22" s="28"/>
    </row>
    <row r="23" spans="1:219" ht="15" customHeight="1">
      <c r="A23" s="100">
        <v>1</v>
      </c>
      <c r="B23" s="132" t="str">
        <f>VLOOKUP(Ruimtestaat[[#This Row],[Code]],Locaties[[Code]:[Locatie]],2,FALSE)</f>
        <v>Mirtehuis</v>
      </c>
      <c r="C23" s="132" t="str">
        <f>VLOOKUP(Ruimtestaat[[#This Row],[Code]],Locaties[[#All],[Code]:[Adres]],4,FALSE)</f>
        <v>Weseperweg 6</v>
      </c>
      <c r="D23" s="132" t="str">
        <f>VLOOKUP(Ruimtestaat[[#This Row],[Code]],Locaties[[#All],[Code]:[Postcode]],5,FALSE)</f>
        <v>8111 PK</v>
      </c>
      <c r="E23" s="132" t="str">
        <f>VLOOKUP(Ruimtestaat[[#This Row],[Code]],Locaties[#All],6,FALSE)</f>
        <v>Heeten</v>
      </c>
      <c r="F23" s="100"/>
      <c r="G23" s="100" t="s">
        <v>1675</v>
      </c>
      <c r="H23" s="344"/>
      <c r="I23" s="345" t="s">
        <v>1646</v>
      </c>
      <c r="J23" s="49">
        <v>6</v>
      </c>
      <c r="K23" s="140" t="str">
        <f>VLOOKUP(Ruimtestaat[[#This Row],[Ruimte code]],Ruimtegroepen[[#All],[Code]:[Ruimte omschrijving]],2,FALSE)</f>
        <v>Gangen/hallen</v>
      </c>
      <c r="L23" s="100" t="s">
        <v>100</v>
      </c>
      <c r="M23" s="345" t="s">
        <v>1636</v>
      </c>
      <c r="N23" s="133">
        <v>3</v>
      </c>
      <c r="O23" s="139"/>
      <c r="P23" s="134" t="str">
        <f>VLOOKUP(Ruimtestaat[[#This Row],[Ruimte code]],Ruimtegroepen[],4,FALSE)</f>
        <v>Ve</v>
      </c>
      <c r="Q23" s="100">
        <v>51</v>
      </c>
      <c r="R23" s="100" t="s">
        <v>2</v>
      </c>
      <c r="S23" s="100">
        <f>IF(Q23&gt;0,IF(RIGHT(Ruimtestaat[[#This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3" s="100">
        <f>IF(S23&gt;0,VLOOKUP($J23,Ruimtegroepen[],3,FALSE)*VLOOKUP($L23,Vloersoorten[],3,FALSE)*VLOOKUP($R23,Frequenties[],3,FALSE)*VLOOKUP($A23,Locaties[],3,FALSE),0)</f>
        <v>0</v>
      </c>
      <c r="U23" s="100">
        <f>Ruimtestaat[[#This Row],[Uitvoeringen werkdagen]]*Ruimtestaat[[#This Row],[Oppervlak (netto)]]</f>
        <v>765</v>
      </c>
      <c r="V23" s="135">
        <f>IF(T23&gt;0,Ruimtestaat[[#This Row],[Prest. (m2 /jaar) werkdagen]]/Ruimtestaat[[#This Row],[Norm (m2/uur) werkdagen]],0)</f>
        <v>0</v>
      </c>
      <c r="W23" s="136">
        <f>Ruimtestaat[[#This Row],[uren / jaar werkdagen]]*Tariefsopbouw!$E$35</f>
        <v>0</v>
      </c>
      <c r="X23" s="100"/>
      <c r="Y23" s="100">
        <f>IF(Ruimtestaat[[#This Row],[Frequentie weekend]]&gt;0,VALUE(LEFT(X23,1))*Q23,0)</f>
        <v>0</v>
      </c>
      <c r="Z23" s="99">
        <f>IF($Y23&gt;0,VLOOKUP($J23,Ruimtegroepen[],3,FALSE)*VLOOKUP($L23,Vloersoorten[],3,FALSE)*VLOOKUP($X23,Frequenties[],3,FALSE)*VLOOKUP(Ruimtestaat[[#This Row],[Code]],Locaties[],3,FALSE),0)</f>
        <v>0</v>
      </c>
      <c r="AA23" s="99">
        <f>Ruimtestaat[[#This Row],[Uitvoeringen weekend]]*Ruimtestaat[[#This Row],[Oppervlak (netto)]]</f>
        <v>0</v>
      </c>
      <c r="AB23" s="99">
        <f>IF(Z23&gt;0,Ruimtestaat[[#This Row],[Prest. (m2 /jaar) weekend]]/Ruimtestaat[[#This Row],[Norm (m2/uur) weekend]],0)</f>
        <v>0</v>
      </c>
      <c r="AC23" s="136">
        <f>Ruimtestaat[[#This Row],[uren / jaar weekend]]*Tariefsopbouw!$D$40</f>
        <v>0</v>
      </c>
      <c r="AD23" s="135">
        <f>Ruimtestaat[[#This Row],[Prest. (m2 /jaar) weekend]]+Ruimtestaat[[#This Row],[Prest. (m2 /jaar) werkdagen]]</f>
        <v>765</v>
      </c>
      <c r="AE23" s="135">
        <f>Ruimtestaat[[#This Row],[uren / jaar weekend]]+Ruimtestaat[[#This Row],[uren / jaar werkdagen]]</f>
        <v>0</v>
      </c>
      <c r="AF23" s="130">
        <f>Ruimtestaat[[#This Row],[kosten / jaar weekend]]+Ruimtestaat[[#This Row],[kosten / jaar werkdagen]]</f>
        <v>0</v>
      </c>
      <c r="AG23" s="130"/>
      <c r="AH23" s="137" t="str">
        <f>IF(Ruimtestaat[[#This Row],[Frequentie werkdagen]]="","",_xlfn.CONCAT(Ruimtestaat[[#This Row],[Ruimte code]],"-",Ruimtestaat[[#This Row],[Frequentie werkdagen]]," ",Ruimtestaat[[#This Row],[Vloer code]]))</f>
        <v>6-5w L</v>
      </c>
      <c r="AI23" s="142" t="str">
        <f>_xlfn.IFNA(VLOOKUP($AH23,Programma!$F$3:$G$1101,2,0),"")</f>
        <v>_</v>
      </c>
      <c r="AJ23" s="142" t="str">
        <f>_xlfn.IFNA(VLOOKUP($AH23,Programma!$F$3:$H$1101,3,0),"")</f>
        <v>_</v>
      </c>
      <c r="AK23" s="142" t="str">
        <f>_xlfn.IFNA(VLOOKUP($AH23,Programma!$F$3:$I$1101,4,0),"")</f>
        <v>_</v>
      </c>
      <c r="AL23" s="142" t="str">
        <f>_xlfn.IFNA(VLOOKUP($AH23,Programma!$F$3:$J$1101,5,0),"")</f>
        <v>5w</v>
      </c>
      <c r="AM23" s="142" t="str">
        <f>_xlfn.IFNA(VLOOKUP($AH23,Programma!$F$3:$K$1101,6,0),"")</f>
        <v>_</v>
      </c>
      <c r="AN23" s="142" t="str">
        <f>_xlfn.IFNA(VLOOKUP($AH23,Programma!$F$3:$L$1101,7,0),"")</f>
        <v>_</v>
      </c>
      <c r="AO23" s="142" t="str">
        <f>_xlfn.IFNA(VLOOKUP($AH23,Programma!$F$3:$M$1101,8,0),"")</f>
        <v>_</v>
      </c>
      <c r="AP23" s="142" t="str">
        <f>_xlfn.IFNA(VLOOKUP($AH23,Programma!$F$3:$N$1101,9,0),"")</f>
        <v>_</v>
      </c>
      <c r="AQ23" s="142" t="str">
        <f>_xlfn.IFNA(VLOOKUP($AH23,Programma!$F$3:$O$1101,10,0),"")</f>
        <v>5w</v>
      </c>
      <c r="AR23" s="142" t="str">
        <f>_xlfn.IFNA(VLOOKUP($AH23,Programma!$F$3:$P$1101,11,0),"")</f>
        <v>5w</v>
      </c>
      <c r="AS23" s="142" t="str">
        <f>_xlfn.IFNA(VLOOKUP($AH23,Programma!$F$3:$Q$1101,12,0),"")</f>
        <v>1w</v>
      </c>
      <c r="AT23" s="142" t="str">
        <f>_xlfn.IFNA(VLOOKUP($AH23,Programma!$F$3:$R$1101,13,0),"")</f>
        <v>1w</v>
      </c>
      <c r="AU23" s="142" t="str">
        <f>_xlfn.IFNA(VLOOKUP($AH23,Programma!$F$3:$S$1101,14,0),"")</f>
        <v>1m</v>
      </c>
      <c r="AV23" s="142" t="str">
        <f>_xlfn.IFNA(VLOOKUP($AH23,Programma!$F$3:$T$1101,15,0),"")</f>
        <v>2j</v>
      </c>
      <c r="AW23" s="142" t="str">
        <f>_xlfn.IFNA(VLOOKUP($AH23,Programma!$F$3:$U$1101,16,0),"")</f>
        <v>1j</v>
      </c>
      <c r="AX23" s="142" t="str">
        <f>_xlfn.IFNA(VLOOKUP($AH23,Programma!$F$3:$V$1101,17,0),"")</f>
        <v>_</v>
      </c>
      <c r="AY23" s="142" t="str">
        <f>_xlfn.IFNA(VLOOKUP($AH23,Programma!$F$3:$W$1101,18,0),"")</f>
        <v>_</v>
      </c>
      <c r="AZ23" s="142" t="str">
        <f>_xlfn.IFNA(VLOOKUP($AH23,Programma!$F$3:$X$1101,19,0),"")</f>
        <v>_</v>
      </c>
      <c r="BA23" s="142" t="str">
        <f>_xlfn.IFNA(VLOOKUP($AH23,Programma!$F$3:$Y$1101,20,0),"")</f>
        <v>_</v>
      </c>
      <c r="BB23" s="138"/>
      <c r="BC23" s="137" t="str">
        <f>IF(Ruimtestaat[[#This Row],[Frequentie weekend]]="","",_xlfn.CONCAT(Ruimtestaat[[#This Row],[Ruimte code]],"-",Ruimtestaat[[#This Row],[Frequentie weekend]]," ",Ruimtestaat[[#This Row],[Vloer code]]))</f>
        <v/>
      </c>
      <c r="BD23" s="142" t="str">
        <f>_xlfn.IFNA(VLOOKUP($BC23,Programma!$F$3:$G$1101,2,0),"")</f>
        <v/>
      </c>
      <c r="BE23" s="142" t="str">
        <f>_xlfn.IFNA(VLOOKUP($BC23,Programma!$F$3:$H$1101,3,0),"")</f>
        <v/>
      </c>
      <c r="BF23" s="142" t="str">
        <f>_xlfn.IFNA(VLOOKUP($BC23,Programma!$F$3:$I$1101,4,0),"")</f>
        <v/>
      </c>
      <c r="BG23" s="142" t="str">
        <f>_xlfn.IFNA(VLOOKUP($BC23,Programma!$F$3:$J$1101,5,0),"")</f>
        <v/>
      </c>
      <c r="BH23" s="142" t="str">
        <f>_xlfn.IFNA(VLOOKUP($BC23,Programma!$F$3:$K$1101,6,0),"")</f>
        <v/>
      </c>
      <c r="BI23" s="142" t="str">
        <f>_xlfn.IFNA(VLOOKUP($BC23,Programma!$F$3:$L$1101,7,0),"")</f>
        <v/>
      </c>
      <c r="BJ23" s="142" t="str">
        <f>_xlfn.IFNA(VLOOKUP($BC23,Programma!$F$3:$M$1101,8,0),"")</f>
        <v/>
      </c>
      <c r="BK23" s="142" t="str">
        <f>_xlfn.IFNA(VLOOKUP($BC23,Programma!$F$3:$N$1101,9,0),"")</f>
        <v/>
      </c>
      <c r="BL23" s="142" t="str">
        <f>_xlfn.IFNA(VLOOKUP($BC23,Programma!$F$3:$O$1101,10,0),"")</f>
        <v/>
      </c>
      <c r="BM23" s="142" t="str">
        <f>_xlfn.IFNA(VLOOKUP($BC23,Programma!$F$3:$P$1101,11,0),"")</f>
        <v/>
      </c>
      <c r="BN23" s="142" t="str">
        <f>_xlfn.IFNA(VLOOKUP($BC23,Programma!$F$3:$Q$1101,12,0),"")</f>
        <v/>
      </c>
      <c r="BO23" s="142" t="str">
        <f>_xlfn.IFNA(VLOOKUP($BC23,Programma!$F$3:$R$1101,13,0),"")</f>
        <v/>
      </c>
      <c r="BP23" s="142" t="str">
        <f>_xlfn.IFNA(VLOOKUP($BC23,Programma!$F$3:$S$1101,14,0),"")</f>
        <v/>
      </c>
      <c r="BQ23" s="142" t="str">
        <f>_xlfn.IFNA(VLOOKUP($BC23,Programma!$F$3:$T$1101,15,0),"")</f>
        <v/>
      </c>
      <c r="BR23" s="142" t="str">
        <f>_xlfn.IFNA(VLOOKUP($BC23,Programma!$F$3:$U$1101,16,0),"")</f>
        <v/>
      </c>
      <c r="BS23" s="142" t="str">
        <f>_xlfn.IFNA(VLOOKUP($BC23,Programma!$F$3:$V$1101,17,0),"")</f>
        <v/>
      </c>
      <c r="BT23" s="142" t="str">
        <f>_xlfn.IFNA(VLOOKUP($BC23,Programma!$F$3:$W$1101,18,0),"")</f>
        <v/>
      </c>
      <c r="BU23" s="142" t="str">
        <f>_xlfn.IFNA(VLOOKUP($BC23,Programma!$F$3:$X$1101,19,0),"")</f>
        <v/>
      </c>
      <c r="BV23" s="142" t="str">
        <f>_xlfn.IFNA(VLOOKUP($BC23,Programma!$F$3:$Y$1101,20,0),"")</f>
        <v/>
      </c>
      <c r="BW23" s="28"/>
      <c r="BX23" s="28"/>
      <c r="BY23" s="28"/>
      <c r="BZ23" s="28"/>
      <c r="CA23" s="28"/>
      <c r="CB23" s="28"/>
      <c r="CC23" s="28"/>
      <c r="CD23" s="28"/>
      <c r="CE23" s="28"/>
      <c r="CF23" s="28"/>
      <c r="CG23" s="28"/>
      <c r="CH23" s="28"/>
      <c r="CI23" s="28"/>
      <c r="CJ23" s="28"/>
      <c r="CK23" s="28"/>
      <c r="CL23" s="28"/>
      <c r="CM23" s="28"/>
      <c r="CN23" s="28"/>
      <c r="CO23" s="28"/>
      <c r="CP23" s="28"/>
      <c r="CQ23" s="28"/>
      <c r="CR23" s="28"/>
      <c r="CS23" s="28"/>
      <c r="CT23" s="28"/>
      <c r="CU23" s="28"/>
      <c r="CV23" s="28"/>
      <c r="CW23" s="28"/>
      <c r="CX23" s="28"/>
      <c r="CY23" s="28"/>
      <c r="CZ23" s="28"/>
      <c r="DA23" s="28"/>
      <c r="DB23" s="28"/>
      <c r="DC23" s="28"/>
      <c r="DD23" s="28"/>
      <c r="DE23" s="28"/>
      <c r="DF23" s="28"/>
      <c r="DG23" s="28"/>
      <c r="DH23" s="28"/>
      <c r="DI23" s="28"/>
      <c r="DJ23" s="28"/>
      <c r="DK23" s="28"/>
      <c r="DL23" s="28"/>
      <c r="DM23" s="28"/>
      <c r="DN23" s="28"/>
      <c r="DO23" s="28"/>
      <c r="DP23" s="28"/>
      <c r="DQ23" s="28"/>
      <c r="DR23" s="28"/>
      <c r="DS23" s="28"/>
      <c r="DT23" s="28"/>
      <c r="DU23" s="28"/>
      <c r="DV23" s="28"/>
      <c r="DW23" s="28"/>
      <c r="DX23" s="28"/>
      <c r="DY23" s="28"/>
      <c r="DZ23" s="28"/>
      <c r="EA23" s="28"/>
      <c r="EB23" s="28"/>
      <c r="EC23" s="28"/>
      <c r="ED23" s="28"/>
      <c r="EE23" s="28"/>
      <c r="EF23" s="28"/>
      <c r="EG23" s="28"/>
      <c r="EH23" s="28"/>
      <c r="EI23" s="28"/>
      <c r="EJ23" s="28"/>
      <c r="EK23" s="28"/>
      <c r="EL23" s="28"/>
      <c r="EM23" s="28"/>
      <c r="EN23" s="28"/>
      <c r="EO23" s="28"/>
      <c r="EP23" s="28"/>
      <c r="EQ23" s="28"/>
      <c r="ER23" s="28"/>
      <c r="ES23" s="28"/>
      <c r="ET23" s="28"/>
      <c r="EU23" s="28"/>
      <c r="EV23" s="28"/>
      <c r="EW23" s="28"/>
      <c r="EX23" s="28"/>
      <c r="EY23" s="28"/>
      <c r="EZ23" s="28"/>
      <c r="FA23" s="28"/>
      <c r="FB23" s="28"/>
      <c r="FC23" s="28"/>
      <c r="FD23" s="28"/>
      <c r="FE23" s="28"/>
      <c r="FF23" s="28"/>
      <c r="FG23" s="28"/>
      <c r="FH23" s="28"/>
      <c r="FI23" s="28"/>
      <c r="FJ23" s="28"/>
      <c r="FK23" s="28"/>
      <c r="FL23" s="28"/>
      <c r="FM23" s="28"/>
      <c r="FN23" s="28"/>
      <c r="FO23" s="28"/>
      <c r="FP23" s="28"/>
      <c r="FQ23" s="28"/>
      <c r="FR23" s="28"/>
      <c r="FS23" s="28"/>
      <c r="FT23" s="28"/>
      <c r="FU23" s="28"/>
      <c r="FV23" s="28"/>
      <c r="FW23" s="28"/>
      <c r="FX23" s="28"/>
      <c r="FY23" s="28"/>
      <c r="FZ23" s="28"/>
      <c r="GA23" s="28"/>
      <c r="GB23" s="28"/>
      <c r="GC23" s="28"/>
      <c r="GD23" s="28"/>
      <c r="GE23" s="28"/>
      <c r="GF23" s="28"/>
      <c r="GG23" s="28"/>
      <c r="GH23" s="28"/>
      <c r="GI23" s="28"/>
      <c r="GJ23" s="28"/>
      <c r="GK23" s="28"/>
      <c r="GL23" s="28"/>
      <c r="GM23" s="28"/>
      <c r="GN23" s="28"/>
      <c r="GO23" s="28"/>
      <c r="GP23" s="28"/>
      <c r="GQ23" s="28"/>
      <c r="GR23" s="28"/>
      <c r="GS23" s="28"/>
      <c r="GT23" s="28"/>
      <c r="GU23" s="28"/>
      <c r="GV23" s="28"/>
      <c r="GW23" s="28"/>
      <c r="GX23" s="28"/>
      <c r="GY23" s="28"/>
      <c r="GZ23" s="28"/>
      <c r="HA23" s="28"/>
      <c r="HB23" s="28"/>
      <c r="HC23" s="28"/>
      <c r="HD23" s="28"/>
      <c r="HE23" s="28"/>
      <c r="HF23" s="28"/>
      <c r="HG23" s="28"/>
      <c r="HH23" s="28"/>
      <c r="HI23" s="28"/>
      <c r="HJ23" s="28"/>
      <c r="HK23" s="28"/>
    </row>
    <row r="24" spans="1:219" ht="15" customHeight="1">
      <c r="A24" s="100">
        <v>1</v>
      </c>
      <c r="B24" s="132" t="str">
        <f>VLOOKUP(Ruimtestaat[[#This Row],[Code]],Locaties[[Code]:[Locatie]],2,FALSE)</f>
        <v>Mirtehuis</v>
      </c>
      <c r="C24" s="132" t="str">
        <f>VLOOKUP(Ruimtestaat[[#This Row],[Code]],Locaties[[#All],[Code]:[Adres]],4,FALSE)</f>
        <v>Weseperweg 6</v>
      </c>
      <c r="D24" s="132" t="str">
        <f>VLOOKUP(Ruimtestaat[[#This Row],[Code]],Locaties[[#All],[Code]:[Postcode]],5,FALSE)</f>
        <v>8111 PK</v>
      </c>
      <c r="E24" s="132" t="str">
        <f>VLOOKUP(Ruimtestaat[[#This Row],[Code]],Locaties[#All],6,FALSE)</f>
        <v>Heeten</v>
      </c>
      <c r="F24" s="100"/>
      <c r="G24" s="100" t="s">
        <v>1675</v>
      </c>
      <c r="H24" s="344"/>
      <c r="I24" s="345" t="s">
        <v>1647</v>
      </c>
      <c r="J24" s="49">
        <v>15</v>
      </c>
      <c r="K24" s="140" t="str">
        <f>VLOOKUP(Ruimtestaat[[#This Row],[Ruimte code]],Ruimtegroepen[[#All],[Code]:[Ruimte omschrijving]],2,FALSE)</f>
        <v>Keuken/pantry</v>
      </c>
      <c r="L24" s="100" t="s">
        <v>100</v>
      </c>
      <c r="M24" s="345" t="s">
        <v>1636</v>
      </c>
      <c r="N24" s="133">
        <v>6</v>
      </c>
      <c r="O24" s="139"/>
      <c r="P24" s="134" t="str">
        <f>VLOOKUP(Ruimtestaat[[#This Row],[Ruimte code]],Ruimtegroepen[],4,FALSE)</f>
        <v>Ve</v>
      </c>
      <c r="Q24" s="100">
        <v>51</v>
      </c>
      <c r="R24" s="100" t="s">
        <v>2</v>
      </c>
      <c r="S24" s="100">
        <f>IF(Q24&gt;0,IF(RIGHT(Ruimtestaat[[#This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4" s="100">
        <f>IF(S24&gt;0,VLOOKUP($J24,Ruimtegroepen[],3,FALSE)*VLOOKUP($L24,Vloersoorten[],3,FALSE)*VLOOKUP($R24,Frequenties[],3,FALSE)*VLOOKUP($A24,Locaties[],3,FALSE),0)</f>
        <v>0</v>
      </c>
      <c r="U24" s="100">
        <f>Ruimtestaat[[#This Row],[Uitvoeringen werkdagen]]*Ruimtestaat[[#This Row],[Oppervlak (netto)]]</f>
        <v>1530</v>
      </c>
      <c r="V24" s="135">
        <f>IF(T24&gt;0,Ruimtestaat[[#This Row],[Prest. (m2 /jaar) werkdagen]]/Ruimtestaat[[#This Row],[Norm (m2/uur) werkdagen]],0)</f>
        <v>0</v>
      </c>
      <c r="W24" s="136">
        <f>Ruimtestaat[[#This Row],[uren / jaar werkdagen]]*Tariefsopbouw!$E$35</f>
        <v>0</v>
      </c>
      <c r="X24" s="100"/>
      <c r="Y24" s="100">
        <f>IF(Ruimtestaat[[#This Row],[Frequentie weekend]]&gt;0,VALUE(LEFT(X24,1))*Q24,0)</f>
        <v>0</v>
      </c>
      <c r="Z24" s="99">
        <f>IF($Y24&gt;0,VLOOKUP($J24,Ruimtegroepen[],3,FALSE)*VLOOKUP($L24,Vloersoorten[],3,FALSE)*VLOOKUP($X24,Frequenties[],3,FALSE)*VLOOKUP(Ruimtestaat[[#This Row],[Code]],Locaties[],3,FALSE),0)</f>
        <v>0</v>
      </c>
      <c r="AA24" s="99">
        <f>Ruimtestaat[[#This Row],[Uitvoeringen weekend]]*Ruimtestaat[[#This Row],[Oppervlak (netto)]]</f>
        <v>0</v>
      </c>
      <c r="AB24" s="99">
        <f>IF(Z24&gt;0,Ruimtestaat[[#This Row],[Prest. (m2 /jaar) weekend]]/Ruimtestaat[[#This Row],[Norm (m2/uur) weekend]],0)</f>
        <v>0</v>
      </c>
      <c r="AC24" s="136">
        <f>Ruimtestaat[[#This Row],[uren / jaar weekend]]*Tariefsopbouw!$D$40</f>
        <v>0</v>
      </c>
      <c r="AD24" s="135">
        <f>Ruimtestaat[[#This Row],[Prest. (m2 /jaar) weekend]]+Ruimtestaat[[#This Row],[Prest. (m2 /jaar) werkdagen]]</f>
        <v>1530</v>
      </c>
      <c r="AE24" s="135">
        <f>Ruimtestaat[[#This Row],[uren / jaar weekend]]+Ruimtestaat[[#This Row],[uren / jaar werkdagen]]</f>
        <v>0</v>
      </c>
      <c r="AF24" s="130">
        <f>Ruimtestaat[[#This Row],[kosten / jaar weekend]]+Ruimtestaat[[#This Row],[kosten / jaar werkdagen]]</f>
        <v>0</v>
      </c>
      <c r="AG24" s="130"/>
      <c r="AH24" s="137" t="str">
        <f>IF(Ruimtestaat[[#This Row],[Frequentie werkdagen]]="","",_xlfn.CONCAT(Ruimtestaat[[#This Row],[Ruimte code]],"-",Ruimtestaat[[#This Row],[Frequentie werkdagen]]," ",Ruimtestaat[[#This Row],[Vloer code]]))</f>
        <v>15-5w L</v>
      </c>
      <c r="AI24" s="142" t="str">
        <f>_xlfn.IFNA(VLOOKUP($AH24,Programma!$F$3:$G$1101,2,0),"")</f>
        <v>_</v>
      </c>
      <c r="AJ24" s="142" t="str">
        <f>_xlfn.IFNA(VLOOKUP($AH24,Programma!$F$3:$H$1101,3,0),"")</f>
        <v>_</v>
      </c>
      <c r="AK24" s="142" t="str">
        <f>_xlfn.IFNA(VLOOKUP($AH24,Programma!$F$3:$I$1101,4,0),"")</f>
        <v>_</v>
      </c>
      <c r="AL24" s="142" t="str">
        <f>_xlfn.IFNA(VLOOKUP($AH24,Programma!$F$3:$J$1101,5,0),"")</f>
        <v>5w</v>
      </c>
      <c r="AM24" s="142" t="str">
        <f>_xlfn.IFNA(VLOOKUP($AH24,Programma!$F$3:$K$1101,6,0),"")</f>
        <v>_</v>
      </c>
      <c r="AN24" s="142" t="str">
        <f>_xlfn.IFNA(VLOOKUP($AH24,Programma!$F$3:$L$1101,7,0),"")</f>
        <v>_</v>
      </c>
      <c r="AO24" s="142" t="str">
        <f>_xlfn.IFNA(VLOOKUP($AH24,Programma!$F$3:$M$1101,8,0),"")</f>
        <v>_</v>
      </c>
      <c r="AP24" s="142" t="str">
        <f>_xlfn.IFNA(VLOOKUP($AH24,Programma!$F$3:$N$1101,9,0),"")</f>
        <v>_</v>
      </c>
      <c r="AQ24" s="142" t="str">
        <f>_xlfn.IFNA(VLOOKUP($AH24,Programma!$F$3:$O$1101,10,0),"")</f>
        <v>5w</v>
      </c>
      <c r="AR24" s="142" t="str">
        <f>_xlfn.IFNA(VLOOKUP($AH24,Programma!$F$3:$P$1101,11,0),"")</f>
        <v>5w</v>
      </c>
      <c r="AS24" s="142" t="str">
        <f>_xlfn.IFNA(VLOOKUP($AH24,Programma!$F$3:$Q$1101,12,0),"")</f>
        <v>1w</v>
      </c>
      <c r="AT24" s="142" t="str">
        <f>_xlfn.IFNA(VLOOKUP($AH24,Programma!$F$3:$R$1101,13,0),"")</f>
        <v>1w</v>
      </c>
      <c r="AU24" s="142" t="str">
        <f>_xlfn.IFNA(VLOOKUP($AH24,Programma!$F$3:$S$1101,14,0),"")</f>
        <v>1m</v>
      </c>
      <c r="AV24" s="142" t="str">
        <f>_xlfn.IFNA(VLOOKUP($AH24,Programma!$F$3:$T$1101,15,0),"")</f>
        <v>2j</v>
      </c>
      <c r="AW24" s="142" t="str">
        <f>_xlfn.IFNA(VLOOKUP($AH24,Programma!$F$3:$U$1101,16,0),"")</f>
        <v>1j</v>
      </c>
      <c r="AX24" s="142" t="str">
        <f>_xlfn.IFNA(VLOOKUP($AH24,Programma!$F$3:$V$1101,17,0),"")</f>
        <v>_</v>
      </c>
      <c r="AY24" s="142" t="str">
        <f>_xlfn.IFNA(VLOOKUP($AH24,Programma!$F$3:$W$1101,18,0),"")</f>
        <v>_</v>
      </c>
      <c r="AZ24" s="142" t="str">
        <f>_xlfn.IFNA(VLOOKUP($AH24,Programma!$F$3:$X$1101,19,0),"")</f>
        <v>_</v>
      </c>
      <c r="BA24" s="142" t="str">
        <f>_xlfn.IFNA(VLOOKUP($AH24,Programma!$F$3:$Y$1101,20,0),"")</f>
        <v>_</v>
      </c>
      <c r="BB24" s="138"/>
      <c r="BC24" s="137" t="str">
        <f>IF(Ruimtestaat[[#This Row],[Frequentie weekend]]="","",_xlfn.CONCAT(Ruimtestaat[[#This Row],[Ruimte code]],"-",Ruimtestaat[[#This Row],[Frequentie weekend]]," ",Ruimtestaat[[#This Row],[Vloer code]]))</f>
        <v/>
      </c>
      <c r="BD24" s="142" t="str">
        <f>_xlfn.IFNA(VLOOKUP($BC24,Programma!$F$3:$G$1101,2,0),"")</f>
        <v/>
      </c>
      <c r="BE24" s="142" t="str">
        <f>_xlfn.IFNA(VLOOKUP($BC24,Programma!$F$3:$H$1101,3,0),"")</f>
        <v/>
      </c>
      <c r="BF24" s="142" t="str">
        <f>_xlfn.IFNA(VLOOKUP($BC24,Programma!$F$3:$I$1101,4,0),"")</f>
        <v/>
      </c>
      <c r="BG24" s="142" t="str">
        <f>_xlfn.IFNA(VLOOKUP($BC24,Programma!$F$3:$J$1101,5,0),"")</f>
        <v/>
      </c>
      <c r="BH24" s="142" t="str">
        <f>_xlfn.IFNA(VLOOKUP($BC24,Programma!$F$3:$K$1101,6,0),"")</f>
        <v/>
      </c>
      <c r="BI24" s="142" t="str">
        <f>_xlfn.IFNA(VLOOKUP($BC24,Programma!$F$3:$L$1101,7,0),"")</f>
        <v/>
      </c>
      <c r="BJ24" s="142" t="str">
        <f>_xlfn.IFNA(VLOOKUP($BC24,Programma!$F$3:$M$1101,8,0),"")</f>
        <v/>
      </c>
      <c r="BK24" s="142" t="str">
        <f>_xlfn.IFNA(VLOOKUP($BC24,Programma!$F$3:$N$1101,9,0),"")</f>
        <v/>
      </c>
      <c r="BL24" s="142" t="str">
        <f>_xlfn.IFNA(VLOOKUP($BC24,Programma!$F$3:$O$1101,10,0),"")</f>
        <v/>
      </c>
      <c r="BM24" s="142" t="str">
        <f>_xlfn.IFNA(VLOOKUP($BC24,Programma!$F$3:$P$1101,11,0),"")</f>
        <v/>
      </c>
      <c r="BN24" s="142" t="str">
        <f>_xlfn.IFNA(VLOOKUP($BC24,Programma!$F$3:$Q$1101,12,0),"")</f>
        <v/>
      </c>
      <c r="BO24" s="142" t="str">
        <f>_xlfn.IFNA(VLOOKUP($BC24,Programma!$F$3:$R$1101,13,0),"")</f>
        <v/>
      </c>
      <c r="BP24" s="142" t="str">
        <f>_xlfn.IFNA(VLOOKUP($BC24,Programma!$F$3:$S$1101,14,0),"")</f>
        <v/>
      </c>
      <c r="BQ24" s="142" t="str">
        <f>_xlfn.IFNA(VLOOKUP($BC24,Programma!$F$3:$T$1101,15,0),"")</f>
        <v/>
      </c>
      <c r="BR24" s="142" t="str">
        <f>_xlfn.IFNA(VLOOKUP($BC24,Programma!$F$3:$U$1101,16,0),"")</f>
        <v/>
      </c>
      <c r="BS24" s="142" t="str">
        <f>_xlfn.IFNA(VLOOKUP($BC24,Programma!$F$3:$V$1101,17,0),"")</f>
        <v/>
      </c>
      <c r="BT24" s="142" t="str">
        <f>_xlfn.IFNA(VLOOKUP($BC24,Programma!$F$3:$W$1101,18,0),"")</f>
        <v/>
      </c>
      <c r="BU24" s="142" t="str">
        <f>_xlfn.IFNA(VLOOKUP($BC24,Programma!$F$3:$X$1101,19,0),"")</f>
        <v/>
      </c>
      <c r="BV24" s="142" t="str">
        <f>_xlfn.IFNA(VLOOKUP($BC24,Programma!$F$3:$Y$1101,20,0),"")</f>
        <v/>
      </c>
      <c r="BW24" s="28"/>
      <c r="BX24" s="28"/>
      <c r="BY24" s="28"/>
      <c r="BZ24" s="28"/>
      <c r="CA24" s="28"/>
      <c r="CB24" s="28"/>
      <c r="CC24" s="28"/>
      <c r="CD24" s="28"/>
      <c r="CE24" s="28"/>
      <c r="CF24" s="28"/>
      <c r="CG24" s="28"/>
      <c r="CH24" s="28"/>
      <c r="CI24" s="28"/>
      <c r="CJ24" s="28"/>
      <c r="CK24" s="28"/>
      <c r="CL24" s="28"/>
      <c r="CM24" s="28"/>
      <c r="CN24" s="28"/>
      <c r="CO24" s="28"/>
      <c r="CP24" s="28"/>
      <c r="CQ24" s="28"/>
      <c r="CR24" s="28"/>
      <c r="CS24" s="28"/>
      <c r="CT24" s="28"/>
      <c r="CU24" s="28"/>
      <c r="CV24" s="28"/>
      <c r="CW24" s="28"/>
      <c r="CX24" s="28"/>
      <c r="CY24" s="28"/>
      <c r="CZ24" s="28"/>
      <c r="DA24" s="28"/>
      <c r="DB24" s="28"/>
      <c r="DC24" s="28"/>
      <c r="DD24" s="28"/>
      <c r="DE24" s="28"/>
      <c r="DF24" s="28"/>
      <c r="DG24" s="28"/>
      <c r="DH24" s="28"/>
      <c r="DI24" s="28"/>
      <c r="DJ24" s="28"/>
      <c r="DK24" s="28"/>
      <c r="DL24" s="28"/>
      <c r="DM24" s="28"/>
      <c r="DN24" s="28"/>
      <c r="DO24" s="28"/>
      <c r="DP24" s="28"/>
      <c r="DQ24" s="28"/>
      <c r="DR24" s="28"/>
      <c r="DS24" s="28"/>
      <c r="DT24" s="28"/>
      <c r="DU24" s="28"/>
      <c r="DV24" s="28"/>
      <c r="DW24" s="28"/>
      <c r="DX24" s="28"/>
      <c r="DY24" s="28"/>
      <c r="DZ24" s="28"/>
      <c r="EA24" s="28"/>
      <c r="EB24" s="28"/>
      <c r="EC24" s="28"/>
      <c r="ED24" s="28"/>
      <c r="EE24" s="28"/>
      <c r="EF24" s="28"/>
      <c r="EG24" s="28"/>
      <c r="EH24" s="28"/>
      <c r="EI24" s="28"/>
      <c r="EJ24" s="28"/>
      <c r="EK24" s="28"/>
      <c r="EL24" s="28"/>
      <c r="EM24" s="28"/>
      <c r="EN24" s="28"/>
      <c r="EO24" s="28"/>
      <c r="EP24" s="28"/>
      <c r="EQ24" s="28"/>
      <c r="ER24" s="28"/>
      <c r="ES24" s="28"/>
      <c r="ET24" s="28"/>
      <c r="EU24" s="28"/>
      <c r="EV24" s="28"/>
      <c r="EW24" s="28"/>
      <c r="EX24" s="28"/>
      <c r="EY24" s="28"/>
      <c r="EZ24" s="28"/>
      <c r="FA24" s="28"/>
      <c r="FB24" s="28"/>
      <c r="FC24" s="28"/>
      <c r="FD24" s="28"/>
      <c r="FE24" s="28"/>
      <c r="FF24" s="28"/>
      <c r="FG24" s="28"/>
      <c r="FH24" s="28"/>
      <c r="FI24" s="28"/>
      <c r="FJ24" s="28"/>
      <c r="FK24" s="28"/>
      <c r="FL24" s="28"/>
      <c r="FM24" s="28"/>
      <c r="FN24" s="28"/>
      <c r="FO24" s="28"/>
      <c r="FP24" s="28"/>
      <c r="FQ24" s="28"/>
      <c r="FR24" s="28"/>
      <c r="FS24" s="28"/>
      <c r="FT24" s="28"/>
      <c r="FU24" s="28"/>
      <c r="FV24" s="28"/>
      <c r="FW24" s="28"/>
      <c r="FX24" s="28"/>
      <c r="FY24" s="28"/>
      <c r="FZ24" s="28"/>
      <c r="GA24" s="28"/>
      <c r="GB24" s="28"/>
      <c r="GC24" s="28"/>
      <c r="GD24" s="28"/>
      <c r="GE24" s="28"/>
      <c r="GF24" s="28"/>
      <c r="GG24" s="28"/>
      <c r="GH24" s="28"/>
      <c r="GI24" s="28"/>
      <c r="GJ24" s="28"/>
      <c r="GK24" s="28"/>
      <c r="GL24" s="28"/>
      <c r="GM24" s="28"/>
      <c r="GN24" s="28"/>
      <c r="GO24" s="28"/>
      <c r="GP24" s="28"/>
      <c r="GQ24" s="28"/>
      <c r="GR24" s="28"/>
      <c r="GS24" s="28"/>
      <c r="GT24" s="28"/>
      <c r="GU24" s="28"/>
      <c r="GV24" s="28"/>
      <c r="GW24" s="28"/>
      <c r="GX24" s="28"/>
      <c r="GY24" s="28"/>
      <c r="GZ24" s="28"/>
      <c r="HA24" s="28"/>
      <c r="HB24" s="28"/>
      <c r="HC24" s="28"/>
      <c r="HD24" s="28"/>
      <c r="HE24" s="28"/>
      <c r="HF24" s="28"/>
      <c r="HG24" s="28"/>
      <c r="HH24" s="28"/>
      <c r="HI24" s="28"/>
      <c r="HJ24" s="28"/>
      <c r="HK24" s="28"/>
    </row>
    <row r="25" spans="1:219" ht="15" customHeight="1">
      <c r="A25" s="100">
        <v>1</v>
      </c>
      <c r="B25" s="132" t="str">
        <f>VLOOKUP(Ruimtestaat[[#This Row],[Code]],Locaties[[Code]:[Locatie]],2,FALSE)</f>
        <v>Mirtehuis</v>
      </c>
      <c r="C25" s="132" t="str">
        <f>VLOOKUP(Ruimtestaat[[#This Row],[Code]],Locaties[[#All],[Code]:[Adres]],4,FALSE)</f>
        <v>Weseperweg 6</v>
      </c>
      <c r="D25" s="132" t="str">
        <f>VLOOKUP(Ruimtestaat[[#This Row],[Code]],Locaties[[#All],[Code]:[Postcode]],5,FALSE)</f>
        <v>8111 PK</v>
      </c>
      <c r="E25" s="132" t="str">
        <f>VLOOKUP(Ruimtestaat[[#This Row],[Code]],Locaties[#All],6,FALSE)</f>
        <v>Heeten</v>
      </c>
      <c r="F25" s="100"/>
      <c r="G25" s="100" t="s">
        <v>1675</v>
      </c>
      <c r="H25" s="344"/>
      <c r="I25" s="345" t="s">
        <v>1653</v>
      </c>
      <c r="J25" s="49">
        <v>5</v>
      </c>
      <c r="K25" s="140" t="str">
        <f>VLOOKUP(Ruimtestaat[[#This Row],[Ruimte code]],Ruimtegroepen[[#All],[Code]:[Ruimte omschrijving]],2,FALSE)</f>
        <v>Sanitair</v>
      </c>
      <c r="L25" s="100" t="s">
        <v>100</v>
      </c>
      <c r="M25" s="345" t="s">
        <v>1636</v>
      </c>
      <c r="N25" s="133">
        <v>6</v>
      </c>
      <c r="O25" s="100"/>
      <c r="P25" s="134" t="str">
        <f>VLOOKUP(Ruimtestaat[[#This Row],[Ruimte code]],Ruimtegroepen[],4,FALSE)</f>
        <v>Sa</v>
      </c>
      <c r="Q25" s="100">
        <v>51</v>
      </c>
      <c r="R25" s="100" t="s">
        <v>18</v>
      </c>
      <c r="S25" s="100">
        <f>IF(Q25&gt;0,IF(RIGHT(Ruimtestaat[[#This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153</v>
      </c>
      <c r="T25" s="100">
        <f>IF(S25&gt;0,VLOOKUP($J25,Ruimtegroepen[],3,FALSE)*VLOOKUP($L25,Vloersoorten[],3,FALSE)*VLOOKUP($R25,Frequenties[],3,FALSE)*VLOOKUP($A25,Locaties[],3,FALSE),0)</f>
        <v>0</v>
      </c>
      <c r="U25" s="100">
        <f>Ruimtestaat[[#This Row],[Uitvoeringen werkdagen]]*Ruimtestaat[[#This Row],[Oppervlak (netto)]]</f>
        <v>918</v>
      </c>
      <c r="V25" s="135">
        <f>IF(T25&gt;0,Ruimtestaat[[#This Row],[Prest. (m2 /jaar) werkdagen]]/Ruimtestaat[[#This Row],[Norm (m2/uur) werkdagen]],0)</f>
        <v>0</v>
      </c>
      <c r="W25" s="136">
        <f>Ruimtestaat[[#This Row],[uren / jaar werkdagen]]*Tariefsopbouw!$E$35</f>
        <v>0</v>
      </c>
      <c r="X25" s="100"/>
      <c r="Y25" s="100">
        <f>IF(Ruimtestaat[[#This Row],[Frequentie weekend]]&gt;0,VALUE(LEFT(X25,1))*Q25,0)</f>
        <v>0</v>
      </c>
      <c r="Z25" s="99">
        <f>IF($Y25&gt;0,VLOOKUP($J25,Ruimtegroepen[],3,FALSE)*VLOOKUP($L25,Vloersoorten[],3,FALSE)*VLOOKUP($X25,Frequenties[],3,FALSE)*VLOOKUP(Ruimtestaat[[#This Row],[Code]],Locaties[],3,FALSE),0)</f>
        <v>0</v>
      </c>
      <c r="AA25" s="99">
        <f>Ruimtestaat[[#This Row],[Uitvoeringen weekend]]*Ruimtestaat[[#This Row],[Oppervlak (netto)]]</f>
        <v>0</v>
      </c>
      <c r="AB25" s="99">
        <f>IF(Z25&gt;0,Ruimtestaat[[#This Row],[Prest. (m2 /jaar) weekend]]/Ruimtestaat[[#This Row],[Norm (m2/uur) weekend]],0)</f>
        <v>0</v>
      </c>
      <c r="AC25" s="136">
        <f>Ruimtestaat[[#This Row],[uren / jaar weekend]]*Tariefsopbouw!$D$40</f>
        <v>0</v>
      </c>
      <c r="AD25" s="135">
        <f>Ruimtestaat[[#This Row],[Prest. (m2 /jaar) weekend]]+Ruimtestaat[[#This Row],[Prest. (m2 /jaar) werkdagen]]</f>
        <v>918</v>
      </c>
      <c r="AE25" s="135">
        <f>Ruimtestaat[[#This Row],[uren / jaar weekend]]+Ruimtestaat[[#This Row],[uren / jaar werkdagen]]</f>
        <v>0</v>
      </c>
      <c r="AF25" s="130">
        <f>Ruimtestaat[[#This Row],[kosten / jaar weekend]]+Ruimtestaat[[#This Row],[kosten / jaar werkdagen]]</f>
        <v>0</v>
      </c>
      <c r="AG25" s="130"/>
      <c r="AH25" s="137" t="str">
        <f>IF(Ruimtestaat[[#This Row],[Frequentie werkdagen]]="","",_xlfn.CONCAT(Ruimtestaat[[#This Row],[Ruimte code]],"-",Ruimtestaat[[#This Row],[Frequentie werkdagen]]," ",Ruimtestaat[[#This Row],[Vloer code]]))</f>
        <v>5-3w L</v>
      </c>
      <c r="AI25" s="142" t="str">
        <f>_xlfn.IFNA(VLOOKUP($AH25,Programma!$F$3:$G$1101,2,0),"")</f>
        <v>_</v>
      </c>
      <c r="AJ25" s="142" t="str">
        <f>_xlfn.IFNA(VLOOKUP($AH25,Programma!$F$3:$H$1101,3,0),"")</f>
        <v>_</v>
      </c>
      <c r="AK25" s="142" t="str">
        <f>_xlfn.IFNA(VLOOKUP($AH25,Programma!$F$3:$I$1101,4,0),"")</f>
        <v>_</v>
      </c>
      <c r="AL25" s="142" t="str">
        <f>_xlfn.IFNA(VLOOKUP($AH25,Programma!$F$3:$J$1101,5,0),"")</f>
        <v>2w</v>
      </c>
      <c r="AM25" s="142" t="str">
        <f>_xlfn.IFNA(VLOOKUP($AH25,Programma!$F$3:$K$1101,6,0),"")</f>
        <v>1w</v>
      </c>
      <c r="AN25" s="142" t="str">
        <f>_xlfn.IFNA(VLOOKUP($AH25,Programma!$F$3:$L$1101,7,0),"")</f>
        <v>_</v>
      </c>
      <c r="AO25" s="142" t="str">
        <f>_xlfn.IFNA(VLOOKUP($AH25,Programma!$F$3:$M$1101,8,0),"")</f>
        <v>_</v>
      </c>
      <c r="AP25" s="142" t="str">
        <f>_xlfn.IFNA(VLOOKUP($AH25,Programma!$F$3:$N$1101,9,0),"")</f>
        <v>_</v>
      </c>
      <c r="AQ25" s="142" t="str">
        <f>_xlfn.IFNA(VLOOKUP($AH25,Programma!$F$3:$O$1101,10,0),"")</f>
        <v>_</v>
      </c>
      <c r="AR25" s="142" t="str">
        <f>_xlfn.IFNA(VLOOKUP($AH25,Programma!$F$3:$P$1101,11,0),"")</f>
        <v>_</v>
      </c>
      <c r="AS25" s="142" t="str">
        <f>_xlfn.IFNA(VLOOKUP($AH25,Programma!$F$3:$Q$1101,12,0),"")</f>
        <v>_</v>
      </c>
      <c r="AT25" s="142" t="str">
        <f>_xlfn.IFNA(VLOOKUP($AH25,Programma!$F$3:$R$1101,13,0),"")</f>
        <v>_</v>
      </c>
      <c r="AU25" s="142" t="str">
        <f>_xlfn.IFNA(VLOOKUP($AH25,Programma!$F$3:$S$1101,14,0),"")</f>
        <v>_</v>
      </c>
      <c r="AV25" s="142" t="str">
        <f>_xlfn.IFNA(VLOOKUP($AH25,Programma!$F$3:$T$1101,15,0),"")</f>
        <v>_</v>
      </c>
      <c r="AW25" s="142" t="str">
        <f>_xlfn.IFNA(VLOOKUP($AH25,Programma!$F$3:$U$1101,16,0),"")</f>
        <v>_</v>
      </c>
      <c r="AX25" s="142" t="str">
        <f>_xlfn.IFNA(VLOOKUP($AH25,Programma!$F$3:$V$1101,17,0),"")</f>
        <v>_</v>
      </c>
      <c r="AY25" s="142" t="str">
        <f>_xlfn.IFNA(VLOOKUP($AH25,Programma!$F$3:$W$1101,18,0),"")</f>
        <v>2w</v>
      </c>
      <c r="AZ25" s="142" t="str">
        <f>_xlfn.IFNA(VLOOKUP($AH25,Programma!$F$3:$X$1101,19,0),"")</f>
        <v>1w</v>
      </c>
      <c r="BA25" s="142" t="str">
        <f>_xlfn.IFNA(VLOOKUP($AH25,Programma!$F$3:$Y$1101,20,0),"")</f>
        <v>_</v>
      </c>
      <c r="BB25" s="138"/>
      <c r="BC25" s="137" t="str">
        <f>IF(Ruimtestaat[[#This Row],[Frequentie weekend]]="","",_xlfn.CONCAT(Ruimtestaat[[#This Row],[Ruimte code]],"-",Ruimtestaat[[#This Row],[Frequentie weekend]]," ",Ruimtestaat[[#This Row],[Vloer code]]))</f>
        <v/>
      </c>
      <c r="BD25" s="142" t="str">
        <f>_xlfn.IFNA(VLOOKUP($BC25,Programma!$F$3:$G$1101,2,0),"")</f>
        <v/>
      </c>
      <c r="BE25" s="142" t="str">
        <f>_xlfn.IFNA(VLOOKUP($BC25,Programma!$F$3:$H$1101,3,0),"")</f>
        <v/>
      </c>
      <c r="BF25" s="142" t="str">
        <f>_xlfn.IFNA(VLOOKUP($BC25,Programma!$F$3:$I$1101,4,0),"")</f>
        <v/>
      </c>
      <c r="BG25" s="142" t="str">
        <f>_xlfn.IFNA(VLOOKUP($BC25,Programma!$F$3:$J$1101,5,0),"")</f>
        <v/>
      </c>
      <c r="BH25" s="142" t="str">
        <f>_xlfn.IFNA(VLOOKUP($BC25,Programma!$F$3:$K$1101,6,0),"")</f>
        <v/>
      </c>
      <c r="BI25" s="142" t="str">
        <f>_xlfn.IFNA(VLOOKUP($BC25,Programma!$F$3:$L$1101,7,0),"")</f>
        <v/>
      </c>
      <c r="BJ25" s="142" t="str">
        <f>_xlfn.IFNA(VLOOKUP($BC25,Programma!$F$3:$M$1101,8,0),"")</f>
        <v/>
      </c>
      <c r="BK25" s="142" t="str">
        <f>_xlfn.IFNA(VLOOKUP($BC25,Programma!$F$3:$N$1101,9,0),"")</f>
        <v/>
      </c>
      <c r="BL25" s="142" t="str">
        <f>_xlfn.IFNA(VLOOKUP($BC25,Programma!$F$3:$O$1101,10,0),"")</f>
        <v/>
      </c>
      <c r="BM25" s="142" t="str">
        <f>_xlfn.IFNA(VLOOKUP($BC25,Programma!$F$3:$P$1101,11,0),"")</f>
        <v/>
      </c>
      <c r="BN25" s="142" t="str">
        <f>_xlfn.IFNA(VLOOKUP($BC25,Programma!$F$3:$Q$1101,12,0),"")</f>
        <v/>
      </c>
      <c r="BO25" s="142" t="str">
        <f>_xlfn.IFNA(VLOOKUP($BC25,Programma!$F$3:$R$1101,13,0),"")</f>
        <v/>
      </c>
      <c r="BP25" s="142" t="str">
        <f>_xlfn.IFNA(VLOOKUP($BC25,Programma!$F$3:$S$1101,14,0),"")</f>
        <v/>
      </c>
      <c r="BQ25" s="142" t="str">
        <f>_xlfn.IFNA(VLOOKUP($BC25,Programma!$F$3:$T$1101,15,0),"")</f>
        <v/>
      </c>
      <c r="BR25" s="142" t="str">
        <f>_xlfn.IFNA(VLOOKUP($BC25,Programma!$F$3:$U$1101,16,0),"")</f>
        <v/>
      </c>
      <c r="BS25" s="142" t="str">
        <f>_xlfn.IFNA(VLOOKUP($BC25,Programma!$F$3:$V$1101,17,0),"")</f>
        <v/>
      </c>
      <c r="BT25" s="142" t="str">
        <f>_xlfn.IFNA(VLOOKUP($BC25,Programma!$F$3:$W$1101,18,0),"")</f>
        <v/>
      </c>
      <c r="BU25" s="142" t="str">
        <f>_xlfn.IFNA(VLOOKUP($BC25,Programma!$F$3:$X$1101,19,0),"")</f>
        <v/>
      </c>
      <c r="BV25" s="142" t="str">
        <f>_xlfn.IFNA(VLOOKUP($BC25,Programma!$F$3:$Y$1101,20,0),"")</f>
        <v/>
      </c>
      <c r="BW25" s="28"/>
      <c r="BX25" s="28"/>
      <c r="BY25" s="28"/>
      <c r="BZ25" s="28"/>
      <c r="CA25" s="28"/>
      <c r="CB25" s="28"/>
      <c r="CC25" s="28"/>
      <c r="CD25" s="28"/>
      <c r="CE25" s="28"/>
      <c r="CF25" s="28"/>
      <c r="CG25" s="28"/>
      <c r="CH25" s="28"/>
      <c r="CI25" s="28"/>
      <c r="CJ25" s="28"/>
      <c r="CK25" s="28"/>
      <c r="CL25" s="28"/>
      <c r="CM25" s="28"/>
      <c r="CN25" s="28"/>
      <c r="CO25" s="28"/>
      <c r="CP25" s="28"/>
      <c r="CQ25" s="28"/>
      <c r="CR25" s="28"/>
      <c r="CS25" s="28"/>
      <c r="CT25" s="28"/>
      <c r="CU25" s="28"/>
      <c r="CV25" s="28"/>
      <c r="CW25" s="28"/>
      <c r="CX25" s="28"/>
      <c r="CY25" s="28"/>
      <c r="CZ25" s="28"/>
      <c r="DA25" s="28"/>
      <c r="DB25" s="28"/>
      <c r="DC25" s="28"/>
      <c r="DD25" s="28"/>
      <c r="DE25" s="28"/>
      <c r="DF25" s="28"/>
      <c r="DG25" s="28"/>
      <c r="DH25" s="28"/>
      <c r="DI25" s="28"/>
      <c r="DJ25" s="28"/>
      <c r="DK25" s="28"/>
      <c r="DL25" s="28"/>
      <c r="DM25" s="28"/>
      <c r="DN25" s="28"/>
      <c r="DO25" s="28"/>
      <c r="DP25" s="28"/>
      <c r="DQ25" s="28"/>
      <c r="DR25" s="28"/>
      <c r="DS25" s="28"/>
      <c r="DT25" s="28"/>
      <c r="DU25" s="28"/>
      <c r="DV25" s="28"/>
      <c r="DW25" s="28"/>
      <c r="DX25" s="28"/>
      <c r="DY25" s="28"/>
      <c r="DZ25" s="28"/>
      <c r="EA25" s="28"/>
      <c r="EB25" s="28"/>
      <c r="EC25" s="28"/>
      <c r="ED25" s="28"/>
      <c r="EE25" s="28"/>
      <c r="EF25" s="28"/>
      <c r="EG25" s="28"/>
      <c r="EH25" s="28"/>
      <c r="EI25" s="28"/>
      <c r="EJ25" s="28"/>
      <c r="EK25" s="28"/>
      <c r="EL25" s="28"/>
      <c r="EM25" s="28"/>
      <c r="EN25" s="28"/>
      <c r="EO25" s="28"/>
      <c r="EP25" s="28"/>
      <c r="EQ25" s="28"/>
      <c r="ER25" s="28"/>
      <c r="ES25" s="28"/>
      <c r="ET25" s="28"/>
      <c r="EU25" s="28"/>
      <c r="EV25" s="28"/>
      <c r="EW25" s="28"/>
      <c r="EX25" s="28"/>
      <c r="EY25" s="28"/>
      <c r="EZ25" s="28"/>
      <c r="FA25" s="28"/>
      <c r="FB25" s="28"/>
      <c r="FC25" s="28"/>
      <c r="FD25" s="28"/>
      <c r="FE25" s="28"/>
      <c r="FF25" s="28"/>
      <c r="FG25" s="28"/>
      <c r="FH25" s="28"/>
      <c r="FI25" s="28"/>
      <c r="FJ25" s="28"/>
      <c r="FK25" s="28"/>
      <c r="FL25" s="28"/>
      <c r="FM25" s="28"/>
      <c r="FN25" s="28"/>
      <c r="FO25" s="28"/>
      <c r="FP25" s="28"/>
      <c r="FQ25" s="28"/>
      <c r="FR25" s="28"/>
      <c r="FS25" s="28"/>
      <c r="FT25" s="28"/>
      <c r="FU25" s="28"/>
      <c r="FV25" s="28"/>
      <c r="FW25" s="28"/>
      <c r="FX25" s="28"/>
      <c r="FY25" s="28"/>
      <c r="FZ25" s="28"/>
      <c r="GA25" s="28"/>
      <c r="GB25" s="28"/>
      <c r="GC25" s="28"/>
      <c r="GD25" s="28"/>
      <c r="GE25" s="28"/>
      <c r="GF25" s="28"/>
      <c r="GG25" s="28"/>
      <c r="GH25" s="28"/>
      <c r="GI25" s="28"/>
      <c r="GJ25" s="28"/>
      <c r="GK25" s="28"/>
      <c r="GL25" s="28"/>
      <c r="GM25" s="28"/>
      <c r="GN25" s="28"/>
      <c r="GO25" s="28"/>
      <c r="GP25" s="28"/>
      <c r="GQ25" s="28"/>
      <c r="GR25" s="28"/>
      <c r="GS25" s="28"/>
      <c r="GT25" s="28"/>
      <c r="GU25" s="28"/>
      <c r="GV25" s="28"/>
      <c r="GW25" s="28"/>
      <c r="GX25" s="28"/>
      <c r="GY25" s="28"/>
      <c r="GZ25" s="28"/>
      <c r="HA25" s="28"/>
      <c r="HB25" s="28"/>
      <c r="HC25" s="28"/>
      <c r="HD25" s="28"/>
      <c r="HE25" s="28"/>
      <c r="HF25" s="28"/>
      <c r="HG25" s="28"/>
      <c r="HH25" s="28"/>
      <c r="HI25" s="28"/>
      <c r="HJ25" s="28"/>
      <c r="HK25" s="28"/>
    </row>
    <row r="26" spans="1:219" ht="15" customHeight="1">
      <c r="A26" s="100">
        <v>1</v>
      </c>
      <c r="B26" s="132" t="str">
        <f>VLOOKUP(Ruimtestaat[[#This Row],[Code]],Locaties[[Code]:[Locatie]],2,FALSE)</f>
        <v>Mirtehuis</v>
      </c>
      <c r="C26" s="132" t="str">
        <f>VLOOKUP(Ruimtestaat[[#This Row],[Code]],Locaties[[#All],[Code]:[Adres]],4,FALSE)</f>
        <v>Weseperweg 6</v>
      </c>
      <c r="D26" s="132" t="str">
        <f>VLOOKUP(Ruimtestaat[[#This Row],[Code]],Locaties[[#All],[Code]:[Postcode]],5,FALSE)</f>
        <v>8111 PK</v>
      </c>
      <c r="E26" s="132" t="str">
        <f>VLOOKUP(Ruimtestaat[[#This Row],[Code]],Locaties[#All],6,FALSE)</f>
        <v>Heeten</v>
      </c>
      <c r="F26" s="100"/>
      <c r="G26" s="100" t="s">
        <v>1675</v>
      </c>
      <c r="H26" s="344"/>
      <c r="I26" s="345" t="s">
        <v>1654</v>
      </c>
      <c r="J26" s="49">
        <v>20</v>
      </c>
      <c r="K26" s="140" t="str">
        <f>VLOOKUP(Ruimtestaat[[#This Row],[Ruimte code]],Ruimtegroepen[[#All],[Code]:[Ruimte omschrijving]],2,FALSE)</f>
        <v>Niet in Onderhoud</v>
      </c>
      <c r="L26" s="100" t="s">
        <v>100</v>
      </c>
      <c r="M26" s="345" t="s">
        <v>1636</v>
      </c>
      <c r="N26" s="133"/>
      <c r="O26" s="139">
        <v>1</v>
      </c>
      <c r="P26" s="134">
        <f>VLOOKUP(Ruimtestaat[[#This Row],[Ruimte code]],Ruimtegroepen[],4,FALSE)</f>
        <v>0</v>
      </c>
      <c r="Q26" s="100"/>
      <c r="R26" s="100"/>
      <c r="S26" s="100">
        <f>IF(Q26&gt;0,IF(RIGHT(Ruimtestaat[[#This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6" s="100">
        <f>IF(S26&gt;0,VLOOKUP($J26,Ruimtegroepen[],3,FALSE)*VLOOKUP($L26,Vloersoorten[],3,FALSE)*VLOOKUP($R26,Frequenties[],3,FALSE)*VLOOKUP($A26,Locaties[],3,FALSE),0)</f>
        <v>0</v>
      </c>
      <c r="U26" s="100">
        <f>Ruimtestaat[[#This Row],[Uitvoeringen werkdagen]]*Ruimtestaat[[#This Row],[Oppervlak (netto)]]</f>
        <v>0</v>
      </c>
      <c r="V26" s="135">
        <f>IF(T26&gt;0,Ruimtestaat[[#This Row],[Prest. (m2 /jaar) werkdagen]]/Ruimtestaat[[#This Row],[Norm (m2/uur) werkdagen]],0)</f>
        <v>0</v>
      </c>
      <c r="W26" s="136">
        <f>Ruimtestaat[[#This Row],[uren / jaar werkdagen]]*Tariefsopbouw!$E$35</f>
        <v>0</v>
      </c>
      <c r="X26" s="100"/>
      <c r="Y26" s="100">
        <f>IF(Ruimtestaat[[#This Row],[Frequentie weekend]]&gt;0,VALUE(LEFT(X26,1))*Q26,0)</f>
        <v>0</v>
      </c>
      <c r="Z26" s="99">
        <f>IF($Y26&gt;0,VLOOKUP($J26,Ruimtegroepen[],3,FALSE)*VLOOKUP($L26,Vloersoorten[],3,FALSE)*VLOOKUP($X26,Frequenties[],3,FALSE)*VLOOKUP(Ruimtestaat[[#This Row],[Code]],Locaties[],3,FALSE),0)</f>
        <v>0</v>
      </c>
      <c r="AA26" s="99">
        <f>Ruimtestaat[[#This Row],[Uitvoeringen weekend]]*Ruimtestaat[[#This Row],[Oppervlak (netto)]]</f>
        <v>0</v>
      </c>
      <c r="AB26" s="99">
        <f>IF(Z26&gt;0,Ruimtestaat[[#This Row],[Prest. (m2 /jaar) weekend]]/Ruimtestaat[[#This Row],[Norm (m2/uur) weekend]],0)</f>
        <v>0</v>
      </c>
      <c r="AC26" s="136">
        <f>Ruimtestaat[[#This Row],[uren / jaar weekend]]*Tariefsopbouw!$D$40</f>
        <v>0</v>
      </c>
      <c r="AD26" s="135">
        <f>Ruimtestaat[[#This Row],[Prest. (m2 /jaar) weekend]]+Ruimtestaat[[#This Row],[Prest. (m2 /jaar) werkdagen]]</f>
        <v>0</v>
      </c>
      <c r="AE26" s="135">
        <f>Ruimtestaat[[#This Row],[uren / jaar weekend]]+Ruimtestaat[[#This Row],[uren / jaar werkdagen]]</f>
        <v>0</v>
      </c>
      <c r="AF26" s="130">
        <f>Ruimtestaat[[#This Row],[kosten / jaar weekend]]+Ruimtestaat[[#This Row],[kosten / jaar werkdagen]]</f>
        <v>0</v>
      </c>
      <c r="AG26" s="130"/>
      <c r="AH26" s="137" t="str">
        <f>IF(Ruimtestaat[[#This Row],[Frequentie werkdagen]]="","",_xlfn.CONCAT(Ruimtestaat[[#This Row],[Ruimte code]],"-",Ruimtestaat[[#This Row],[Frequentie werkdagen]]," ",Ruimtestaat[[#This Row],[Vloer code]]))</f>
        <v/>
      </c>
      <c r="AI26" s="142" t="str">
        <f>_xlfn.IFNA(VLOOKUP($AH26,Programma!$F$3:$G$1101,2,0),"")</f>
        <v/>
      </c>
      <c r="AJ26" s="142" t="str">
        <f>_xlfn.IFNA(VLOOKUP($AH26,Programma!$F$3:$H$1101,3,0),"")</f>
        <v/>
      </c>
      <c r="AK26" s="142" t="str">
        <f>_xlfn.IFNA(VLOOKUP($AH26,Programma!$F$3:$I$1101,4,0),"")</f>
        <v/>
      </c>
      <c r="AL26" s="142" t="str">
        <f>_xlfn.IFNA(VLOOKUP($AH26,Programma!$F$3:$J$1101,5,0),"")</f>
        <v/>
      </c>
      <c r="AM26" s="142" t="str">
        <f>_xlfn.IFNA(VLOOKUP($AH26,Programma!$F$3:$K$1101,6,0),"")</f>
        <v/>
      </c>
      <c r="AN26" s="142" t="str">
        <f>_xlfn.IFNA(VLOOKUP($AH26,Programma!$F$3:$L$1101,7,0),"")</f>
        <v/>
      </c>
      <c r="AO26" s="142" t="str">
        <f>_xlfn.IFNA(VLOOKUP($AH26,Programma!$F$3:$M$1101,8,0),"")</f>
        <v/>
      </c>
      <c r="AP26" s="142" t="str">
        <f>_xlfn.IFNA(VLOOKUP($AH26,Programma!$F$3:$N$1101,9,0),"")</f>
        <v/>
      </c>
      <c r="AQ26" s="142" t="str">
        <f>_xlfn.IFNA(VLOOKUP($AH26,Programma!$F$3:$O$1101,10,0),"")</f>
        <v/>
      </c>
      <c r="AR26" s="142" t="str">
        <f>_xlfn.IFNA(VLOOKUP($AH26,Programma!$F$3:$P$1101,11,0),"")</f>
        <v/>
      </c>
      <c r="AS26" s="142" t="str">
        <f>_xlfn.IFNA(VLOOKUP($AH26,Programma!$F$3:$Q$1101,12,0),"")</f>
        <v/>
      </c>
      <c r="AT26" s="142" t="str">
        <f>_xlfn.IFNA(VLOOKUP($AH26,Programma!$F$3:$R$1101,13,0),"")</f>
        <v/>
      </c>
      <c r="AU26" s="142" t="str">
        <f>_xlfn.IFNA(VLOOKUP($AH26,Programma!$F$3:$S$1101,14,0),"")</f>
        <v/>
      </c>
      <c r="AV26" s="142" t="str">
        <f>_xlfn.IFNA(VLOOKUP($AH26,Programma!$F$3:$T$1101,15,0),"")</f>
        <v/>
      </c>
      <c r="AW26" s="142" t="str">
        <f>_xlfn.IFNA(VLOOKUP($AH26,Programma!$F$3:$U$1101,16,0),"")</f>
        <v/>
      </c>
      <c r="AX26" s="142" t="str">
        <f>_xlfn.IFNA(VLOOKUP($AH26,Programma!$F$3:$V$1101,17,0),"")</f>
        <v/>
      </c>
      <c r="AY26" s="142" t="str">
        <f>_xlfn.IFNA(VLOOKUP($AH26,Programma!$F$3:$W$1101,18,0),"")</f>
        <v/>
      </c>
      <c r="AZ26" s="142" t="str">
        <f>_xlfn.IFNA(VLOOKUP($AH26,Programma!$F$3:$X$1101,19,0),"")</f>
        <v/>
      </c>
      <c r="BA26" s="142" t="str">
        <f>_xlfn.IFNA(VLOOKUP($AH26,Programma!$F$3:$Y$1101,20,0),"")</f>
        <v/>
      </c>
      <c r="BB26" s="138"/>
      <c r="BC26" s="137" t="str">
        <f>IF(Ruimtestaat[[#This Row],[Frequentie weekend]]="","",_xlfn.CONCAT(Ruimtestaat[[#This Row],[Ruimte code]],"-",Ruimtestaat[[#This Row],[Frequentie weekend]]," ",Ruimtestaat[[#This Row],[Vloer code]]))</f>
        <v/>
      </c>
      <c r="BD26" s="142" t="str">
        <f>_xlfn.IFNA(VLOOKUP($BC26,Programma!$F$3:$G$1101,2,0),"")</f>
        <v/>
      </c>
      <c r="BE26" s="142" t="str">
        <f>_xlfn.IFNA(VLOOKUP($BC26,Programma!$F$3:$H$1101,3,0),"")</f>
        <v/>
      </c>
      <c r="BF26" s="142" t="str">
        <f>_xlfn.IFNA(VLOOKUP($BC26,Programma!$F$3:$I$1101,4,0),"")</f>
        <v/>
      </c>
      <c r="BG26" s="142" t="str">
        <f>_xlfn.IFNA(VLOOKUP($BC26,Programma!$F$3:$J$1101,5,0),"")</f>
        <v/>
      </c>
      <c r="BH26" s="142" t="str">
        <f>_xlfn.IFNA(VLOOKUP($BC26,Programma!$F$3:$K$1101,6,0),"")</f>
        <v/>
      </c>
      <c r="BI26" s="142" t="str">
        <f>_xlfn.IFNA(VLOOKUP($BC26,Programma!$F$3:$L$1101,7,0),"")</f>
        <v/>
      </c>
      <c r="BJ26" s="142" t="str">
        <f>_xlfn.IFNA(VLOOKUP($BC26,Programma!$F$3:$M$1101,8,0),"")</f>
        <v/>
      </c>
      <c r="BK26" s="142" t="str">
        <f>_xlfn.IFNA(VLOOKUP($BC26,Programma!$F$3:$N$1101,9,0),"")</f>
        <v/>
      </c>
      <c r="BL26" s="142" t="str">
        <f>_xlfn.IFNA(VLOOKUP($BC26,Programma!$F$3:$O$1101,10,0),"")</f>
        <v/>
      </c>
      <c r="BM26" s="142" t="str">
        <f>_xlfn.IFNA(VLOOKUP($BC26,Programma!$F$3:$P$1101,11,0),"")</f>
        <v/>
      </c>
      <c r="BN26" s="142" t="str">
        <f>_xlfn.IFNA(VLOOKUP($BC26,Programma!$F$3:$Q$1101,12,0),"")</f>
        <v/>
      </c>
      <c r="BO26" s="142" t="str">
        <f>_xlfn.IFNA(VLOOKUP($BC26,Programma!$F$3:$R$1101,13,0),"")</f>
        <v/>
      </c>
      <c r="BP26" s="142" t="str">
        <f>_xlfn.IFNA(VLOOKUP($BC26,Programma!$F$3:$S$1101,14,0),"")</f>
        <v/>
      </c>
      <c r="BQ26" s="142" t="str">
        <f>_xlfn.IFNA(VLOOKUP($BC26,Programma!$F$3:$T$1101,15,0),"")</f>
        <v/>
      </c>
      <c r="BR26" s="142" t="str">
        <f>_xlfn.IFNA(VLOOKUP($BC26,Programma!$F$3:$U$1101,16,0),"")</f>
        <v/>
      </c>
      <c r="BS26" s="142" t="str">
        <f>_xlfn.IFNA(VLOOKUP($BC26,Programma!$F$3:$V$1101,17,0),"")</f>
        <v/>
      </c>
      <c r="BT26" s="142" t="str">
        <f>_xlfn.IFNA(VLOOKUP($BC26,Programma!$F$3:$W$1101,18,0),"")</f>
        <v/>
      </c>
      <c r="BU26" s="142" t="str">
        <f>_xlfn.IFNA(VLOOKUP($BC26,Programma!$F$3:$X$1101,19,0),"")</f>
        <v/>
      </c>
      <c r="BV26" s="142" t="str">
        <f>_xlfn.IFNA(VLOOKUP($BC26,Programma!$F$3:$Y$1101,20,0),"")</f>
        <v/>
      </c>
      <c r="BW26" s="28"/>
      <c r="BX26" s="28"/>
      <c r="BY26" s="28"/>
      <c r="BZ26" s="28"/>
      <c r="CA26" s="28"/>
      <c r="CB26" s="28"/>
      <c r="CC26" s="28"/>
      <c r="CD26" s="28"/>
      <c r="CE26" s="28"/>
      <c r="CF26" s="28"/>
      <c r="CG26" s="28"/>
      <c r="CH26" s="28"/>
      <c r="CI26" s="28"/>
      <c r="CJ26" s="28"/>
      <c r="CK26" s="28"/>
      <c r="CL26" s="28"/>
      <c r="CM26" s="28"/>
      <c r="CN26" s="28"/>
      <c r="CO26" s="28"/>
      <c r="CP26" s="28"/>
      <c r="CQ26" s="28"/>
      <c r="CR26" s="28"/>
      <c r="CS26" s="28"/>
      <c r="CT26" s="28"/>
      <c r="CU26" s="28"/>
      <c r="CV26" s="28"/>
      <c r="CW26" s="28"/>
      <c r="CX26" s="28"/>
      <c r="CY26" s="28"/>
      <c r="CZ26" s="28"/>
      <c r="DA26" s="28"/>
      <c r="DB26" s="28"/>
      <c r="DC26" s="28"/>
      <c r="DD26" s="28"/>
      <c r="DE26" s="28"/>
      <c r="DF26" s="28"/>
      <c r="DG26" s="28"/>
      <c r="DH26" s="28"/>
      <c r="DI26" s="28"/>
      <c r="DJ26" s="28"/>
      <c r="DK26" s="28"/>
      <c r="DL26" s="28"/>
      <c r="DM26" s="28"/>
      <c r="DN26" s="28"/>
      <c r="DO26" s="28"/>
      <c r="DP26" s="28"/>
      <c r="DQ26" s="28"/>
      <c r="DR26" s="28"/>
      <c r="DS26" s="28"/>
      <c r="DT26" s="28"/>
      <c r="DU26" s="28"/>
      <c r="DV26" s="28"/>
      <c r="DW26" s="28"/>
      <c r="DX26" s="28"/>
      <c r="DY26" s="28"/>
      <c r="DZ26" s="28"/>
      <c r="EA26" s="28"/>
      <c r="EB26" s="28"/>
      <c r="EC26" s="28"/>
      <c r="ED26" s="28"/>
      <c r="EE26" s="28"/>
      <c r="EF26" s="28"/>
      <c r="EG26" s="28"/>
      <c r="EH26" s="28"/>
      <c r="EI26" s="28"/>
      <c r="EJ26" s="28"/>
      <c r="EK26" s="28"/>
      <c r="EL26" s="28"/>
      <c r="EM26" s="28"/>
      <c r="EN26" s="28"/>
      <c r="EO26" s="28"/>
      <c r="EP26" s="28"/>
      <c r="EQ26" s="28"/>
      <c r="ER26" s="28"/>
      <c r="ES26" s="28"/>
      <c r="ET26" s="28"/>
      <c r="EU26" s="28"/>
      <c r="EV26" s="28"/>
      <c r="EW26" s="28"/>
      <c r="EX26" s="28"/>
      <c r="EY26" s="28"/>
      <c r="EZ26" s="28"/>
      <c r="FA26" s="28"/>
      <c r="FB26" s="28"/>
      <c r="FC26" s="28"/>
      <c r="FD26" s="28"/>
      <c r="FE26" s="28"/>
      <c r="FF26" s="28"/>
      <c r="FG26" s="28"/>
      <c r="FH26" s="28"/>
      <c r="FI26" s="28"/>
      <c r="FJ26" s="28"/>
      <c r="FK26" s="28"/>
      <c r="FL26" s="28"/>
      <c r="FM26" s="28"/>
      <c r="FN26" s="28"/>
      <c r="FO26" s="28"/>
      <c r="FP26" s="28"/>
      <c r="FQ26" s="28"/>
      <c r="FR26" s="28"/>
      <c r="FS26" s="28"/>
      <c r="FT26" s="28"/>
      <c r="FU26" s="28"/>
      <c r="FV26" s="28"/>
      <c r="FW26" s="28"/>
      <c r="FX26" s="28"/>
      <c r="FY26" s="28"/>
      <c r="FZ26" s="28"/>
      <c r="GA26" s="28"/>
      <c r="GB26" s="28"/>
      <c r="GC26" s="28"/>
      <c r="GD26" s="28"/>
      <c r="GE26" s="28"/>
      <c r="GF26" s="28"/>
      <c r="GG26" s="28"/>
      <c r="GH26" s="28"/>
      <c r="GI26" s="28"/>
      <c r="GJ26" s="28"/>
      <c r="GK26" s="28"/>
      <c r="GL26" s="28"/>
      <c r="GM26" s="28"/>
      <c r="GN26" s="28"/>
      <c r="GO26" s="28"/>
      <c r="GP26" s="28"/>
      <c r="GQ26" s="28"/>
      <c r="GR26" s="28"/>
      <c r="GS26" s="28"/>
      <c r="GT26" s="28"/>
      <c r="GU26" s="28"/>
      <c r="GV26" s="28"/>
      <c r="GW26" s="28"/>
      <c r="GX26" s="28"/>
      <c r="GY26" s="28"/>
      <c r="GZ26" s="28"/>
      <c r="HA26" s="28"/>
      <c r="HB26" s="28"/>
      <c r="HC26" s="28"/>
      <c r="HD26" s="28"/>
      <c r="HE26" s="28"/>
      <c r="HF26" s="28"/>
      <c r="HG26" s="28"/>
      <c r="HH26" s="28"/>
      <c r="HI26" s="28"/>
      <c r="HJ26" s="28"/>
      <c r="HK26" s="28"/>
    </row>
    <row r="27" spans="1:219" ht="15" customHeight="1">
      <c r="A27" s="100">
        <v>1</v>
      </c>
      <c r="B27" s="132" t="str">
        <f>VLOOKUP(Ruimtestaat[[#This Row],[Code]],Locaties[[Code]:[Locatie]],2,FALSE)</f>
        <v>Mirtehuis</v>
      </c>
      <c r="C27" s="132" t="str">
        <f>VLOOKUP(Ruimtestaat[[#This Row],[Code]],Locaties[[#All],[Code]:[Adres]],4,FALSE)</f>
        <v>Weseperweg 6</v>
      </c>
      <c r="D27" s="132" t="str">
        <f>VLOOKUP(Ruimtestaat[[#This Row],[Code]],Locaties[[#All],[Code]:[Postcode]],5,FALSE)</f>
        <v>8111 PK</v>
      </c>
      <c r="E27" s="132" t="str">
        <f>VLOOKUP(Ruimtestaat[[#This Row],[Code]],Locaties[#All],6,FALSE)</f>
        <v>Heeten</v>
      </c>
      <c r="F27" s="100"/>
      <c r="G27" s="100" t="s">
        <v>1675</v>
      </c>
      <c r="H27" s="344"/>
      <c r="I27" s="345" t="s">
        <v>1650</v>
      </c>
      <c r="J27" s="49">
        <v>6</v>
      </c>
      <c r="K27" s="140" t="str">
        <f>VLOOKUP(Ruimtestaat[[#This Row],[Ruimte code]],Ruimtegroepen[[#All],[Code]:[Ruimte omschrijving]],2,FALSE)</f>
        <v>Gangen/hallen</v>
      </c>
      <c r="L27" s="100" t="s">
        <v>100</v>
      </c>
      <c r="M27" s="345" t="s">
        <v>1636</v>
      </c>
      <c r="N27" s="133">
        <v>5.5</v>
      </c>
      <c r="O27" s="139"/>
      <c r="P27" s="134" t="str">
        <f>VLOOKUP(Ruimtestaat[[#This Row],[Ruimte code]],Ruimtegroepen[],4,FALSE)</f>
        <v>Ve</v>
      </c>
      <c r="Q27" s="100">
        <v>51</v>
      </c>
      <c r="R27" s="100" t="s">
        <v>2</v>
      </c>
      <c r="S27" s="100">
        <f>IF(Q27&gt;0,IF(RIGHT(Ruimtestaat[[#This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7" s="100">
        <f>IF(S27&gt;0,VLOOKUP($J27,Ruimtegroepen[],3,FALSE)*VLOOKUP($L27,Vloersoorten[],3,FALSE)*VLOOKUP($R27,Frequenties[],3,FALSE)*VLOOKUP($A27,Locaties[],3,FALSE),0)</f>
        <v>0</v>
      </c>
      <c r="U27" s="100">
        <f>Ruimtestaat[[#This Row],[Uitvoeringen werkdagen]]*Ruimtestaat[[#This Row],[Oppervlak (netto)]]</f>
        <v>1402.5</v>
      </c>
      <c r="V27" s="135">
        <f>IF(T27&gt;0,Ruimtestaat[[#This Row],[Prest. (m2 /jaar) werkdagen]]/Ruimtestaat[[#This Row],[Norm (m2/uur) werkdagen]],0)</f>
        <v>0</v>
      </c>
      <c r="W27" s="136">
        <f>Ruimtestaat[[#This Row],[uren / jaar werkdagen]]*Tariefsopbouw!$E$35</f>
        <v>0</v>
      </c>
      <c r="X27" s="100"/>
      <c r="Y27" s="100">
        <f>IF(Ruimtestaat[[#This Row],[Frequentie weekend]]&gt;0,VALUE(LEFT(X27,1))*Q27,0)</f>
        <v>0</v>
      </c>
      <c r="Z27" s="99">
        <f>IF($Y27&gt;0,VLOOKUP($J27,Ruimtegroepen[],3,FALSE)*VLOOKUP($L27,Vloersoorten[],3,FALSE)*VLOOKUP($X27,Frequenties[],3,FALSE)*VLOOKUP(Ruimtestaat[[#This Row],[Code]],Locaties[],3,FALSE),0)</f>
        <v>0</v>
      </c>
      <c r="AA27" s="99">
        <f>Ruimtestaat[[#This Row],[Uitvoeringen weekend]]*Ruimtestaat[[#This Row],[Oppervlak (netto)]]</f>
        <v>0</v>
      </c>
      <c r="AB27" s="99">
        <f>IF(Z27&gt;0,Ruimtestaat[[#This Row],[Prest. (m2 /jaar) weekend]]/Ruimtestaat[[#This Row],[Norm (m2/uur) weekend]],0)</f>
        <v>0</v>
      </c>
      <c r="AC27" s="136">
        <f>Ruimtestaat[[#This Row],[uren / jaar weekend]]*Tariefsopbouw!$D$40</f>
        <v>0</v>
      </c>
      <c r="AD27" s="135">
        <f>Ruimtestaat[[#This Row],[Prest. (m2 /jaar) weekend]]+Ruimtestaat[[#This Row],[Prest. (m2 /jaar) werkdagen]]</f>
        <v>1402.5</v>
      </c>
      <c r="AE27" s="135">
        <f>Ruimtestaat[[#This Row],[uren / jaar weekend]]+Ruimtestaat[[#This Row],[uren / jaar werkdagen]]</f>
        <v>0</v>
      </c>
      <c r="AF27" s="130">
        <f>Ruimtestaat[[#This Row],[kosten / jaar weekend]]+Ruimtestaat[[#This Row],[kosten / jaar werkdagen]]</f>
        <v>0</v>
      </c>
      <c r="AG27" s="130"/>
      <c r="AH27" s="137" t="str">
        <f>IF(Ruimtestaat[[#This Row],[Frequentie werkdagen]]="","",_xlfn.CONCAT(Ruimtestaat[[#This Row],[Ruimte code]],"-",Ruimtestaat[[#This Row],[Frequentie werkdagen]]," ",Ruimtestaat[[#This Row],[Vloer code]]))</f>
        <v>6-5w L</v>
      </c>
      <c r="AI27" s="142" t="str">
        <f>_xlfn.IFNA(VLOOKUP($AH27,Programma!$F$3:$G$1101,2,0),"")</f>
        <v>_</v>
      </c>
      <c r="AJ27" s="142" t="str">
        <f>_xlfn.IFNA(VLOOKUP($AH27,Programma!$F$3:$H$1101,3,0),"")</f>
        <v>_</v>
      </c>
      <c r="AK27" s="142" t="str">
        <f>_xlfn.IFNA(VLOOKUP($AH27,Programma!$F$3:$I$1101,4,0),"")</f>
        <v>_</v>
      </c>
      <c r="AL27" s="142" t="str">
        <f>_xlfn.IFNA(VLOOKUP($AH27,Programma!$F$3:$J$1101,5,0),"")</f>
        <v>5w</v>
      </c>
      <c r="AM27" s="142" t="str">
        <f>_xlfn.IFNA(VLOOKUP($AH27,Programma!$F$3:$K$1101,6,0),"")</f>
        <v>_</v>
      </c>
      <c r="AN27" s="142" t="str">
        <f>_xlfn.IFNA(VLOOKUP($AH27,Programma!$F$3:$L$1101,7,0),"")</f>
        <v>_</v>
      </c>
      <c r="AO27" s="142" t="str">
        <f>_xlfn.IFNA(VLOOKUP($AH27,Programma!$F$3:$M$1101,8,0),"")</f>
        <v>_</v>
      </c>
      <c r="AP27" s="142" t="str">
        <f>_xlfn.IFNA(VLOOKUP($AH27,Programma!$F$3:$N$1101,9,0),"")</f>
        <v>_</v>
      </c>
      <c r="AQ27" s="142" t="str">
        <f>_xlfn.IFNA(VLOOKUP($AH27,Programma!$F$3:$O$1101,10,0),"")</f>
        <v>5w</v>
      </c>
      <c r="AR27" s="142" t="str">
        <f>_xlfn.IFNA(VLOOKUP($AH27,Programma!$F$3:$P$1101,11,0),"")</f>
        <v>5w</v>
      </c>
      <c r="AS27" s="142" t="str">
        <f>_xlfn.IFNA(VLOOKUP($AH27,Programma!$F$3:$Q$1101,12,0),"")</f>
        <v>1w</v>
      </c>
      <c r="AT27" s="142" t="str">
        <f>_xlfn.IFNA(VLOOKUP($AH27,Programma!$F$3:$R$1101,13,0),"")</f>
        <v>1w</v>
      </c>
      <c r="AU27" s="142" t="str">
        <f>_xlfn.IFNA(VLOOKUP($AH27,Programma!$F$3:$S$1101,14,0),"")</f>
        <v>1m</v>
      </c>
      <c r="AV27" s="142" t="str">
        <f>_xlfn.IFNA(VLOOKUP($AH27,Programma!$F$3:$T$1101,15,0),"")</f>
        <v>2j</v>
      </c>
      <c r="AW27" s="142" t="str">
        <f>_xlfn.IFNA(VLOOKUP($AH27,Programma!$F$3:$U$1101,16,0),"")</f>
        <v>1j</v>
      </c>
      <c r="AX27" s="142" t="str">
        <f>_xlfn.IFNA(VLOOKUP($AH27,Programma!$F$3:$V$1101,17,0),"")</f>
        <v>_</v>
      </c>
      <c r="AY27" s="142" t="str">
        <f>_xlfn.IFNA(VLOOKUP($AH27,Programma!$F$3:$W$1101,18,0),"")</f>
        <v>_</v>
      </c>
      <c r="AZ27" s="142" t="str">
        <f>_xlfn.IFNA(VLOOKUP($AH27,Programma!$F$3:$X$1101,19,0),"")</f>
        <v>_</v>
      </c>
      <c r="BA27" s="142" t="str">
        <f>_xlfn.IFNA(VLOOKUP($AH27,Programma!$F$3:$Y$1101,20,0),"")</f>
        <v>_</v>
      </c>
      <c r="BB27" s="138"/>
      <c r="BC27" s="137" t="str">
        <f>IF(Ruimtestaat[[#This Row],[Frequentie weekend]]="","",_xlfn.CONCAT(Ruimtestaat[[#This Row],[Ruimte code]],"-",Ruimtestaat[[#This Row],[Frequentie weekend]]," ",Ruimtestaat[[#This Row],[Vloer code]]))</f>
        <v/>
      </c>
      <c r="BD27" s="142" t="str">
        <f>_xlfn.IFNA(VLOOKUP($BC27,Programma!$F$3:$G$1101,2,0),"")</f>
        <v/>
      </c>
      <c r="BE27" s="142" t="str">
        <f>_xlfn.IFNA(VLOOKUP($BC27,Programma!$F$3:$H$1101,3,0),"")</f>
        <v/>
      </c>
      <c r="BF27" s="142" t="str">
        <f>_xlfn.IFNA(VLOOKUP($BC27,Programma!$F$3:$I$1101,4,0),"")</f>
        <v/>
      </c>
      <c r="BG27" s="142" t="str">
        <f>_xlfn.IFNA(VLOOKUP($BC27,Programma!$F$3:$J$1101,5,0),"")</f>
        <v/>
      </c>
      <c r="BH27" s="142" t="str">
        <f>_xlfn.IFNA(VLOOKUP($BC27,Programma!$F$3:$K$1101,6,0),"")</f>
        <v/>
      </c>
      <c r="BI27" s="142" t="str">
        <f>_xlfn.IFNA(VLOOKUP($BC27,Programma!$F$3:$L$1101,7,0),"")</f>
        <v/>
      </c>
      <c r="BJ27" s="142" t="str">
        <f>_xlfn.IFNA(VLOOKUP($BC27,Programma!$F$3:$M$1101,8,0),"")</f>
        <v/>
      </c>
      <c r="BK27" s="142" t="str">
        <f>_xlfn.IFNA(VLOOKUP($BC27,Programma!$F$3:$N$1101,9,0),"")</f>
        <v/>
      </c>
      <c r="BL27" s="142" t="str">
        <f>_xlfn.IFNA(VLOOKUP($BC27,Programma!$F$3:$O$1101,10,0),"")</f>
        <v/>
      </c>
      <c r="BM27" s="142" t="str">
        <f>_xlfn.IFNA(VLOOKUP($BC27,Programma!$F$3:$P$1101,11,0),"")</f>
        <v/>
      </c>
      <c r="BN27" s="142" t="str">
        <f>_xlfn.IFNA(VLOOKUP($BC27,Programma!$F$3:$Q$1101,12,0),"")</f>
        <v/>
      </c>
      <c r="BO27" s="142" t="str">
        <f>_xlfn.IFNA(VLOOKUP($BC27,Programma!$F$3:$R$1101,13,0),"")</f>
        <v/>
      </c>
      <c r="BP27" s="142" t="str">
        <f>_xlfn.IFNA(VLOOKUP($BC27,Programma!$F$3:$S$1101,14,0),"")</f>
        <v/>
      </c>
      <c r="BQ27" s="142" t="str">
        <f>_xlfn.IFNA(VLOOKUP($BC27,Programma!$F$3:$T$1101,15,0),"")</f>
        <v/>
      </c>
      <c r="BR27" s="142" t="str">
        <f>_xlfn.IFNA(VLOOKUP($BC27,Programma!$F$3:$U$1101,16,0),"")</f>
        <v/>
      </c>
      <c r="BS27" s="142" t="str">
        <f>_xlfn.IFNA(VLOOKUP($BC27,Programma!$F$3:$V$1101,17,0),"")</f>
        <v/>
      </c>
      <c r="BT27" s="142" t="str">
        <f>_xlfn.IFNA(VLOOKUP($BC27,Programma!$F$3:$W$1101,18,0),"")</f>
        <v/>
      </c>
      <c r="BU27" s="142" t="str">
        <f>_xlfn.IFNA(VLOOKUP($BC27,Programma!$F$3:$X$1101,19,0),"")</f>
        <v/>
      </c>
      <c r="BV27" s="142" t="str">
        <f>_xlfn.IFNA(VLOOKUP($BC27,Programma!$F$3:$Y$1101,20,0),"")</f>
        <v/>
      </c>
      <c r="BW27" s="28"/>
      <c r="BX27" s="28"/>
      <c r="BY27" s="28"/>
      <c r="BZ27" s="28"/>
      <c r="CA27" s="28"/>
      <c r="CB27" s="28"/>
      <c r="CC27" s="28"/>
      <c r="CD27" s="28"/>
      <c r="CE27" s="28"/>
      <c r="CF27" s="28"/>
      <c r="CG27" s="28"/>
      <c r="CH27" s="28"/>
      <c r="CI27" s="28"/>
      <c r="CJ27" s="28"/>
      <c r="CK27" s="28"/>
      <c r="CL27" s="28"/>
      <c r="CM27" s="28"/>
      <c r="CN27" s="28"/>
      <c r="CO27" s="28"/>
      <c r="CP27" s="28"/>
      <c r="CQ27" s="28"/>
      <c r="CR27" s="28"/>
      <c r="CS27" s="28"/>
      <c r="CT27" s="28"/>
      <c r="CU27" s="28"/>
      <c r="CV27" s="28"/>
      <c r="CW27" s="28"/>
      <c r="CX27" s="28"/>
      <c r="CY27" s="28"/>
      <c r="CZ27" s="28"/>
      <c r="DA27" s="28"/>
      <c r="DB27" s="28"/>
      <c r="DC27" s="28"/>
      <c r="DD27" s="28"/>
      <c r="DE27" s="28"/>
      <c r="DF27" s="28"/>
      <c r="DG27" s="28"/>
      <c r="DH27" s="28"/>
      <c r="DI27" s="28"/>
      <c r="DJ27" s="28"/>
      <c r="DK27" s="28"/>
      <c r="DL27" s="28"/>
      <c r="DM27" s="28"/>
      <c r="DN27" s="28"/>
      <c r="DO27" s="28"/>
      <c r="DP27" s="28"/>
      <c r="DQ27" s="28"/>
      <c r="DR27" s="28"/>
      <c r="DS27" s="28"/>
      <c r="DT27" s="28"/>
      <c r="DU27" s="28"/>
      <c r="DV27" s="28"/>
      <c r="DW27" s="28"/>
      <c r="DX27" s="28"/>
      <c r="DY27" s="28"/>
      <c r="DZ27" s="28"/>
      <c r="EA27" s="28"/>
      <c r="EB27" s="28"/>
      <c r="EC27" s="28"/>
      <c r="ED27" s="28"/>
      <c r="EE27" s="28"/>
      <c r="EF27" s="28"/>
      <c r="EG27" s="28"/>
      <c r="EH27" s="28"/>
      <c r="EI27" s="28"/>
      <c r="EJ27" s="28"/>
      <c r="EK27" s="28"/>
      <c r="EL27" s="28"/>
      <c r="EM27" s="28"/>
      <c r="EN27" s="28"/>
      <c r="EO27" s="28"/>
      <c r="EP27" s="28"/>
      <c r="EQ27" s="28"/>
      <c r="ER27" s="28"/>
      <c r="ES27" s="28"/>
      <c r="ET27" s="28"/>
      <c r="EU27" s="28"/>
      <c r="EV27" s="28"/>
      <c r="EW27" s="28"/>
      <c r="EX27" s="28"/>
      <c r="EY27" s="28"/>
      <c r="EZ27" s="28"/>
      <c r="FA27" s="28"/>
      <c r="FB27" s="28"/>
      <c r="FC27" s="28"/>
      <c r="FD27" s="28"/>
      <c r="FE27" s="28"/>
      <c r="FF27" s="28"/>
      <c r="FG27" s="28"/>
      <c r="FH27" s="28"/>
      <c r="FI27" s="28"/>
      <c r="FJ27" s="28"/>
      <c r="FK27" s="28"/>
      <c r="FL27" s="28"/>
      <c r="FM27" s="28"/>
      <c r="FN27" s="28"/>
      <c r="FO27" s="28"/>
      <c r="FP27" s="28"/>
      <c r="FQ27" s="28"/>
      <c r="FR27" s="28"/>
      <c r="FS27" s="28"/>
      <c r="FT27" s="28"/>
      <c r="FU27" s="28"/>
      <c r="FV27" s="28"/>
      <c r="FW27" s="28"/>
      <c r="FX27" s="28"/>
      <c r="FY27" s="28"/>
      <c r="FZ27" s="28"/>
      <c r="GA27" s="28"/>
      <c r="GB27" s="28"/>
      <c r="GC27" s="28"/>
      <c r="GD27" s="28"/>
      <c r="GE27" s="28"/>
      <c r="GF27" s="28"/>
      <c r="GG27" s="28"/>
      <c r="GH27" s="28"/>
      <c r="GI27" s="28"/>
      <c r="GJ27" s="28"/>
      <c r="GK27" s="28"/>
      <c r="GL27" s="28"/>
      <c r="GM27" s="28"/>
      <c r="GN27" s="28"/>
      <c r="GO27" s="28"/>
      <c r="GP27" s="28"/>
      <c r="GQ27" s="28"/>
      <c r="GR27" s="28"/>
      <c r="GS27" s="28"/>
      <c r="GT27" s="28"/>
      <c r="GU27" s="28"/>
      <c r="GV27" s="28"/>
      <c r="GW27" s="28"/>
      <c r="GX27" s="28"/>
      <c r="GY27" s="28"/>
      <c r="GZ27" s="28"/>
      <c r="HA27" s="28"/>
      <c r="HB27" s="28"/>
      <c r="HC27" s="28"/>
      <c r="HD27" s="28"/>
      <c r="HE27" s="28"/>
      <c r="HF27" s="28"/>
      <c r="HG27" s="28"/>
      <c r="HH27" s="28"/>
      <c r="HI27" s="28"/>
      <c r="HJ27" s="28"/>
      <c r="HK27" s="28"/>
    </row>
    <row r="28" spans="1:219" ht="15" customHeight="1">
      <c r="A28" s="100">
        <v>1</v>
      </c>
      <c r="B28" s="132" t="str">
        <f>VLOOKUP(Ruimtestaat[[#This Row],[Code]],Locaties[[Code]:[Locatie]],2,FALSE)</f>
        <v>Mirtehuis</v>
      </c>
      <c r="C28" s="132" t="str">
        <f>VLOOKUP(Ruimtestaat[[#This Row],[Code]],Locaties[[#All],[Code]:[Adres]],4,FALSE)</f>
        <v>Weseperweg 6</v>
      </c>
      <c r="D28" s="132" t="str">
        <f>VLOOKUP(Ruimtestaat[[#This Row],[Code]],Locaties[[#All],[Code]:[Postcode]],5,FALSE)</f>
        <v>8111 PK</v>
      </c>
      <c r="E28" s="132" t="str">
        <f>VLOOKUP(Ruimtestaat[[#This Row],[Code]],Locaties[#All],6,FALSE)</f>
        <v>Heeten</v>
      </c>
      <c r="F28" s="100"/>
      <c r="G28" s="100" t="s">
        <v>1675</v>
      </c>
      <c r="H28" s="344"/>
      <c r="I28" s="345" t="s">
        <v>1641</v>
      </c>
      <c r="J28" s="49">
        <v>5</v>
      </c>
      <c r="K28" s="140" t="str">
        <f>VLOOKUP(Ruimtestaat[[#This Row],[Ruimte code]],Ruimtegroepen[[#All],[Code]:[Ruimte omschrijving]],2,FALSE)</f>
        <v>Sanitair</v>
      </c>
      <c r="L28" s="100" t="s">
        <v>101</v>
      </c>
      <c r="M28" s="345" t="s">
        <v>1642</v>
      </c>
      <c r="N28" s="133">
        <v>1</v>
      </c>
      <c r="O28" s="100"/>
      <c r="P28" s="134" t="str">
        <f>VLOOKUP(Ruimtestaat[[#This Row],[Ruimte code]],Ruimtegroepen[],4,FALSE)</f>
        <v>Sa</v>
      </c>
      <c r="Q28" s="100">
        <v>51</v>
      </c>
      <c r="R28" s="100" t="s">
        <v>2</v>
      </c>
      <c r="S28" s="100">
        <f>IF(Q28&gt;0,IF(RIGHT(Ruimtestaat[[#This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8" s="100">
        <f>IF(S28&gt;0,VLOOKUP($J28,Ruimtegroepen[],3,FALSE)*VLOOKUP($L28,Vloersoorten[],3,FALSE)*VLOOKUP($R28,Frequenties[],3,FALSE)*VLOOKUP($A28,Locaties[],3,FALSE),0)</f>
        <v>0</v>
      </c>
      <c r="U28" s="100">
        <f>Ruimtestaat[[#This Row],[Uitvoeringen werkdagen]]*Ruimtestaat[[#This Row],[Oppervlak (netto)]]</f>
        <v>255</v>
      </c>
      <c r="V28" s="135">
        <f>IF(T28&gt;0,Ruimtestaat[[#This Row],[Prest. (m2 /jaar) werkdagen]]/Ruimtestaat[[#This Row],[Norm (m2/uur) werkdagen]],0)</f>
        <v>0</v>
      </c>
      <c r="W28" s="136">
        <f>Ruimtestaat[[#This Row],[uren / jaar werkdagen]]*Tariefsopbouw!$E$35</f>
        <v>0</v>
      </c>
      <c r="X28" s="100"/>
      <c r="Y28" s="100">
        <f>IF(Ruimtestaat[[#This Row],[Frequentie weekend]]&gt;0,VALUE(LEFT(X28,1))*Q28,0)</f>
        <v>0</v>
      </c>
      <c r="Z28" s="99">
        <f>IF($Y28&gt;0,VLOOKUP($J28,Ruimtegroepen[],3,FALSE)*VLOOKUP($L28,Vloersoorten[],3,FALSE)*VLOOKUP($X28,Frequenties[],3,FALSE)*VLOOKUP(Ruimtestaat[[#This Row],[Code]],Locaties[],3,FALSE),0)</f>
        <v>0</v>
      </c>
      <c r="AA28" s="99">
        <f>Ruimtestaat[[#This Row],[Uitvoeringen weekend]]*Ruimtestaat[[#This Row],[Oppervlak (netto)]]</f>
        <v>0</v>
      </c>
      <c r="AB28" s="99">
        <f>IF(Z28&gt;0,Ruimtestaat[[#This Row],[Prest. (m2 /jaar) weekend]]/Ruimtestaat[[#This Row],[Norm (m2/uur) weekend]],0)</f>
        <v>0</v>
      </c>
      <c r="AC28" s="136">
        <f>Ruimtestaat[[#This Row],[uren / jaar weekend]]*Tariefsopbouw!$D$40</f>
        <v>0</v>
      </c>
      <c r="AD28" s="135">
        <f>Ruimtestaat[[#This Row],[Prest. (m2 /jaar) weekend]]+Ruimtestaat[[#This Row],[Prest. (m2 /jaar) werkdagen]]</f>
        <v>255</v>
      </c>
      <c r="AE28" s="135">
        <f>Ruimtestaat[[#This Row],[uren / jaar weekend]]+Ruimtestaat[[#This Row],[uren / jaar werkdagen]]</f>
        <v>0</v>
      </c>
      <c r="AF28" s="130">
        <f>Ruimtestaat[[#This Row],[kosten / jaar weekend]]+Ruimtestaat[[#This Row],[kosten / jaar werkdagen]]</f>
        <v>0</v>
      </c>
      <c r="AG28" s="130"/>
      <c r="AH28" s="137" t="str">
        <f>IF(Ruimtestaat[[#This Row],[Frequentie werkdagen]]="","",_xlfn.CONCAT(Ruimtestaat[[#This Row],[Ruimte code]],"-",Ruimtestaat[[#This Row],[Frequentie werkdagen]]," ",Ruimtestaat[[#This Row],[Vloer code]]))</f>
        <v>5-5w S</v>
      </c>
      <c r="AI28" s="142" t="str">
        <f>_xlfn.IFNA(VLOOKUP($AH28,Programma!$F$3:$G$1101,2,0),"")</f>
        <v>_</v>
      </c>
      <c r="AJ28" s="142" t="str">
        <f>_xlfn.IFNA(VLOOKUP($AH28,Programma!$F$3:$H$1101,3,0),"")</f>
        <v>_</v>
      </c>
      <c r="AK28" s="142" t="str">
        <f>_xlfn.IFNA(VLOOKUP($AH28,Programma!$F$3:$I$1101,4,0),"")</f>
        <v>_</v>
      </c>
      <c r="AL28" s="142" t="str">
        <f>_xlfn.IFNA(VLOOKUP($AH28,Programma!$F$3:$J$1101,5,0),"")</f>
        <v>4w</v>
      </c>
      <c r="AM28" s="142" t="str">
        <f>_xlfn.IFNA(VLOOKUP($AH28,Programma!$F$3:$K$1101,6,0),"")</f>
        <v>1w</v>
      </c>
      <c r="AN28" s="142" t="str">
        <f>_xlfn.IFNA(VLOOKUP($AH28,Programma!$F$3:$L$1101,7,0),"")</f>
        <v>_</v>
      </c>
      <c r="AO28" s="142" t="str">
        <f>_xlfn.IFNA(VLOOKUP($AH28,Programma!$F$3:$M$1101,8,0),"")</f>
        <v>_</v>
      </c>
      <c r="AP28" s="142" t="str">
        <f>_xlfn.IFNA(VLOOKUP($AH28,Programma!$F$3:$N$1101,9,0),"")</f>
        <v>_</v>
      </c>
      <c r="AQ28" s="142" t="str">
        <f>_xlfn.IFNA(VLOOKUP($AH28,Programma!$F$3:$O$1101,10,0),"")</f>
        <v>_</v>
      </c>
      <c r="AR28" s="142" t="str">
        <f>_xlfn.IFNA(VLOOKUP($AH28,Programma!$F$3:$P$1101,11,0),"")</f>
        <v>_</v>
      </c>
      <c r="AS28" s="142" t="str">
        <f>_xlfn.IFNA(VLOOKUP($AH28,Programma!$F$3:$Q$1101,12,0),"")</f>
        <v>_</v>
      </c>
      <c r="AT28" s="142" t="str">
        <f>_xlfn.IFNA(VLOOKUP($AH28,Programma!$F$3:$R$1101,13,0),"")</f>
        <v>_</v>
      </c>
      <c r="AU28" s="142" t="str">
        <f>_xlfn.IFNA(VLOOKUP($AH28,Programma!$F$3:$S$1101,14,0),"")</f>
        <v>_</v>
      </c>
      <c r="AV28" s="142" t="str">
        <f>_xlfn.IFNA(VLOOKUP($AH28,Programma!$F$3:$T$1101,15,0),"")</f>
        <v>_</v>
      </c>
      <c r="AW28" s="142" t="str">
        <f>_xlfn.IFNA(VLOOKUP($AH28,Programma!$F$3:$U$1101,16,0),"")</f>
        <v>_</v>
      </c>
      <c r="AX28" s="142" t="str">
        <f>_xlfn.IFNA(VLOOKUP($AH28,Programma!$F$3:$V$1101,17,0),"")</f>
        <v>_</v>
      </c>
      <c r="AY28" s="142" t="str">
        <f>_xlfn.IFNA(VLOOKUP($AH28,Programma!$F$3:$W$1101,18,0),"")</f>
        <v>4w</v>
      </c>
      <c r="AZ28" s="142" t="str">
        <f>_xlfn.IFNA(VLOOKUP($AH28,Programma!$F$3:$X$1101,19,0),"")</f>
        <v>1w</v>
      </c>
      <c r="BA28" s="142" t="str">
        <f>_xlfn.IFNA(VLOOKUP($AH28,Programma!$F$3:$Y$1101,20,0),"")</f>
        <v>_</v>
      </c>
      <c r="BB28" s="138"/>
      <c r="BC28" s="137" t="str">
        <f>IF(Ruimtestaat[[#This Row],[Frequentie weekend]]="","",_xlfn.CONCAT(Ruimtestaat[[#This Row],[Ruimte code]],"-",Ruimtestaat[[#This Row],[Frequentie weekend]]," ",Ruimtestaat[[#This Row],[Vloer code]]))</f>
        <v/>
      </c>
      <c r="BD28" s="142" t="str">
        <f>_xlfn.IFNA(VLOOKUP($BC28,Programma!$F$3:$G$1101,2,0),"")</f>
        <v/>
      </c>
      <c r="BE28" s="142" t="str">
        <f>_xlfn.IFNA(VLOOKUP($BC28,Programma!$F$3:$H$1101,3,0),"")</f>
        <v/>
      </c>
      <c r="BF28" s="142" t="str">
        <f>_xlfn.IFNA(VLOOKUP($BC28,Programma!$F$3:$I$1101,4,0),"")</f>
        <v/>
      </c>
      <c r="BG28" s="142" t="str">
        <f>_xlfn.IFNA(VLOOKUP($BC28,Programma!$F$3:$J$1101,5,0),"")</f>
        <v/>
      </c>
      <c r="BH28" s="142" t="str">
        <f>_xlfn.IFNA(VLOOKUP($BC28,Programma!$F$3:$K$1101,6,0),"")</f>
        <v/>
      </c>
      <c r="BI28" s="142" t="str">
        <f>_xlfn.IFNA(VLOOKUP($BC28,Programma!$F$3:$L$1101,7,0),"")</f>
        <v/>
      </c>
      <c r="BJ28" s="142" t="str">
        <f>_xlfn.IFNA(VLOOKUP($BC28,Programma!$F$3:$M$1101,8,0),"")</f>
        <v/>
      </c>
      <c r="BK28" s="142" t="str">
        <f>_xlfn.IFNA(VLOOKUP($BC28,Programma!$F$3:$N$1101,9,0),"")</f>
        <v/>
      </c>
      <c r="BL28" s="142" t="str">
        <f>_xlfn.IFNA(VLOOKUP($BC28,Programma!$F$3:$O$1101,10,0),"")</f>
        <v/>
      </c>
      <c r="BM28" s="142" t="str">
        <f>_xlfn.IFNA(VLOOKUP($BC28,Programma!$F$3:$P$1101,11,0),"")</f>
        <v/>
      </c>
      <c r="BN28" s="142" t="str">
        <f>_xlfn.IFNA(VLOOKUP($BC28,Programma!$F$3:$Q$1101,12,0),"")</f>
        <v/>
      </c>
      <c r="BO28" s="142" t="str">
        <f>_xlfn.IFNA(VLOOKUP($BC28,Programma!$F$3:$R$1101,13,0),"")</f>
        <v/>
      </c>
      <c r="BP28" s="142" t="str">
        <f>_xlfn.IFNA(VLOOKUP($BC28,Programma!$F$3:$S$1101,14,0),"")</f>
        <v/>
      </c>
      <c r="BQ28" s="142" t="str">
        <f>_xlfn.IFNA(VLOOKUP($BC28,Programma!$F$3:$T$1101,15,0),"")</f>
        <v/>
      </c>
      <c r="BR28" s="142" t="str">
        <f>_xlfn.IFNA(VLOOKUP($BC28,Programma!$F$3:$U$1101,16,0),"")</f>
        <v/>
      </c>
      <c r="BS28" s="142" t="str">
        <f>_xlfn.IFNA(VLOOKUP($BC28,Programma!$F$3:$V$1101,17,0),"")</f>
        <v/>
      </c>
      <c r="BT28" s="142" t="str">
        <f>_xlfn.IFNA(VLOOKUP($BC28,Programma!$F$3:$W$1101,18,0),"")</f>
        <v/>
      </c>
      <c r="BU28" s="142" t="str">
        <f>_xlfn.IFNA(VLOOKUP($BC28,Programma!$F$3:$X$1101,19,0),"")</f>
        <v/>
      </c>
      <c r="BV28" s="142" t="str">
        <f>_xlfn.IFNA(VLOOKUP($BC28,Programma!$F$3:$Y$1101,20,0),"")</f>
        <v/>
      </c>
      <c r="BW28" s="28"/>
      <c r="BX28" s="28"/>
      <c r="BY28" s="28"/>
      <c r="BZ28" s="28"/>
      <c r="CA28" s="28"/>
      <c r="CB28" s="28"/>
      <c r="CC28" s="28"/>
      <c r="CD28" s="28"/>
      <c r="CE28" s="28"/>
      <c r="CF28" s="28"/>
      <c r="CG28" s="28"/>
      <c r="CH28" s="28"/>
      <c r="CI28" s="28"/>
      <c r="CJ28" s="28"/>
      <c r="CK28" s="28"/>
      <c r="CL28" s="28"/>
      <c r="CM28" s="28"/>
      <c r="CN28" s="28"/>
      <c r="CO28" s="28"/>
      <c r="CP28" s="28"/>
      <c r="CQ28" s="28"/>
      <c r="CR28" s="28"/>
      <c r="CS28" s="28"/>
      <c r="CT28" s="28"/>
      <c r="CU28" s="28"/>
      <c r="CV28" s="28"/>
      <c r="CW28" s="28"/>
      <c r="CX28" s="28"/>
      <c r="CY28" s="28"/>
      <c r="CZ28" s="28"/>
      <c r="DA28" s="28"/>
      <c r="DB28" s="28"/>
      <c r="DC28" s="28"/>
      <c r="DD28" s="28"/>
      <c r="DE28" s="28"/>
      <c r="DF28" s="28"/>
      <c r="DG28" s="28"/>
      <c r="DH28" s="28"/>
      <c r="DI28" s="28"/>
      <c r="DJ28" s="28"/>
      <c r="DK28" s="28"/>
      <c r="DL28" s="28"/>
      <c r="DM28" s="28"/>
      <c r="DN28" s="28"/>
      <c r="DO28" s="28"/>
      <c r="DP28" s="28"/>
      <c r="DQ28" s="28"/>
      <c r="DR28" s="28"/>
      <c r="DS28" s="28"/>
      <c r="DT28" s="28"/>
      <c r="DU28" s="28"/>
      <c r="DV28" s="28"/>
      <c r="DW28" s="28"/>
      <c r="DX28" s="28"/>
      <c r="DY28" s="28"/>
      <c r="DZ28" s="28"/>
      <c r="EA28" s="28"/>
      <c r="EB28" s="28"/>
      <c r="EC28" s="28"/>
      <c r="ED28" s="28"/>
      <c r="EE28" s="28"/>
      <c r="EF28" s="28"/>
      <c r="EG28" s="28"/>
      <c r="EH28" s="28"/>
      <c r="EI28" s="28"/>
      <c r="EJ28" s="28"/>
      <c r="EK28" s="28"/>
      <c r="EL28" s="28"/>
      <c r="EM28" s="28"/>
      <c r="EN28" s="28"/>
      <c r="EO28" s="28"/>
      <c r="EP28" s="28"/>
      <c r="EQ28" s="28"/>
      <c r="ER28" s="28"/>
      <c r="ES28" s="28"/>
      <c r="ET28" s="28"/>
      <c r="EU28" s="28"/>
      <c r="EV28" s="28"/>
      <c r="EW28" s="28"/>
      <c r="EX28" s="28"/>
      <c r="EY28" s="28"/>
      <c r="EZ28" s="28"/>
      <c r="FA28" s="28"/>
      <c r="FB28" s="28"/>
      <c r="FC28" s="28"/>
      <c r="FD28" s="28"/>
      <c r="FE28" s="28"/>
      <c r="FF28" s="28"/>
      <c r="FG28" s="28"/>
      <c r="FH28" s="28"/>
      <c r="FI28" s="28"/>
      <c r="FJ28" s="28"/>
      <c r="FK28" s="28"/>
      <c r="FL28" s="28"/>
      <c r="FM28" s="28"/>
      <c r="FN28" s="28"/>
      <c r="FO28" s="28"/>
      <c r="FP28" s="28"/>
      <c r="FQ28" s="28"/>
      <c r="FR28" s="28"/>
      <c r="FS28" s="28"/>
      <c r="FT28" s="28"/>
      <c r="FU28" s="28"/>
      <c r="FV28" s="28"/>
      <c r="FW28" s="28"/>
      <c r="FX28" s="28"/>
      <c r="FY28" s="28"/>
      <c r="FZ28" s="28"/>
      <c r="GA28" s="28"/>
      <c r="GB28" s="28"/>
      <c r="GC28" s="28"/>
      <c r="GD28" s="28"/>
      <c r="GE28" s="28"/>
      <c r="GF28" s="28"/>
      <c r="GG28" s="28"/>
      <c r="GH28" s="28"/>
      <c r="GI28" s="28"/>
      <c r="GJ28" s="28"/>
      <c r="GK28" s="28"/>
      <c r="GL28" s="28"/>
      <c r="GM28" s="28"/>
      <c r="GN28" s="28"/>
      <c r="GO28" s="28"/>
      <c r="GP28" s="28"/>
      <c r="GQ28" s="28"/>
      <c r="GR28" s="28"/>
      <c r="GS28" s="28"/>
      <c r="GT28" s="28"/>
      <c r="GU28" s="28"/>
      <c r="GV28" s="28"/>
      <c r="GW28" s="28"/>
      <c r="GX28" s="28"/>
      <c r="GY28" s="28"/>
      <c r="GZ28" s="28"/>
      <c r="HA28" s="28"/>
      <c r="HB28" s="28"/>
      <c r="HC28" s="28"/>
      <c r="HD28" s="28"/>
      <c r="HE28" s="28"/>
      <c r="HF28" s="28"/>
      <c r="HG28" s="28"/>
      <c r="HH28" s="28"/>
      <c r="HI28" s="28"/>
      <c r="HJ28" s="28"/>
      <c r="HK28" s="28"/>
    </row>
    <row r="29" spans="1:219" ht="15" customHeight="1">
      <c r="A29" s="100">
        <v>1</v>
      </c>
      <c r="B29" s="132" t="str">
        <f>VLOOKUP(Ruimtestaat[[#This Row],[Code]],Locaties[[Code]:[Locatie]],2,FALSE)</f>
        <v>Mirtehuis</v>
      </c>
      <c r="C29" s="132" t="str">
        <f>VLOOKUP(Ruimtestaat[[#This Row],[Code]],Locaties[[#All],[Code]:[Adres]],4,FALSE)</f>
        <v>Weseperweg 6</v>
      </c>
      <c r="D29" s="132" t="str">
        <f>VLOOKUP(Ruimtestaat[[#This Row],[Code]],Locaties[[#All],[Code]:[Postcode]],5,FALSE)</f>
        <v>8111 PK</v>
      </c>
      <c r="E29" s="132" t="str">
        <f>VLOOKUP(Ruimtestaat[[#This Row],[Code]],Locaties[#All],6,FALSE)</f>
        <v>Heeten</v>
      </c>
      <c r="F29" s="100"/>
      <c r="G29" s="100" t="s">
        <v>1675</v>
      </c>
      <c r="H29" s="344" t="s">
        <v>1655</v>
      </c>
      <c r="I29" s="345" t="s">
        <v>1656</v>
      </c>
      <c r="J29" s="49">
        <v>20</v>
      </c>
      <c r="K29" s="140" t="str">
        <f>VLOOKUP(Ruimtestaat[[#This Row],[Ruimte code]],Ruimtegroepen[[#All],[Code]:[Ruimte omschrijving]],2,FALSE)</f>
        <v>Niet in Onderhoud</v>
      </c>
      <c r="L29" s="100"/>
      <c r="M29" s="345"/>
      <c r="N29" s="133"/>
      <c r="O29" s="139"/>
      <c r="P29" s="134">
        <f>VLOOKUP(Ruimtestaat[[#This Row],[Ruimte code]],Ruimtegroepen[],4,FALSE)</f>
        <v>0</v>
      </c>
      <c r="Q29" s="100"/>
      <c r="R29" s="100"/>
      <c r="S29" s="100">
        <f>IF(Q29&gt;0,IF(RIGHT(Ruimtestaat[[#This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9" s="100">
        <f>IF(S29&gt;0,VLOOKUP($J29,Ruimtegroepen[],3,FALSE)*VLOOKUP($L29,Vloersoorten[],3,FALSE)*VLOOKUP($R29,Frequenties[],3,FALSE)*VLOOKUP($A29,Locaties[],3,FALSE),0)</f>
        <v>0</v>
      </c>
      <c r="U29" s="100">
        <f>Ruimtestaat[[#This Row],[Uitvoeringen werkdagen]]*Ruimtestaat[[#This Row],[Oppervlak (netto)]]</f>
        <v>0</v>
      </c>
      <c r="V29" s="135">
        <f>IF(T29&gt;0,Ruimtestaat[[#This Row],[Prest. (m2 /jaar) werkdagen]]/Ruimtestaat[[#This Row],[Norm (m2/uur) werkdagen]],0)</f>
        <v>0</v>
      </c>
      <c r="W29" s="136">
        <f>Ruimtestaat[[#This Row],[uren / jaar werkdagen]]*Tariefsopbouw!$E$35</f>
        <v>0</v>
      </c>
      <c r="X29" s="100"/>
      <c r="Y29" s="100">
        <f>IF(Ruimtestaat[[#This Row],[Frequentie weekend]]&gt;0,VALUE(LEFT(X29,1))*Q29,0)</f>
        <v>0</v>
      </c>
      <c r="Z29" s="99">
        <f>IF($Y29&gt;0,VLOOKUP($J29,Ruimtegroepen[],3,FALSE)*VLOOKUP($L29,Vloersoorten[],3,FALSE)*VLOOKUP($X29,Frequenties[],3,FALSE)*VLOOKUP(Ruimtestaat[[#This Row],[Code]],Locaties[],3,FALSE),0)</f>
        <v>0</v>
      </c>
      <c r="AA29" s="99">
        <f>Ruimtestaat[[#This Row],[Uitvoeringen weekend]]*Ruimtestaat[[#This Row],[Oppervlak (netto)]]</f>
        <v>0</v>
      </c>
      <c r="AB29" s="99">
        <f>IF(Z29&gt;0,Ruimtestaat[[#This Row],[Prest. (m2 /jaar) weekend]]/Ruimtestaat[[#This Row],[Norm (m2/uur) weekend]],0)</f>
        <v>0</v>
      </c>
      <c r="AC29" s="136">
        <f>Ruimtestaat[[#This Row],[uren / jaar weekend]]*Tariefsopbouw!$D$40</f>
        <v>0</v>
      </c>
      <c r="AD29" s="135">
        <f>Ruimtestaat[[#This Row],[Prest. (m2 /jaar) weekend]]+Ruimtestaat[[#This Row],[Prest. (m2 /jaar) werkdagen]]</f>
        <v>0</v>
      </c>
      <c r="AE29" s="135">
        <f>Ruimtestaat[[#This Row],[uren / jaar weekend]]+Ruimtestaat[[#This Row],[uren / jaar werkdagen]]</f>
        <v>0</v>
      </c>
      <c r="AF29" s="130">
        <f>Ruimtestaat[[#This Row],[kosten / jaar weekend]]+Ruimtestaat[[#This Row],[kosten / jaar werkdagen]]</f>
        <v>0</v>
      </c>
      <c r="AG29" s="130"/>
      <c r="AH29" s="137" t="str">
        <f>IF(Ruimtestaat[[#This Row],[Frequentie werkdagen]]="","",_xlfn.CONCAT(Ruimtestaat[[#This Row],[Ruimte code]],"-",Ruimtestaat[[#This Row],[Frequentie werkdagen]]," ",Ruimtestaat[[#This Row],[Vloer code]]))</f>
        <v/>
      </c>
      <c r="AI29" s="142" t="str">
        <f>_xlfn.IFNA(VLOOKUP($AH29,Programma!$F$3:$G$1101,2,0),"")</f>
        <v/>
      </c>
      <c r="AJ29" s="142" t="str">
        <f>_xlfn.IFNA(VLOOKUP($AH29,Programma!$F$3:$H$1101,3,0),"")</f>
        <v/>
      </c>
      <c r="AK29" s="142" t="str">
        <f>_xlfn.IFNA(VLOOKUP($AH29,Programma!$F$3:$I$1101,4,0),"")</f>
        <v/>
      </c>
      <c r="AL29" s="142" t="str">
        <f>_xlfn.IFNA(VLOOKUP($AH29,Programma!$F$3:$J$1101,5,0),"")</f>
        <v/>
      </c>
      <c r="AM29" s="142" t="str">
        <f>_xlfn.IFNA(VLOOKUP($AH29,Programma!$F$3:$K$1101,6,0),"")</f>
        <v/>
      </c>
      <c r="AN29" s="142" t="str">
        <f>_xlfn.IFNA(VLOOKUP($AH29,Programma!$F$3:$L$1101,7,0),"")</f>
        <v/>
      </c>
      <c r="AO29" s="142" t="str">
        <f>_xlfn.IFNA(VLOOKUP($AH29,Programma!$F$3:$M$1101,8,0),"")</f>
        <v/>
      </c>
      <c r="AP29" s="142" t="str">
        <f>_xlfn.IFNA(VLOOKUP($AH29,Programma!$F$3:$N$1101,9,0),"")</f>
        <v/>
      </c>
      <c r="AQ29" s="142" t="str">
        <f>_xlfn.IFNA(VLOOKUP($AH29,Programma!$F$3:$O$1101,10,0),"")</f>
        <v/>
      </c>
      <c r="AR29" s="142" t="str">
        <f>_xlfn.IFNA(VLOOKUP($AH29,Programma!$F$3:$P$1101,11,0),"")</f>
        <v/>
      </c>
      <c r="AS29" s="142" t="str">
        <f>_xlfn.IFNA(VLOOKUP($AH29,Programma!$F$3:$Q$1101,12,0),"")</f>
        <v/>
      </c>
      <c r="AT29" s="142" t="str">
        <f>_xlfn.IFNA(VLOOKUP($AH29,Programma!$F$3:$R$1101,13,0),"")</f>
        <v/>
      </c>
      <c r="AU29" s="142" t="str">
        <f>_xlfn.IFNA(VLOOKUP($AH29,Programma!$F$3:$S$1101,14,0),"")</f>
        <v/>
      </c>
      <c r="AV29" s="142" t="str">
        <f>_xlfn.IFNA(VLOOKUP($AH29,Programma!$F$3:$T$1101,15,0),"")</f>
        <v/>
      </c>
      <c r="AW29" s="142" t="str">
        <f>_xlfn.IFNA(VLOOKUP($AH29,Programma!$F$3:$U$1101,16,0),"")</f>
        <v/>
      </c>
      <c r="AX29" s="142" t="str">
        <f>_xlfn.IFNA(VLOOKUP($AH29,Programma!$F$3:$V$1101,17,0),"")</f>
        <v/>
      </c>
      <c r="AY29" s="142" t="str">
        <f>_xlfn.IFNA(VLOOKUP($AH29,Programma!$F$3:$W$1101,18,0),"")</f>
        <v/>
      </c>
      <c r="AZ29" s="142" t="str">
        <f>_xlfn.IFNA(VLOOKUP($AH29,Programma!$F$3:$X$1101,19,0),"")</f>
        <v/>
      </c>
      <c r="BA29" s="142" t="str">
        <f>_xlfn.IFNA(VLOOKUP($AH29,Programma!$F$3:$Y$1101,20,0),"")</f>
        <v/>
      </c>
      <c r="BB29" s="138"/>
      <c r="BC29" s="137" t="str">
        <f>IF(Ruimtestaat[[#This Row],[Frequentie weekend]]="","",_xlfn.CONCAT(Ruimtestaat[[#This Row],[Ruimte code]],"-",Ruimtestaat[[#This Row],[Frequentie weekend]]," ",Ruimtestaat[[#This Row],[Vloer code]]))</f>
        <v/>
      </c>
      <c r="BD29" s="142" t="str">
        <f>_xlfn.IFNA(VLOOKUP($BC29,Programma!$F$3:$G$1101,2,0),"")</f>
        <v/>
      </c>
      <c r="BE29" s="142" t="str">
        <f>_xlfn.IFNA(VLOOKUP($BC29,Programma!$F$3:$H$1101,3,0),"")</f>
        <v/>
      </c>
      <c r="BF29" s="142" t="str">
        <f>_xlfn.IFNA(VLOOKUP($BC29,Programma!$F$3:$I$1101,4,0),"")</f>
        <v/>
      </c>
      <c r="BG29" s="142" t="str">
        <f>_xlfn.IFNA(VLOOKUP($BC29,Programma!$F$3:$J$1101,5,0),"")</f>
        <v/>
      </c>
      <c r="BH29" s="142" t="str">
        <f>_xlfn.IFNA(VLOOKUP($BC29,Programma!$F$3:$K$1101,6,0),"")</f>
        <v/>
      </c>
      <c r="BI29" s="142" t="str">
        <f>_xlfn.IFNA(VLOOKUP($BC29,Programma!$F$3:$L$1101,7,0),"")</f>
        <v/>
      </c>
      <c r="BJ29" s="142" t="str">
        <f>_xlfn.IFNA(VLOOKUP($BC29,Programma!$F$3:$M$1101,8,0),"")</f>
        <v/>
      </c>
      <c r="BK29" s="142" t="str">
        <f>_xlfn.IFNA(VLOOKUP($BC29,Programma!$F$3:$N$1101,9,0),"")</f>
        <v/>
      </c>
      <c r="BL29" s="142" t="str">
        <f>_xlfn.IFNA(VLOOKUP($BC29,Programma!$F$3:$O$1101,10,0),"")</f>
        <v/>
      </c>
      <c r="BM29" s="142" t="str">
        <f>_xlfn.IFNA(VLOOKUP($BC29,Programma!$F$3:$P$1101,11,0),"")</f>
        <v/>
      </c>
      <c r="BN29" s="142" t="str">
        <f>_xlfn.IFNA(VLOOKUP($BC29,Programma!$F$3:$Q$1101,12,0),"")</f>
        <v/>
      </c>
      <c r="BO29" s="142" t="str">
        <f>_xlfn.IFNA(VLOOKUP($BC29,Programma!$F$3:$R$1101,13,0),"")</f>
        <v/>
      </c>
      <c r="BP29" s="142" t="str">
        <f>_xlfn.IFNA(VLOOKUP($BC29,Programma!$F$3:$S$1101,14,0),"")</f>
        <v/>
      </c>
      <c r="BQ29" s="142" t="str">
        <f>_xlfn.IFNA(VLOOKUP($BC29,Programma!$F$3:$T$1101,15,0),"")</f>
        <v/>
      </c>
      <c r="BR29" s="142" t="str">
        <f>_xlfn.IFNA(VLOOKUP($BC29,Programma!$F$3:$U$1101,16,0),"")</f>
        <v/>
      </c>
      <c r="BS29" s="142" t="str">
        <f>_xlfn.IFNA(VLOOKUP($BC29,Programma!$F$3:$V$1101,17,0),"")</f>
        <v/>
      </c>
      <c r="BT29" s="142" t="str">
        <f>_xlfn.IFNA(VLOOKUP($BC29,Programma!$F$3:$W$1101,18,0),"")</f>
        <v/>
      </c>
      <c r="BU29" s="142" t="str">
        <f>_xlfn.IFNA(VLOOKUP($BC29,Programma!$F$3:$X$1101,19,0),"")</f>
        <v/>
      </c>
      <c r="BV29" s="142" t="str">
        <f>_xlfn.IFNA(VLOOKUP($BC29,Programma!$F$3:$Y$1101,20,0),"")</f>
        <v/>
      </c>
      <c r="BW29" s="28"/>
      <c r="BX29" s="28"/>
      <c r="BY29" s="28"/>
      <c r="BZ29" s="28"/>
      <c r="CA29" s="28"/>
      <c r="CB29" s="28"/>
      <c r="CC29" s="28"/>
      <c r="CD29" s="28"/>
      <c r="CE29" s="28"/>
      <c r="CF29" s="28"/>
      <c r="CG29" s="28"/>
      <c r="CH29" s="28"/>
      <c r="CI29" s="28"/>
      <c r="CJ29" s="28"/>
      <c r="CK29" s="28"/>
      <c r="CL29" s="28"/>
      <c r="CM29" s="28"/>
      <c r="CN29" s="28"/>
      <c r="CO29" s="28"/>
      <c r="CP29" s="28"/>
      <c r="CQ29" s="28"/>
      <c r="CR29" s="28"/>
      <c r="CS29" s="28"/>
      <c r="CT29" s="28"/>
      <c r="CU29" s="28"/>
      <c r="CV29" s="28"/>
      <c r="CW29" s="28"/>
      <c r="CX29" s="28"/>
      <c r="CY29" s="28"/>
      <c r="CZ29" s="28"/>
      <c r="DA29" s="28"/>
      <c r="DB29" s="28"/>
      <c r="DC29" s="28"/>
      <c r="DD29" s="28"/>
      <c r="DE29" s="28"/>
      <c r="DF29" s="28"/>
      <c r="DG29" s="28"/>
      <c r="DH29" s="28"/>
      <c r="DI29" s="28"/>
      <c r="DJ29" s="28"/>
      <c r="DK29" s="28"/>
      <c r="DL29" s="28"/>
      <c r="DM29" s="28"/>
      <c r="DN29" s="28"/>
      <c r="DO29" s="28"/>
      <c r="DP29" s="28"/>
      <c r="DQ29" s="28"/>
      <c r="DR29" s="28"/>
      <c r="DS29" s="28"/>
      <c r="DT29" s="28"/>
      <c r="DU29" s="28"/>
      <c r="DV29" s="28"/>
      <c r="DW29" s="28"/>
      <c r="DX29" s="28"/>
      <c r="DY29" s="28"/>
      <c r="DZ29" s="28"/>
      <c r="EA29" s="28"/>
      <c r="EB29" s="28"/>
      <c r="EC29" s="28"/>
      <c r="ED29" s="28"/>
      <c r="EE29" s="28"/>
      <c r="EF29" s="28"/>
      <c r="EG29" s="28"/>
      <c r="EH29" s="28"/>
      <c r="EI29" s="28"/>
      <c r="EJ29" s="28"/>
      <c r="EK29" s="28"/>
      <c r="EL29" s="28"/>
      <c r="EM29" s="28"/>
      <c r="EN29" s="28"/>
      <c r="EO29" s="28"/>
      <c r="EP29" s="28"/>
      <c r="EQ29" s="28"/>
      <c r="ER29" s="28"/>
      <c r="ES29" s="28"/>
      <c r="ET29" s="28"/>
      <c r="EU29" s="28"/>
      <c r="EV29" s="28"/>
      <c r="EW29" s="28"/>
      <c r="EX29" s="28"/>
      <c r="EY29" s="28"/>
      <c r="EZ29" s="28"/>
      <c r="FA29" s="28"/>
      <c r="FB29" s="28"/>
      <c r="FC29" s="28"/>
      <c r="FD29" s="28"/>
      <c r="FE29" s="28"/>
      <c r="FF29" s="28"/>
      <c r="FG29" s="28"/>
      <c r="FH29" s="28"/>
      <c r="FI29" s="28"/>
      <c r="FJ29" s="28"/>
      <c r="FK29" s="28"/>
      <c r="FL29" s="28"/>
      <c r="FM29" s="28"/>
      <c r="FN29" s="28"/>
      <c r="FO29" s="28"/>
      <c r="FP29" s="28"/>
      <c r="FQ29" s="28"/>
      <c r="FR29" s="28"/>
      <c r="FS29" s="28"/>
      <c r="FT29" s="28"/>
      <c r="FU29" s="28"/>
      <c r="FV29" s="28"/>
      <c r="FW29" s="28"/>
      <c r="FX29" s="28"/>
      <c r="FY29" s="28"/>
      <c r="FZ29" s="28"/>
      <c r="GA29" s="28"/>
      <c r="GB29" s="28"/>
      <c r="GC29" s="28"/>
      <c r="GD29" s="28"/>
      <c r="GE29" s="28"/>
      <c r="GF29" s="28"/>
      <c r="GG29" s="28"/>
      <c r="GH29" s="28"/>
      <c r="GI29" s="28"/>
      <c r="GJ29" s="28"/>
      <c r="GK29" s="28"/>
      <c r="GL29" s="28"/>
      <c r="GM29" s="28"/>
      <c r="GN29" s="28"/>
      <c r="GO29" s="28"/>
      <c r="GP29" s="28"/>
      <c r="GQ29" s="28"/>
      <c r="GR29" s="28"/>
      <c r="GS29" s="28"/>
      <c r="GT29" s="28"/>
      <c r="GU29" s="28"/>
      <c r="GV29" s="28"/>
      <c r="GW29" s="28"/>
      <c r="GX29" s="28"/>
      <c r="GY29" s="28"/>
      <c r="GZ29" s="28"/>
      <c r="HA29" s="28"/>
      <c r="HB29" s="28"/>
      <c r="HC29" s="28"/>
      <c r="HD29" s="28"/>
      <c r="HE29" s="28"/>
      <c r="HF29" s="28"/>
      <c r="HG29" s="28"/>
      <c r="HH29" s="28"/>
      <c r="HI29" s="28"/>
      <c r="HJ29" s="28"/>
      <c r="HK29" s="28"/>
    </row>
    <row r="30" spans="1:219" ht="15" customHeight="1">
      <c r="A30" s="100">
        <v>1</v>
      </c>
      <c r="B30" s="132" t="str">
        <f>VLOOKUP(Ruimtestaat[[#This Row],[Code]],Locaties[[Code]:[Locatie]],2,FALSE)</f>
        <v>Mirtehuis</v>
      </c>
      <c r="C30" s="132" t="str">
        <f>VLOOKUP(Ruimtestaat[[#This Row],[Code]],Locaties[[#All],[Code]:[Adres]],4,FALSE)</f>
        <v>Weseperweg 6</v>
      </c>
      <c r="D30" s="132" t="str">
        <f>VLOOKUP(Ruimtestaat[[#This Row],[Code]],Locaties[[#All],[Code]:[Postcode]],5,FALSE)</f>
        <v>8111 PK</v>
      </c>
      <c r="E30" s="132" t="str">
        <f>VLOOKUP(Ruimtestaat[[#This Row],[Code]],Locaties[#All],6,FALSE)</f>
        <v>Heeten</v>
      </c>
      <c r="F30" s="100"/>
      <c r="G30" s="100" t="s">
        <v>1675</v>
      </c>
      <c r="H30" s="344"/>
      <c r="I30" s="345" t="s">
        <v>1635</v>
      </c>
      <c r="J30" s="49">
        <v>10</v>
      </c>
      <c r="K30" s="140" t="str">
        <f>VLOOKUP(Ruimtestaat[[#This Row],[Ruimte code]],Ruimtegroepen[[#All],[Code]:[Ruimte omschrijving]],2,FALSE)</f>
        <v>Trappenhuizen/lift</v>
      </c>
      <c r="L30" s="100" t="s">
        <v>100</v>
      </c>
      <c r="M30" s="345" t="s">
        <v>1636</v>
      </c>
      <c r="N30" s="133">
        <v>2.75</v>
      </c>
      <c r="O30" s="139"/>
      <c r="P30" s="134" t="str">
        <f>VLOOKUP(Ruimtestaat[[#This Row],[Ruimte code]],Ruimtegroepen[],4,FALSE)</f>
        <v>Ve</v>
      </c>
      <c r="Q30" s="100">
        <v>51</v>
      </c>
      <c r="R30" s="100" t="s">
        <v>18</v>
      </c>
      <c r="S30" s="100">
        <f>IF(Q30&gt;0,IF(RIGHT(Ruimtestaat[[#This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153</v>
      </c>
      <c r="T30" s="100">
        <f>IF(S30&gt;0,VLOOKUP($J30,Ruimtegroepen[],3,FALSE)*VLOOKUP($L30,Vloersoorten[],3,FALSE)*VLOOKUP($R30,Frequenties[],3,FALSE)*VLOOKUP($A30,Locaties[],3,FALSE),0)</f>
        <v>0</v>
      </c>
      <c r="U30" s="100">
        <f>Ruimtestaat[[#This Row],[Uitvoeringen werkdagen]]*Ruimtestaat[[#This Row],[Oppervlak (netto)]]</f>
        <v>420.75</v>
      </c>
      <c r="V30" s="135">
        <f>IF(T30&gt;0,Ruimtestaat[[#This Row],[Prest. (m2 /jaar) werkdagen]]/Ruimtestaat[[#This Row],[Norm (m2/uur) werkdagen]],0)</f>
        <v>0</v>
      </c>
      <c r="W30" s="136">
        <f>Ruimtestaat[[#This Row],[uren / jaar werkdagen]]*Tariefsopbouw!$E$35</f>
        <v>0</v>
      </c>
      <c r="X30" s="100"/>
      <c r="Y30" s="100">
        <f>IF(Ruimtestaat[[#This Row],[Frequentie weekend]]&gt;0,VALUE(LEFT(X30,1))*Q30,0)</f>
        <v>0</v>
      </c>
      <c r="Z30" s="99">
        <f>IF($Y30&gt;0,VLOOKUP($J30,Ruimtegroepen[],3,FALSE)*VLOOKUP($L30,Vloersoorten[],3,FALSE)*VLOOKUP($X30,Frequenties[],3,FALSE)*VLOOKUP(Ruimtestaat[[#This Row],[Code]],Locaties[],3,FALSE),0)</f>
        <v>0</v>
      </c>
      <c r="AA30" s="99">
        <f>Ruimtestaat[[#This Row],[Uitvoeringen weekend]]*Ruimtestaat[[#This Row],[Oppervlak (netto)]]</f>
        <v>0</v>
      </c>
      <c r="AB30" s="99">
        <f>IF(Z30&gt;0,Ruimtestaat[[#This Row],[Prest. (m2 /jaar) weekend]]/Ruimtestaat[[#This Row],[Norm (m2/uur) weekend]],0)</f>
        <v>0</v>
      </c>
      <c r="AC30" s="136">
        <f>Ruimtestaat[[#This Row],[uren / jaar weekend]]*Tariefsopbouw!$D$40</f>
        <v>0</v>
      </c>
      <c r="AD30" s="135">
        <f>Ruimtestaat[[#This Row],[Prest. (m2 /jaar) weekend]]+Ruimtestaat[[#This Row],[Prest. (m2 /jaar) werkdagen]]</f>
        <v>420.75</v>
      </c>
      <c r="AE30" s="135">
        <f>Ruimtestaat[[#This Row],[uren / jaar weekend]]+Ruimtestaat[[#This Row],[uren / jaar werkdagen]]</f>
        <v>0</v>
      </c>
      <c r="AF30" s="130">
        <f>Ruimtestaat[[#This Row],[kosten / jaar weekend]]+Ruimtestaat[[#This Row],[kosten / jaar werkdagen]]</f>
        <v>0</v>
      </c>
      <c r="AG30" s="130"/>
      <c r="AH30" s="137" t="str">
        <f>IF(Ruimtestaat[[#This Row],[Frequentie werkdagen]]="","",_xlfn.CONCAT(Ruimtestaat[[#This Row],[Ruimte code]],"-",Ruimtestaat[[#This Row],[Frequentie werkdagen]]," ",Ruimtestaat[[#This Row],[Vloer code]]))</f>
        <v>10-3w L</v>
      </c>
      <c r="AI30" s="142" t="str">
        <f>_xlfn.IFNA(VLOOKUP($AH30,Programma!$F$3:$G$1101,2,0),"")</f>
        <v>_</v>
      </c>
      <c r="AJ30" s="142" t="str">
        <f>_xlfn.IFNA(VLOOKUP($AH30,Programma!$F$3:$H$1101,3,0),"")</f>
        <v>_</v>
      </c>
      <c r="AK30" s="142" t="str">
        <f>_xlfn.IFNA(VLOOKUP($AH30,Programma!$F$3:$I$1101,4,0),"")</f>
        <v>2w</v>
      </c>
      <c r="AL30" s="142" t="str">
        <f>_xlfn.IFNA(VLOOKUP($AH30,Programma!$F$3:$J$1101,5,0),"")</f>
        <v>1w</v>
      </c>
      <c r="AM30" s="142" t="str">
        <f>_xlfn.IFNA(VLOOKUP($AH30,Programma!$F$3:$K$1101,6,0),"")</f>
        <v>_</v>
      </c>
      <c r="AN30" s="142" t="str">
        <f>_xlfn.IFNA(VLOOKUP($AH30,Programma!$F$3:$L$1101,7,0),"")</f>
        <v>_</v>
      </c>
      <c r="AO30" s="142" t="str">
        <f>_xlfn.IFNA(VLOOKUP($AH30,Programma!$F$3:$M$1101,8,0),"")</f>
        <v>_</v>
      </c>
      <c r="AP30" s="142" t="str">
        <f>_xlfn.IFNA(VLOOKUP($AH30,Programma!$F$3:$N$1101,9,0),"")</f>
        <v>_</v>
      </c>
      <c r="AQ30" s="142" t="str">
        <f>_xlfn.IFNA(VLOOKUP($AH30,Programma!$F$3:$O$1101,10,0),"")</f>
        <v>3w</v>
      </c>
      <c r="AR30" s="142" t="str">
        <f>_xlfn.IFNA(VLOOKUP($AH30,Programma!$F$3:$P$1101,11,0),"")</f>
        <v>3w</v>
      </c>
      <c r="AS30" s="142" t="str">
        <f>_xlfn.IFNA(VLOOKUP($AH30,Programma!$F$3:$Q$1101,12,0),"")</f>
        <v>1w</v>
      </c>
      <c r="AT30" s="142" t="str">
        <f>_xlfn.IFNA(VLOOKUP($AH30,Programma!$F$3:$R$1101,13,0),"")</f>
        <v>1w</v>
      </c>
      <c r="AU30" s="142" t="str">
        <f>_xlfn.IFNA(VLOOKUP($AH30,Programma!$F$3:$S$1101,14,0),"")</f>
        <v>1m</v>
      </c>
      <c r="AV30" s="142" t="str">
        <f>_xlfn.IFNA(VLOOKUP($AH30,Programma!$F$3:$T$1101,15,0),"")</f>
        <v>2j</v>
      </c>
      <c r="AW30" s="142" t="str">
        <f>_xlfn.IFNA(VLOOKUP($AH30,Programma!$F$3:$U$1101,16,0),"")</f>
        <v>1j</v>
      </c>
      <c r="AX30" s="142" t="str">
        <f>_xlfn.IFNA(VLOOKUP($AH30,Programma!$F$3:$V$1101,17,0),"")</f>
        <v>_</v>
      </c>
      <c r="AY30" s="142" t="str">
        <f>_xlfn.IFNA(VLOOKUP($AH30,Programma!$F$3:$W$1101,18,0),"")</f>
        <v>_</v>
      </c>
      <c r="AZ30" s="142" t="str">
        <f>_xlfn.IFNA(VLOOKUP($AH30,Programma!$F$3:$X$1101,19,0),"")</f>
        <v>_</v>
      </c>
      <c r="BA30" s="142" t="str">
        <f>_xlfn.IFNA(VLOOKUP($AH30,Programma!$F$3:$Y$1101,20,0),"")</f>
        <v>_</v>
      </c>
      <c r="BB30" s="138"/>
      <c r="BC30" s="137" t="str">
        <f>IF(Ruimtestaat[[#This Row],[Frequentie weekend]]="","",_xlfn.CONCAT(Ruimtestaat[[#This Row],[Ruimte code]],"-",Ruimtestaat[[#This Row],[Frequentie weekend]]," ",Ruimtestaat[[#This Row],[Vloer code]]))</f>
        <v/>
      </c>
      <c r="BD30" s="142" t="str">
        <f>_xlfn.IFNA(VLOOKUP($BC30,Programma!$F$3:$G$1101,2,0),"")</f>
        <v/>
      </c>
      <c r="BE30" s="142" t="str">
        <f>_xlfn.IFNA(VLOOKUP($BC30,Programma!$F$3:$H$1101,3,0),"")</f>
        <v/>
      </c>
      <c r="BF30" s="142" t="str">
        <f>_xlfn.IFNA(VLOOKUP($BC30,Programma!$F$3:$I$1101,4,0),"")</f>
        <v/>
      </c>
      <c r="BG30" s="142" t="str">
        <f>_xlfn.IFNA(VLOOKUP($BC30,Programma!$F$3:$J$1101,5,0),"")</f>
        <v/>
      </c>
      <c r="BH30" s="142" t="str">
        <f>_xlfn.IFNA(VLOOKUP($BC30,Programma!$F$3:$K$1101,6,0),"")</f>
        <v/>
      </c>
      <c r="BI30" s="142" t="str">
        <f>_xlfn.IFNA(VLOOKUP($BC30,Programma!$F$3:$L$1101,7,0),"")</f>
        <v/>
      </c>
      <c r="BJ30" s="142" t="str">
        <f>_xlfn.IFNA(VLOOKUP($BC30,Programma!$F$3:$M$1101,8,0),"")</f>
        <v/>
      </c>
      <c r="BK30" s="142" t="str">
        <f>_xlfn.IFNA(VLOOKUP($BC30,Programma!$F$3:$N$1101,9,0),"")</f>
        <v/>
      </c>
      <c r="BL30" s="142" t="str">
        <f>_xlfn.IFNA(VLOOKUP($BC30,Programma!$F$3:$O$1101,10,0),"")</f>
        <v/>
      </c>
      <c r="BM30" s="142" t="str">
        <f>_xlfn.IFNA(VLOOKUP($BC30,Programma!$F$3:$P$1101,11,0),"")</f>
        <v/>
      </c>
      <c r="BN30" s="142" t="str">
        <f>_xlfn.IFNA(VLOOKUP($BC30,Programma!$F$3:$Q$1101,12,0),"")</f>
        <v/>
      </c>
      <c r="BO30" s="142" t="str">
        <f>_xlfn.IFNA(VLOOKUP($BC30,Programma!$F$3:$R$1101,13,0),"")</f>
        <v/>
      </c>
      <c r="BP30" s="142" t="str">
        <f>_xlfn.IFNA(VLOOKUP($BC30,Programma!$F$3:$S$1101,14,0),"")</f>
        <v/>
      </c>
      <c r="BQ30" s="142" t="str">
        <f>_xlfn.IFNA(VLOOKUP($BC30,Programma!$F$3:$T$1101,15,0),"")</f>
        <v/>
      </c>
      <c r="BR30" s="142" t="str">
        <f>_xlfn.IFNA(VLOOKUP($BC30,Programma!$F$3:$U$1101,16,0),"")</f>
        <v/>
      </c>
      <c r="BS30" s="142" t="str">
        <f>_xlfn.IFNA(VLOOKUP($BC30,Programma!$F$3:$V$1101,17,0),"")</f>
        <v/>
      </c>
      <c r="BT30" s="142" t="str">
        <f>_xlfn.IFNA(VLOOKUP($BC30,Programma!$F$3:$W$1101,18,0),"")</f>
        <v/>
      </c>
      <c r="BU30" s="142" t="str">
        <f>_xlfn.IFNA(VLOOKUP($BC30,Programma!$F$3:$X$1101,19,0),"")</f>
        <v/>
      </c>
      <c r="BV30" s="142" t="str">
        <f>_xlfn.IFNA(VLOOKUP($BC30,Programma!$F$3:$Y$1101,20,0),"")</f>
        <v/>
      </c>
      <c r="BW30" s="28"/>
      <c r="BX30" s="28"/>
      <c r="BY30" s="28"/>
      <c r="BZ30" s="28"/>
      <c r="CA30" s="28"/>
      <c r="CB30" s="28"/>
      <c r="CC30" s="28"/>
      <c r="CD30" s="28"/>
      <c r="CE30" s="28"/>
      <c r="CF30" s="28"/>
      <c r="CG30" s="28"/>
      <c r="CH30" s="28"/>
      <c r="CI30" s="28"/>
      <c r="CJ30" s="28"/>
      <c r="CK30" s="28"/>
      <c r="CL30" s="28"/>
      <c r="CM30" s="28"/>
      <c r="CN30" s="28"/>
      <c r="CO30" s="28"/>
      <c r="CP30" s="28"/>
      <c r="CQ30" s="28"/>
      <c r="CR30" s="28"/>
      <c r="CS30" s="28"/>
      <c r="CT30" s="28"/>
      <c r="CU30" s="28"/>
      <c r="CV30" s="28"/>
      <c r="CW30" s="28"/>
      <c r="CX30" s="28"/>
      <c r="CY30" s="28"/>
      <c r="CZ30" s="28"/>
      <c r="DA30" s="28"/>
      <c r="DB30" s="28"/>
      <c r="DC30" s="28"/>
      <c r="DD30" s="28"/>
      <c r="DE30" s="28"/>
      <c r="DF30" s="28"/>
      <c r="DG30" s="28"/>
      <c r="DH30" s="28"/>
      <c r="DI30" s="28"/>
      <c r="DJ30" s="28"/>
      <c r="DK30" s="28"/>
      <c r="DL30" s="28"/>
      <c r="DM30" s="28"/>
      <c r="DN30" s="28"/>
      <c r="DO30" s="28"/>
      <c r="DP30" s="28"/>
      <c r="DQ30" s="28"/>
      <c r="DR30" s="28"/>
      <c r="DS30" s="28"/>
      <c r="DT30" s="28"/>
      <c r="DU30" s="28"/>
      <c r="DV30" s="28"/>
      <c r="DW30" s="28"/>
      <c r="DX30" s="28"/>
      <c r="DY30" s="28"/>
      <c r="DZ30" s="28"/>
      <c r="EA30" s="28"/>
      <c r="EB30" s="28"/>
      <c r="EC30" s="28"/>
      <c r="ED30" s="28"/>
      <c r="EE30" s="28"/>
      <c r="EF30" s="28"/>
      <c r="EG30" s="28"/>
      <c r="EH30" s="28"/>
      <c r="EI30" s="28"/>
      <c r="EJ30" s="28"/>
      <c r="EK30" s="28"/>
      <c r="EL30" s="28"/>
      <c r="EM30" s="28"/>
      <c r="EN30" s="28"/>
      <c r="EO30" s="28"/>
      <c r="EP30" s="28"/>
      <c r="EQ30" s="28"/>
      <c r="ER30" s="28"/>
      <c r="ES30" s="28"/>
      <c r="ET30" s="28"/>
      <c r="EU30" s="28"/>
      <c r="EV30" s="28"/>
      <c r="EW30" s="28"/>
      <c r="EX30" s="28"/>
      <c r="EY30" s="28"/>
      <c r="EZ30" s="28"/>
      <c r="FA30" s="28"/>
      <c r="FB30" s="28"/>
      <c r="FC30" s="28"/>
      <c r="FD30" s="28"/>
      <c r="FE30" s="28"/>
      <c r="FF30" s="28"/>
      <c r="FG30" s="28"/>
      <c r="FH30" s="28"/>
      <c r="FI30" s="28"/>
      <c r="FJ30" s="28"/>
      <c r="FK30" s="28"/>
      <c r="FL30" s="28"/>
      <c r="FM30" s="28"/>
      <c r="FN30" s="28"/>
      <c r="FO30" s="28"/>
      <c r="FP30" s="28"/>
      <c r="FQ30" s="28"/>
      <c r="FR30" s="28"/>
      <c r="FS30" s="28"/>
      <c r="FT30" s="28"/>
      <c r="FU30" s="28"/>
      <c r="FV30" s="28"/>
      <c r="FW30" s="28"/>
      <c r="FX30" s="28"/>
      <c r="FY30" s="28"/>
      <c r="FZ30" s="28"/>
      <c r="GA30" s="28"/>
      <c r="GB30" s="28"/>
      <c r="GC30" s="28"/>
      <c r="GD30" s="28"/>
      <c r="GE30" s="28"/>
      <c r="GF30" s="28"/>
      <c r="GG30" s="28"/>
      <c r="GH30" s="28"/>
      <c r="GI30" s="28"/>
      <c r="GJ30" s="28"/>
      <c r="GK30" s="28"/>
      <c r="GL30" s="28"/>
      <c r="GM30" s="28"/>
      <c r="GN30" s="28"/>
      <c r="GO30" s="28"/>
      <c r="GP30" s="28"/>
      <c r="GQ30" s="28"/>
      <c r="GR30" s="28"/>
      <c r="GS30" s="28"/>
      <c r="GT30" s="28"/>
      <c r="GU30" s="28"/>
      <c r="GV30" s="28"/>
      <c r="GW30" s="28"/>
      <c r="GX30" s="28"/>
      <c r="GY30" s="28"/>
      <c r="GZ30" s="28"/>
      <c r="HA30" s="28"/>
      <c r="HB30" s="28"/>
      <c r="HC30" s="28"/>
      <c r="HD30" s="28"/>
      <c r="HE30" s="28"/>
      <c r="HF30" s="28"/>
      <c r="HG30" s="28"/>
      <c r="HH30" s="28"/>
      <c r="HI30" s="28"/>
      <c r="HJ30" s="28"/>
      <c r="HK30" s="28"/>
    </row>
    <row r="31" spans="1:219" ht="15" customHeight="1">
      <c r="A31" s="100">
        <v>1</v>
      </c>
      <c r="B31" s="132" t="str">
        <f>VLOOKUP(Ruimtestaat[[#This Row],[Code]],Locaties[[Code]:[Locatie]],2,FALSE)</f>
        <v>Mirtehuis</v>
      </c>
      <c r="C31" s="132" t="str">
        <f>VLOOKUP(Ruimtestaat[[#This Row],[Code]],Locaties[[#All],[Code]:[Adres]],4,FALSE)</f>
        <v>Weseperweg 6</v>
      </c>
      <c r="D31" s="132" t="str">
        <f>VLOOKUP(Ruimtestaat[[#This Row],[Code]],Locaties[[#All],[Code]:[Postcode]],5,FALSE)</f>
        <v>8111 PK</v>
      </c>
      <c r="E31" s="132" t="str">
        <f>VLOOKUP(Ruimtestaat[[#This Row],[Code]],Locaties[#All],6,FALSE)</f>
        <v>Heeten</v>
      </c>
      <c r="F31" s="100"/>
      <c r="G31" s="100" t="s">
        <v>1675</v>
      </c>
      <c r="H31" s="344"/>
      <c r="I31" s="345" t="s">
        <v>1650</v>
      </c>
      <c r="J31" s="49">
        <v>6</v>
      </c>
      <c r="K31" s="140" t="str">
        <f>VLOOKUP(Ruimtestaat[[#This Row],[Ruimte code]],Ruimtegroepen[[#All],[Code]:[Ruimte omschrijving]],2,FALSE)</f>
        <v>Gangen/hallen</v>
      </c>
      <c r="L31" s="100" t="s">
        <v>100</v>
      </c>
      <c r="M31" s="345" t="s">
        <v>1636</v>
      </c>
      <c r="N31" s="133">
        <v>31.55</v>
      </c>
      <c r="O31" s="100"/>
      <c r="P31" s="134" t="str">
        <f>VLOOKUP(Ruimtestaat[[#This Row],[Ruimte code]],Ruimtegroepen[],4,FALSE)</f>
        <v>Ve</v>
      </c>
      <c r="Q31" s="100">
        <v>51</v>
      </c>
      <c r="R31" s="100" t="s">
        <v>2</v>
      </c>
      <c r="S31" s="100">
        <f>IF(Q31&gt;0,IF(RIGHT(Ruimtestaat[[#This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1" s="100">
        <f>IF(S31&gt;0,VLOOKUP($J31,Ruimtegroepen[],3,FALSE)*VLOOKUP($L31,Vloersoorten[],3,FALSE)*VLOOKUP($R31,Frequenties[],3,FALSE)*VLOOKUP($A31,Locaties[],3,FALSE),0)</f>
        <v>0</v>
      </c>
      <c r="U31" s="100">
        <f>Ruimtestaat[[#This Row],[Uitvoeringen werkdagen]]*Ruimtestaat[[#This Row],[Oppervlak (netto)]]</f>
        <v>8045.25</v>
      </c>
      <c r="V31" s="135">
        <f>IF(T31&gt;0,Ruimtestaat[[#This Row],[Prest. (m2 /jaar) werkdagen]]/Ruimtestaat[[#This Row],[Norm (m2/uur) werkdagen]],0)</f>
        <v>0</v>
      </c>
      <c r="W31" s="136">
        <f>Ruimtestaat[[#This Row],[uren / jaar werkdagen]]*Tariefsopbouw!$E$35</f>
        <v>0</v>
      </c>
      <c r="X31" s="100"/>
      <c r="Y31" s="100">
        <f>IF(Ruimtestaat[[#This Row],[Frequentie weekend]]&gt;0,VALUE(LEFT(X31,1))*Q31,0)</f>
        <v>0</v>
      </c>
      <c r="Z31" s="99">
        <f>IF($Y31&gt;0,VLOOKUP($J31,Ruimtegroepen[],3,FALSE)*VLOOKUP($L31,Vloersoorten[],3,FALSE)*VLOOKUP($X31,Frequenties[],3,FALSE)*VLOOKUP(Ruimtestaat[[#This Row],[Code]],Locaties[],3,FALSE),0)</f>
        <v>0</v>
      </c>
      <c r="AA31" s="99">
        <f>Ruimtestaat[[#This Row],[Uitvoeringen weekend]]*Ruimtestaat[[#This Row],[Oppervlak (netto)]]</f>
        <v>0</v>
      </c>
      <c r="AB31" s="99">
        <f>IF(Z31&gt;0,Ruimtestaat[[#This Row],[Prest. (m2 /jaar) weekend]]/Ruimtestaat[[#This Row],[Norm (m2/uur) weekend]],0)</f>
        <v>0</v>
      </c>
      <c r="AC31" s="136">
        <f>Ruimtestaat[[#This Row],[uren / jaar weekend]]*Tariefsopbouw!$D$40</f>
        <v>0</v>
      </c>
      <c r="AD31" s="135">
        <f>Ruimtestaat[[#This Row],[Prest. (m2 /jaar) weekend]]+Ruimtestaat[[#This Row],[Prest. (m2 /jaar) werkdagen]]</f>
        <v>8045.25</v>
      </c>
      <c r="AE31" s="135">
        <f>Ruimtestaat[[#This Row],[uren / jaar weekend]]+Ruimtestaat[[#This Row],[uren / jaar werkdagen]]</f>
        <v>0</v>
      </c>
      <c r="AF31" s="130">
        <f>Ruimtestaat[[#This Row],[kosten / jaar weekend]]+Ruimtestaat[[#This Row],[kosten / jaar werkdagen]]</f>
        <v>0</v>
      </c>
      <c r="AG31" s="130"/>
      <c r="AH31" s="137" t="str">
        <f>IF(Ruimtestaat[[#This Row],[Frequentie werkdagen]]="","",_xlfn.CONCAT(Ruimtestaat[[#This Row],[Ruimte code]],"-",Ruimtestaat[[#This Row],[Frequentie werkdagen]]," ",Ruimtestaat[[#This Row],[Vloer code]]))</f>
        <v>6-5w L</v>
      </c>
      <c r="AI31" s="142" t="str">
        <f>_xlfn.IFNA(VLOOKUP($AH31,Programma!$F$3:$G$1101,2,0),"")</f>
        <v>_</v>
      </c>
      <c r="AJ31" s="142" t="str">
        <f>_xlfn.IFNA(VLOOKUP($AH31,Programma!$F$3:$H$1101,3,0),"")</f>
        <v>_</v>
      </c>
      <c r="AK31" s="142" t="str">
        <f>_xlfn.IFNA(VLOOKUP($AH31,Programma!$F$3:$I$1101,4,0),"")</f>
        <v>_</v>
      </c>
      <c r="AL31" s="142" t="str">
        <f>_xlfn.IFNA(VLOOKUP($AH31,Programma!$F$3:$J$1101,5,0),"")</f>
        <v>5w</v>
      </c>
      <c r="AM31" s="142" t="str">
        <f>_xlfn.IFNA(VLOOKUP($AH31,Programma!$F$3:$K$1101,6,0),"")</f>
        <v>_</v>
      </c>
      <c r="AN31" s="142" t="str">
        <f>_xlfn.IFNA(VLOOKUP($AH31,Programma!$F$3:$L$1101,7,0),"")</f>
        <v>_</v>
      </c>
      <c r="AO31" s="142" t="str">
        <f>_xlfn.IFNA(VLOOKUP($AH31,Programma!$F$3:$M$1101,8,0),"")</f>
        <v>_</v>
      </c>
      <c r="AP31" s="142" t="str">
        <f>_xlfn.IFNA(VLOOKUP($AH31,Programma!$F$3:$N$1101,9,0),"")</f>
        <v>_</v>
      </c>
      <c r="AQ31" s="142" t="str">
        <f>_xlfn.IFNA(VLOOKUP($AH31,Programma!$F$3:$O$1101,10,0),"")</f>
        <v>5w</v>
      </c>
      <c r="AR31" s="142" t="str">
        <f>_xlfn.IFNA(VLOOKUP($AH31,Programma!$F$3:$P$1101,11,0),"")</f>
        <v>5w</v>
      </c>
      <c r="AS31" s="142" t="str">
        <f>_xlfn.IFNA(VLOOKUP($AH31,Programma!$F$3:$Q$1101,12,0),"")</f>
        <v>1w</v>
      </c>
      <c r="AT31" s="142" t="str">
        <f>_xlfn.IFNA(VLOOKUP($AH31,Programma!$F$3:$R$1101,13,0),"")</f>
        <v>1w</v>
      </c>
      <c r="AU31" s="142" t="str">
        <f>_xlfn.IFNA(VLOOKUP($AH31,Programma!$F$3:$S$1101,14,0),"")</f>
        <v>1m</v>
      </c>
      <c r="AV31" s="142" t="str">
        <f>_xlfn.IFNA(VLOOKUP($AH31,Programma!$F$3:$T$1101,15,0),"")</f>
        <v>2j</v>
      </c>
      <c r="AW31" s="142" t="str">
        <f>_xlfn.IFNA(VLOOKUP($AH31,Programma!$F$3:$U$1101,16,0),"")</f>
        <v>1j</v>
      </c>
      <c r="AX31" s="142" t="str">
        <f>_xlfn.IFNA(VLOOKUP($AH31,Programma!$F$3:$V$1101,17,0),"")</f>
        <v>_</v>
      </c>
      <c r="AY31" s="142" t="str">
        <f>_xlfn.IFNA(VLOOKUP($AH31,Programma!$F$3:$W$1101,18,0),"")</f>
        <v>_</v>
      </c>
      <c r="AZ31" s="142" t="str">
        <f>_xlfn.IFNA(VLOOKUP($AH31,Programma!$F$3:$X$1101,19,0),"")</f>
        <v>_</v>
      </c>
      <c r="BA31" s="142" t="str">
        <f>_xlfn.IFNA(VLOOKUP($AH31,Programma!$F$3:$Y$1101,20,0),"")</f>
        <v>_</v>
      </c>
      <c r="BB31" s="138"/>
      <c r="BC31" s="137" t="str">
        <f>IF(Ruimtestaat[[#This Row],[Frequentie weekend]]="","",_xlfn.CONCAT(Ruimtestaat[[#This Row],[Ruimte code]],"-",Ruimtestaat[[#This Row],[Frequentie weekend]]," ",Ruimtestaat[[#This Row],[Vloer code]]))</f>
        <v/>
      </c>
      <c r="BD31" s="142" t="str">
        <f>_xlfn.IFNA(VLOOKUP($BC31,Programma!$F$3:$G$1101,2,0),"")</f>
        <v/>
      </c>
      <c r="BE31" s="142" t="str">
        <f>_xlfn.IFNA(VLOOKUP($BC31,Programma!$F$3:$H$1101,3,0),"")</f>
        <v/>
      </c>
      <c r="BF31" s="142" t="str">
        <f>_xlfn.IFNA(VLOOKUP($BC31,Programma!$F$3:$I$1101,4,0),"")</f>
        <v/>
      </c>
      <c r="BG31" s="142" t="str">
        <f>_xlfn.IFNA(VLOOKUP($BC31,Programma!$F$3:$J$1101,5,0),"")</f>
        <v/>
      </c>
      <c r="BH31" s="142" t="str">
        <f>_xlfn.IFNA(VLOOKUP($BC31,Programma!$F$3:$K$1101,6,0),"")</f>
        <v/>
      </c>
      <c r="BI31" s="142" t="str">
        <f>_xlfn.IFNA(VLOOKUP($BC31,Programma!$F$3:$L$1101,7,0),"")</f>
        <v/>
      </c>
      <c r="BJ31" s="142" t="str">
        <f>_xlfn.IFNA(VLOOKUP($BC31,Programma!$F$3:$M$1101,8,0),"")</f>
        <v/>
      </c>
      <c r="BK31" s="142" t="str">
        <f>_xlfn.IFNA(VLOOKUP($BC31,Programma!$F$3:$N$1101,9,0),"")</f>
        <v/>
      </c>
      <c r="BL31" s="142" t="str">
        <f>_xlfn.IFNA(VLOOKUP($BC31,Programma!$F$3:$O$1101,10,0),"")</f>
        <v/>
      </c>
      <c r="BM31" s="142" t="str">
        <f>_xlfn.IFNA(VLOOKUP($BC31,Programma!$F$3:$P$1101,11,0),"")</f>
        <v/>
      </c>
      <c r="BN31" s="142" t="str">
        <f>_xlfn.IFNA(VLOOKUP($BC31,Programma!$F$3:$Q$1101,12,0),"")</f>
        <v/>
      </c>
      <c r="BO31" s="142" t="str">
        <f>_xlfn.IFNA(VLOOKUP($BC31,Programma!$F$3:$R$1101,13,0),"")</f>
        <v/>
      </c>
      <c r="BP31" s="142" t="str">
        <f>_xlfn.IFNA(VLOOKUP($BC31,Programma!$F$3:$S$1101,14,0),"")</f>
        <v/>
      </c>
      <c r="BQ31" s="142" t="str">
        <f>_xlfn.IFNA(VLOOKUP($BC31,Programma!$F$3:$T$1101,15,0),"")</f>
        <v/>
      </c>
      <c r="BR31" s="142" t="str">
        <f>_xlfn.IFNA(VLOOKUP($BC31,Programma!$F$3:$U$1101,16,0),"")</f>
        <v/>
      </c>
      <c r="BS31" s="142" t="str">
        <f>_xlfn.IFNA(VLOOKUP($BC31,Programma!$F$3:$V$1101,17,0),"")</f>
        <v/>
      </c>
      <c r="BT31" s="142" t="str">
        <f>_xlfn.IFNA(VLOOKUP($BC31,Programma!$F$3:$W$1101,18,0),"")</f>
        <v/>
      </c>
      <c r="BU31" s="142" t="str">
        <f>_xlfn.IFNA(VLOOKUP($BC31,Programma!$F$3:$X$1101,19,0),"")</f>
        <v/>
      </c>
      <c r="BV31" s="142" t="str">
        <f>_xlfn.IFNA(VLOOKUP($BC31,Programma!$F$3:$Y$1101,20,0),"")</f>
        <v/>
      </c>
      <c r="BW31" s="28"/>
      <c r="BX31" s="28"/>
      <c r="BY31" s="28"/>
      <c r="BZ31" s="28"/>
      <c r="CA31" s="28"/>
      <c r="CB31" s="28"/>
      <c r="CC31" s="28"/>
      <c r="CD31" s="28"/>
      <c r="CE31" s="28"/>
      <c r="CF31" s="28"/>
      <c r="CG31" s="28"/>
      <c r="CH31" s="28"/>
      <c r="CI31" s="28"/>
      <c r="CJ31" s="28"/>
      <c r="CK31" s="28"/>
      <c r="CL31" s="28"/>
      <c r="CM31" s="28"/>
      <c r="CN31" s="28"/>
      <c r="CO31" s="28"/>
      <c r="CP31" s="28"/>
      <c r="CQ31" s="28"/>
      <c r="CR31" s="28"/>
      <c r="CS31" s="28"/>
      <c r="CT31" s="28"/>
      <c r="CU31" s="28"/>
      <c r="CV31" s="28"/>
      <c r="CW31" s="28"/>
      <c r="CX31" s="28"/>
      <c r="CY31" s="28"/>
      <c r="CZ31" s="28"/>
      <c r="DA31" s="28"/>
      <c r="DB31" s="28"/>
      <c r="DC31" s="28"/>
      <c r="DD31" s="28"/>
      <c r="DE31" s="28"/>
      <c r="DF31" s="28"/>
      <c r="DG31" s="28"/>
      <c r="DH31" s="28"/>
      <c r="DI31" s="28"/>
      <c r="DJ31" s="28"/>
      <c r="DK31" s="28"/>
      <c r="DL31" s="28"/>
      <c r="DM31" s="28"/>
      <c r="DN31" s="28"/>
      <c r="DO31" s="28"/>
      <c r="DP31" s="28"/>
      <c r="DQ31" s="28"/>
      <c r="DR31" s="28"/>
      <c r="DS31" s="28"/>
      <c r="DT31" s="28"/>
      <c r="DU31" s="28"/>
      <c r="DV31" s="28"/>
      <c r="DW31" s="28"/>
      <c r="DX31" s="28"/>
      <c r="DY31" s="28"/>
      <c r="DZ31" s="28"/>
      <c r="EA31" s="28"/>
      <c r="EB31" s="28"/>
      <c r="EC31" s="28"/>
      <c r="ED31" s="28"/>
      <c r="EE31" s="28"/>
      <c r="EF31" s="28"/>
      <c r="EG31" s="28"/>
      <c r="EH31" s="28"/>
      <c r="EI31" s="28"/>
      <c r="EJ31" s="28"/>
      <c r="EK31" s="28"/>
      <c r="EL31" s="28"/>
      <c r="EM31" s="28"/>
      <c r="EN31" s="28"/>
      <c r="EO31" s="28"/>
      <c r="EP31" s="28"/>
      <c r="EQ31" s="28"/>
      <c r="ER31" s="28"/>
      <c r="ES31" s="28"/>
      <c r="ET31" s="28"/>
      <c r="EU31" s="28"/>
      <c r="EV31" s="28"/>
      <c r="EW31" s="28"/>
      <c r="EX31" s="28"/>
      <c r="EY31" s="28"/>
      <c r="EZ31" s="28"/>
      <c r="FA31" s="28"/>
      <c r="FB31" s="28"/>
      <c r="FC31" s="28"/>
      <c r="FD31" s="28"/>
      <c r="FE31" s="28"/>
      <c r="FF31" s="28"/>
      <c r="FG31" s="28"/>
      <c r="FH31" s="28"/>
      <c r="FI31" s="28"/>
      <c r="FJ31" s="28"/>
      <c r="FK31" s="28"/>
      <c r="FL31" s="28"/>
      <c r="FM31" s="28"/>
      <c r="FN31" s="28"/>
      <c r="FO31" s="28"/>
      <c r="FP31" s="28"/>
      <c r="FQ31" s="28"/>
      <c r="FR31" s="28"/>
      <c r="FS31" s="28"/>
      <c r="FT31" s="28"/>
      <c r="FU31" s="28"/>
      <c r="FV31" s="28"/>
      <c r="FW31" s="28"/>
      <c r="FX31" s="28"/>
      <c r="FY31" s="28"/>
      <c r="FZ31" s="28"/>
      <c r="GA31" s="28"/>
      <c r="GB31" s="28"/>
      <c r="GC31" s="28"/>
      <c r="GD31" s="28"/>
      <c r="GE31" s="28"/>
      <c r="GF31" s="28"/>
      <c r="GG31" s="28"/>
      <c r="GH31" s="28"/>
      <c r="GI31" s="28"/>
      <c r="GJ31" s="28"/>
      <c r="GK31" s="28"/>
      <c r="GL31" s="28"/>
      <c r="GM31" s="28"/>
      <c r="GN31" s="28"/>
      <c r="GO31" s="28"/>
      <c r="GP31" s="28"/>
      <c r="GQ31" s="28"/>
      <c r="GR31" s="28"/>
      <c r="GS31" s="28"/>
      <c r="GT31" s="28"/>
      <c r="GU31" s="28"/>
      <c r="GV31" s="28"/>
      <c r="GW31" s="28"/>
      <c r="GX31" s="28"/>
      <c r="GY31" s="28"/>
      <c r="GZ31" s="28"/>
      <c r="HA31" s="28"/>
      <c r="HB31" s="28"/>
      <c r="HC31" s="28"/>
      <c r="HD31" s="28"/>
      <c r="HE31" s="28"/>
      <c r="HF31" s="28"/>
      <c r="HG31" s="28"/>
      <c r="HH31" s="28"/>
      <c r="HI31" s="28"/>
      <c r="HJ31" s="28"/>
      <c r="HK31" s="28"/>
    </row>
    <row r="32" spans="1:219" ht="15" customHeight="1">
      <c r="A32" s="100">
        <v>1</v>
      </c>
      <c r="B32" s="132" t="str">
        <f>VLOOKUP(Ruimtestaat[[#This Row],[Code]],Locaties[[Code]:[Locatie]],2,FALSE)</f>
        <v>Mirtehuis</v>
      </c>
      <c r="C32" s="132" t="str">
        <f>VLOOKUP(Ruimtestaat[[#This Row],[Code]],Locaties[[#All],[Code]:[Adres]],4,FALSE)</f>
        <v>Weseperweg 6</v>
      </c>
      <c r="D32" s="132" t="str">
        <f>VLOOKUP(Ruimtestaat[[#This Row],[Code]],Locaties[[#All],[Code]:[Postcode]],5,FALSE)</f>
        <v>8111 PK</v>
      </c>
      <c r="E32" s="132" t="str">
        <f>VLOOKUP(Ruimtestaat[[#This Row],[Code]],Locaties[#All],6,FALSE)</f>
        <v>Heeten</v>
      </c>
      <c r="F32" s="100"/>
      <c r="G32" s="100" t="s">
        <v>1675</v>
      </c>
      <c r="H32" s="344"/>
      <c r="I32" s="345" t="s">
        <v>1650</v>
      </c>
      <c r="J32" s="49">
        <v>20</v>
      </c>
      <c r="K32" s="140" t="str">
        <f>VLOOKUP(Ruimtestaat[[#This Row],[Ruimte code]],Ruimtegroepen[[#All],[Code]:[Ruimte omschrijving]],2,FALSE)</f>
        <v>Niet in Onderhoud</v>
      </c>
      <c r="L32" s="100" t="s">
        <v>100</v>
      </c>
      <c r="M32" s="345" t="s">
        <v>1636</v>
      </c>
      <c r="N32" s="133"/>
      <c r="O32" s="139"/>
      <c r="P32" s="134">
        <f>VLOOKUP(Ruimtestaat[[#This Row],[Ruimte code]],Ruimtegroepen[],4,FALSE)</f>
        <v>0</v>
      </c>
      <c r="Q32" s="100"/>
      <c r="R32" s="100"/>
      <c r="S32" s="100">
        <f>IF(Q32&gt;0,IF(RIGHT(Ruimtestaat[[#This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2" s="100">
        <f>IF(S32&gt;0,VLOOKUP($J32,Ruimtegroepen[],3,FALSE)*VLOOKUP($L32,Vloersoorten[],3,FALSE)*VLOOKUP($R32,Frequenties[],3,FALSE)*VLOOKUP($A32,Locaties[],3,FALSE),0)</f>
        <v>0</v>
      </c>
      <c r="U32" s="100">
        <f>Ruimtestaat[[#This Row],[Uitvoeringen werkdagen]]*Ruimtestaat[[#This Row],[Oppervlak (netto)]]</f>
        <v>0</v>
      </c>
      <c r="V32" s="135">
        <f>IF(T32&gt;0,Ruimtestaat[[#This Row],[Prest. (m2 /jaar) werkdagen]]/Ruimtestaat[[#This Row],[Norm (m2/uur) werkdagen]],0)</f>
        <v>0</v>
      </c>
      <c r="W32" s="136">
        <f>Ruimtestaat[[#This Row],[uren / jaar werkdagen]]*Tariefsopbouw!$E$35</f>
        <v>0</v>
      </c>
      <c r="X32" s="100"/>
      <c r="Y32" s="100">
        <f>IF(Ruimtestaat[[#This Row],[Frequentie weekend]]&gt;0,VALUE(LEFT(X32,1))*Q32,0)</f>
        <v>0</v>
      </c>
      <c r="Z32" s="99">
        <f>IF($Y32&gt;0,VLOOKUP($J32,Ruimtegroepen[],3,FALSE)*VLOOKUP($L32,Vloersoorten[],3,FALSE)*VLOOKUP($X32,Frequenties[],3,FALSE)*VLOOKUP(Ruimtestaat[[#This Row],[Code]],Locaties[],3,FALSE),0)</f>
        <v>0</v>
      </c>
      <c r="AA32" s="99">
        <f>Ruimtestaat[[#This Row],[Uitvoeringen weekend]]*Ruimtestaat[[#This Row],[Oppervlak (netto)]]</f>
        <v>0</v>
      </c>
      <c r="AB32" s="99">
        <f>IF(Z32&gt;0,Ruimtestaat[[#This Row],[Prest. (m2 /jaar) weekend]]/Ruimtestaat[[#This Row],[Norm (m2/uur) weekend]],0)</f>
        <v>0</v>
      </c>
      <c r="AC32" s="136">
        <f>Ruimtestaat[[#This Row],[uren / jaar weekend]]*Tariefsopbouw!$D$40</f>
        <v>0</v>
      </c>
      <c r="AD32" s="135">
        <f>Ruimtestaat[[#This Row],[Prest. (m2 /jaar) weekend]]+Ruimtestaat[[#This Row],[Prest. (m2 /jaar) werkdagen]]</f>
        <v>0</v>
      </c>
      <c r="AE32" s="135">
        <f>Ruimtestaat[[#This Row],[uren / jaar weekend]]+Ruimtestaat[[#This Row],[uren / jaar werkdagen]]</f>
        <v>0</v>
      </c>
      <c r="AF32" s="130">
        <f>Ruimtestaat[[#This Row],[kosten / jaar weekend]]+Ruimtestaat[[#This Row],[kosten / jaar werkdagen]]</f>
        <v>0</v>
      </c>
      <c r="AG32" s="130"/>
      <c r="AH32" s="137" t="str">
        <f>IF(Ruimtestaat[[#This Row],[Frequentie werkdagen]]="","",_xlfn.CONCAT(Ruimtestaat[[#This Row],[Ruimte code]],"-",Ruimtestaat[[#This Row],[Frequentie werkdagen]]," ",Ruimtestaat[[#This Row],[Vloer code]]))</f>
        <v/>
      </c>
      <c r="AI32" s="142" t="str">
        <f>_xlfn.IFNA(VLOOKUP($AH32,Programma!$F$3:$G$1101,2,0),"")</f>
        <v/>
      </c>
      <c r="AJ32" s="142" t="str">
        <f>_xlfn.IFNA(VLOOKUP($AH32,Programma!$F$3:$H$1101,3,0),"")</f>
        <v/>
      </c>
      <c r="AK32" s="142" t="str">
        <f>_xlfn.IFNA(VLOOKUP($AH32,Programma!$F$3:$I$1101,4,0),"")</f>
        <v/>
      </c>
      <c r="AL32" s="142" t="str">
        <f>_xlfn.IFNA(VLOOKUP($AH32,Programma!$F$3:$J$1101,5,0),"")</f>
        <v/>
      </c>
      <c r="AM32" s="142" t="str">
        <f>_xlfn.IFNA(VLOOKUP($AH32,Programma!$F$3:$K$1101,6,0),"")</f>
        <v/>
      </c>
      <c r="AN32" s="142" t="str">
        <f>_xlfn.IFNA(VLOOKUP($AH32,Programma!$F$3:$L$1101,7,0),"")</f>
        <v/>
      </c>
      <c r="AO32" s="142" t="str">
        <f>_xlfn.IFNA(VLOOKUP($AH32,Programma!$F$3:$M$1101,8,0),"")</f>
        <v/>
      </c>
      <c r="AP32" s="142" t="str">
        <f>_xlfn.IFNA(VLOOKUP($AH32,Programma!$F$3:$N$1101,9,0),"")</f>
        <v/>
      </c>
      <c r="AQ32" s="142" t="str">
        <f>_xlfn.IFNA(VLOOKUP($AH32,Programma!$F$3:$O$1101,10,0),"")</f>
        <v/>
      </c>
      <c r="AR32" s="142" t="str">
        <f>_xlfn.IFNA(VLOOKUP($AH32,Programma!$F$3:$P$1101,11,0),"")</f>
        <v/>
      </c>
      <c r="AS32" s="142" t="str">
        <f>_xlfn.IFNA(VLOOKUP($AH32,Programma!$F$3:$Q$1101,12,0),"")</f>
        <v/>
      </c>
      <c r="AT32" s="142" t="str">
        <f>_xlfn.IFNA(VLOOKUP($AH32,Programma!$F$3:$R$1101,13,0),"")</f>
        <v/>
      </c>
      <c r="AU32" s="142" t="str">
        <f>_xlfn.IFNA(VLOOKUP($AH32,Programma!$F$3:$S$1101,14,0),"")</f>
        <v/>
      </c>
      <c r="AV32" s="142" t="str">
        <f>_xlfn.IFNA(VLOOKUP($AH32,Programma!$F$3:$T$1101,15,0),"")</f>
        <v/>
      </c>
      <c r="AW32" s="142" t="str">
        <f>_xlfn.IFNA(VLOOKUP($AH32,Programma!$F$3:$U$1101,16,0),"")</f>
        <v/>
      </c>
      <c r="AX32" s="142" t="str">
        <f>_xlfn.IFNA(VLOOKUP($AH32,Programma!$F$3:$V$1101,17,0),"")</f>
        <v/>
      </c>
      <c r="AY32" s="142" t="str">
        <f>_xlfn.IFNA(VLOOKUP($AH32,Programma!$F$3:$W$1101,18,0),"")</f>
        <v/>
      </c>
      <c r="AZ32" s="142" t="str">
        <f>_xlfn.IFNA(VLOOKUP($AH32,Programma!$F$3:$X$1101,19,0),"")</f>
        <v/>
      </c>
      <c r="BA32" s="142" t="str">
        <f>_xlfn.IFNA(VLOOKUP($AH32,Programma!$F$3:$Y$1101,20,0),"")</f>
        <v/>
      </c>
      <c r="BB32" s="138"/>
      <c r="BC32" s="137" t="str">
        <f>IF(Ruimtestaat[[#This Row],[Frequentie weekend]]="","",_xlfn.CONCAT(Ruimtestaat[[#This Row],[Ruimte code]],"-",Ruimtestaat[[#This Row],[Frequentie weekend]]," ",Ruimtestaat[[#This Row],[Vloer code]]))</f>
        <v/>
      </c>
      <c r="BD32" s="142" t="str">
        <f>_xlfn.IFNA(VLOOKUP($BC32,Programma!$F$3:$G$1101,2,0),"")</f>
        <v/>
      </c>
      <c r="BE32" s="142" t="str">
        <f>_xlfn.IFNA(VLOOKUP($BC32,Programma!$F$3:$H$1101,3,0),"")</f>
        <v/>
      </c>
      <c r="BF32" s="142" t="str">
        <f>_xlfn.IFNA(VLOOKUP($BC32,Programma!$F$3:$I$1101,4,0),"")</f>
        <v/>
      </c>
      <c r="BG32" s="142" t="str">
        <f>_xlfn.IFNA(VLOOKUP($BC32,Programma!$F$3:$J$1101,5,0),"")</f>
        <v/>
      </c>
      <c r="BH32" s="142" t="str">
        <f>_xlfn.IFNA(VLOOKUP($BC32,Programma!$F$3:$K$1101,6,0),"")</f>
        <v/>
      </c>
      <c r="BI32" s="142" t="str">
        <f>_xlfn.IFNA(VLOOKUP($BC32,Programma!$F$3:$L$1101,7,0),"")</f>
        <v/>
      </c>
      <c r="BJ32" s="142" t="str">
        <f>_xlfn.IFNA(VLOOKUP($BC32,Programma!$F$3:$M$1101,8,0),"")</f>
        <v/>
      </c>
      <c r="BK32" s="142" t="str">
        <f>_xlfn.IFNA(VLOOKUP($BC32,Programma!$F$3:$N$1101,9,0),"")</f>
        <v/>
      </c>
      <c r="BL32" s="142" t="str">
        <f>_xlfn.IFNA(VLOOKUP($BC32,Programma!$F$3:$O$1101,10,0),"")</f>
        <v/>
      </c>
      <c r="BM32" s="142" t="str">
        <f>_xlfn.IFNA(VLOOKUP($BC32,Programma!$F$3:$P$1101,11,0),"")</f>
        <v/>
      </c>
      <c r="BN32" s="142" t="str">
        <f>_xlfn.IFNA(VLOOKUP($BC32,Programma!$F$3:$Q$1101,12,0),"")</f>
        <v/>
      </c>
      <c r="BO32" s="142" t="str">
        <f>_xlfn.IFNA(VLOOKUP($BC32,Programma!$F$3:$R$1101,13,0),"")</f>
        <v/>
      </c>
      <c r="BP32" s="142" t="str">
        <f>_xlfn.IFNA(VLOOKUP($BC32,Programma!$F$3:$S$1101,14,0),"")</f>
        <v/>
      </c>
      <c r="BQ32" s="142" t="str">
        <f>_xlfn.IFNA(VLOOKUP($BC32,Programma!$F$3:$T$1101,15,0),"")</f>
        <v/>
      </c>
      <c r="BR32" s="142" t="str">
        <f>_xlfn.IFNA(VLOOKUP($BC32,Programma!$F$3:$U$1101,16,0),"")</f>
        <v/>
      </c>
      <c r="BS32" s="142" t="str">
        <f>_xlfn.IFNA(VLOOKUP($BC32,Programma!$F$3:$V$1101,17,0),"")</f>
        <v/>
      </c>
      <c r="BT32" s="142" t="str">
        <f>_xlfn.IFNA(VLOOKUP($BC32,Programma!$F$3:$W$1101,18,0),"")</f>
        <v/>
      </c>
      <c r="BU32" s="142" t="str">
        <f>_xlfn.IFNA(VLOOKUP($BC32,Programma!$F$3:$X$1101,19,0),"")</f>
        <v/>
      </c>
      <c r="BV32" s="142" t="str">
        <f>_xlfn.IFNA(VLOOKUP($BC32,Programma!$F$3:$Y$1101,20,0),"")</f>
        <v/>
      </c>
      <c r="BW32" s="28"/>
      <c r="BX32" s="28"/>
      <c r="BY32" s="28"/>
      <c r="BZ32" s="28"/>
      <c r="CA32" s="28"/>
      <c r="CB32" s="28"/>
      <c r="CC32" s="28"/>
      <c r="CD32" s="28"/>
      <c r="CE32" s="28"/>
      <c r="CF32" s="28"/>
      <c r="CG32" s="28"/>
      <c r="CH32" s="28"/>
      <c r="CI32" s="28"/>
      <c r="CJ32" s="28"/>
      <c r="CK32" s="28"/>
      <c r="CL32" s="28"/>
      <c r="CM32" s="28"/>
      <c r="CN32" s="28"/>
      <c r="CO32" s="28"/>
      <c r="CP32" s="28"/>
      <c r="CQ32" s="28"/>
      <c r="CR32" s="28"/>
      <c r="CS32" s="28"/>
      <c r="CT32" s="28"/>
      <c r="CU32" s="28"/>
      <c r="CV32" s="28"/>
      <c r="CW32" s="28"/>
      <c r="CX32" s="28"/>
      <c r="CY32" s="28"/>
      <c r="CZ32" s="28"/>
      <c r="DA32" s="28"/>
      <c r="DB32" s="28"/>
      <c r="DC32" s="28"/>
      <c r="DD32" s="28"/>
      <c r="DE32" s="28"/>
      <c r="DF32" s="28"/>
      <c r="DG32" s="28"/>
      <c r="DH32" s="28"/>
      <c r="DI32" s="28"/>
      <c r="DJ32" s="28"/>
      <c r="DK32" s="28"/>
      <c r="DL32" s="28"/>
      <c r="DM32" s="28"/>
      <c r="DN32" s="28"/>
      <c r="DO32" s="28"/>
      <c r="DP32" s="28"/>
      <c r="DQ32" s="28"/>
      <c r="DR32" s="28"/>
      <c r="DS32" s="28"/>
      <c r="DT32" s="28"/>
      <c r="DU32" s="28"/>
      <c r="DV32" s="28"/>
      <c r="DW32" s="28"/>
      <c r="DX32" s="28"/>
      <c r="DY32" s="28"/>
      <c r="DZ32" s="28"/>
      <c r="EA32" s="28"/>
      <c r="EB32" s="28"/>
      <c r="EC32" s="28"/>
      <c r="ED32" s="28"/>
      <c r="EE32" s="28"/>
      <c r="EF32" s="28"/>
      <c r="EG32" s="28"/>
      <c r="EH32" s="28"/>
      <c r="EI32" s="28"/>
      <c r="EJ32" s="28"/>
      <c r="EK32" s="28"/>
      <c r="EL32" s="28"/>
      <c r="EM32" s="28"/>
      <c r="EN32" s="28"/>
      <c r="EO32" s="28"/>
      <c r="EP32" s="28"/>
      <c r="EQ32" s="28"/>
      <c r="ER32" s="28"/>
      <c r="ES32" s="28"/>
      <c r="ET32" s="28"/>
      <c r="EU32" s="28"/>
      <c r="EV32" s="28"/>
      <c r="EW32" s="28"/>
      <c r="EX32" s="28"/>
      <c r="EY32" s="28"/>
      <c r="EZ32" s="28"/>
      <c r="FA32" s="28"/>
      <c r="FB32" s="28"/>
      <c r="FC32" s="28"/>
      <c r="FD32" s="28"/>
      <c r="FE32" s="28"/>
      <c r="FF32" s="28"/>
      <c r="FG32" s="28"/>
      <c r="FH32" s="28"/>
      <c r="FI32" s="28"/>
      <c r="FJ32" s="28"/>
      <c r="FK32" s="28"/>
      <c r="FL32" s="28"/>
      <c r="FM32" s="28"/>
      <c r="FN32" s="28"/>
      <c r="FO32" s="28"/>
      <c r="FP32" s="28"/>
      <c r="FQ32" s="28"/>
      <c r="FR32" s="28"/>
      <c r="FS32" s="28"/>
      <c r="FT32" s="28"/>
      <c r="FU32" s="28"/>
      <c r="FV32" s="28"/>
      <c r="FW32" s="28"/>
      <c r="FX32" s="28"/>
      <c r="FY32" s="28"/>
      <c r="FZ32" s="28"/>
      <c r="GA32" s="28"/>
      <c r="GB32" s="28"/>
      <c r="GC32" s="28"/>
      <c r="GD32" s="28"/>
      <c r="GE32" s="28"/>
      <c r="GF32" s="28"/>
      <c r="GG32" s="28"/>
      <c r="GH32" s="28"/>
      <c r="GI32" s="28"/>
      <c r="GJ32" s="28"/>
      <c r="GK32" s="28"/>
      <c r="GL32" s="28"/>
      <c r="GM32" s="28"/>
      <c r="GN32" s="28"/>
      <c r="GO32" s="28"/>
      <c r="GP32" s="28"/>
      <c r="GQ32" s="28"/>
      <c r="GR32" s="28"/>
      <c r="GS32" s="28"/>
      <c r="GT32" s="28"/>
      <c r="GU32" s="28"/>
      <c r="GV32" s="28"/>
      <c r="GW32" s="28"/>
      <c r="GX32" s="28"/>
      <c r="GY32" s="28"/>
      <c r="GZ32" s="28"/>
      <c r="HA32" s="28"/>
      <c r="HB32" s="28"/>
      <c r="HC32" s="28"/>
      <c r="HD32" s="28"/>
      <c r="HE32" s="28"/>
      <c r="HF32" s="28"/>
      <c r="HG32" s="28"/>
      <c r="HH32" s="28"/>
      <c r="HI32" s="28"/>
      <c r="HJ32" s="28"/>
      <c r="HK32" s="28"/>
    </row>
    <row r="33" spans="1:219" ht="15" customHeight="1">
      <c r="A33" s="100">
        <v>1</v>
      </c>
      <c r="B33" s="132" t="str">
        <f>VLOOKUP(Ruimtestaat[[#This Row],[Code]],Locaties[[Code]:[Locatie]],2,FALSE)</f>
        <v>Mirtehuis</v>
      </c>
      <c r="C33" s="132" t="str">
        <f>VLOOKUP(Ruimtestaat[[#This Row],[Code]],Locaties[[#All],[Code]:[Adres]],4,FALSE)</f>
        <v>Weseperweg 6</v>
      </c>
      <c r="D33" s="132" t="str">
        <f>VLOOKUP(Ruimtestaat[[#This Row],[Code]],Locaties[[#All],[Code]:[Postcode]],5,FALSE)</f>
        <v>8111 PK</v>
      </c>
      <c r="E33" s="132" t="str">
        <f>VLOOKUP(Ruimtestaat[[#This Row],[Code]],Locaties[#All],6,FALSE)</f>
        <v>Heeten</v>
      </c>
      <c r="F33" s="100"/>
      <c r="G33" s="100" t="s">
        <v>1675</v>
      </c>
      <c r="H33" s="344" t="s">
        <v>1657</v>
      </c>
      <c r="I33" s="345" t="s">
        <v>1656</v>
      </c>
      <c r="J33" s="49">
        <v>20</v>
      </c>
      <c r="K33" s="129" t="str">
        <f>VLOOKUP(Ruimtestaat[[#This Row],[Ruimte code]],Ruimtegroepen[[#All],[Code]:[Ruimte omschrijving]],2,FALSE)</f>
        <v>Niet in Onderhoud</v>
      </c>
      <c r="L33" s="100" t="s">
        <v>100</v>
      </c>
      <c r="M33" s="345" t="s">
        <v>1636</v>
      </c>
      <c r="N33" s="133"/>
      <c r="O33" s="139"/>
      <c r="P33" s="134">
        <f>VLOOKUP(Ruimtestaat[[#This Row],[Ruimte code]],Ruimtegroepen[],4,FALSE)</f>
        <v>0</v>
      </c>
      <c r="Q33" s="100"/>
      <c r="R33" s="100"/>
      <c r="S33" s="100">
        <f>IF(Q33&gt;0,IF(RIGHT(Ruimtestaat[[#This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3" s="100">
        <f>IF(S33&gt;0,VLOOKUP($J33,Ruimtegroepen[],3,FALSE)*VLOOKUP($L33,Vloersoorten[],3,FALSE)*VLOOKUP($R33,Frequenties[],3,FALSE)*VLOOKUP($A33,Locaties[],3,FALSE),0)</f>
        <v>0</v>
      </c>
      <c r="U33" s="100">
        <f>Ruimtestaat[[#This Row],[Uitvoeringen werkdagen]]*Ruimtestaat[[#This Row],[Oppervlak (netto)]]</f>
        <v>0</v>
      </c>
      <c r="V33" s="135">
        <f>IF(T33&gt;0,Ruimtestaat[[#This Row],[Prest. (m2 /jaar) werkdagen]]/Ruimtestaat[[#This Row],[Norm (m2/uur) werkdagen]],0)</f>
        <v>0</v>
      </c>
      <c r="W33" s="136">
        <f>Ruimtestaat[[#This Row],[uren / jaar werkdagen]]*Tariefsopbouw!$E$35</f>
        <v>0</v>
      </c>
      <c r="X33" s="100"/>
      <c r="Y33" s="100">
        <f>IF(Ruimtestaat[[#This Row],[Frequentie weekend]]&gt;0,VALUE(LEFT(X33,1))*Q33,0)</f>
        <v>0</v>
      </c>
      <c r="Z33" s="99">
        <f>IF($Y33&gt;0,VLOOKUP($J33,Ruimtegroepen[],3,FALSE)*VLOOKUP($L33,Vloersoorten[],3,FALSE)*VLOOKUP($X33,Frequenties[],3,FALSE)*VLOOKUP(Ruimtestaat[[#This Row],[Code]],Locaties[],3,FALSE),0)</f>
        <v>0</v>
      </c>
      <c r="AA33" s="99">
        <f>Ruimtestaat[[#This Row],[Uitvoeringen weekend]]*Ruimtestaat[[#This Row],[Oppervlak (netto)]]</f>
        <v>0</v>
      </c>
      <c r="AB33" s="99">
        <f>IF(Z33&gt;0,Ruimtestaat[[#This Row],[Prest. (m2 /jaar) weekend]]/Ruimtestaat[[#This Row],[Norm (m2/uur) weekend]],0)</f>
        <v>0</v>
      </c>
      <c r="AC33" s="136">
        <f>Ruimtestaat[[#This Row],[uren / jaar weekend]]*Tariefsopbouw!$D$40</f>
        <v>0</v>
      </c>
      <c r="AD33" s="135">
        <f>Ruimtestaat[[#This Row],[Prest. (m2 /jaar) weekend]]+Ruimtestaat[[#This Row],[Prest. (m2 /jaar) werkdagen]]</f>
        <v>0</v>
      </c>
      <c r="AE33" s="135">
        <f>Ruimtestaat[[#This Row],[uren / jaar weekend]]+Ruimtestaat[[#This Row],[uren / jaar werkdagen]]</f>
        <v>0</v>
      </c>
      <c r="AF33" s="130">
        <f>Ruimtestaat[[#This Row],[kosten / jaar weekend]]+Ruimtestaat[[#This Row],[kosten / jaar werkdagen]]</f>
        <v>0</v>
      </c>
      <c r="AG33" s="130"/>
      <c r="AH33" s="137" t="str">
        <f>IF(Ruimtestaat[[#This Row],[Frequentie werkdagen]]="","",_xlfn.CONCAT(Ruimtestaat[[#This Row],[Ruimte code]],"-",Ruimtestaat[[#This Row],[Frequentie werkdagen]]," ",Ruimtestaat[[#This Row],[Vloer code]]))</f>
        <v/>
      </c>
      <c r="AI33" s="142" t="str">
        <f>_xlfn.IFNA(VLOOKUP($AH33,Programma!$F$3:$G$1101,2,0),"")</f>
        <v/>
      </c>
      <c r="AJ33" s="142" t="str">
        <f>_xlfn.IFNA(VLOOKUP($AH33,Programma!$F$3:$H$1101,3,0),"")</f>
        <v/>
      </c>
      <c r="AK33" s="142" t="str">
        <f>_xlfn.IFNA(VLOOKUP($AH33,Programma!$F$3:$I$1101,4,0),"")</f>
        <v/>
      </c>
      <c r="AL33" s="142" t="str">
        <f>_xlfn.IFNA(VLOOKUP($AH33,Programma!$F$3:$J$1101,5,0),"")</f>
        <v/>
      </c>
      <c r="AM33" s="142" t="str">
        <f>_xlfn.IFNA(VLOOKUP($AH33,Programma!$F$3:$K$1101,6,0),"")</f>
        <v/>
      </c>
      <c r="AN33" s="142" t="str">
        <f>_xlfn.IFNA(VLOOKUP($AH33,Programma!$F$3:$L$1101,7,0),"")</f>
        <v/>
      </c>
      <c r="AO33" s="142" t="str">
        <f>_xlfn.IFNA(VLOOKUP($AH33,Programma!$F$3:$M$1101,8,0),"")</f>
        <v/>
      </c>
      <c r="AP33" s="142" t="str">
        <f>_xlfn.IFNA(VLOOKUP($AH33,Programma!$F$3:$N$1101,9,0),"")</f>
        <v/>
      </c>
      <c r="AQ33" s="142" t="str">
        <f>_xlfn.IFNA(VLOOKUP($AH33,Programma!$F$3:$O$1101,10,0),"")</f>
        <v/>
      </c>
      <c r="AR33" s="142" t="str">
        <f>_xlfn.IFNA(VLOOKUP($AH33,Programma!$F$3:$P$1101,11,0),"")</f>
        <v/>
      </c>
      <c r="AS33" s="142" t="str">
        <f>_xlfn.IFNA(VLOOKUP($AH33,Programma!$F$3:$Q$1101,12,0),"")</f>
        <v/>
      </c>
      <c r="AT33" s="142" t="str">
        <f>_xlfn.IFNA(VLOOKUP($AH33,Programma!$F$3:$R$1101,13,0),"")</f>
        <v/>
      </c>
      <c r="AU33" s="142" t="str">
        <f>_xlfn.IFNA(VLOOKUP($AH33,Programma!$F$3:$S$1101,14,0),"")</f>
        <v/>
      </c>
      <c r="AV33" s="142" t="str">
        <f>_xlfn.IFNA(VLOOKUP($AH33,Programma!$F$3:$T$1101,15,0),"")</f>
        <v/>
      </c>
      <c r="AW33" s="142" t="str">
        <f>_xlfn.IFNA(VLOOKUP($AH33,Programma!$F$3:$U$1101,16,0),"")</f>
        <v/>
      </c>
      <c r="AX33" s="142" t="str">
        <f>_xlfn.IFNA(VLOOKUP($AH33,Programma!$F$3:$V$1101,17,0),"")</f>
        <v/>
      </c>
      <c r="AY33" s="142" t="str">
        <f>_xlfn.IFNA(VLOOKUP($AH33,Programma!$F$3:$W$1101,18,0),"")</f>
        <v/>
      </c>
      <c r="AZ33" s="142" t="str">
        <f>_xlfn.IFNA(VLOOKUP($AH33,Programma!$F$3:$X$1101,19,0),"")</f>
        <v/>
      </c>
      <c r="BA33" s="142" t="str">
        <f>_xlfn.IFNA(VLOOKUP($AH33,Programma!$F$3:$Y$1101,20,0),"")</f>
        <v/>
      </c>
      <c r="BB33" s="138"/>
      <c r="BC33" s="137" t="str">
        <f>IF(Ruimtestaat[[#This Row],[Frequentie weekend]]="","",_xlfn.CONCAT(Ruimtestaat[[#This Row],[Ruimte code]],"-",Ruimtestaat[[#This Row],[Frequentie weekend]]," ",Ruimtestaat[[#This Row],[Vloer code]]))</f>
        <v/>
      </c>
      <c r="BD33" s="142" t="str">
        <f>_xlfn.IFNA(VLOOKUP($BC33,Programma!$F$3:$G$1101,2,0),"")</f>
        <v/>
      </c>
      <c r="BE33" s="142" t="str">
        <f>_xlfn.IFNA(VLOOKUP($BC33,Programma!$F$3:$H$1101,3,0),"")</f>
        <v/>
      </c>
      <c r="BF33" s="142" t="str">
        <f>_xlfn.IFNA(VLOOKUP($BC33,Programma!$F$3:$I$1101,4,0),"")</f>
        <v/>
      </c>
      <c r="BG33" s="142" t="str">
        <f>_xlfn.IFNA(VLOOKUP($BC33,Programma!$F$3:$J$1101,5,0),"")</f>
        <v/>
      </c>
      <c r="BH33" s="142" t="str">
        <f>_xlfn.IFNA(VLOOKUP($BC33,Programma!$F$3:$K$1101,6,0),"")</f>
        <v/>
      </c>
      <c r="BI33" s="142" t="str">
        <f>_xlfn.IFNA(VLOOKUP($BC33,Programma!$F$3:$L$1101,7,0),"")</f>
        <v/>
      </c>
      <c r="BJ33" s="142" t="str">
        <f>_xlfn.IFNA(VLOOKUP($BC33,Programma!$F$3:$M$1101,8,0),"")</f>
        <v/>
      </c>
      <c r="BK33" s="142" t="str">
        <f>_xlfn.IFNA(VLOOKUP($BC33,Programma!$F$3:$N$1101,9,0),"")</f>
        <v/>
      </c>
      <c r="BL33" s="142" t="str">
        <f>_xlfn.IFNA(VLOOKUP($BC33,Programma!$F$3:$O$1101,10,0),"")</f>
        <v/>
      </c>
      <c r="BM33" s="142" t="str">
        <f>_xlfn.IFNA(VLOOKUP($BC33,Programma!$F$3:$P$1101,11,0),"")</f>
        <v/>
      </c>
      <c r="BN33" s="142" t="str">
        <f>_xlfn.IFNA(VLOOKUP($BC33,Programma!$F$3:$Q$1101,12,0),"")</f>
        <v/>
      </c>
      <c r="BO33" s="142" t="str">
        <f>_xlfn.IFNA(VLOOKUP($BC33,Programma!$F$3:$R$1101,13,0),"")</f>
        <v/>
      </c>
      <c r="BP33" s="142" t="str">
        <f>_xlfn.IFNA(VLOOKUP($BC33,Programma!$F$3:$S$1101,14,0),"")</f>
        <v/>
      </c>
      <c r="BQ33" s="142" t="str">
        <f>_xlfn.IFNA(VLOOKUP($BC33,Programma!$F$3:$T$1101,15,0),"")</f>
        <v/>
      </c>
      <c r="BR33" s="142" t="str">
        <f>_xlfn.IFNA(VLOOKUP($BC33,Programma!$F$3:$U$1101,16,0),"")</f>
        <v/>
      </c>
      <c r="BS33" s="142" t="str">
        <f>_xlfn.IFNA(VLOOKUP($BC33,Programma!$F$3:$V$1101,17,0),"")</f>
        <v/>
      </c>
      <c r="BT33" s="142" t="str">
        <f>_xlfn.IFNA(VLOOKUP($BC33,Programma!$F$3:$W$1101,18,0),"")</f>
        <v/>
      </c>
      <c r="BU33" s="142" t="str">
        <f>_xlfn.IFNA(VLOOKUP($BC33,Programma!$F$3:$X$1101,19,0),"")</f>
        <v/>
      </c>
      <c r="BV33" s="142" t="str">
        <f>_xlfn.IFNA(VLOOKUP($BC33,Programma!$F$3:$Y$1101,20,0),"")</f>
        <v/>
      </c>
      <c r="BW33" s="28"/>
      <c r="BX33" s="28"/>
      <c r="BY33" s="28"/>
      <c r="BZ33" s="28"/>
      <c r="CA33" s="28"/>
      <c r="CB33" s="28"/>
      <c r="CC33" s="28"/>
      <c r="CD33" s="28"/>
      <c r="CE33" s="28"/>
      <c r="CF33" s="28"/>
      <c r="CG33" s="28"/>
      <c r="CH33" s="28"/>
      <c r="CI33" s="28"/>
      <c r="CJ33" s="28"/>
      <c r="CK33" s="28"/>
      <c r="CL33" s="28"/>
      <c r="CM33" s="28"/>
      <c r="CN33" s="28"/>
      <c r="CO33" s="28"/>
      <c r="CP33" s="28"/>
      <c r="CQ33" s="28"/>
      <c r="CR33" s="28"/>
      <c r="CS33" s="28"/>
      <c r="CT33" s="28"/>
      <c r="CU33" s="28"/>
      <c r="CV33" s="28"/>
      <c r="CW33" s="28"/>
      <c r="CX33" s="28"/>
      <c r="CY33" s="28"/>
      <c r="CZ33" s="28"/>
      <c r="DA33" s="28"/>
      <c r="DB33" s="28"/>
      <c r="DC33" s="28"/>
      <c r="DD33" s="28"/>
      <c r="DE33" s="28"/>
      <c r="DF33" s="28"/>
      <c r="DG33" s="28"/>
      <c r="DH33" s="28"/>
      <c r="DI33" s="28"/>
      <c r="DJ33" s="28"/>
      <c r="DK33" s="28"/>
      <c r="DL33" s="28"/>
      <c r="DM33" s="28"/>
      <c r="DN33" s="28"/>
      <c r="DO33" s="28"/>
      <c r="DP33" s="28"/>
      <c r="DQ33" s="28"/>
      <c r="DR33" s="28"/>
      <c r="DS33" s="28"/>
      <c r="DT33" s="28"/>
      <c r="DU33" s="28"/>
      <c r="DV33" s="28"/>
      <c r="DW33" s="28"/>
      <c r="DX33" s="28"/>
      <c r="DY33" s="28"/>
      <c r="DZ33" s="28"/>
      <c r="EA33" s="28"/>
      <c r="EB33" s="28"/>
      <c r="EC33" s="28"/>
      <c r="ED33" s="28"/>
      <c r="EE33" s="28"/>
      <c r="EF33" s="28"/>
      <c r="EG33" s="28"/>
      <c r="EH33" s="28"/>
      <c r="EI33" s="28"/>
      <c r="EJ33" s="28"/>
      <c r="EK33" s="28"/>
      <c r="EL33" s="28"/>
      <c r="EM33" s="28"/>
      <c r="EN33" s="28"/>
      <c r="EO33" s="28"/>
      <c r="EP33" s="28"/>
      <c r="EQ33" s="28"/>
      <c r="ER33" s="28"/>
      <c r="ES33" s="28"/>
      <c r="ET33" s="28"/>
      <c r="EU33" s="28"/>
      <c r="EV33" s="28"/>
      <c r="EW33" s="28"/>
      <c r="EX33" s="28"/>
      <c r="EY33" s="28"/>
      <c r="EZ33" s="28"/>
      <c r="FA33" s="28"/>
      <c r="FB33" s="28"/>
      <c r="FC33" s="28"/>
      <c r="FD33" s="28"/>
      <c r="FE33" s="28"/>
      <c r="FF33" s="28"/>
      <c r="FG33" s="28"/>
      <c r="FH33" s="28"/>
      <c r="FI33" s="28"/>
      <c r="FJ33" s="28"/>
      <c r="FK33" s="28"/>
      <c r="FL33" s="28"/>
      <c r="FM33" s="28"/>
      <c r="FN33" s="28"/>
      <c r="FO33" s="28"/>
      <c r="FP33" s="28"/>
      <c r="FQ33" s="28"/>
      <c r="FR33" s="28"/>
      <c r="FS33" s="28"/>
      <c r="FT33" s="28"/>
      <c r="FU33" s="28"/>
      <c r="FV33" s="28"/>
      <c r="FW33" s="28"/>
      <c r="FX33" s="28"/>
      <c r="FY33" s="28"/>
      <c r="FZ33" s="28"/>
      <c r="GA33" s="28"/>
      <c r="GB33" s="28"/>
      <c r="GC33" s="28"/>
      <c r="GD33" s="28"/>
      <c r="GE33" s="28"/>
      <c r="GF33" s="28"/>
      <c r="GG33" s="28"/>
      <c r="GH33" s="28"/>
      <c r="GI33" s="28"/>
      <c r="GJ33" s="28"/>
      <c r="GK33" s="28"/>
      <c r="GL33" s="28"/>
      <c r="GM33" s="28"/>
      <c r="GN33" s="28"/>
      <c r="GO33" s="28"/>
      <c r="GP33" s="28"/>
      <c r="GQ33" s="28"/>
      <c r="GR33" s="28"/>
      <c r="GS33" s="28"/>
      <c r="GT33" s="28"/>
      <c r="GU33" s="28"/>
      <c r="GV33" s="28"/>
      <c r="GW33" s="28"/>
      <c r="GX33" s="28"/>
      <c r="GY33" s="28"/>
      <c r="GZ33" s="28"/>
      <c r="HA33" s="28"/>
      <c r="HB33" s="28"/>
      <c r="HC33" s="28"/>
      <c r="HD33" s="28"/>
      <c r="HE33" s="28"/>
      <c r="HF33" s="28"/>
      <c r="HG33" s="28"/>
      <c r="HH33" s="28"/>
      <c r="HI33" s="28"/>
      <c r="HJ33" s="28"/>
      <c r="HK33" s="28"/>
    </row>
    <row r="34" spans="1:219" ht="15" customHeight="1">
      <c r="A34" s="100">
        <v>1</v>
      </c>
      <c r="B34" s="132" t="str">
        <f>VLOOKUP(Ruimtestaat[[#This Row],[Code]],Locaties[[Code]:[Locatie]],2,FALSE)</f>
        <v>Mirtehuis</v>
      </c>
      <c r="C34" s="132" t="str">
        <f>VLOOKUP(Ruimtestaat[[#This Row],[Code]],Locaties[[#All],[Code]:[Adres]],4,FALSE)</f>
        <v>Weseperweg 6</v>
      </c>
      <c r="D34" s="132" t="str">
        <f>VLOOKUP(Ruimtestaat[[#This Row],[Code]],Locaties[[#All],[Code]:[Postcode]],5,FALSE)</f>
        <v>8111 PK</v>
      </c>
      <c r="E34" s="132" t="str">
        <f>VLOOKUP(Ruimtestaat[[#This Row],[Code]],Locaties[#All],6,FALSE)</f>
        <v>Heeten</v>
      </c>
      <c r="F34" s="100"/>
      <c r="G34" s="100" t="s">
        <v>1675</v>
      </c>
      <c r="H34" s="344"/>
      <c r="I34" s="345" t="s">
        <v>1641</v>
      </c>
      <c r="J34" s="49">
        <v>20</v>
      </c>
      <c r="K34" s="129" t="str">
        <f>VLOOKUP(Ruimtestaat[[#This Row],[Ruimte code]],Ruimtegroepen[[#All],[Code]:[Ruimte omschrijving]],2,FALSE)</f>
        <v>Niet in Onderhoud</v>
      </c>
      <c r="L34" s="100" t="s">
        <v>101</v>
      </c>
      <c r="M34" s="345" t="s">
        <v>1642</v>
      </c>
      <c r="N34" s="133"/>
      <c r="O34" s="100"/>
      <c r="P34" s="134">
        <f>VLOOKUP(Ruimtestaat[[#This Row],[Ruimte code]],Ruimtegroepen[],4,FALSE)</f>
        <v>0</v>
      </c>
      <c r="Q34" s="100"/>
      <c r="R34" s="100"/>
      <c r="S34" s="100">
        <f>IF(Q34&gt;0,IF(RIGHT(Ruimtestaat[[#This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4" s="100">
        <f>IF(S34&gt;0,VLOOKUP($J34,Ruimtegroepen[],3,FALSE)*VLOOKUP($L34,Vloersoorten[],3,FALSE)*VLOOKUP($R34,Frequenties[],3,FALSE)*VLOOKUP($A34,Locaties[],3,FALSE),0)</f>
        <v>0</v>
      </c>
      <c r="U34" s="100">
        <f>Ruimtestaat[[#This Row],[Uitvoeringen werkdagen]]*Ruimtestaat[[#This Row],[Oppervlak (netto)]]</f>
        <v>0</v>
      </c>
      <c r="V34" s="135">
        <f>IF(T34&gt;0,Ruimtestaat[[#This Row],[Prest. (m2 /jaar) werkdagen]]/Ruimtestaat[[#This Row],[Norm (m2/uur) werkdagen]],0)</f>
        <v>0</v>
      </c>
      <c r="W34" s="136">
        <f>Ruimtestaat[[#This Row],[uren / jaar werkdagen]]*Tariefsopbouw!$E$35</f>
        <v>0</v>
      </c>
      <c r="X34" s="100"/>
      <c r="Y34" s="100">
        <f>IF(Ruimtestaat[[#This Row],[Frequentie weekend]]&gt;0,VALUE(LEFT(X34,1))*Q34,0)</f>
        <v>0</v>
      </c>
      <c r="Z34" s="99">
        <f>IF($Y34&gt;0,VLOOKUP($J34,Ruimtegroepen[],3,FALSE)*VLOOKUP($L34,Vloersoorten[],3,FALSE)*VLOOKUP($X34,Frequenties[],3,FALSE)*VLOOKUP(Ruimtestaat[[#This Row],[Code]],Locaties[],3,FALSE),0)</f>
        <v>0</v>
      </c>
      <c r="AA34" s="99">
        <f>Ruimtestaat[[#This Row],[Uitvoeringen weekend]]*Ruimtestaat[[#This Row],[Oppervlak (netto)]]</f>
        <v>0</v>
      </c>
      <c r="AB34" s="99">
        <f>IF(Z34&gt;0,Ruimtestaat[[#This Row],[Prest. (m2 /jaar) weekend]]/Ruimtestaat[[#This Row],[Norm (m2/uur) weekend]],0)</f>
        <v>0</v>
      </c>
      <c r="AC34" s="136">
        <f>Ruimtestaat[[#This Row],[uren / jaar weekend]]*Tariefsopbouw!$D$40</f>
        <v>0</v>
      </c>
      <c r="AD34" s="135">
        <f>Ruimtestaat[[#This Row],[Prest. (m2 /jaar) weekend]]+Ruimtestaat[[#This Row],[Prest. (m2 /jaar) werkdagen]]</f>
        <v>0</v>
      </c>
      <c r="AE34" s="135">
        <f>Ruimtestaat[[#This Row],[uren / jaar weekend]]+Ruimtestaat[[#This Row],[uren / jaar werkdagen]]</f>
        <v>0</v>
      </c>
      <c r="AF34" s="130">
        <f>Ruimtestaat[[#This Row],[kosten / jaar weekend]]+Ruimtestaat[[#This Row],[kosten / jaar werkdagen]]</f>
        <v>0</v>
      </c>
      <c r="AG34" s="130"/>
      <c r="AH34" s="137" t="str">
        <f>IF(Ruimtestaat[[#This Row],[Frequentie werkdagen]]="","",_xlfn.CONCAT(Ruimtestaat[[#This Row],[Ruimte code]],"-",Ruimtestaat[[#This Row],[Frequentie werkdagen]]," ",Ruimtestaat[[#This Row],[Vloer code]]))</f>
        <v/>
      </c>
      <c r="AI34" s="142" t="str">
        <f>_xlfn.IFNA(VLOOKUP($AH34,Programma!$F$3:$G$1101,2,0),"")</f>
        <v/>
      </c>
      <c r="AJ34" s="142" t="str">
        <f>_xlfn.IFNA(VLOOKUP($AH34,Programma!$F$3:$H$1101,3,0),"")</f>
        <v/>
      </c>
      <c r="AK34" s="142" t="str">
        <f>_xlfn.IFNA(VLOOKUP($AH34,Programma!$F$3:$I$1101,4,0),"")</f>
        <v/>
      </c>
      <c r="AL34" s="142" t="str">
        <f>_xlfn.IFNA(VLOOKUP($AH34,Programma!$F$3:$J$1101,5,0),"")</f>
        <v/>
      </c>
      <c r="AM34" s="142" t="str">
        <f>_xlfn.IFNA(VLOOKUP($AH34,Programma!$F$3:$K$1101,6,0),"")</f>
        <v/>
      </c>
      <c r="AN34" s="142" t="str">
        <f>_xlfn.IFNA(VLOOKUP($AH34,Programma!$F$3:$L$1101,7,0),"")</f>
        <v/>
      </c>
      <c r="AO34" s="142" t="str">
        <f>_xlfn.IFNA(VLOOKUP($AH34,Programma!$F$3:$M$1101,8,0),"")</f>
        <v/>
      </c>
      <c r="AP34" s="142" t="str">
        <f>_xlfn.IFNA(VLOOKUP($AH34,Programma!$F$3:$N$1101,9,0),"")</f>
        <v/>
      </c>
      <c r="AQ34" s="142" t="str">
        <f>_xlfn.IFNA(VLOOKUP($AH34,Programma!$F$3:$O$1101,10,0),"")</f>
        <v/>
      </c>
      <c r="AR34" s="142" t="str">
        <f>_xlfn.IFNA(VLOOKUP($AH34,Programma!$F$3:$P$1101,11,0),"")</f>
        <v/>
      </c>
      <c r="AS34" s="142" t="str">
        <f>_xlfn.IFNA(VLOOKUP($AH34,Programma!$F$3:$Q$1101,12,0),"")</f>
        <v/>
      </c>
      <c r="AT34" s="142" t="str">
        <f>_xlfn.IFNA(VLOOKUP($AH34,Programma!$F$3:$R$1101,13,0),"")</f>
        <v/>
      </c>
      <c r="AU34" s="142" t="str">
        <f>_xlfn.IFNA(VLOOKUP($AH34,Programma!$F$3:$S$1101,14,0),"")</f>
        <v/>
      </c>
      <c r="AV34" s="142" t="str">
        <f>_xlfn.IFNA(VLOOKUP($AH34,Programma!$F$3:$T$1101,15,0),"")</f>
        <v/>
      </c>
      <c r="AW34" s="142" t="str">
        <f>_xlfn.IFNA(VLOOKUP($AH34,Programma!$F$3:$U$1101,16,0),"")</f>
        <v/>
      </c>
      <c r="AX34" s="142" t="str">
        <f>_xlfn.IFNA(VLOOKUP($AH34,Programma!$F$3:$V$1101,17,0),"")</f>
        <v/>
      </c>
      <c r="AY34" s="142" t="str">
        <f>_xlfn.IFNA(VLOOKUP($AH34,Programma!$F$3:$W$1101,18,0),"")</f>
        <v/>
      </c>
      <c r="AZ34" s="142" t="str">
        <f>_xlfn.IFNA(VLOOKUP($AH34,Programma!$F$3:$X$1101,19,0),"")</f>
        <v/>
      </c>
      <c r="BA34" s="142" t="str">
        <f>_xlfn.IFNA(VLOOKUP($AH34,Programma!$F$3:$Y$1101,20,0),"")</f>
        <v/>
      </c>
      <c r="BB34" s="138"/>
      <c r="BC34" s="137" t="str">
        <f>IF(Ruimtestaat[[#This Row],[Frequentie weekend]]="","",_xlfn.CONCAT(Ruimtestaat[[#This Row],[Ruimte code]],"-",Ruimtestaat[[#This Row],[Frequentie weekend]]," ",Ruimtestaat[[#This Row],[Vloer code]]))</f>
        <v/>
      </c>
      <c r="BD34" s="142" t="str">
        <f>_xlfn.IFNA(VLOOKUP($BC34,Programma!$F$3:$G$1101,2,0),"")</f>
        <v/>
      </c>
      <c r="BE34" s="142" t="str">
        <f>_xlfn.IFNA(VLOOKUP($BC34,Programma!$F$3:$H$1101,3,0),"")</f>
        <v/>
      </c>
      <c r="BF34" s="142" t="str">
        <f>_xlfn.IFNA(VLOOKUP($BC34,Programma!$F$3:$I$1101,4,0),"")</f>
        <v/>
      </c>
      <c r="BG34" s="142" t="str">
        <f>_xlfn.IFNA(VLOOKUP($BC34,Programma!$F$3:$J$1101,5,0),"")</f>
        <v/>
      </c>
      <c r="BH34" s="142" t="str">
        <f>_xlfn.IFNA(VLOOKUP($BC34,Programma!$F$3:$K$1101,6,0),"")</f>
        <v/>
      </c>
      <c r="BI34" s="142" t="str">
        <f>_xlfn.IFNA(VLOOKUP($BC34,Programma!$F$3:$L$1101,7,0),"")</f>
        <v/>
      </c>
      <c r="BJ34" s="142" t="str">
        <f>_xlfn.IFNA(VLOOKUP($BC34,Programma!$F$3:$M$1101,8,0),"")</f>
        <v/>
      </c>
      <c r="BK34" s="142" t="str">
        <f>_xlfn.IFNA(VLOOKUP($BC34,Programma!$F$3:$N$1101,9,0),"")</f>
        <v/>
      </c>
      <c r="BL34" s="142" t="str">
        <f>_xlfn.IFNA(VLOOKUP($BC34,Programma!$F$3:$O$1101,10,0),"")</f>
        <v/>
      </c>
      <c r="BM34" s="142" t="str">
        <f>_xlfn.IFNA(VLOOKUP($BC34,Programma!$F$3:$P$1101,11,0),"")</f>
        <v/>
      </c>
      <c r="BN34" s="142" t="str">
        <f>_xlfn.IFNA(VLOOKUP($BC34,Programma!$F$3:$Q$1101,12,0),"")</f>
        <v/>
      </c>
      <c r="BO34" s="142" t="str">
        <f>_xlfn.IFNA(VLOOKUP($BC34,Programma!$F$3:$R$1101,13,0),"")</f>
        <v/>
      </c>
      <c r="BP34" s="142" t="str">
        <f>_xlfn.IFNA(VLOOKUP($BC34,Programma!$F$3:$S$1101,14,0),"")</f>
        <v/>
      </c>
      <c r="BQ34" s="142" t="str">
        <f>_xlfn.IFNA(VLOOKUP($BC34,Programma!$F$3:$T$1101,15,0),"")</f>
        <v/>
      </c>
      <c r="BR34" s="142" t="str">
        <f>_xlfn.IFNA(VLOOKUP($BC34,Programma!$F$3:$U$1101,16,0),"")</f>
        <v/>
      </c>
      <c r="BS34" s="142" t="str">
        <f>_xlfn.IFNA(VLOOKUP($BC34,Programma!$F$3:$V$1101,17,0),"")</f>
        <v/>
      </c>
      <c r="BT34" s="142" t="str">
        <f>_xlfn.IFNA(VLOOKUP($BC34,Programma!$F$3:$W$1101,18,0),"")</f>
        <v/>
      </c>
      <c r="BU34" s="142" t="str">
        <f>_xlfn.IFNA(VLOOKUP($BC34,Programma!$F$3:$X$1101,19,0),"")</f>
        <v/>
      </c>
      <c r="BV34" s="142" t="str">
        <f>_xlfn.IFNA(VLOOKUP($BC34,Programma!$F$3:$Y$1101,20,0),"")</f>
        <v/>
      </c>
      <c r="BW34" s="28"/>
      <c r="BX34" s="28"/>
      <c r="BY34" s="28"/>
      <c r="BZ34" s="28"/>
      <c r="CA34" s="28"/>
      <c r="CB34" s="28"/>
      <c r="CC34" s="28"/>
      <c r="CD34" s="28"/>
      <c r="CE34" s="28"/>
      <c r="CF34" s="28"/>
      <c r="CG34" s="28"/>
      <c r="CH34" s="28"/>
      <c r="CI34" s="28"/>
      <c r="CJ34" s="28"/>
      <c r="CK34" s="28"/>
      <c r="CL34" s="28"/>
      <c r="CM34" s="28"/>
      <c r="CN34" s="28"/>
      <c r="CO34" s="28"/>
      <c r="CP34" s="28"/>
      <c r="CQ34" s="28"/>
      <c r="CR34" s="28"/>
      <c r="CS34" s="28"/>
      <c r="CT34" s="28"/>
      <c r="CU34" s="28"/>
      <c r="CV34" s="28"/>
      <c r="CW34" s="28"/>
      <c r="CX34" s="28"/>
      <c r="CY34" s="28"/>
      <c r="CZ34" s="28"/>
      <c r="DA34" s="28"/>
      <c r="DB34" s="28"/>
      <c r="DC34" s="28"/>
      <c r="DD34" s="28"/>
      <c r="DE34" s="28"/>
      <c r="DF34" s="28"/>
      <c r="DG34" s="28"/>
      <c r="DH34" s="28"/>
      <c r="DI34" s="28"/>
      <c r="DJ34" s="28"/>
      <c r="DK34" s="28"/>
      <c r="DL34" s="28"/>
      <c r="DM34" s="28"/>
      <c r="DN34" s="28"/>
      <c r="DO34" s="28"/>
      <c r="DP34" s="28"/>
      <c r="DQ34" s="28"/>
      <c r="DR34" s="28"/>
      <c r="DS34" s="28"/>
      <c r="DT34" s="28"/>
      <c r="DU34" s="28"/>
      <c r="DV34" s="28"/>
      <c r="DW34" s="28"/>
      <c r="DX34" s="28"/>
      <c r="DY34" s="28"/>
      <c r="DZ34" s="28"/>
      <c r="EA34" s="28"/>
      <c r="EB34" s="28"/>
      <c r="EC34" s="28"/>
      <c r="ED34" s="28"/>
      <c r="EE34" s="28"/>
      <c r="EF34" s="28"/>
      <c r="EG34" s="28"/>
      <c r="EH34" s="28"/>
      <c r="EI34" s="28"/>
      <c r="EJ34" s="28"/>
      <c r="EK34" s="28"/>
      <c r="EL34" s="28"/>
      <c r="EM34" s="28"/>
      <c r="EN34" s="28"/>
      <c r="EO34" s="28"/>
      <c r="EP34" s="28"/>
      <c r="EQ34" s="28"/>
      <c r="ER34" s="28"/>
      <c r="ES34" s="28"/>
      <c r="ET34" s="28"/>
      <c r="EU34" s="28"/>
      <c r="EV34" s="28"/>
      <c r="EW34" s="28"/>
      <c r="EX34" s="28"/>
      <c r="EY34" s="28"/>
      <c r="EZ34" s="28"/>
      <c r="FA34" s="28"/>
      <c r="FB34" s="28"/>
      <c r="FC34" s="28"/>
      <c r="FD34" s="28"/>
      <c r="FE34" s="28"/>
      <c r="FF34" s="28"/>
      <c r="FG34" s="28"/>
      <c r="FH34" s="28"/>
      <c r="FI34" s="28"/>
      <c r="FJ34" s="28"/>
      <c r="FK34" s="28"/>
      <c r="FL34" s="28"/>
      <c r="FM34" s="28"/>
      <c r="FN34" s="28"/>
      <c r="FO34" s="28"/>
      <c r="FP34" s="28"/>
      <c r="FQ34" s="28"/>
      <c r="FR34" s="28"/>
      <c r="FS34" s="28"/>
      <c r="FT34" s="28"/>
      <c r="FU34" s="28"/>
      <c r="FV34" s="28"/>
      <c r="FW34" s="28"/>
      <c r="FX34" s="28"/>
      <c r="FY34" s="28"/>
      <c r="FZ34" s="28"/>
      <c r="GA34" s="28"/>
      <c r="GB34" s="28"/>
      <c r="GC34" s="28"/>
      <c r="GD34" s="28"/>
      <c r="GE34" s="28"/>
      <c r="GF34" s="28"/>
      <c r="GG34" s="28"/>
      <c r="GH34" s="28"/>
      <c r="GI34" s="28"/>
      <c r="GJ34" s="28"/>
      <c r="GK34" s="28"/>
      <c r="GL34" s="28"/>
      <c r="GM34" s="28"/>
      <c r="GN34" s="28"/>
      <c r="GO34" s="28"/>
      <c r="GP34" s="28"/>
      <c r="GQ34" s="28"/>
      <c r="GR34" s="28"/>
      <c r="GS34" s="28"/>
      <c r="GT34" s="28"/>
      <c r="GU34" s="28"/>
      <c r="GV34" s="28"/>
      <c r="GW34" s="28"/>
      <c r="GX34" s="28"/>
      <c r="GY34" s="28"/>
      <c r="GZ34" s="28"/>
      <c r="HA34" s="28"/>
      <c r="HB34" s="28"/>
      <c r="HC34" s="28"/>
      <c r="HD34" s="28"/>
      <c r="HE34" s="28"/>
      <c r="HF34" s="28"/>
      <c r="HG34" s="28"/>
      <c r="HH34" s="28"/>
      <c r="HI34" s="28"/>
      <c r="HJ34" s="28"/>
      <c r="HK34" s="28"/>
    </row>
    <row r="35" spans="1:219" ht="15" customHeight="1">
      <c r="A35" s="100">
        <v>1</v>
      </c>
      <c r="B35" s="132" t="str">
        <f>VLOOKUP(Ruimtestaat[[#This Row],[Code]],Locaties[[Code]:[Locatie]],2,FALSE)</f>
        <v>Mirtehuis</v>
      </c>
      <c r="C35" s="132" t="str">
        <f>VLOOKUP(Ruimtestaat[[#This Row],[Code]],Locaties[[#All],[Code]:[Adres]],4,FALSE)</f>
        <v>Weseperweg 6</v>
      </c>
      <c r="D35" s="132" t="str">
        <f>VLOOKUP(Ruimtestaat[[#This Row],[Code]],Locaties[[#All],[Code]:[Postcode]],5,FALSE)</f>
        <v>8111 PK</v>
      </c>
      <c r="E35" s="132" t="str">
        <f>VLOOKUP(Ruimtestaat[[#This Row],[Code]],Locaties[#All],6,FALSE)</f>
        <v>Heeten</v>
      </c>
      <c r="F35" s="100"/>
      <c r="G35" s="100" t="s">
        <v>1675</v>
      </c>
      <c r="H35" s="344"/>
      <c r="I35" s="345" t="s">
        <v>1635</v>
      </c>
      <c r="J35" s="49">
        <v>20</v>
      </c>
      <c r="K35" s="140" t="str">
        <f>VLOOKUP(Ruimtestaat[[#This Row],[Ruimte code]],Ruimtegroepen[[#All],[Code]:[Ruimte omschrijving]],2,FALSE)</f>
        <v>Niet in Onderhoud</v>
      </c>
      <c r="L35" s="100" t="s">
        <v>100</v>
      </c>
      <c r="M35" s="345" t="s">
        <v>1636</v>
      </c>
      <c r="N35" s="133"/>
      <c r="O35" s="139"/>
      <c r="P35" s="134">
        <f>VLOOKUP(Ruimtestaat[[#This Row],[Ruimte code]],Ruimtegroepen[],4,FALSE)</f>
        <v>0</v>
      </c>
      <c r="Q35" s="100"/>
      <c r="R35" s="100"/>
      <c r="S35" s="100">
        <f>IF(Q35&gt;0,IF(RIGHT(Ruimtestaat[[#This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5" s="100">
        <f>IF(S35&gt;0,VLOOKUP($J35,Ruimtegroepen[],3,FALSE)*VLOOKUP($L35,Vloersoorten[],3,FALSE)*VLOOKUP($R35,Frequenties[],3,FALSE)*VLOOKUP($A35,Locaties[],3,FALSE),0)</f>
        <v>0</v>
      </c>
      <c r="U35" s="100">
        <f>Ruimtestaat[[#This Row],[Uitvoeringen werkdagen]]*Ruimtestaat[[#This Row],[Oppervlak (netto)]]</f>
        <v>0</v>
      </c>
      <c r="V35" s="135">
        <f>IF(T35&gt;0,Ruimtestaat[[#This Row],[Prest. (m2 /jaar) werkdagen]]/Ruimtestaat[[#This Row],[Norm (m2/uur) werkdagen]],0)</f>
        <v>0</v>
      </c>
      <c r="W35" s="136">
        <f>Ruimtestaat[[#This Row],[uren / jaar werkdagen]]*Tariefsopbouw!$E$35</f>
        <v>0</v>
      </c>
      <c r="X35" s="100"/>
      <c r="Y35" s="100">
        <f>IF(Ruimtestaat[[#This Row],[Frequentie weekend]]&gt;0,VALUE(LEFT(X35,1))*Q35,0)</f>
        <v>0</v>
      </c>
      <c r="Z35" s="99">
        <f>IF($Y35&gt;0,VLOOKUP($J35,Ruimtegroepen[],3,FALSE)*VLOOKUP($L35,Vloersoorten[],3,FALSE)*VLOOKUP($X35,Frequenties[],3,FALSE)*VLOOKUP(Ruimtestaat[[#This Row],[Code]],Locaties[],3,FALSE),0)</f>
        <v>0</v>
      </c>
      <c r="AA35" s="99">
        <f>Ruimtestaat[[#This Row],[Uitvoeringen weekend]]*Ruimtestaat[[#This Row],[Oppervlak (netto)]]</f>
        <v>0</v>
      </c>
      <c r="AB35" s="99">
        <f>IF(Z35&gt;0,Ruimtestaat[[#This Row],[Prest. (m2 /jaar) weekend]]/Ruimtestaat[[#This Row],[Norm (m2/uur) weekend]],0)</f>
        <v>0</v>
      </c>
      <c r="AC35" s="136">
        <f>Ruimtestaat[[#This Row],[uren / jaar weekend]]*Tariefsopbouw!$D$40</f>
        <v>0</v>
      </c>
      <c r="AD35" s="135">
        <f>Ruimtestaat[[#This Row],[Prest. (m2 /jaar) weekend]]+Ruimtestaat[[#This Row],[Prest. (m2 /jaar) werkdagen]]</f>
        <v>0</v>
      </c>
      <c r="AE35" s="135">
        <f>Ruimtestaat[[#This Row],[uren / jaar weekend]]+Ruimtestaat[[#This Row],[uren / jaar werkdagen]]</f>
        <v>0</v>
      </c>
      <c r="AF35" s="130">
        <f>Ruimtestaat[[#This Row],[kosten / jaar weekend]]+Ruimtestaat[[#This Row],[kosten / jaar werkdagen]]</f>
        <v>0</v>
      </c>
      <c r="AG35" s="130"/>
      <c r="AH35" s="137" t="str">
        <f>IF(Ruimtestaat[[#This Row],[Frequentie werkdagen]]="","",_xlfn.CONCAT(Ruimtestaat[[#This Row],[Ruimte code]],"-",Ruimtestaat[[#This Row],[Frequentie werkdagen]]," ",Ruimtestaat[[#This Row],[Vloer code]]))</f>
        <v/>
      </c>
      <c r="AI35" s="142" t="str">
        <f>_xlfn.IFNA(VLOOKUP($AH35,Programma!$F$3:$G$1101,2,0),"")</f>
        <v/>
      </c>
      <c r="AJ35" s="142" t="str">
        <f>_xlfn.IFNA(VLOOKUP($AH35,Programma!$F$3:$H$1101,3,0),"")</f>
        <v/>
      </c>
      <c r="AK35" s="142" t="str">
        <f>_xlfn.IFNA(VLOOKUP($AH35,Programma!$F$3:$I$1101,4,0),"")</f>
        <v/>
      </c>
      <c r="AL35" s="142" t="str">
        <f>_xlfn.IFNA(VLOOKUP($AH35,Programma!$F$3:$J$1101,5,0),"")</f>
        <v/>
      </c>
      <c r="AM35" s="142" t="str">
        <f>_xlfn.IFNA(VLOOKUP($AH35,Programma!$F$3:$K$1101,6,0),"")</f>
        <v/>
      </c>
      <c r="AN35" s="142" t="str">
        <f>_xlfn.IFNA(VLOOKUP($AH35,Programma!$F$3:$L$1101,7,0),"")</f>
        <v/>
      </c>
      <c r="AO35" s="142" t="str">
        <f>_xlfn.IFNA(VLOOKUP($AH35,Programma!$F$3:$M$1101,8,0),"")</f>
        <v/>
      </c>
      <c r="AP35" s="142" t="str">
        <f>_xlfn.IFNA(VLOOKUP($AH35,Programma!$F$3:$N$1101,9,0),"")</f>
        <v/>
      </c>
      <c r="AQ35" s="142" t="str">
        <f>_xlfn.IFNA(VLOOKUP($AH35,Programma!$F$3:$O$1101,10,0),"")</f>
        <v/>
      </c>
      <c r="AR35" s="142" t="str">
        <f>_xlfn.IFNA(VLOOKUP($AH35,Programma!$F$3:$P$1101,11,0),"")</f>
        <v/>
      </c>
      <c r="AS35" s="142" t="str">
        <f>_xlfn.IFNA(VLOOKUP($AH35,Programma!$F$3:$Q$1101,12,0),"")</f>
        <v/>
      </c>
      <c r="AT35" s="142" t="str">
        <f>_xlfn.IFNA(VLOOKUP($AH35,Programma!$F$3:$R$1101,13,0),"")</f>
        <v/>
      </c>
      <c r="AU35" s="142" t="str">
        <f>_xlfn.IFNA(VLOOKUP($AH35,Programma!$F$3:$S$1101,14,0),"")</f>
        <v/>
      </c>
      <c r="AV35" s="142" t="str">
        <f>_xlfn.IFNA(VLOOKUP($AH35,Programma!$F$3:$T$1101,15,0),"")</f>
        <v/>
      </c>
      <c r="AW35" s="142" t="str">
        <f>_xlfn.IFNA(VLOOKUP($AH35,Programma!$F$3:$U$1101,16,0),"")</f>
        <v/>
      </c>
      <c r="AX35" s="142" t="str">
        <f>_xlfn.IFNA(VLOOKUP($AH35,Programma!$F$3:$V$1101,17,0),"")</f>
        <v/>
      </c>
      <c r="AY35" s="142" t="str">
        <f>_xlfn.IFNA(VLOOKUP($AH35,Programma!$F$3:$W$1101,18,0),"")</f>
        <v/>
      </c>
      <c r="AZ35" s="142" t="str">
        <f>_xlfn.IFNA(VLOOKUP($AH35,Programma!$F$3:$X$1101,19,0),"")</f>
        <v/>
      </c>
      <c r="BA35" s="142" t="str">
        <f>_xlfn.IFNA(VLOOKUP($AH35,Programma!$F$3:$Y$1101,20,0),"")</f>
        <v/>
      </c>
      <c r="BB35" s="138"/>
      <c r="BC35" s="137" t="str">
        <f>IF(Ruimtestaat[[#This Row],[Frequentie weekend]]="","",_xlfn.CONCAT(Ruimtestaat[[#This Row],[Ruimte code]],"-",Ruimtestaat[[#This Row],[Frequentie weekend]]," ",Ruimtestaat[[#This Row],[Vloer code]]))</f>
        <v/>
      </c>
      <c r="BD35" s="142" t="str">
        <f>_xlfn.IFNA(VLOOKUP($BC35,Programma!$F$3:$G$1101,2,0),"")</f>
        <v/>
      </c>
      <c r="BE35" s="142" t="str">
        <f>_xlfn.IFNA(VLOOKUP($BC35,Programma!$F$3:$H$1101,3,0),"")</f>
        <v/>
      </c>
      <c r="BF35" s="142" t="str">
        <f>_xlfn.IFNA(VLOOKUP($BC35,Programma!$F$3:$I$1101,4,0),"")</f>
        <v/>
      </c>
      <c r="BG35" s="142" t="str">
        <f>_xlfn.IFNA(VLOOKUP($BC35,Programma!$F$3:$J$1101,5,0),"")</f>
        <v/>
      </c>
      <c r="BH35" s="142" t="str">
        <f>_xlfn.IFNA(VLOOKUP($BC35,Programma!$F$3:$K$1101,6,0),"")</f>
        <v/>
      </c>
      <c r="BI35" s="142" t="str">
        <f>_xlfn.IFNA(VLOOKUP($BC35,Programma!$F$3:$L$1101,7,0),"")</f>
        <v/>
      </c>
      <c r="BJ35" s="142" t="str">
        <f>_xlfn.IFNA(VLOOKUP($BC35,Programma!$F$3:$M$1101,8,0),"")</f>
        <v/>
      </c>
      <c r="BK35" s="142" t="str">
        <f>_xlfn.IFNA(VLOOKUP($BC35,Programma!$F$3:$N$1101,9,0),"")</f>
        <v/>
      </c>
      <c r="BL35" s="142" t="str">
        <f>_xlfn.IFNA(VLOOKUP($BC35,Programma!$F$3:$O$1101,10,0),"")</f>
        <v/>
      </c>
      <c r="BM35" s="142" t="str">
        <f>_xlfn.IFNA(VLOOKUP($BC35,Programma!$F$3:$P$1101,11,0),"")</f>
        <v/>
      </c>
      <c r="BN35" s="142" t="str">
        <f>_xlfn.IFNA(VLOOKUP($BC35,Programma!$F$3:$Q$1101,12,0),"")</f>
        <v/>
      </c>
      <c r="BO35" s="142" t="str">
        <f>_xlfn.IFNA(VLOOKUP($BC35,Programma!$F$3:$R$1101,13,0),"")</f>
        <v/>
      </c>
      <c r="BP35" s="142" t="str">
        <f>_xlfn.IFNA(VLOOKUP($BC35,Programma!$F$3:$S$1101,14,0),"")</f>
        <v/>
      </c>
      <c r="BQ35" s="142" t="str">
        <f>_xlfn.IFNA(VLOOKUP($BC35,Programma!$F$3:$T$1101,15,0),"")</f>
        <v/>
      </c>
      <c r="BR35" s="142" t="str">
        <f>_xlfn.IFNA(VLOOKUP($BC35,Programma!$F$3:$U$1101,16,0),"")</f>
        <v/>
      </c>
      <c r="BS35" s="142" t="str">
        <f>_xlfn.IFNA(VLOOKUP($BC35,Programma!$F$3:$V$1101,17,0),"")</f>
        <v/>
      </c>
      <c r="BT35" s="142" t="str">
        <f>_xlfn.IFNA(VLOOKUP($BC35,Programma!$F$3:$W$1101,18,0),"")</f>
        <v/>
      </c>
      <c r="BU35" s="142" t="str">
        <f>_xlfn.IFNA(VLOOKUP($BC35,Programma!$F$3:$X$1101,19,0),"")</f>
        <v/>
      </c>
      <c r="BV35" s="142" t="str">
        <f>_xlfn.IFNA(VLOOKUP($BC35,Programma!$F$3:$Y$1101,20,0),"")</f>
        <v/>
      </c>
      <c r="BW35" s="28"/>
      <c r="BX35" s="28"/>
      <c r="BY35" s="28"/>
      <c r="BZ35" s="28"/>
      <c r="CA35" s="28"/>
      <c r="CB35" s="28"/>
      <c r="CC35" s="28"/>
      <c r="CD35" s="28"/>
      <c r="CE35" s="28"/>
      <c r="CF35" s="28"/>
      <c r="CG35" s="28"/>
      <c r="CH35" s="28"/>
      <c r="CI35" s="28"/>
      <c r="CJ35" s="28"/>
      <c r="CK35" s="28"/>
      <c r="CL35" s="28"/>
      <c r="CM35" s="28"/>
      <c r="CN35" s="28"/>
      <c r="CO35" s="28"/>
      <c r="CP35" s="28"/>
      <c r="CQ35" s="28"/>
      <c r="CR35" s="28"/>
      <c r="CS35" s="28"/>
      <c r="CT35" s="28"/>
      <c r="CU35" s="28"/>
      <c r="CV35" s="28"/>
      <c r="CW35" s="28"/>
      <c r="CX35" s="28"/>
      <c r="CY35" s="28"/>
      <c r="CZ35" s="28"/>
      <c r="DA35" s="28"/>
      <c r="DB35" s="28"/>
      <c r="DC35" s="28"/>
      <c r="DD35" s="28"/>
      <c r="DE35" s="28"/>
      <c r="DF35" s="28"/>
      <c r="DG35" s="28"/>
      <c r="DH35" s="28"/>
      <c r="DI35" s="28"/>
      <c r="DJ35" s="28"/>
      <c r="DK35" s="28"/>
      <c r="DL35" s="28"/>
      <c r="DM35" s="28"/>
      <c r="DN35" s="28"/>
      <c r="DO35" s="28"/>
      <c r="DP35" s="28"/>
      <c r="DQ35" s="28"/>
      <c r="DR35" s="28"/>
      <c r="DS35" s="28"/>
      <c r="DT35" s="28"/>
      <c r="DU35" s="28"/>
      <c r="DV35" s="28"/>
      <c r="DW35" s="28"/>
      <c r="DX35" s="28"/>
      <c r="DY35" s="28"/>
      <c r="DZ35" s="28"/>
      <c r="EA35" s="28"/>
      <c r="EB35" s="28"/>
      <c r="EC35" s="28"/>
      <c r="ED35" s="28"/>
      <c r="EE35" s="28"/>
      <c r="EF35" s="28"/>
      <c r="EG35" s="28"/>
      <c r="EH35" s="28"/>
      <c r="EI35" s="28"/>
      <c r="EJ35" s="28"/>
      <c r="EK35" s="28"/>
      <c r="EL35" s="28"/>
      <c r="EM35" s="28"/>
      <c r="EN35" s="28"/>
      <c r="EO35" s="28"/>
      <c r="EP35" s="28"/>
      <c r="EQ35" s="28"/>
      <c r="ER35" s="28"/>
      <c r="ES35" s="28"/>
      <c r="ET35" s="28"/>
      <c r="EU35" s="28"/>
      <c r="EV35" s="28"/>
      <c r="EW35" s="28"/>
      <c r="EX35" s="28"/>
      <c r="EY35" s="28"/>
      <c r="EZ35" s="28"/>
      <c r="FA35" s="28"/>
      <c r="FB35" s="28"/>
      <c r="FC35" s="28"/>
      <c r="FD35" s="28"/>
      <c r="FE35" s="28"/>
      <c r="FF35" s="28"/>
      <c r="FG35" s="28"/>
      <c r="FH35" s="28"/>
      <c r="FI35" s="28"/>
      <c r="FJ35" s="28"/>
      <c r="FK35" s="28"/>
      <c r="FL35" s="28"/>
      <c r="FM35" s="28"/>
      <c r="FN35" s="28"/>
      <c r="FO35" s="28"/>
      <c r="FP35" s="28"/>
      <c r="FQ35" s="28"/>
      <c r="FR35" s="28"/>
      <c r="FS35" s="28"/>
      <c r="FT35" s="28"/>
      <c r="FU35" s="28"/>
      <c r="FV35" s="28"/>
      <c r="FW35" s="28"/>
      <c r="FX35" s="28"/>
      <c r="FY35" s="28"/>
      <c r="FZ35" s="28"/>
      <c r="GA35" s="28"/>
      <c r="GB35" s="28"/>
      <c r="GC35" s="28"/>
      <c r="GD35" s="28"/>
      <c r="GE35" s="28"/>
      <c r="GF35" s="28"/>
      <c r="GG35" s="28"/>
      <c r="GH35" s="28"/>
      <c r="GI35" s="28"/>
      <c r="GJ35" s="28"/>
      <c r="GK35" s="28"/>
      <c r="GL35" s="28"/>
      <c r="GM35" s="28"/>
      <c r="GN35" s="28"/>
      <c r="GO35" s="28"/>
      <c r="GP35" s="28"/>
      <c r="GQ35" s="28"/>
      <c r="GR35" s="28"/>
      <c r="GS35" s="28"/>
      <c r="GT35" s="28"/>
      <c r="GU35" s="28"/>
      <c r="GV35" s="28"/>
      <c r="GW35" s="28"/>
      <c r="GX35" s="28"/>
      <c r="GY35" s="28"/>
      <c r="GZ35" s="28"/>
      <c r="HA35" s="28"/>
      <c r="HB35" s="28"/>
      <c r="HC35" s="28"/>
      <c r="HD35" s="28"/>
      <c r="HE35" s="28"/>
      <c r="HF35" s="28"/>
      <c r="HG35" s="28"/>
      <c r="HH35" s="28"/>
      <c r="HI35" s="28"/>
      <c r="HJ35" s="28"/>
      <c r="HK35" s="28"/>
    </row>
    <row r="36" spans="1:219" ht="15" customHeight="1">
      <c r="A36" s="100">
        <v>1</v>
      </c>
      <c r="B36" s="132" t="str">
        <f>VLOOKUP(Ruimtestaat[[#This Row],[Code]],Locaties[[Code]:[Locatie]],2,FALSE)</f>
        <v>Mirtehuis</v>
      </c>
      <c r="C36" s="132" t="str">
        <f>VLOOKUP(Ruimtestaat[[#This Row],[Code]],Locaties[[#All],[Code]:[Adres]],4,FALSE)</f>
        <v>Weseperweg 6</v>
      </c>
      <c r="D36" s="132" t="str">
        <f>VLOOKUP(Ruimtestaat[[#This Row],[Code]],Locaties[[#All],[Code]:[Postcode]],5,FALSE)</f>
        <v>8111 PK</v>
      </c>
      <c r="E36" s="132" t="str">
        <f>VLOOKUP(Ruimtestaat[[#This Row],[Code]],Locaties[#All],6,FALSE)</f>
        <v>Heeten</v>
      </c>
      <c r="F36" s="100"/>
      <c r="G36" s="100" t="s">
        <v>1675</v>
      </c>
      <c r="H36" s="344"/>
      <c r="I36" s="345" t="s">
        <v>1650</v>
      </c>
      <c r="J36" s="49">
        <v>20</v>
      </c>
      <c r="K36" s="140" t="str">
        <f>VLOOKUP(Ruimtestaat[[#This Row],[Ruimte code]],Ruimtegroepen[[#All],[Code]:[Ruimte omschrijving]],2,FALSE)</f>
        <v>Niet in Onderhoud</v>
      </c>
      <c r="L36" s="100" t="s">
        <v>100</v>
      </c>
      <c r="M36" s="345" t="s">
        <v>1636</v>
      </c>
      <c r="N36" s="133"/>
      <c r="O36" s="139"/>
      <c r="P36" s="134">
        <f>VLOOKUP(Ruimtestaat[[#This Row],[Ruimte code]],Ruimtegroepen[],4,FALSE)</f>
        <v>0</v>
      </c>
      <c r="Q36" s="100"/>
      <c r="R36" s="100"/>
      <c r="S36" s="100">
        <f>IF(Q36&gt;0,IF(RIGHT(Ruimtestaat[[#This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6" s="100">
        <f>IF(S36&gt;0,VLOOKUP($J36,Ruimtegroepen[],3,FALSE)*VLOOKUP($L36,Vloersoorten[],3,FALSE)*VLOOKUP($R36,Frequenties[],3,FALSE)*VLOOKUP($A36,Locaties[],3,FALSE),0)</f>
        <v>0</v>
      </c>
      <c r="U36" s="100">
        <f>Ruimtestaat[[#This Row],[Uitvoeringen werkdagen]]*Ruimtestaat[[#This Row],[Oppervlak (netto)]]</f>
        <v>0</v>
      </c>
      <c r="V36" s="135">
        <f>IF(T36&gt;0,Ruimtestaat[[#This Row],[Prest. (m2 /jaar) werkdagen]]/Ruimtestaat[[#This Row],[Norm (m2/uur) werkdagen]],0)</f>
        <v>0</v>
      </c>
      <c r="W36" s="136">
        <f>Ruimtestaat[[#This Row],[uren / jaar werkdagen]]*Tariefsopbouw!$E$35</f>
        <v>0</v>
      </c>
      <c r="X36" s="100"/>
      <c r="Y36" s="100">
        <f>IF(Ruimtestaat[[#This Row],[Frequentie weekend]]&gt;0,VALUE(LEFT(X36,1))*Q36,0)</f>
        <v>0</v>
      </c>
      <c r="Z36" s="99">
        <f>IF($Y36&gt;0,VLOOKUP($J36,Ruimtegroepen[],3,FALSE)*VLOOKUP($L36,Vloersoorten[],3,FALSE)*VLOOKUP($X36,Frequenties[],3,FALSE)*VLOOKUP(Ruimtestaat[[#This Row],[Code]],Locaties[],3,FALSE),0)</f>
        <v>0</v>
      </c>
      <c r="AA36" s="99">
        <f>Ruimtestaat[[#This Row],[Uitvoeringen weekend]]*Ruimtestaat[[#This Row],[Oppervlak (netto)]]</f>
        <v>0</v>
      </c>
      <c r="AB36" s="99">
        <f>IF(Z36&gt;0,Ruimtestaat[[#This Row],[Prest. (m2 /jaar) weekend]]/Ruimtestaat[[#This Row],[Norm (m2/uur) weekend]],0)</f>
        <v>0</v>
      </c>
      <c r="AC36" s="136">
        <f>Ruimtestaat[[#This Row],[uren / jaar weekend]]*Tariefsopbouw!$D$40</f>
        <v>0</v>
      </c>
      <c r="AD36" s="135">
        <f>Ruimtestaat[[#This Row],[Prest. (m2 /jaar) weekend]]+Ruimtestaat[[#This Row],[Prest. (m2 /jaar) werkdagen]]</f>
        <v>0</v>
      </c>
      <c r="AE36" s="135">
        <f>Ruimtestaat[[#This Row],[uren / jaar weekend]]+Ruimtestaat[[#This Row],[uren / jaar werkdagen]]</f>
        <v>0</v>
      </c>
      <c r="AF36" s="130">
        <f>Ruimtestaat[[#This Row],[kosten / jaar weekend]]+Ruimtestaat[[#This Row],[kosten / jaar werkdagen]]</f>
        <v>0</v>
      </c>
      <c r="AG36" s="130"/>
      <c r="AH36" s="137" t="str">
        <f>IF(Ruimtestaat[[#This Row],[Frequentie werkdagen]]="","",_xlfn.CONCAT(Ruimtestaat[[#This Row],[Ruimte code]],"-",Ruimtestaat[[#This Row],[Frequentie werkdagen]]," ",Ruimtestaat[[#This Row],[Vloer code]]))</f>
        <v/>
      </c>
      <c r="AI36" s="142" t="str">
        <f>_xlfn.IFNA(VLOOKUP($AH36,Programma!$F$3:$G$1101,2,0),"")</f>
        <v/>
      </c>
      <c r="AJ36" s="142" t="str">
        <f>_xlfn.IFNA(VLOOKUP($AH36,Programma!$F$3:$H$1101,3,0),"")</f>
        <v/>
      </c>
      <c r="AK36" s="142" t="str">
        <f>_xlfn.IFNA(VLOOKUP($AH36,Programma!$F$3:$I$1101,4,0),"")</f>
        <v/>
      </c>
      <c r="AL36" s="142" t="str">
        <f>_xlfn.IFNA(VLOOKUP($AH36,Programma!$F$3:$J$1101,5,0),"")</f>
        <v/>
      </c>
      <c r="AM36" s="142" t="str">
        <f>_xlfn.IFNA(VLOOKUP($AH36,Programma!$F$3:$K$1101,6,0),"")</f>
        <v/>
      </c>
      <c r="AN36" s="142" t="str">
        <f>_xlfn.IFNA(VLOOKUP($AH36,Programma!$F$3:$L$1101,7,0),"")</f>
        <v/>
      </c>
      <c r="AO36" s="142" t="str">
        <f>_xlfn.IFNA(VLOOKUP($AH36,Programma!$F$3:$M$1101,8,0),"")</f>
        <v/>
      </c>
      <c r="AP36" s="142" t="str">
        <f>_xlfn.IFNA(VLOOKUP($AH36,Programma!$F$3:$N$1101,9,0),"")</f>
        <v/>
      </c>
      <c r="AQ36" s="142" t="str">
        <f>_xlfn.IFNA(VLOOKUP($AH36,Programma!$F$3:$O$1101,10,0),"")</f>
        <v/>
      </c>
      <c r="AR36" s="142" t="str">
        <f>_xlfn.IFNA(VLOOKUP($AH36,Programma!$F$3:$P$1101,11,0),"")</f>
        <v/>
      </c>
      <c r="AS36" s="142" t="str">
        <f>_xlfn.IFNA(VLOOKUP($AH36,Programma!$F$3:$Q$1101,12,0),"")</f>
        <v/>
      </c>
      <c r="AT36" s="142" t="str">
        <f>_xlfn.IFNA(VLOOKUP($AH36,Programma!$F$3:$R$1101,13,0),"")</f>
        <v/>
      </c>
      <c r="AU36" s="142" t="str">
        <f>_xlfn.IFNA(VLOOKUP($AH36,Programma!$F$3:$S$1101,14,0),"")</f>
        <v/>
      </c>
      <c r="AV36" s="142" t="str">
        <f>_xlfn.IFNA(VLOOKUP($AH36,Programma!$F$3:$T$1101,15,0),"")</f>
        <v/>
      </c>
      <c r="AW36" s="142" t="str">
        <f>_xlfn.IFNA(VLOOKUP($AH36,Programma!$F$3:$U$1101,16,0),"")</f>
        <v/>
      </c>
      <c r="AX36" s="142" t="str">
        <f>_xlfn.IFNA(VLOOKUP($AH36,Programma!$F$3:$V$1101,17,0),"")</f>
        <v/>
      </c>
      <c r="AY36" s="142" t="str">
        <f>_xlfn.IFNA(VLOOKUP($AH36,Programma!$F$3:$W$1101,18,0),"")</f>
        <v/>
      </c>
      <c r="AZ36" s="142" t="str">
        <f>_xlfn.IFNA(VLOOKUP($AH36,Programma!$F$3:$X$1101,19,0),"")</f>
        <v/>
      </c>
      <c r="BA36" s="142" t="str">
        <f>_xlfn.IFNA(VLOOKUP($AH36,Programma!$F$3:$Y$1101,20,0),"")</f>
        <v/>
      </c>
      <c r="BB36" s="138"/>
      <c r="BC36" s="137" t="str">
        <f>IF(Ruimtestaat[[#This Row],[Frequentie weekend]]="","",_xlfn.CONCAT(Ruimtestaat[[#This Row],[Ruimte code]],"-",Ruimtestaat[[#This Row],[Frequentie weekend]]," ",Ruimtestaat[[#This Row],[Vloer code]]))</f>
        <v/>
      </c>
      <c r="BD36" s="142" t="str">
        <f>_xlfn.IFNA(VLOOKUP($BC36,Programma!$F$3:$G$1101,2,0),"")</f>
        <v/>
      </c>
      <c r="BE36" s="142" t="str">
        <f>_xlfn.IFNA(VLOOKUP($BC36,Programma!$F$3:$H$1101,3,0),"")</f>
        <v/>
      </c>
      <c r="BF36" s="142" t="str">
        <f>_xlfn.IFNA(VLOOKUP($BC36,Programma!$F$3:$I$1101,4,0),"")</f>
        <v/>
      </c>
      <c r="BG36" s="142" t="str">
        <f>_xlfn.IFNA(VLOOKUP($BC36,Programma!$F$3:$J$1101,5,0),"")</f>
        <v/>
      </c>
      <c r="BH36" s="142" t="str">
        <f>_xlfn.IFNA(VLOOKUP($BC36,Programma!$F$3:$K$1101,6,0),"")</f>
        <v/>
      </c>
      <c r="BI36" s="142" t="str">
        <f>_xlfn.IFNA(VLOOKUP($BC36,Programma!$F$3:$L$1101,7,0),"")</f>
        <v/>
      </c>
      <c r="BJ36" s="142" t="str">
        <f>_xlfn.IFNA(VLOOKUP($BC36,Programma!$F$3:$M$1101,8,0),"")</f>
        <v/>
      </c>
      <c r="BK36" s="142" t="str">
        <f>_xlfn.IFNA(VLOOKUP($BC36,Programma!$F$3:$N$1101,9,0),"")</f>
        <v/>
      </c>
      <c r="BL36" s="142" t="str">
        <f>_xlfn.IFNA(VLOOKUP($BC36,Programma!$F$3:$O$1101,10,0),"")</f>
        <v/>
      </c>
      <c r="BM36" s="142" t="str">
        <f>_xlfn.IFNA(VLOOKUP($BC36,Programma!$F$3:$P$1101,11,0),"")</f>
        <v/>
      </c>
      <c r="BN36" s="142" t="str">
        <f>_xlfn.IFNA(VLOOKUP($BC36,Programma!$F$3:$Q$1101,12,0),"")</f>
        <v/>
      </c>
      <c r="BO36" s="142" t="str">
        <f>_xlfn.IFNA(VLOOKUP($BC36,Programma!$F$3:$R$1101,13,0),"")</f>
        <v/>
      </c>
      <c r="BP36" s="142" t="str">
        <f>_xlfn.IFNA(VLOOKUP($BC36,Programma!$F$3:$S$1101,14,0),"")</f>
        <v/>
      </c>
      <c r="BQ36" s="142" t="str">
        <f>_xlfn.IFNA(VLOOKUP($BC36,Programma!$F$3:$T$1101,15,0),"")</f>
        <v/>
      </c>
      <c r="BR36" s="142" t="str">
        <f>_xlfn.IFNA(VLOOKUP($BC36,Programma!$F$3:$U$1101,16,0),"")</f>
        <v/>
      </c>
      <c r="BS36" s="142" t="str">
        <f>_xlfn.IFNA(VLOOKUP($BC36,Programma!$F$3:$V$1101,17,0),"")</f>
        <v/>
      </c>
      <c r="BT36" s="142" t="str">
        <f>_xlfn.IFNA(VLOOKUP($BC36,Programma!$F$3:$W$1101,18,0),"")</f>
        <v/>
      </c>
      <c r="BU36" s="142" t="str">
        <f>_xlfn.IFNA(VLOOKUP($BC36,Programma!$F$3:$X$1101,19,0),"")</f>
        <v/>
      </c>
      <c r="BV36" s="142" t="str">
        <f>_xlfn.IFNA(VLOOKUP($BC36,Programma!$F$3:$Y$1101,20,0),"")</f>
        <v/>
      </c>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28"/>
      <c r="EZ36" s="28"/>
      <c r="FA36" s="28"/>
      <c r="FB36" s="28"/>
      <c r="FC36" s="28"/>
      <c r="FD36" s="28"/>
      <c r="FE36" s="28"/>
      <c r="FF36" s="28"/>
      <c r="FG36" s="28"/>
      <c r="FH36" s="28"/>
      <c r="FI36" s="28"/>
      <c r="FJ36" s="28"/>
      <c r="FK36" s="28"/>
      <c r="FL36" s="28"/>
      <c r="FM36" s="28"/>
      <c r="FN36" s="28"/>
      <c r="FO36" s="28"/>
      <c r="FP36" s="28"/>
      <c r="FQ36" s="28"/>
      <c r="FR36" s="28"/>
      <c r="FS36" s="28"/>
      <c r="FT36" s="28"/>
      <c r="FU36" s="28"/>
      <c r="FV36" s="28"/>
      <c r="FW36" s="28"/>
      <c r="FX36" s="28"/>
      <c r="FY36" s="28"/>
      <c r="FZ36" s="28"/>
      <c r="GA36" s="28"/>
      <c r="GB36" s="28"/>
      <c r="GC36" s="28"/>
      <c r="GD36" s="28"/>
      <c r="GE36" s="28"/>
      <c r="GF36" s="28"/>
      <c r="GG36" s="28"/>
      <c r="GH36" s="28"/>
      <c r="GI36" s="28"/>
      <c r="GJ36" s="28"/>
      <c r="GK36" s="28"/>
      <c r="GL36" s="28"/>
      <c r="GM36" s="28"/>
      <c r="GN36" s="28"/>
      <c r="GO36" s="28"/>
      <c r="GP36" s="28"/>
      <c r="GQ36" s="28"/>
      <c r="GR36" s="28"/>
      <c r="GS36" s="28"/>
      <c r="GT36" s="28"/>
      <c r="GU36" s="28"/>
      <c r="GV36" s="28"/>
      <c r="GW36" s="28"/>
      <c r="GX36" s="28"/>
      <c r="GY36" s="28"/>
      <c r="GZ36" s="28"/>
      <c r="HA36" s="28"/>
      <c r="HB36" s="28"/>
      <c r="HC36" s="28"/>
      <c r="HD36" s="28"/>
      <c r="HE36" s="28"/>
      <c r="HF36" s="28"/>
      <c r="HG36" s="28"/>
      <c r="HH36" s="28"/>
      <c r="HI36" s="28"/>
      <c r="HJ36" s="28"/>
      <c r="HK36" s="28"/>
    </row>
    <row r="37" spans="1:219" ht="15" customHeight="1">
      <c r="A37" s="100">
        <v>1</v>
      </c>
      <c r="B37" s="132" t="str">
        <f>VLOOKUP(Ruimtestaat[[#This Row],[Code]],Locaties[[Code]:[Locatie]],2,FALSE)</f>
        <v>Mirtehuis</v>
      </c>
      <c r="C37" s="132" t="str">
        <f>VLOOKUP(Ruimtestaat[[#This Row],[Code]],Locaties[[#All],[Code]:[Adres]],4,FALSE)</f>
        <v>Weseperweg 6</v>
      </c>
      <c r="D37" s="132" t="str">
        <f>VLOOKUP(Ruimtestaat[[#This Row],[Code]],Locaties[[#All],[Code]:[Postcode]],5,FALSE)</f>
        <v>8111 PK</v>
      </c>
      <c r="E37" s="132" t="str">
        <f>VLOOKUP(Ruimtestaat[[#This Row],[Code]],Locaties[#All],6,FALSE)</f>
        <v>Heeten</v>
      </c>
      <c r="F37" s="100"/>
      <c r="G37" s="100" t="s">
        <v>1675</v>
      </c>
      <c r="H37" s="344" t="s">
        <v>1658</v>
      </c>
      <c r="I37" s="345" t="s">
        <v>1656</v>
      </c>
      <c r="J37" s="49">
        <v>20</v>
      </c>
      <c r="K37" s="140" t="str">
        <f>VLOOKUP(Ruimtestaat[[#This Row],[Ruimte code]],Ruimtegroepen[[#All],[Code]:[Ruimte omschrijving]],2,FALSE)</f>
        <v>Niet in Onderhoud</v>
      </c>
      <c r="L37" s="100" t="s">
        <v>100</v>
      </c>
      <c r="M37" s="345" t="s">
        <v>1636</v>
      </c>
      <c r="N37" s="133"/>
      <c r="O37" s="100"/>
      <c r="P37" s="134">
        <f>VLOOKUP(Ruimtestaat[[#This Row],[Ruimte code]],Ruimtegroepen[],4,FALSE)</f>
        <v>0</v>
      </c>
      <c r="Q37" s="100"/>
      <c r="R37" s="100"/>
      <c r="S37" s="100">
        <f>IF(Q37&gt;0,IF(RIGHT(Ruimtestaat[[#This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7" s="100">
        <f>IF(S37&gt;0,VLOOKUP($J37,Ruimtegroepen[],3,FALSE)*VLOOKUP($L37,Vloersoorten[],3,FALSE)*VLOOKUP($R37,Frequenties[],3,FALSE)*VLOOKUP($A37,Locaties[],3,FALSE),0)</f>
        <v>0</v>
      </c>
      <c r="U37" s="100">
        <f>Ruimtestaat[[#This Row],[Uitvoeringen werkdagen]]*Ruimtestaat[[#This Row],[Oppervlak (netto)]]</f>
        <v>0</v>
      </c>
      <c r="V37" s="135">
        <f>IF(T37&gt;0,Ruimtestaat[[#This Row],[Prest. (m2 /jaar) werkdagen]]/Ruimtestaat[[#This Row],[Norm (m2/uur) werkdagen]],0)</f>
        <v>0</v>
      </c>
      <c r="W37" s="136">
        <f>Ruimtestaat[[#This Row],[uren / jaar werkdagen]]*Tariefsopbouw!$E$35</f>
        <v>0</v>
      </c>
      <c r="X37" s="100"/>
      <c r="Y37" s="100">
        <f>IF(Ruimtestaat[[#This Row],[Frequentie weekend]]&gt;0,VALUE(LEFT(X37,1))*Q37,0)</f>
        <v>0</v>
      </c>
      <c r="Z37" s="99">
        <f>IF($Y37&gt;0,VLOOKUP($J37,Ruimtegroepen[],3,FALSE)*VLOOKUP($L37,Vloersoorten[],3,FALSE)*VLOOKUP($X37,Frequenties[],3,FALSE)*VLOOKUP(Ruimtestaat[[#This Row],[Code]],Locaties[],3,FALSE),0)</f>
        <v>0</v>
      </c>
      <c r="AA37" s="99">
        <f>Ruimtestaat[[#This Row],[Uitvoeringen weekend]]*Ruimtestaat[[#This Row],[Oppervlak (netto)]]</f>
        <v>0</v>
      </c>
      <c r="AB37" s="99">
        <f>IF(Z37&gt;0,Ruimtestaat[[#This Row],[Prest. (m2 /jaar) weekend]]/Ruimtestaat[[#This Row],[Norm (m2/uur) weekend]],0)</f>
        <v>0</v>
      </c>
      <c r="AC37" s="136">
        <f>Ruimtestaat[[#This Row],[uren / jaar weekend]]*Tariefsopbouw!$D$40</f>
        <v>0</v>
      </c>
      <c r="AD37" s="135">
        <f>Ruimtestaat[[#This Row],[Prest. (m2 /jaar) weekend]]+Ruimtestaat[[#This Row],[Prest. (m2 /jaar) werkdagen]]</f>
        <v>0</v>
      </c>
      <c r="AE37" s="135">
        <f>Ruimtestaat[[#This Row],[uren / jaar weekend]]+Ruimtestaat[[#This Row],[uren / jaar werkdagen]]</f>
        <v>0</v>
      </c>
      <c r="AF37" s="130">
        <f>Ruimtestaat[[#This Row],[kosten / jaar weekend]]+Ruimtestaat[[#This Row],[kosten / jaar werkdagen]]</f>
        <v>0</v>
      </c>
      <c r="AG37" s="130"/>
      <c r="AH37" s="137" t="str">
        <f>IF(Ruimtestaat[[#This Row],[Frequentie werkdagen]]="","",_xlfn.CONCAT(Ruimtestaat[[#This Row],[Ruimte code]],"-",Ruimtestaat[[#This Row],[Frequentie werkdagen]]," ",Ruimtestaat[[#This Row],[Vloer code]]))</f>
        <v/>
      </c>
      <c r="AI37" s="142" t="str">
        <f>_xlfn.IFNA(VLOOKUP($AH37,Programma!$F$3:$G$1101,2,0),"")</f>
        <v/>
      </c>
      <c r="AJ37" s="142" t="str">
        <f>_xlfn.IFNA(VLOOKUP($AH37,Programma!$F$3:$H$1101,3,0),"")</f>
        <v/>
      </c>
      <c r="AK37" s="142" t="str">
        <f>_xlfn.IFNA(VLOOKUP($AH37,Programma!$F$3:$I$1101,4,0),"")</f>
        <v/>
      </c>
      <c r="AL37" s="142" t="str">
        <f>_xlfn.IFNA(VLOOKUP($AH37,Programma!$F$3:$J$1101,5,0),"")</f>
        <v/>
      </c>
      <c r="AM37" s="142" t="str">
        <f>_xlfn.IFNA(VLOOKUP($AH37,Programma!$F$3:$K$1101,6,0),"")</f>
        <v/>
      </c>
      <c r="AN37" s="142" t="str">
        <f>_xlfn.IFNA(VLOOKUP($AH37,Programma!$F$3:$L$1101,7,0),"")</f>
        <v/>
      </c>
      <c r="AO37" s="142" t="str">
        <f>_xlfn.IFNA(VLOOKUP($AH37,Programma!$F$3:$M$1101,8,0),"")</f>
        <v/>
      </c>
      <c r="AP37" s="142" t="str">
        <f>_xlfn.IFNA(VLOOKUP($AH37,Programma!$F$3:$N$1101,9,0),"")</f>
        <v/>
      </c>
      <c r="AQ37" s="142" t="str">
        <f>_xlfn.IFNA(VLOOKUP($AH37,Programma!$F$3:$O$1101,10,0),"")</f>
        <v/>
      </c>
      <c r="AR37" s="142" t="str">
        <f>_xlfn.IFNA(VLOOKUP($AH37,Programma!$F$3:$P$1101,11,0),"")</f>
        <v/>
      </c>
      <c r="AS37" s="142" t="str">
        <f>_xlfn.IFNA(VLOOKUP($AH37,Programma!$F$3:$Q$1101,12,0),"")</f>
        <v/>
      </c>
      <c r="AT37" s="142" t="str">
        <f>_xlfn.IFNA(VLOOKUP($AH37,Programma!$F$3:$R$1101,13,0),"")</f>
        <v/>
      </c>
      <c r="AU37" s="142" t="str">
        <f>_xlfn.IFNA(VLOOKUP($AH37,Programma!$F$3:$S$1101,14,0),"")</f>
        <v/>
      </c>
      <c r="AV37" s="142" t="str">
        <f>_xlfn.IFNA(VLOOKUP($AH37,Programma!$F$3:$T$1101,15,0),"")</f>
        <v/>
      </c>
      <c r="AW37" s="142" t="str">
        <f>_xlfn.IFNA(VLOOKUP($AH37,Programma!$F$3:$U$1101,16,0),"")</f>
        <v/>
      </c>
      <c r="AX37" s="142" t="str">
        <f>_xlfn.IFNA(VLOOKUP($AH37,Programma!$F$3:$V$1101,17,0),"")</f>
        <v/>
      </c>
      <c r="AY37" s="142" t="str">
        <f>_xlfn.IFNA(VLOOKUP($AH37,Programma!$F$3:$W$1101,18,0),"")</f>
        <v/>
      </c>
      <c r="AZ37" s="142" t="str">
        <f>_xlfn.IFNA(VLOOKUP($AH37,Programma!$F$3:$X$1101,19,0),"")</f>
        <v/>
      </c>
      <c r="BA37" s="142" t="str">
        <f>_xlfn.IFNA(VLOOKUP($AH37,Programma!$F$3:$Y$1101,20,0),"")</f>
        <v/>
      </c>
      <c r="BB37" s="138"/>
      <c r="BC37" s="137" t="str">
        <f>IF(Ruimtestaat[[#This Row],[Frequentie weekend]]="","",_xlfn.CONCAT(Ruimtestaat[[#This Row],[Ruimte code]],"-",Ruimtestaat[[#This Row],[Frequentie weekend]]," ",Ruimtestaat[[#This Row],[Vloer code]]))</f>
        <v/>
      </c>
      <c r="BD37" s="142" t="str">
        <f>_xlfn.IFNA(VLOOKUP($BC37,Programma!$F$3:$G$1101,2,0),"")</f>
        <v/>
      </c>
      <c r="BE37" s="142" t="str">
        <f>_xlfn.IFNA(VLOOKUP($BC37,Programma!$F$3:$H$1101,3,0),"")</f>
        <v/>
      </c>
      <c r="BF37" s="142" t="str">
        <f>_xlfn.IFNA(VLOOKUP($BC37,Programma!$F$3:$I$1101,4,0),"")</f>
        <v/>
      </c>
      <c r="BG37" s="142" t="str">
        <f>_xlfn.IFNA(VLOOKUP($BC37,Programma!$F$3:$J$1101,5,0),"")</f>
        <v/>
      </c>
      <c r="BH37" s="142" t="str">
        <f>_xlfn.IFNA(VLOOKUP($BC37,Programma!$F$3:$K$1101,6,0),"")</f>
        <v/>
      </c>
      <c r="BI37" s="142" t="str">
        <f>_xlfn.IFNA(VLOOKUP($BC37,Programma!$F$3:$L$1101,7,0),"")</f>
        <v/>
      </c>
      <c r="BJ37" s="142" t="str">
        <f>_xlfn.IFNA(VLOOKUP($BC37,Programma!$F$3:$M$1101,8,0),"")</f>
        <v/>
      </c>
      <c r="BK37" s="142" t="str">
        <f>_xlfn.IFNA(VLOOKUP($BC37,Programma!$F$3:$N$1101,9,0),"")</f>
        <v/>
      </c>
      <c r="BL37" s="142" t="str">
        <f>_xlfn.IFNA(VLOOKUP($BC37,Programma!$F$3:$O$1101,10,0),"")</f>
        <v/>
      </c>
      <c r="BM37" s="142" t="str">
        <f>_xlfn.IFNA(VLOOKUP($BC37,Programma!$F$3:$P$1101,11,0),"")</f>
        <v/>
      </c>
      <c r="BN37" s="142" t="str">
        <f>_xlfn.IFNA(VLOOKUP($BC37,Programma!$F$3:$Q$1101,12,0),"")</f>
        <v/>
      </c>
      <c r="BO37" s="142" t="str">
        <f>_xlfn.IFNA(VLOOKUP($BC37,Programma!$F$3:$R$1101,13,0),"")</f>
        <v/>
      </c>
      <c r="BP37" s="142" t="str">
        <f>_xlfn.IFNA(VLOOKUP($BC37,Programma!$F$3:$S$1101,14,0),"")</f>
        <v/>
      </c>
      <c r="BQ37" s="142" t="str">
        <f>_xlfn.IFNA(VLOOKUP($BC37,Programma!$F$3:$T$1101,15,0),"")</f>
        <v/>
      </c>
      <c r="BR37" s="142" t="str">
        <f>_xlfn.IFNA(VLOOKUP($BC37,Programma!$F$3:$U$1101,16,0),"")</f>
        <v/>
      </c>
      <c r="BS37" s="142" t="str">
        <f>_xlfn.IFNA(VLOOKUP($BC37,Programma!$F$3:$V$1101,17,0),"")</f>
        <v/>
      </c>
      <c r="BT37" s="142" t="str">
        <f>_xlfn.IFNA(VLOOKUP($BC37,Programma!$F$3:$W$1101,18,0),"")</f>
        <v/>
      </c>
      <c r="BU37" s="142" t="str">
        <f>_xlfn.IFNA(VLOOKUP($BC37,Programma!$F$3:$X$1101,19,0),"")</f>
        <v/>
      </c>
      <c r="BV37" s="142" t="str">
        <f>_xlfn.IFNA(VLOOKUP($BC37,Programma!$F$3:$Y$1101,20,0),"")</f>
        <v/>
      </c>
      <c r="BW37" s="28"/>
      <c r="BX37" s="28"/>
      <c r="BY37" s="28"/>
      <c r="BZ37" s="28"/>
      <c r="CA37" s="28"/>
      <c r="CB37" s="28"/>
      <c r="CC37" s="28"/>
      <c r="CD37" s="28"/>
      <c r="CE37" s="28"/>
      <c r="CF37" s="28"/>
      <c r="CG37" s="28"/>
      <c r="CH37" s="28"/>
      <c r="CI37" s="28"/>
      <c r="CJ37" s="28"/>
      <c r="CK37" s="28"/>
      <c r="CL37" s="28"/>
      <c r="CM37" s="28"/>
      <c r="CN37" s="28"/>
      <c r="CO37" s="28"/>
      <c r="CP37" s="28"/>
      <c r="CQ37" s="28"/>
      <c r="CR37" s="28"/>
      <c r="CS37" s="28"/>
      <c r="CT37" s="28"/>
      <c r="CU37" s="28"/>
      <c r="CV37" s="28"/>
      <c r="CW37" s="28"/>
      <c r="CX37" s="28"/>
      <c r="CY37" s="28"/>
      <c r="CZ37" s="28"/>
      <c r="DA37" s="28"/>
      <c r="DB37" s="28"/>
      <c r="DC37" s="28"/>
      <c r="DD37" s="28"/>
      <c r="DE37" s="28"/>
      <c r="DF37" s="28"/>
      <c r="DG37" s="28"/>
      <c r="DH37" s="28"/>
      <c r="DI37" s="28"/>
      <c r="DJ37" s="28"/>
      <c r="DK37" s="28"/>
      <c r="DL37" s="28"/>
      <c r="DM37" s="28"/>
      <c r="DN37" s="28"/>
      <c r="DO37" s="28"/>
      <c r="DP37" s="28"/>
      <c r="DQ37" s="28"/>
      <c r="DR37" s="28"/>
      <c r="DS37" s="28"/>
      <c r="DT37" s="28"/>
      <c r="DU37" s="28"/>
      <c r="DV37" s="28"/>
      <c r="DW37" s="28"/>
      <c r="DX37" s="28"/>
      <c r="DY37" s="28"/>
      <c r="DZ37" s="28"/>
      <c r="EA37" s="28"/>
      <c r="EB37" s="28"/>
      <c r="EC37" s="28"/>
      <c r="ED37" s="28"/>
      <c r="EE37" s="28"/>
      <c r="EF37" s="28"/>
      <c r="EG37" s="28"/>
      <c r="EH37" s="28"/>
      <c r="EI37" s="28"/>
      <c r="EJ37" s="28"/>
      <c r="EK37" s="28"/>
      <c r="EL37" s="28"/>
      <c r="EM37" s="28"/>
      <c r="EN37" s="28"/>
      <c r="EO37" s="28"/>
      <c r="EP37" s="28"/>
      <c r="EQ37" s="28"/>
      <c r="ER37" s="28"/>
      <c r="ES37" s="28"/>
      <c r="ET37" s="28"/>
      <c r="EU37" s="28"/>
      <c r="EV37" s="28"/>
      <c r="EW37" s="28"/>
      <c r="EX37" s="28"/>
      <c r="EY37" s="28"/>
      <c r="EZ37" s="28"/>
      <c r="FA37" s="28"/>
      <c r="FB37" s="28"/>
      <c r="FC37" s="28"/>
      <c r="FD37" s="28"/>
      <c r="FE37" s="28"/>
      <c r="FF37" s="28"/>
      <c r="FG37" s="28"/>
      <c r="FH37" s="28"/>
      <c r="FI37" s="28"/>
      <c r="FJ37" s="28"/>
      <c r="FK37" s="28"/>
      <c r="FL37" s="28"/>
      <c r="FM37" s="28"/>
      <c r="FN37" s="28"/>
      <c r="FO37" s="28"/>
      <c r="FP37" s="28"/>
      <c r="FQ37" s="28"/>
      <c r="FR37" s="28"/>
      <c r="FS37" s="28"/>
      <c r="FT37" s="28"/>
      <c r="FU37" s="28"/>
      <c r="FV37" s="28"/>
      <c r="FW37" s="28"/>
      <c r="FX37" s="28"/>
      <c r="FY37" s="28"/>
      <c r="FZ37" s="28"/>
      <c r="GA37" s="28"/>
      <c r="GB37" s="28"/>
      <c r="GC37" s="28"/>
      <c r="GD37" s="28"/>
      <c r="GE37" s="28"/>
      <c r="GF37" s="28"/>
      <c r="GG37" s="28"/>
      <c r="GH37" s="28"/>
      <c r="GI37" s="28"/>
      <c r="GJ37" s="28"/>
      <c r="GK37" s="28"/>
      <c r="GL37" s="28"/>
      <c r="GM37" s="28"/>
      <c r="GN37" s="28"/>
      <c r="GO37" s="28"/>
      <c r="GP37" s="28"/>
      <c r="GQ37" s="28"/>
      <c r="GR37" s="28"/>
      <c r="GS37" s="28"/>
      <c r="GT37" s="28"/>
      <c r="GU37" s="28"/>
      <c r="GV37" s="28"/>
      <c r="GW37" s="28"/>
      <c r="GX37" s="28"/>
      <c r="GY37" s="28"/>
      <c r="GZ37" s="28"/>
      <c r="HA37" s="28"/>
      <c r="HB37" s="28"/>
      <c r="HC37" s="28"/>
      <c r="HD37" s="28"/>
      <c r="HE37" s="28"/>
      <c r="HF37" s="28"/>
      <c r="HG37" s="28"/>
      <c r="HH37" s="28"/>
      <c r="HI37" s="28"/>
      <c r="HJ37" s="28"/>
      <c r="HK37" s="28"/>
    </row>
    <row r="38" spans="1:219" ht="15" customHeight="1">
      <c r="A38" s="100">
        <v>1</v>
      </c>
      <c r="B38" s="132" t="str">
        <f>VLOOKUP(Ruimtestaat[[#This Row],[Code]],Locaties[[Code]:[Locatie]],2,FALSE)</f>
        <v>Mirtehuis</v>
      </c>
      <c r="C38" s="132" t="str">
        <f>VLOOKUP(Ruimtestaat[[#This Row],[Code]],Locaties[[#All],[Code]:[Adres]],4,FALSE)</f>
        <v>Weseperweg 6</v>
      </c>
      <c r="D38" s="132" t="str">
        <f>VLOOKUP(Ruimtestaat[[#This Row],[Code]],Locaties[[#All],[Code]:[Postcode]],5,FALSE)</f>
        <v>8111 PK</v>
      </c>
      <c r="E38" s="132" t="str">
        <f>VLOOKUP(Ruimtestaat[[#This Row],[Code]],Locaties[#All],6,FALSE)</f>
        <v>Heeten</v>
      </c>
      <c r="F38" s="100"/>
      <c r="G38" s="100" t="s">
        <v>1675</v>
      </c>
      <c r="H38" s="344"/>
      <c r="I38" s="345" t="s">
        <v>22</v>
      </c>
      <c r="J38" s="49">
        <v>20</v>
      </c>
      <c r="K38" s="140" t="str">
        <f>VLOOKUP(Ruimtestaat[[#This Row],[Ruimte code]],Ruimtegroepen[[#All],[Code]:[Ruimte omschrijving]],2,FALSE)</f>
        <v>Niet in Onderhoud</v>
      </c>
      <c r="L38" s="100" t="s">
        <v>101</v>
      </c>
      <c r="M38" s="345" t="s">
        <v>1642</v>
      </c>
      <c r="N38" s="133"/>
      <c r="O38" s="139"/>
      <c r="P38" s="134">
        <f>VLOOKUP(Ruimtestaat[[#This Row],[Ruimte code]],Ruimtegroepen[],4,FALSE)</f>
        <v>0</v>
      </c>
      <c r="Q38" s="100"/>
      <c r="R38" s="100"/>
      <c r="S38" s="100">
        <f>IF(Q38&gt;0,IF(RIGHT(Ruimtestaat[[#This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8" s="100">
        <f>IF(S38&gt;0,VLOOKUP($J38,Ruimtegroepen[],3,FALSE)*VLOOKUP($L38,Vloersoorten[],3,FALSE)*VLOOKUP($R38,Frequenties[],3,FALSE)*VLOOKUP($A38,Locaties[],3,FALSE),0)</f>
        <v>0</v>
      </c>
      <c r="U38" s="100">
        <f>Ruimtestaat[[#This Row],[Uitvoeringen werkdagen]]*Ruimtestaat[[#This Row],[Oppervlak (netto)]]</f>
        <v>0</v>
      </c>
      <c r="V38" s="135">
        <f>IF(T38&gt;0,Ruimtestaat[[#This Row],[Prest. (m2 /jaar) werkdagen]]/Ruimtestaat[[#This Row],[Norm (m2/uur) werkdagen]],0)</f>
        <v>0</v>
      </c>
      <c r="W38" s="136">
        <f>Ruimtestaat[[#This Row],[uren / jaar werkdagen]]*Tariefsopbouw!$E$35</f>
        <v>0</v>
      </c>
      <c r="X38" s="100"/>
      <c r="Y38" s="100">
        <f>IF(Ruimtestaat[[#This Row],[Frequentie weekend]]&gt;0,VALUE(LEFT(X38,1))*Q38,0)</f>
        <v>0</v>
      </c>
      <c r="Z38" s="99">
        <f>IF($Y38&gt;0,VLOOKUP($J38,Ruimtegroepen[],3,FALSE)*VLOOKUP($L38,Vloersoorten[],3,FALSE)*VLOOKUP($X38,Frequenties[],3,FALSE)*VLOOKUP(Ruimtestaat[[#This Row],[Code]],Locaties[],3,FALSE),0)</f>
        <v>0</v>
      </c>
      <c r="AA38" s="99">
        <f>Ruimtestaat[[#This Row],[Uitvoeringen weekend]]*Ruimtestaat[[#This Row],[Oppervlak (netto)]]</f>
        <v>0</v>
      </c>
      <c r="AB38" s="99">
        <f>IF(Z38&gt;0,Ruimtestaat[[#This Row],[Prest. (m2 /jaar) weekend]]/Ruimtestaat[[#This Row],[Norm (m2/uur) weekend]],0)</f>
        <v>0</v>
      </c>
      <c r="AC38" s="136">
        <f>Ruimtestaat[[#This Row],[uren / jaar weekend]]*Tariefsopbouw!$D$40</f>
        <v>0</v>
      </c>
      <c r="AD38" s="135">
        <f>Ruimtestaat[[#This Row],[Prest. (m2 /jaar) weekend]]+Ruimtestaat[[#This Row],[Prest. (m2 /jaar) werkdagen]]</f>
        <v>0</v>
      </c>
      <c r="AE38" s="135">
        <f>Ruimtestaat[[#This Row],[uren / jaar weekend]]+Ruimtestaat[[#This Row],[uren / jaar werkdagen]]</f>
        <v>0</v>
      </c>
      <c r="AF38" s="130">
        <f>Ruimtestaat[[#This Row],[kosten / jaar weekend]]+Ruimtestaat[[#This Row],[kosten / jaar werkdagen]]</f>
        <v>0</v>
      </c>
      <c r="AG38" s="130"/>
      <c r="AH38" s="137" t="str">
        <f>IF(Ruimtestaat[[#This Row],[Frequentie werkdagen]]="","",_xlfn.CONCAT(Ruimtestaat[[#This Row],[Ruimte code]],"-",Ruimtestaat[[#This Row],[Frequentie werkdagen]]," ",Ruimtestaat[[#This Row],[Vloer code]]))</f>
        <v/>
      </c>
      <c r="AI38" s="142" t="str">
        <f>_xlfn.IFNA(VLOOKUP($AH38,Programma!$F$3:$G$1101,2,0),"")</f>
        <v/>
      </c>
      <c r="AJ38" s="142" t="str">
        <f>_xlfn.IFNA(VLOOKUP($AH38,Programma!$F$3:$H$1101,3,0),"")</f>
        <v/>
      </c>
      <c r="AK38" s="142" t="str">
        <f>_xlfn.IFNA(VLOOKUP($AH38,Programma!$F$3:$I$1101,4,0),"")</f>
        <v/>
      </c>
      <c r="AL38" s="142" t="str">
        <f>_xlfn.IFNA(VLOOKUP($AH38,Programma!$F$3:$J$1101,5,0),"")</f>
        <v/>
      </c>
      <c r="AM38" s="142" t="str">
        <f>_xlfn.IFNA(VLOOKUP($AH38,Programma!$F$3:$K$1101,6,0),"")</f>
        <v/>
      </c>
      <c r="AN38" s="142" t="str">
        <f>_xlfn.IFNA(VLOOKUP($AH38,Programma!$F$3:$L$1101,7,0),"")</f>
        <v/>
      </c>
      <c r="AO38" s="142" t="str">
        <f>_xlfn.IFNA(VLOOKUP($AH38,Programma!$F$3:$M$1101,8,0),"")</f>
        <v/>
      </c>
      <c r="AP38" s="142" t="str">
        <f>_xlfn.IFNA(VLOOKUP($AH38,Programma!$F$3:$N$1101,9,0),"")</f>
        <v/>
      </c>
      <c r="AQ38" s="142" t="str">
        <f>_xlfn.IFNA(VLOOKUP($AH38,Programma!$F$3:$O$1101,10,0),"")</f>
        <v/>
      </c>
      <c r="AR38" s="142" t="str">
        <f>_xlfn.IFNA(VLOOKUP($AH38,Programma!$F$3:$P$1101,11,0),"")</f>
        <v/>
      </c>
      <c r="AS38" s="142" t="str">
        <f>_xlfn.IFNA(VLOOKUP($AH38,Programma!$F$3:$Q$1101,12,0),"")</f>
        <v/>
      </c>
      <c r="AT38" s="142" t="str">
        <f>_xlfn.IFNA(VLOOKUP($AH38,Programma!$F$3:$R$1101,13,0),"")</f>
        <v/>
      </c>
      <c r="AU38" s="142" t="str">
        <f>_xlfn.IFNA(VLOOKUP($AH38,Programma!$F$3:$S$1101,14,0),"")</f>
        <v/>
      </c>
      <c r="AV38" s="142" t="str">
        <f>_xlfn.IFNA(VLOOKUP($AH38,Programma!$F$3:$T$1101,15,0),"")</f>
        <v/>
      </c>
      <c r="AW38" s="142" t="str">
        <f>_xlfn.IFNA(VLOOKUP($AH38,Programma!$F$3:$U$1101,16,0),"")</f>
        <v/>
      </c>
      <c r="AX38" s="142" t="str">
        <f>_xlfn.IFNA(VLOOKUP($AH38,Programma!$F$3:$V$1101,17,0),"")</f>
        <v/>
      </c>
      <c r="AY38" s="142" t="str">
        <f>_xlfn.IFNA(VLOOKUP($AH38,Programma!$F$3:$W$1101,18,0),"")</f>
        <v/>
      </c>
      <c r="AZ38" s="142" t="str">
        <f>_xlfn.IFNA(VLOOKUP($AH38,Programma!$F$3:$X$1101,19,0),"")</f>
        <v/>
      </c>
      <c r="BA38" s="142" t="str">
        <f>_xlfn.IFNA(VLOOKUP($AH38,Programma!$F$3:$Y$1101,20,0),"")</f>
        <v/>
      </c>
      <c r="BB38" s="138"/>
      <c r="BC38" s="137" t="str">
        <f>IF(Ruimtestaat[[#This Row],[Frequentie weekend]]="","",_xlfn.CONCAT(Ruimtestaat[[#This Row],[Ruimte code]],"-",Ruimtestaat[[#This Row],[Frequentie weekend]]," ",Ruimtestaat[[#This Row],[Vloer code]]))</f>
        <v/>
      </c>
      <c r="BD38" s="142" t="str">
        <f>_xlfn.IFNA(VLOOKUP($BC38,Programma!$F$3:$G$1101,2,0),"")</f>
        <v/>
      </c>
      <c r="BE38" s="142" t="str">
        <f>_xlfn.IFNA(VLOOKUP($BC38,Programma!$F$3:$H$1101,3,0),"")</f>
        <v/>
      </c>
      <c r="BF38" s="142" t="str">
        <f>_xlfn.IFNA(VLOOKUP($BC38,Programma!$F$3:$I$1101,4,0),"")</f>
        <v/>
      </c>
      <c r="BG38" s="142" t="str">
        <f>_xlfn.IFNA(VLOOKUP($BC38,Programma!$F$3:$J$1101,5,0),"")</f>
        <v/>
      </c>
      <c r="BH38" s="142" t="str">
        <f>_xlfn.IFNA(VLOOKUP($BC38,Programma!$F$3:$K$1101,6,0),"")</f>
        <v/>
      </c>
      <c r="BI38" s="142" t="str">
        <f>_xlfn.IFNA(VLOOKUP($BC38,Programma!$F$3:$L$1101,7,0),"")</f>
        <v/>
      </c>
      <c r="BJ38" s="142" t="str">
        <f>_xlfn.IFNA(VLOOKUP($BC38,Programma!$F$3:$M$1101,8,0),"")</f>
        <v/>
      </c>
      <c r="BK38" s="142" t="str">
        <f>_xlfn.IFNA(VLOOKUP($BC38,Programma!$F$3:$N$1101,9,0),"")</f>
        <v/>
      </c>
      <c r="BL38" s="142" t="str">
        <f>_xlfn.IFNA(VLOOKUP($BC38,Programma!$F$3:$O$1101,10,0),"")</f>
        <v/>
      </c>
      <c r="BM38" s="142" t="str">
        <f>_xlfn.IFNA(VLOOKUP($BC38,Programma!$F$3:$P$1101,11,0),"")</f>
        <v/>
      </c>
      <c r="BN38" s="142" t="str">
        <f>_xlfn.IFNA(VLOOKUP($BC38,Programma!$F$3:$Q$1101,12,0),"")</f>
        <v/>
      </c>
      <c r="BO38" s="142" t="str">
        <f>_xlfn.IFNA(VLOOKUP($BC38,Programma!$F$3:$R$1101,13,0),"")</f>
        <v/>
      </c>
      <c r="BP38" s="142" t="str">
        <f>_xlfn.IFNA(VLOOKUP($BC38,Programma!$F$3:$S$1101,14,0),"")</f>
        <v/>
      </c>
      <c r="BQ38" s="142" t="str">
        <f>_xlfn.IFNA(VLOOKUP($BC38,Programma!$F$3:$T$1101,15,0),"")</f>
        <v/>
      </c>
      <c r="BR38" s="142" t="str">
        <f>_xlfn.IFNA(VLOOKUP($BC38,Programma!$F$3:$U$1101,16,0),"")</f>
        <v/>
      </c>
      <c r="BS38" s="142" t="str">
        <f>_xlfn.IFNA(VLOOKUP($BC38,Programma!$F$3:$V$1101,17,0),"")</f>
        <v/>
      </c>
      <c r="BT38" s="142" t="str">
        <f>_xlfn.IFNA(VLOOKUP($BC38,Programma!$F$3:$W$1101,18,0),"")</f>
        <v/>
      </c>
      <c r="BU38" s="142" t="str">
        <f>_xlfn.IFNA(VLOOKUP($BC38,Programma!$F$3:$X$1101,19,0),"")</f>
        <v/>
      </c>
      <c r="BV38" s="142" t="str">
        <f>_xlfn.IFNA(VLOOKUP($BC38,Programma!$F$3:$Y$1101,20,0),"")</f>
        <v/>
      </c>
      <c r="BW38" s="28"/>
      <c r="BX38" s="28"/>
      <c r="BY38" s="28"/>
      <c r="BZ38" s="28"/>
      <c r="CA38" s="28"/>
      <c r="CB38" s="28"/>
      <c r="CC38" s="28"/>
      <c r="CD38" s="28"/>
      <c r="CE38" s="28"/>
      <c r="CF38" s="28"/>
      <c r="CG38" s="28"/>
      <c r="CH38" s="28"/>
      <c r="CI38" s="28"/>
      <c r="CJ38" s="28"/>
      <c r="CK38" s="28"/>
      <c r="CL38" s="28"/>
      <c r="CM38" s="28"/>
      <c r="CN38" s="28"/>
      <c r="CO38" s="28"/>
      <c r="CP38" s="28"/>
      <c r="CQ38" s="28"/>
      <c r="CR38" s="28"/>
      <c r="CS38" s="28"/>
      <c r="CT38" s="28"/>
      <c r="CU38" s="28"/>
      <c r="CV38" s="28"/>
      <c r="CW38" s="28"/>
      <c r="CX38" s="28"/>
      <c r="CY38" s="28"/>
      <c r="CZ38" s="28"/>
      <c r="DA38" s="28"/>
      <c r="DB38" s="28"/>
      <c r="DC38" s="28"/>
      <c r="DD38" s="28"/>
      <c r="DE38" s="28"/>
      <c r="DF38" s="28"/>
      <c r="DG38" s="28"/>
      <c r="DH38" s="28"/>
      <c r="DI38" s="28"/>
      <c r="DJ38" s="28"/>
      <c r="DK38" s="28"/>
      <c r="DL38" s="28"/>
      <c r="DM38" s="28"/>
      <c r="DN38" s="28"/>
      <c r="DO38" s="28"/>
      <c r="DP38" s="28"/>
      <c r="DQ38" s="28"/>
      <c r="DR38" s="28"/>
      <c r="DS38" s="28"/>
      <c r="DT38" s="28"/>
      <c r="DU38" s="28"/>
      <c r="DV38" s="28"/>
      <c r="DW38" s="28"/>
      <c r="DX38" s="28"/>
      <c r="DY38" s="28"/>
      <c r="DZ38" s="28"/>
      <c r="EA38" s="28"/>
      <c r="EB38" s="28"/>
      <c r="EC38" s="28"/>
      <c r="ED38" s="28"/>
      <c r="EE38" s="28"/>
      <c r="EF38" s="28"/>
      <c r="EG38" s="28"/>
      <c r="EH38" s="28"/>
      <c r="EI38" s="28"/>
      <c r="EJ38" s="28"/>
      <c r="EK38" s="28"/>
      <c r="EL38" s="28"/>
      <c r="EM38" s="28"/>
      <c r="EN38" s="28"/>
      <c r="EO38" s="28"/>
      <c r="EP38" s="28"/>
      <c r="EQ38" s="28"/>
      <c r="ER38" s="28"/>
      <c r="ES38" s="28"/>
      <c r="ET38" s="28"/>
      <c r="EU38" s="28"/>
      <c r="EV38" s="28"/>
      <c r="EW38" s="28"/>
      <c r="EX38" s="28"/>
      <c r="EY38" s="28"/>
      <c r="EZ38" s="28"/>
      <c r="FA38" s="28"/>
      <c r="FB38" s="28"/>
      <c r="FC38" s="28"/>
      <c r="FD38" s="28"/>
      <c r="FE38" s="28"/>
      <c r="FF38" s="28"/>
      <c r="FG38" s="28"/>
      <c r="FH38" s="28"/>
      <c r="FI38" s="28"/>
      <c r="FJ38" s="28"/>
      <c r="FK38" s="28"/>
      <c r="FL38" s="28"/>
      <c r="FM38" s="28"/>
      <c r="FN38" s="28"/>
      <c r="FO38" s="28"/>
      <c r="FP38" s="28"/>
      <c r="FQ38" s="28"/>
      <c r="FR38" s="28"/>
      <c r="FS38" s="28"/>
      <c r="FT38" s="28"/>
      <c r="FU38" s="28"/>
      <c r="FV38" s="28"/>
      <c r="FW38" s="28"/>
      <c r="FX38" s="28"/>
      <c r="FY38" s="28"/>
      <c r="FZ38" s="28"/>
      <c r="GA38" s="28"/>
      <c r="GB38" s="28"/>
      <c r="GC38" s="28"/>
      <c r="GD38" s="28"/>
      <c r="GE38" s="28"/>
      <c r="GF38" s="28"/>
      <c r="GG38" s="28"/>
      <c r="GH38" s="28"/>
      <c r="GI38" s="28"/>
      <c r="GJ38" s="28"/>
      <c r="GK38" s="28"/>
      <c r="GL38" s="28"/>
      <c r="GM38" s="28"/>
      <c r="GN38" s="28"/>
      <c r="GO38" s="28"/>
      <c r="GP38" s="28"/>
      <c r="GQ38" s="28"/>
      <c r="GR38" s="28"/>
      <c r="GS38" s="28"/>
      <c r="GT38" s="28"/>
      <c r="GU38" s="28"/>
      <c r="GV38" s="28"/>
      <c r="GW38" s="28"/>
      <c r="GX38" s="28"/>
      <c r="GY38" s="28"/>
      <c r="GZ38" s="28"/>
      <c r="HA38" s="28"/>
      <c r="HB38" s="28"/>
      <c r="HC38" s="28"/>
      <c r="HD38" s="28"/>
      <c r="HE38" s="28"/>
      <c r="HF38" s="28"/>
      <c r="HG38" s="28"/>
      <c r="HH38" s="28"/>
      <c r="HI38" s="28"/>
      <c r="HJ38" s="28"/>
      <c r="HK38" s="28"/>
    </row>
    <row r="39" spans="1:219" ht="15" customHeight="1">
      <c r="A39" s="100">
        <v>1</v>
      </c>
      <c r="B39" s="132" t="str">
        <f>VLOOKUP(Ruimtestaat[[#This Row],[Code]],Locaties[[Code]:[Locatie]],2,FALSE)</f>
        <v>Mirtehuis</v>
      </c>
      <c r="C39" s="132" t="str">
        <f>VLOOKUP(Ruimtestaat[[#This Row],[Code]],Locaties[[#All],[Code]:[Adres]],4,FALSE)</f>
        <v>Weseperweg 6</v>
      </c>
      <c r="D39" s="132" t="str">
        <f>VLOOKUP(Ruimtestaat[[#This Row],[Code]],Locaties[[#All],[Code]:[Postcode]],5,FALSE)</f>
        <v>8111 PK</v>
      </c>
      <c r="E39" s="132" t="str">
        <f>VLOOKUP(Ruimtestaat[[#This Row],[Code]],Locaties[#All],6,FALSE)</f>
        <v>Heeten</v>
      </c>
      <c r="F39" s="100"/>
      <c r="G39" s="100" t="s">
        <v>1675</v>
      </c>
      <c r="H39" s="344"/>
      <c r="I39" s="345" t="s">
        <v>1635</v>
      </c>
      <c r="J39" s="49">
        <v>20</v>
      </c>
      <c r="K39" s="140" t="str">
        <f>VLOOKUP(Ruimtestaat[[#This Row],[Ruimte code]],Ruimtegroepen[[#All],[Code]:[Ruimte omschrijving]],2,FALSE)</f>
        <v>Niet in Onderhoud</v>
      </c>
      <c r="L39" s="100" t="s">
        <v>100</v>
      </c>
      <c r="M39" s="345" t="s">
        <v>1636</v>
      </c>
      <c r="N39" s="133"/>
      <c r="O39" s="139"/>
      <c r="P39" s="134">
        <f>VLOOKUP(Ruimtestaat[[#This Row],[Ruimte code]],Ruimtegroepen[],4,FALSE)</f>
        <v>0</v>
      </c>
      <c r="Q39" s="100"/>
      <c r="R39" s="100"/>
      <c r="S39" s="100">
        <f>IF(Q39&gt;0,IF(RIGHT(Ruimtestaat[[#This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9" s="100">
        <f>IF(S39&gt;0,VLOOKUP($J39,Ruimtegroepen[],3,FALSE)*VLOOKUP($L39,Vloersoorten[],3,FALSE)*VLOOKUP($R39,Frequenties[],3,FALSE)*VLOOKUP($A39,Locaties[],3,FALSE),0)</f>
        <v>0</v>
      </c>
      <c r="U39" s="100">
        <f>Ruimtestaat[[#This Row],[Uitvoeringen werkdagen]]*Ruimtestaat[[#This Row],[Oppervlak (netto)]]</f>
        <v>0</v>
      </c>
      <c r="V39" s="135">
        <f>IF(T39&gt;0,Ruimtestaat[[#This Row],[Prest. (m2 /jaar) werkdagen]]/Ruimtestaat[[#This Row],[Norm (m2/uur) werkdagen]],0)</f>
        <v>0</v>
      </c>
      <c r="W39" s="136">
        <f>Ruimtestaat[[#This Row],[uren / jaar werkdagen]]*Tariefsopbouw!$E$35</f>
        <v>0</v>
      </c>
      <c r="X39" s="100"/>
      <c r="Y39" s="100">
        <f>IF(Ruimtestaat[[#This Row],[Frequentie weekend]]&gt;0,VALUE(LEFT(X39,1))*Q39,0)</f>
        <v>0</v>
      </c>
      <c r="Z39" s="99">
        <f>IF($Y39&gt;0,VLOOKUP($J39,Ruimtegroepen[],3,FALSE)*VLOOKUP($L39,Vloersoorten[],3,FALSE)*VLOOKUP($X39,Frequenties[],3,FALSE)*VLOOKUP(Ruimtestaat[[#This Row],[Code]],Locaties[],3,FALSE),0)</f>
        <v>0</v>
      </c>
      <c r="AA39" s="99">
        <f>Ruimtestaat[[#This Row],[Uitvoeringen weekend]]*Ruimtestaat[[#This Row],[Oppervlak (netto)]]</f>
        <v>0</v>
      </c>
      <c r="AB39" s="99">
        <f>IF(Z39&gt;0,Ruimtestaat[[#This Row],[Prest. (m2 /jaar) weekend]]/Ruimtestaat[[#This Row],[Norm (m2/uur) weekend]],0)</f>
        <v>0</v>
      </c>
      <c r="AC39" s="136">
        <f>Ruimtestaat[[#This Row],[uren / jaar weekend]]*Tariefsopbouw!$D$40</f>
        <v>0</v>
      </c>
      <c r="AD39" s="135">
        <f>Ruimtestaat[[#This Row],[Prest. (m2 /jaar) weekend]]+Ruimtestaat[[#This Row],[Prest. (m2 /jaar) werkdagen]]</f>
        <v>0</v>
      </c>
      <c r="AE39" s="135">
        <f>Ruimtestaat[[#This Row],[uren / jaar weekend]]+Ruimtestaat[[#This Row],[uren / jaar werkdagen]]</f>
        <v>0</v>
      </c>
      <c r="AF39" s="130">
        <f>Ruimtestaat[[#This Row],[kosten / jaar weekend]]+Ruimtestaat[[#This Row],[kosten / jaar werkdagen]]</f>
        <v>0</v>
      </c>
      <c r="AG39" s="130"/>
      <c r="AH39" s="137" t="str">
        <f>IF(Ruimtestaat[[#This Row],[Frequentie werkdagen]]="","",_xlfn.CONCAT(Ruimtestaat[[#This Row],[Ruimte code]],"-",Ruimtestaat[[#This Row],[Frequentie werkdagen]]," ",Ruimtestaat[[#This Row],[Vloer code]]))</f>
        <v/>
      </c>
      <c r="AI39" s="142" t="str">
        <f>_xlfn.IFNA(VLOOKUP($AH39,Programma!$F$3:$G$1101,2,0),"")</f>
        <v/>
      </c>
      <c r="AJ39" s="142" t="str">
        <f>_xlfn.IFNA(VLOOKUP($AH39,Programma!$F$3:$H$1101,3,0),"")</f>
        <v/>
      </c>
      <c r="AK39" s="142" t="str">
        <f>_xlfn.IFNA(VLOOKUP($AH39,Programma!$F$3:$I$1101,4,0),"")</f>
        <v/>
      </c>
      <c r="AL39" s="142" t="str">
        <f>_xlfn.IFNA(VLOOKUP($AH39,Programma!$F$3:$J$1101,5,0),"")</f>
        <v/>
      </c>
      <c r="AM39" s="142" t="str">
        <f>_xlfn.IFNA(VLOOKUP($AH39,Programma!$F$3:$K$1101,6,0),"")</f>
        <v/>
      </c>
      <c r="AN39" s="142" t="str">
        <f>_xlfn.IFNA(VLOOKUP($AH39,Programma!$F$3:$L$1101,7,0),"")</f>
        <v/>
      </c>
      <c r="AO39" s="142" t="str">
        <f>_xlfn.IFNA(VLOOKUP($AH39,Programma!$F$3:$M$1101,8,0),"")</f>
        <v/>
      </c>
      <c r="AP39" s="142" t="str">
        <f>_xlfn.IFNA(VLOOKUP($AH39,Programma!$F$3:$N$1101,9,0),"")</f>
        <v/>
      </c>
      <c r="AQ39" s="142" t="str">
        <f>_xlfn.IFNA(VLOOKUP($AH39,Programma!$F$3:$O$1101,10,0),"")</f>
        <v/>
      </c>
      <c r="AR39" s="142" t="str">
        <f>_xlfn.IFNA(VLOOKUP($AH39,Programma!$F$3:$P$1101,11,0),"")</f>
        <v/>
      </c>
      <c r="AS39" s="142" t="str">
        <f>_xlfn.IFNA(VLOOKUP($AH39,Programma!$F$3:$Q$1101,12,0),"")</f>
        <v/>
      </c>
      <c r="AT39" s="142" t="str">
        <f>_xlfn.IFNA(VLOOKUP($AH39,Programma!$F$3:$R$1101,13,0),"")</f>
        <v/>
      </c>
      <c r="AU39" s="142" t="str">
        <f>_xlfn.IFNA(VLOOKUP($AH39,Programma!$F$3:$S$1101,14,0),"")</f>
        <v/>
      </c>
      <c r="AV39" s="142" t="str">
        <f>_xlfn.IFNA(VLOOKUP($AH39,Programma!$F$3:$T$1101,15,0),"")</f>
        <v/>
      </c>
      <c r="AW39" s="142" t="str">
        <f>_xlfn.IFNA(VLOOKUP($AH39,Programma!$F$3:$U$1101,16,0),"")</f>
        <v/>
      </c>
      <c r="AX39" s="142" t="str">
        <f>_xlfn.IFNA(VLOOKUP($AH39,Programma!$F$3:$V$1101,17,0),"")</f>
        <v/>
      </c>
      <c r="AY39" s="142" t="str">
        <f>_xlfn.IFNA(VLOOKUP($AH39,Programma!$F$3:$W$1101,18,0),"")</f>
        <v/>
      </c>
      <c r="AZ39" s="142" t="str">
        <f>_xlfn.IFNA(VLOOKUP($AH39,Programma!$F$3:$X$1101,19,0),"")</f>
        <v/>
      </c>
      <c r="BA39" s="142" t="str">
        <f>_xlfn.IFNA(VLOOKUP($AH39,Programma!$F$3:$Y$1101,20,0),"")</f>
        <v/>
      </c>
      <c r="BB39" s="138"/>
      <c r="BC39" s="137" t="str">
        <f>IF(Ruimtestaat[[#This Row],[Frequentie weekend]]="","",_xlfn.CONCAT(Ruimtestaat[[#This Row],[Ruimte code]],"-",Ruimtestaat[[#This Row],[Frequentie weekend]]," ",Ruimtestaat[[#This Row],[Vloer code]]))</f>
        <v/>
      </c>
      <c r="BD39" s="142" t="str">
        <f>_xlfn.IFNA(VLOOKUP($BC39,Programma!$F$3:$G$1101,2,0),"")</f>
        <v/>
      </c>
      <c r="BE39" s="142" t="str">
        <f>_xlfn.IFNA(VLOOKUP($BC39,Programma!$F$3:$H$1101,3,0),"")</f>
        <v/>
      </c>
      <c r="BF39" s="142" t="str">
        <f>_xlfn.IFNA(VLOOKUP($BC39,Programma!$F$3:$I$1101,4,0),"")</f>
        <v/>
      </c>
      <c r="BG39" s="142" t="str">
        <f>_xlfn.IFNA(VLOOKUP($BC39,Programma!$F$3:$J$1101,5,0),"")</f>
        <v/>
      </c>
      <c r="BH39" s="142" t="str">
        <f>_xlfn.IFNA(VLOOKUP($BC39,Programma!$F$3:$K$1101,6,0),"")</f>
        <v/>
      </c>
      <c r="BI39" s="142" t="str">
        <f>_xlfn.IFNA(VLOOKUP($BC39,Programma!$F$3:$L$1101,7,0),"")</f>
        <v/>
      </c>
      <c r="BJ39" s="142" t="str">
        <f>_xlfn.IFNA(VLOOKUP($BC39,Programma!$F$3:$M$1101,8,0),"")</f>
        <v/>
      </c>
      <c r="BK39" s="142" t="str">
        <f>_xlfn.IFNA(VLOOKUP($BC39,Programma!$F$3:$N$1101,9,0),"")</f>
        <v/>
      </c>
      <c r="BL39" s="142" t="str">
        <f>_xlfn.IFNA(VLOOKUP($BC39,Programma!$F$3:$O$1101,10,0),"")</f>
        <v/>
      </c>
      <c r="BM39" s="142" t="str">
        <f>_xlfn.IFNA(VLOOKUP($BC39,Programma!$F$3:$P$1101,11,0),"")</f>
        <v/>
      </c>
      <c r="BN39" s="142" t="str">
        <f>_xlfn.IFNA(VLOOKUP($BC39,Programma!$F$3:$Q$1101,12,0),"")</f>
        <v/>
      </c>
      <c r="BO39" s="142" t="str">
        <f>_xlfn.IFNA(VLOOKUP($BC39,Programma!$F$3:$R$1101,13,0),"")</f>
        <v/>
      </c>
      <c r="BP39" s="142" t="str">
        <f>_xlfn.IFNA(VLOOKUP($BC39,Programma!$F$3:$S$1101,14,0),"")</f>
        <v/>
      </c>
      <c r="BQ39" s="142" t="str">
        <f>_xlfn.IFNA(VLOOKUP($BC39,Programma!$F$3:$T$1101,15,0),"")</f>
        <v/>
      </c>
      <c r="BR39" s="142" t="str">
        <f>_xlfn.IFNA(VLOOKUP($BC39,Programma!$F$3:$U$1101,16,0),"")</f>
        <v/>
      </c>
      <c r="BS39" s="142" t="str">
        <f>_xlfn.IFNA(VLOOKUP($BC39,Programma!$F$3:$V$1101,17,0),"")</f>
        <v/>
      </c>
      <c r="BT39" s="142" t="str">
        <f>_xlfn.IFNA(VLOOKUP($BC39,Programma!$F$3:$W$1101,18,0),"")</f>
        <v/>
      </c>
      <c r="BU39" s="142" t="str">
        <f>_xlfn.IFNA(VLOOKUP($BC39,Programma!$F$3:$X$1101,19,0),"")</f>
        <v/>
      </c>
      <c r="BV39" s="142" t="str">
        <f>_xlfn.IFNA(VLOOKUP($BC39,Programma!$F$3:$Y$1101,20,0),"")</f>
        <v/>
      </c>
      <c r="BW39" s="28"/>
      <c r="BX39" s="28"/>
      <c r="BY39" s="28"/>
      <c r="BZ39" s="28"/>
      <c r="CA39" s="28"/>
      <c r="CB39" s="28"/>
      <c r="CC39" s="28"/>
      <c r="CD39" s="28"/>
      <c r="CE39" s="28"/>
      <c r="CF39" s="28"/>
      <c r="CG39" s="28"/>
      <c r="CH39" s="28"/>
      <c r="CI39" s="28"/>
      <c r="CJ39" s="28"/>
      <c r="CK39" s="28"/>
      <c r="CL39" s="28"/>
      <c r="CM39" s="28"/>
      <c r="CN39" s="28"/>
      <c r="CO39" s="28"/>
      <c r="CP39" s="28"/>
      <c r="CQ39" s="28"/>
      <c r="CR39" s="28"/>
      <c r="CS39" s="28"/>
      <c r="CT39" s="28"/>
      <c r="CU39" s="28"/>
      <c r="CV39" s="28"/>
      <c r="CW39" s="28"/>
      <c r="CX39" s="28"/>
      <c r="CY39" s="28"/>
      <c r="CZ39" s="28"/>
      <c r="DA39" s="28"/>
      <c r="DB39" s="28"/>
      <c r="DC39" s="28"/>
      <c r="DD39" s="28"/>
      <c r="DE39" s="28"/>
      <c r="DF39" s="28"/>
      <c r="DG39" s="28"/>
      <c r="DH39" s="28"/>
      <c r="DI39" s="28"/>
      <c r="DJ39" s="28"/>
      <c r="DK39" s="28"/>
      <c r="DL39" s="28"/>
      <c r="DM39" s="28"/>
      <c r="DN39" s="28"/>
      <c r="DO39" s="28"/>
      <c r="DP39" s="28"/>
      <c r="DQ39" s="28"/>
      <c r="DR39" s="28"/>
      <c r="DS39" s="28"/>
      <c r="DT39" s="28"/>
      <c r="DU39" s="28"/>
      <c r="DV39" s="28"/>
      <c r="DW39" s="28"/>
      <c r="DX39" s="28"/>
      <c r="DY39" s="28"/>
      <c r="DZ39" s="28"/>
      <c r="EA39" s="28"/>
      <c r="EB39" s="28"/>
      <c r="EC39" s="28"/>
      <c r="ED39" s="28"/>
      <c r="EE39" s="28"/>
      <c r="EF39" s="28"/>
      <c r="EG39" s="28"/>
      <c r="EH39" s="28"/>
      <c r="EI39" s="28"/>
      <c r="EJ39" s="28"/>
      <c r="EK39" s="28"/>
      <c r="EL39" s="28"/>
      <c r="EM39" s="28"/>
      <c r="EN39" s="28"/>
      <c r="EO39" s="28"/>
      <c r="EP39" s="28"/>
      <c r="EQ39" s="28"/>
      <c r="ER39" s="28"/>
      <c r="ES39" s="28"/>
      <c r="ET39" s="28"/>
      <c r="EU39" s="28"/>
      <c r="EV39" s="28"/>
      <c r="EW39" s="28"/>
      <c r="EX39" s="28"/>
      <c r="EY39" s="28"/>
      <c r="EZ39" s="28"/>
      <c r="FA39" s="28"/>
      <c r="FB39" s="28"/>
      <c r="FC39" s="28"/>
      <c r="FD39" s="28"/>
      <c r="FE39" s="28"/>
      <c r="FF39" s="28"/>
      <c r="FG39" s="28"/>
      <c r="FH39" s="28"/>
      <c r="FI39" s="28"/>
      <c r="FJ39" s="28"/>
      <c r="FK39" s="28"/>
      <c r="FL39" s="28"/>
      <c r="FM39" s="28"/>
      <c r="FN39" s="28"/>
      <c r="FO39" s="28"/>
      <c r="FP39" s="28"/>
      <c r="FQ39" s="28"/>
      <c r="FR39" s="28"/>
      <c r="FS39" s="28"/>
      <c r="FT39" s="28"/>
      <c r="FU39" s="28"/>
      <c r="FV39" s="28"/>
      <c r="FW39" s="28"/>
      <c r="FX39" s="28"/>
      <c r="FY39" s="28"/>
      <c r="FZ39" s="28"/>
      <c r="GA39" s="28"/>
      <c r="GB39" s="28"/>
      <c r="GC39" s="28"/>
      <c r="GD39" s="28"/>
      <c r="GE39" s="28"/>
      <c r="GF39" s="28"/>
      <c r="GG39" s="28"/>
      <c r="GH39" s="28"/>
      <c r="GI39" s="28"/>
      <c r="GJ39" s="28"/>
      <c r="GK39" s="28"/>
      <c r="GL39" s="28"/>
      <c r="GM39" s="28"/>
      <c r="GN39" s="28"/>
      <c r="GO39" s="28"/>
      <c r="GP39" s="28"/>
      <c r="GQ39" s="28"/>
      <c r="GR39" s="28"/>
      <c r="GS39" s="28"/>
      <c r="GT39" s="28"/>
      <c r="GU39" s="28"/>
      <c r="GV39" s="28"/>
      <c r="GW39" s="28"/>
      <c r="GX39" s="28"/>
      <c r="GY39" s="28"/>
      <c r="GZ39" s="28"/>
      <c r="HA39" s="28"/>
      <c r="HB39" s="28"/>
      <c r="HC39" s="28"/>
      <c r="HD39" s="28"/>
      <c r="HE39" s="28"/>
      <c r="HF39" s="28"/>
      <c r="HG39" s="28"/>
      <c r="HH39" s="28"/>
      <c r="HI39" s="28"/>
      <c r="HJ39" s="28"/>
      <c r="HK39" s="28"/>
    </row>
    <row r="40" spans="1:219" ht="15" customHeight="1">
      <c r="A40" s="100">
        <v>1</v>
      </c>
      <c r="B40" s="132" t="str">
        <f>VLOOKUP(Ruimtestaat[[#This Row],[Code]],Locaties[[Code]:[Locatie]],2,FALSE)</f>
        <v>Mirtehuis</v>
      </c>
      <c r="C40" s="132" t="str">
        <f>VLOOKUP(Ruimtestaat[[#This Row],[Code]],Locaties[[#All],[Code]:[Adres]],4,FALSE)</f>
        <v>Weseperweg 6</v>
      </c>
      <c r="D40" s="132" t="str">
        <f>VLOOKUP(Ruimtestaat[[#This Row],[Code]],Locaties[[#All],[Code]:[Postcode]],5,FALSE)</f>
        <v>8111 PK</v>
      </c>
      <c r="E40" s="132" t="str">
        <f>VLOOKUP(Ruimtestaat[[#This Row],[Code]],Locaties[#All],6,FALSE)</f>
        <v>Heeten</v>
      </c>
      <c r="F40" s="100"/>
      <c r="G40" s="100" t="s">
        <v>1675</v>
      </c>
      <c r="H40" s="344"/>
      <c r="I40" s="345" t="s">
        <v>1650</v>
      </c>
      <c r="J40" s="49">
        <v>20</v>
      </c>
      <c r="K40" s="140" t="str">
        <f>VLOOKUP(Ruimtestaat[[#This Row],[Ruimte code]],Ruimtegroepen[[#All],[Code]:[Ruimte omschrijving]],2,FALSE)</f>
        <v>Niet in Onderhoud</v>
      </c>
      <c r="L40" s="100" t="s">
        <v>100</v>
      </c>
      <c r="M40" s="345" t="s">
        <v>1636</v>
      </c>
      <c r="N40" s="133"/>
      <c r="O40" s="100"/>
      <c r="P40" s="134">
        <f>VLOOKUP(Ruimtestaat[[#This Row],[Ruimte code]],Ruimtegroepen[],4,FALSE)</f>
        <v>0</v>
      </c>
      <c r="Q40" s="100"/>
      <c r="R40" s="100"/>
      <c r="S40" s="100">
        <f>IF(Q40&gt;0,IF(RIGHT(Ruimtestaat[[#This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40" s="100">
        <f>IF(S40&gt;0,VLOOKUP($J40,Ruimtegroepen[],3,FALSE)*VLOOKUP($L40,Vloersoorten[],3,FALSE)*VLOOKUP($R40,Frequenties[],3,FALSE)*VLOOKUP($A40,Locaties[],3,FALSE),0)</f>
        <v>0</v>
      </c>
      <c r="U40" s="100">
        <f>Ruimtestaat[[#This Row],[Uitvoeringen werkdagen]]*Ruimtestaat[[#This Row],[Oppervlak (netto)]]</f>
        <v>0</v>
      </c>
      <c r="V40" s="135">
        <f>IF(T40&gt;0,Ruimtestaat[[#This Row],[Prest. (m2 /jaar) werkdagen]]/Ruimtestaat[[#This Row],[Norm (m2/uur) werkdagen]],0)</f>
        <v>0</v>
      </c>
      <c r="W40" s="136">
        <f>Ruimtestaat[[#This Row],[uren / jaar werkdagen]]*Tariefsopbouw!$E$35</f>
        <v>0</v>
      </c>
      <c r="X40" s="100"/>
      <c r="Y40" s="100">
        <f>IF(Ruimtestaat[[#This Row],[Frequentie weekend]]&gt;0,VALUE(LEFT(X40,1))*Q40,0)</f>
        <v>0</v>
      </c>
      <c r="Z40" s="99">
        <f>IF($Y40&gt;0,VLOOKUP($J40,Ruimtegroepen[],3,FALSE)*VLOOKUP($L40,Vloersoorten[],3,FALSE)*VLOOKUP($X40,Frequenties[],3,FALSE)*VLOOKUP(Ruimtestaat[[#This Row],[Code]],Locaties[],3,FALSE),0)</f>
        <v>0</v>
      </c>
      <c r="AA40" s="99">
        <f>Ruimtestaat[[#This Row],[Uitvoeringen weekend]]*Ruimtestaat[[#This Row],[Oppervlak (netto)]]</f>
        <v>0</v>
      </c>
      <c r="AB40" s="99">
        <f>IF(Z40&gt;0,Ruimtestaat[[#This Row],[Prest. (m2 /jaar) weekend]]/Ruimtestaat[[#This Row],[Norm (m2/uur) weekend]],0)</f>
        <v>0</v>
      </c>
      <c r="AC40" s="136">
        <f>Ruimtestaat[[#This Row],[uren / jaar weekend]]*Tariefsopbouw!$D$40</f>
        <v>0</v>
      </c>
      <c r="AD40" s="135">
        <f>Ruimtestaat[[#This Row],[Prest. (m2 /jaar) weekend]]+Ruimtestaat[[#This Row],[Prest. (m2 /jaar) werkdagen]]</f>
        <v>0</v>
      </c>
      <c r="AE40" s="135">
        <f>Ruimtestaat[[#This Row],[uren / jaar weekend]]+Ruimtestaat[[#This Row],[uren / jaar werkdagen]]</f>
        <v>0</v>
      </c>
      <c r="AF40" s="130">
        <f>Ruimtestaat[[#This Row],[kosten / jaar weekend]]+Ruimtestaat[[#This Row],[kosten / jaar werkdagen]]</f>
        <v>0</v>
      </c>
      <c r="AG40" s="130"/>
      <c r="AH40" s="137" t="str">
        <f>IF(Ruimtestaat[[#This Row],[Frequentie werkdagen]]="","",_xlfn.CONCAT(Ruimtestaat[[#This Row],[Ruimte code]],"-",Ruimtestaat[[#This Row],[Frequentie werkdagen]]," ",Ruimtestaat[[#This Row],[Vloer code]]))</f>
        <v/>
      </c>
      <c r="AI40" s="142" t="str">
        <f>_xlfn.IFNA(VLOOKUP($AH40,Programma!$F$3:$G$1101,2,0),"")</f>
        <v/>
      </c>
      <c r="AJ40" s="142" t="str">
        <f>_xlfn.IFNA(VLOOKUP($AH40,Programma!$F$3:$H$1101,3,0),"")</f>
        <v/>
      </c>
      <c r="AK40" s="142" t="str">
        <f>_xlfn.IFNA(VLOOKUP($AH40,Programma!$F$3:$I$1101,4,0),"")</f>
        <v/>
      </c>
      <c r="AL40" s="142" t="str">
        <f>_xlfn.IFNA(VLOOKUP($AH40,Programma!$F$3:$J$1101,5,0),"")</f>
        <v/>
      </c>
      <c r="AM40" s="142" t="str">
        <f>_xlfn.IFNA(VLOOKUP($AH40,Programma!$F$3:$K$1101,6,0),"")</f>
        <v/>
      </c>
      <c r="AN40" s="142" t="str">
        <f>_xlfn.IFNA(VLOOKUP($AH40,Programma!$F$3:$L$1101,7,0),"")</f>
        <v/>
      </c>
      <c r="AO40" s="142" t="str">
        <f>_xlfn.IFNA(VLOOKUP($AH40,Programma!$F$3:$M$1101,8,0),"")</f>
        <v/>
      </c>
      <c r="AP40" s="142" t="str">
        <f>_xlfn.IFNA(VLOOKUP($AH40,Programma!$F$3:$N$1101,9,0),"")</f>
        <v/>
      </c>
      <c r="AQ40" s="142" t="str">
        <f>_xlfn.IFNA(VLOOKUP($AH40,Programma!$F$3:$O$1101,10,0),"")</f>
        <v/>
      </c>
      <c r="AR40" s="142" t="str">
        <f>_xlfn.IFNA(VLOOKUP($AH40,Programma!$F$3:$P$1101,11,0),"")</f>
        <v/>
      </c>
      <c r="AS40" s="142" t="str">
        <f>_xlfn.IFNA(VLOOKUP($AH40,Programma!$F$3:$Q$1101,12,0),"")</f>
        <v/>
      </c>
      <c r="AT40" s="142" t="str">
        <f>_xlfn.IFNA(VLOOKUP($AH40,Programma!$F$3:$R$1101,13,0),"")</f>
        <v/>
      </c>
      <c r="AU40" s="142" t="str">
        <f>_xlfn.IFNA(VLOOKUP($AH40,Programma!$F$3:$S$1101,14,0),"")</f>
        <v/>
      </c>
      <c r="AV40" s="142" t="str">
        <f>_xlfn.IFNA(VLOOKUP($AH40,Programma!$F$3:$T$1101,15,0),"")</f>
        <v/>
      </c>
      <c r="AW40" s="142" t="str">
        <f>_xlfn.IFNA(VLOOKUP($AH40,Programma!$F$3:$U$1101,16,0),"")</f>
        <v/>
      </c>
      <c r="AX40" s="142" t="str">
        <f>_xlfn.IFNA(VLOOKUP($AH40,Programma!$F$3:$V$1101,17,0),"")</f>
        <v/>
      </c>
      <c r="AY40" s="142" t="str">
        <f>_xlfn.IFNA(VLOOKUP($AH40,Programma!$F$3:$W$1101,18,0),"")</f>
        <v/>
      </c>
      <c r="AZ40" s="142" t="str">
        <f>_xlfn.IFNA(VLOOKUP($AH40,Programma!$F$3:$X$1101,19,0),"")</f>
        <v/>
      </c>
      <c r="BA40" s="142" t="str">
        <f>_xlfn.IFNA(VLOOKUP($AH40,Programma!$F$3:$Y$1101,20,0),"")</f>
        <v/>
      </c>
      <c r="BB40" s="138"/>
      <c r="BC40" s="137" t="str">
        <f>IF(Ruimtestaat[[#This Row],[Frequentie weekend]]="","",_xlfn.CONCAT(Ruimtestaat[[#This Row],[Ruimte code]],"-",Ruimtestaat[[#This Row],[Frequentie weekend]]," ",Ruimtestaat[[#This Row],[Vloer code]]))</f>
        <v/>
      </c>
      <c r="BD40" s="142" t="str">
        <f>_xlfn.IFNA(VLOOKUP($BC40,Programma!$F$3:$G$1101,2,0),"")</f>
        <v/>
      </c>
      <c r="BE40" s="142" t="str">
        <f>_xlfn.IFNA(VLOOKUP($BC40,Programma!$F$3:$H$1101,3,0),"")</f>
        <v/>
      </c>
      <c r="BF40" s="142" t="str">
        <f>_xlfn.IFNA(VLOOKUP($BC40,Programma!$F$3:$I$1101,4,0),"")</f>
        <v/>
      </c>
      <c r="BG40" s="142" t="str">
        <f>_xlfn.IFNA(VLOOKUP($BC40,Programma!$F$3:$J$1101,5,0),"")</f>
        <v/>
      </c>
      <c r="BH40" s="142" t="str">
        <f>_xlfn.IFNA(VLOOKUP($BC40,Programma!$F$3:$K$1101,6,0),"")</f>
        <v/>
      </c>
      <c r="BI40" s="142" t="str">
        <f>_xlfn.IFNA(VLOOKUP($BC40,Programma!$F$3:$L$1101,7,0),"")</f>
        <v/>
      </c>
      <c r="BJ40" s="142" t="str">
        <f>_xlfn.IFNA(VLOOKUP($BC40,Programma!$F$3:$M$1101,8,0),"")</f>
        <v/>
      </c>
      <c r="BK40" s="142" t="str">
        <f>_xlfn.IFNA(VLOOKUP($BC40,Programma!$F$3:$N$1101,9,0),"")</f>
        <v/>
      </c>
      <c r="BL40" s="142" t="str">
        <f>_xlfn.IFNA(VLOOKUP($BC40,Programma!$F$3:$O$1101,10,0),"")</f>
        <v/>
      </c>
      <c r="BM40" s="142" t="str">
        <f>_xlfn.IFNA(VLOOKUP($BC40,Programma!$F$3:$P$1101,11,0),"")</f>
        <v/>
      </c>
      <c r="BN40" s="142" t="str">
        <f>_xlfn.IFNA(VLOOKUP($BC40,Programma!$F$3:$Q$1101,12,0),"")</f>
        <v/>
      </c>
      <c r="BO40" s="142" t="str">
        <f>_xlfn.IFNA(VLOOKUP($BC40,Programma!$F$3:$R$1101,13,0),"")</f>
        <v/>
      </c>
      <c r="BP40" s="142" t="str">
        <f>_xlfn.IFNA(VLOOKUP($BC40,Programma!$F$3:$S$1101,14,0),"")</f>
        <v/>
      </c>
      <c r="BQ40" s="142" t="str">
        <f>_xlfn.IFNA(VLOOKUP($BC40,Programma!$F$3:$T$1101,15,0),"")</f>
        <v/>
      </c>
      <c r="BR40" s="142" t="str">
        <f>_xlfn.IFNA(VLOOKUP($BC40,Programma!$F$3:$U$1101,16,0),"")</f>
        <v/>
      </c>
      <c r="BS40" s="142" t="str">
        <f>_xlfn.IFNA(VLOOKUP($BC40,Programma!$F$3:$V$1101,17,0),"")</f>
        <v/>
      </c>
      <c r="BT40" s="142" t="str">
        <f>_xlfn.IFNA(VLOOKUP($BC40,Programma!$F$3:$W$1101,18,0),"")</f>
        <v/>
      </c>
      <c r="BU40" s="142" t="str">
        <f>_xlfn.IFNA(VLOOKUP($BC40,Programma!$F$3:$X$1101,19,0),"")</f>
        <v/>
      </c>
      <c r="BV40" s="142" t="str">
        <f>_xlfn.IFNA(VLOOKUP($BC40,Programma!$F$3:$Y$1101,20,0),"")</f>
        <v/>
      </c>
      <c r="BW40" s="28"/>
      <c r="BX40" s="28"/>
      <c r="BY40" s="28"/>
      <c r="BZ40" s="28"/>
      <c r="CA40" s="28"/>
      <c r="CB40" s="28"/>
      <c r="CC40" s="28"/>
      <c r="CD40" s="28"/>
      <c r="CE40" s="28"/>
      <c r="CF40" s="28"/>
      <c r="CG40" s="28"/>
      <c r="CH40" s="28"/>
      <c r="CI40" s="28"/>
      <c r="CJ40" s="28"/>
      <c r="CK40" s="28"/>
      <c r="CL40" s="28"/>
      <c r="CM40" s="28"/>
      <c r="CN40" s="28"/>
      <c r="CO40" s="28"/>
      <c r="CP40" s="28"/>
      <c r="CQ40" s="28"/>
      <c r="CR40" s="28"/>
      <c r="CS40" s="28"/>
      <c r="CT40" s="28"/>
      <c r="CU40" s="28"/>
      <c r="CV40" s="28"/>
      <c r="CW40" s="28"/>
      <c r="CX40" s="28"/>
      <c r="CY40" s="28"/>
      <c r="CZ40" s="28"/>
      <c r="DA40" s="28"/>
      <c r="DB40" s="28"/>
      <c r="DC40" s="28"/>
      <c r="DD40" s="28"/>
      <c r="DE40" s="28"/>
      <c r="DF40" s="28"/>
      <c r="DG40" s="28"/>
      <c r="DH40" s="28"/>
      <c r="DI40" s="28"/>
      <c r="DJ40" s="28"/>
      <c r="DK40" s="28"/>
      <c r="DL40" s="28"/>
      <c r="DM40" s="28"/>
      <c r="DN40" s="28"/>
      <c r="DO40" s="28"/>
      <c r="DP40" s="28"/>
      <c r="DQ40" s="28"/>
      <c r="DR40" s="28"/>
      <c r="DS40" s="28"/>
      <c r="DT40" s="28"/>
      <c r="DU40" s="28"/>
      <c r="DV40" s="28"/>
      <c r="DW40" s="28"/>
      <c r="DX40" s="28"/>
      <c r="DY40" s="28"/>
      <c r="DZ40" s="28"/>
      <c r="EA40" s="28"/>
      <c r="EB40" s="28"/>
      <c r="EC40" s="28"/>
      <c r="ED40" s="28"/>
      <c r="EE40" s="28"/>
      <c r="EF40" s="28"/>
      <c r="EG40" s="28"/>
      <c r="EH40" s="28"/>
      <c r="EI40" s="28"/>
      <c r="EJ40" s="28"/>
      <c r="EK40" s="28"/>
      <c r="EL40" s="28"/>
      <c r="EM40" s="28"/>
      <c r="EN40" s="28"/>
      <c r="EO40" s="28"/>
      <c r="EP40" s="28"/>
      <c r="EQ40" s="28"/>
      <c r="ER40" s="28"/>
      <c r="ES40" s="28"/>
      <c r="ET40" s="28"/>
      <c r="EU40" s="28"/>
      <c r="EV40" s="28"/>
      <c r="EW40" s="28"/>
      <c r="EX40" s="28"/>
      <c r="EY40" s="28"/>
      <c r="EZ40" s="28"/>
      <c r="FA40" s="28"/>
      <c r="FB40" s="28"/>
      <c r="FC40" s="28"/>
      <c r="FD40" s="28"/>
      <c r="FE40" s="28"/>
      <c r="FF40" s="28"/>
      <c r="FG40" s="28"/>
      <c r="FH40" s="28"/>
      <c r="FI40" s="28"/>
      <c r="FJ40" s="28"/>
      <c r="FK40" s="28"/>
      <c r="FL40" s="28"/>
      <c r="FM40" s="28"/>
      <c r="FN40" s="28"/>
      <c r="FO40" s="28"/>
      <c r="FP40" s="28"/>
      <c r="FQ40" s="28"/>
      <c r="FR40" s="28"/>
      <c r="FS40" s="28"/>
      <c r="FT40" s="28"/>
      <c r="FU40" s="28"/>
      <c r="FV40" s="28"/>
      <c r="FW40" s="28"/>
      <c r="FX40" s="28"/>
      <c r="FY40" s="28"/>
      <c r="FZ40" s="28"/>
      <c r="GA40" s="28"/>
      <c r="GB40" s="28"/>
      <c r="GC40" s="28"/>
      <c r="GD40" s="28"/>
      <c r="GE40" s="28"/>
      <c r="GF40" s="28"/>
      <c r="GG40" s="28"/>
      <c r="GH40" s="28"/>
      <c r="GI40" s="28"/>
      <c r="GJ40" s="28"/>
      <c r="GK40" s="28"/>
      <c r="GL40" s="28"/>
      <c r="GM40" s="28"/>
      <c r="GN40" s="28"/>
      <c r="GO40" s="28"/>
      <c r="GP40" s="28"/>
      <c r="GQ40" s="28"/>
      <c r="GR40" s="28"/>
      <c r="GS40" s="28"/>
      <c r="GT40" s="28"/>
      <c r="GU40" s="28"/>
      <c r="GV40" s="28"/>
      <c r="GW40" s="28"/>
      <c r="GX40" s="28"/>
      <c r="GY40" s="28"/>
      <c r="GZ40" s="28"/>
      <c r="HA40" s="28"/>
      <c r="HB40" s="28"/>
      <c r="HC40" s="28"/>
      <c r="HD40" s="28"/>
      <c r="HE40" s="28"/>
      <c r="HF40" s="28"/>
      <c r="HG40" s="28"/>
      <c r="HH40" s="28"/>
      <c r="HI40" s="28"/>
      <c r="HJ40" s="28"/>
      <c r="HK40" s="28"/>
    </row>
    <row r="41" spans="1:219" ht="15" customHeight="1">
      <c r="A41" s="100">
        <v>1</v>
      </c>
      <c r="B41" s="132" t="str">
        <f>VLOOKUP(Ruimtestaat[[#This Row],[Code]],Locaties[[Code]:[Locatie]],2,FALSE)</f>
        <v>Mirtehuis</v>
      </c>
      <c r="C41" s="132" t="str">
        <f>VLOOKUP(Ruimtestaat[[#This Row],[Code]],Locaties[[#All],[Code]:[Adres]],4,FALSE)</f>
        <v>Weseperweg 6</v>
      </c>
      <c r="D41" s="132" t="str">
        <f>VLOOKUP(Ruimtestaat[[#This Row],[Code]],Locaties[[#All],[Code]:[Postcode]],5,FALSE)</f>
        <v>8111 PK</v>
      </c>
      <c r="E41" s="132" t="str">
        <f>VLOOKUP(Ruimtestaat[[#This Row],[Code]],Locaties[#All],6,FALSE)</f>
        <v>Heeten</v>
      </c>
      <c r="F41" s="100"/>
      <c r="G41" s="100" t="s">
        <v>1675</v>
      </c>
      <c r="H41" s="344" t="s">
        <v>1659</v>
      </c>
      <c r="I41" s="345" t="s">
        <v>1656</v>
      </c>
      <c r="J41" s="49">
        <v>20</v>
      </c>
      <c r="K41" s="140" t="str">
        <f>VLOOKUP(Ruimtestaat[[#This Row],[Ruimte code]],Ruimtegroepen[[#All],[Code]:[Ruimte omschrijving]],2,FALSE)</f>
        <v>Niet in Onderhoud</v>
      </c>
      <c r="L41" s="100" t="s">
        <v>100</v>
      </c>
      <c r="M41" s="345" t="s">
        <v>1636</v>
      </c>
      <c r="N41" s="133"/>
      <c r="O41" s="139"/>
      <c r="P41" s="134">
        <f>VLOOKUP(Ruimtestaat[[#This Row],[Ruimte code]],Ruimtegroepen[],4,FALSE)</f>
        <v>0</v>
      </c>
      <c r="Q41" s="100"/>
      <c r="R41" s="100"/>
      <c r="S41" s="100">
        <f>IF(Q41&gt;0,IF(RIGHT(Ruimtestaat[[#This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41" s="100">
        <f>IF(S41&gt;0,VLOOKUP($J41,Ruimtegroepen[],3,FALSE)*VLOOKUP($L41,Vloersoorten[],3,FALSE)*VLOOKUP($R41,Frequenties[],3,FALSE)*VLOOKUP($A41,Locaties[],3,FALSE),0)</f>
        <v>0</v>
      </c>
      <c r="U41" s="100">
        <f>Ruimtestaat[[#This Row],[Uitvoeringen werkdagen]]*Ruimtestaat[[#This Row],[Oppervlak (netto)]]</f>
        <v>0</v>
      </c>
      <c r="V41" s="135">
        <f>IF(T41&gt;0,Ruimtestaat[[#This Row],[Prest. (m2 /jaar) werkdagen]]/Ruimtestaat[[#This Row],[Norm (m2/uur) werkdagen]],0)</f>
        <v>0</v>
      </c>
      <c r="W41" s="136">
        <f>Ruimtestaat[[#This Row],[uren / jaar werkdagen]]*Tariefsopbouw!$E$35</f>
        <v>0</v>
      </c>
      <c r="X41" s="100"/>
      <c r="Y41" s="100">
        <f>IF(Ruimtestaat[[#This Row],[Frequentie weekend]]&gt;0,VALUE(LEFT(X41,1))*Q41,0)</f>
        <v>0</v>
      </c>
      <c r="Z41" s="99">
        <f>IF($Y41&gt;0,VLOOKUP($J41,Ruimtegroepen[],3,FALSE)*VLOOKUP($L41,Vloersoorten[],3,FALSE)*VLOOKUP($X41,Frequenties[],3,FALSE)*VLOOKUP(Ruimtestaat[[#This Row],[Code]],Locaties[],3,FALSE),0)</f>
        <v>0</v>
      </c>
      <c r="AA41" s="99">
        <f>Ruimtestaat[[#This Row],[Uitvoeringen weekend]]*Ruimtestaat[[#This Row],[Oppervlak (netto)]]</f>
        <v>0</v>
      </c>
      <c r="AB41" s="99">
        <f>IF(Z41&gt;0,Ruimtestaat[[#This Row],[Prest. (m2 /jaar) weekend]]/Ruimtestaat[[#This Row],[Norm (m2/uur) weekend]],0)</f>
        <v>0</v>
      </c>
      <c r="AC41" s="136">
        <f>Ruimtestaat[[#This Row],[uren / jaar weekend]]*Tariefsopbouw!$D$40</f>
        <v>0</v>
      </c>
      <c r="AD41" s="135">
        <f>Ruimtestaat[[#This Row],[Prest. (m2 /jaar) weekend]]+Ruimtestaat[[#This Row],[Prest. (m2 /jaar) werkdagen]]</f>
        <v>0</v>
      </c>
      <c r="AE41" s="135">
        <f>Ruimtestaat[[#This Row],[uren / jaar weekend]]+Ruimtestaat[[#This Row],[uren / jaar werkdagen]]</f>
        <v>0</v>
      </c>
      <c r="AF41" s="130">
        <f>Ruimtestaat[[#This Row],[kosten / jaar weekend]]+Ruimtestaat[[#This Row],[kosten / jaar werkdagen]]</f>
        <v>0</v>
      </c>
      <c r="AG41" s="130"/>
      <c r="AH41" s="137" t="str">
        <f>IF(Ruimtestaat[[#This Row],[Frequentie werkdagen]]="","",_xlfn.CONCAT(Ruimtestaat[[#This Row],[Ruimte code]],"-",Ruimtestaat[[#This Row],[Frequentie werkdagen]]," ",Ruimtestaat[[#This Row],[Vloer code]]))</f>
        <v/>
      </c>
      <c r="AI41" s="142" t="str">
        <f>_xlfn.IFNA(VLOOKUP($AH41,Programma!$F$3:$G$1101,2,0),"")</f>
        <v/>
      </c>
      <c r="AJ41" s="142" t="str">
        <f>_xlfn.IFNA(VLOOKUP($AH41,Programma!$F$3:$H$1101,3,0),"")</f>
        <v/>
      </c>
      <c r="AK41" s="142" t="str">
        <f>_xlfn.IFNA(VLOOKUP($AH41,Programma!$F$3:$I$1101,4,0),"")</f>
        <v/>
      </c>
      <c r="AL41" s="142" t="str">
        <f>_xlfn.IFNA(VLOOKUP($AH41,Programma!$F$3:$J$1101,5,0),"")</f>
        <v/>
      </c>
      <c r="AM41" s="142" t="str">
        <f>_xlfn.IFNA(VLOOKUP($AH41,Programma!$F$3:$K$1101,6,0),"")</f>
        <v/>
      </c>
      <c r="AN41" s="142" t="str">
        <f>_xlfn.IFNA(VLOOKUP($AH41,Programma!$F$3:$L$1101,7,0),"")</f>
        <v/>
      </c>
      <c r="AO41" s="142" t="str">
        <f>_xlfn.IFNA(VLOOKUP($AH41,Programma!$F$3:$M$1101,8,0),"")</f>
        <v/>
      </c>
      <c r="AP41" s="142" t="str">
        <f>_xlfn.IFNA(VLOOKUP($AH41,Programma!$F$3:$N$1101,9,0),"")</f>
        <v/>
      </c>
      <c r="AQ41" s="142" t="str">
        <f>_xlfn.IFNA(VLOOKUP($AH41,Programma!$F$3:$O$1101,10,0),"")</f>
        <v/>
      </c>
      <c r="AR41" s="142" t="str">
        <f>_xlfn.IFNA(VLOOKUP($AH41,Programma!$F$3:$P$1101,11,0),"")</f>
        <v/>
      </c>
      <c r="AS41" s="142" t="str">
        <f>_xlfn.IFNA(VLOOKUP($AH41,Programma!$F$3:$Q$1101,12,0),"")</f>
        <v/>
      </c>
      <c r="AT41" s="142" t="str">
        <f>_xlfn.IFNA(VLOOKUP($AH41,Programma!$F$3:$R$1101,13,0),"")</f>
        <v/>
      </c>
      <c r="AU41" s="142" t="str">
        <f>_xlfn.IFNA(VLOOKUP($AH41,Programma!$F$3:$S$1101,14,0),"")</f>
        <v/>
      </c>
      <c r="AV41" s="142" t="str">
        <f>_xlfn.IFNA(VLOOKUP($AH41,Programma!$F$3:$T$1101,15,0),"")</f>
        <v/>
      </c>
      <c r="AW41" s="142" t="str">
        <f>_xlfn.IFNA(VLOOKUP($AH41,Programma!$F$3:$U$1101,16,0),"")</f>
        <v/>
      </c>
      <c r="AX41" s="142" t="str">
        <f>_xlfn.IFNA(VLOOKUP($AH41,Programma!$F$3:$V$1101,17,0),"")</f>
        <v/>
      </c>
      <c r="AY41" s="142" t="str">
        <f>_xlfn.IFNA(VLOOKUP($AH41,Programma!$F$3:$W$1101,18,0),"")</f>
        <v/>
      </c>
      <c r="AZ41" s="142" t="str">
        <f>_xlfn.IFNA(VLOOKUP($AH41,Programma!$F$3:$X$1101,19,0),"")</f>
        <v/>
      </c>
      <c r="BA41" s="142" t="str">
        <f>_xlfn.IFNA(VLOOKUP($AH41,Programma!$F$3:$Y$1101,20,0),"")</f>
        <v/>
      </c>
      <c r="BB41" s="138"/>
      <c r="BC41" s="137" t="str">
        <f>IF(Ruimtestaat[[#This Row],[Frequentie weekend]]="","",_xlfn.CONCAT(Ruimtestaat[[#This Row],[Ruimte code]],"-",Ruimtestaat[[#This Row],[Frequentie weekend]]," ",Ruimtestaat[[#This Row],[Vloer code]]))</f>
        <v/>
      </c>
      <c r="BD41" s="142" t="str">
        <f>_xlfn.IFNA(VLOOKUP($BC41,Programma!$F$3:$G$1101,2,0),"")</f>
        <v/>
      </c>
      <c r="BE41" s="142" t="str">
        <f>_xlfn.IFNA(VLOOKUP($BC41,Programma!$F$3:$H$1101,3,0),"")</f>
        <v/>
      </c>
      <c r="BF41" s="142" t="str">
        <f>_xlfn.IFNA(VLOOKUP($BC41,Programma!$F$3:$I$1101,4,0),"")</f>
        <v/>
      </c>
      <c r="BG41" s="142" t="str">
        <f>_xlfn.IFNA(VLOOKUP($BC41,Programma!$F$3:$J$1101,5,0),"")</f>
        <v/>
      </c>
      <c r="BH41" s="142" t="str">
        <f>_xlfn.IFNA(VLOOKUP($BC41,Programma!$F$3:$K$1101,6,0),"")</f>
        <v/>
      </c>
      <c r="BI41" s="142" t="str">
        <f>_xlfn.IFNA(VLOOKUP($BC41,Programma!$F$3:$L$1101,7,0),"")</f>
        <v/>
      </c>
      <c r="BJ41" s="142" t="str">
        <f>_xlfn.IFNA(VLOOKUP($BC41,Programma!$F$3:$M$1101,8,0),"")</f>
        <v/>
      </c>
      <c r="BK41" s="142" t="str">
        <f>_xlfn.IFNA(VLOOKUP($BC41,Programma!$F$3:$N$1101,9,0),"")</f>
        <v/>
      </c>
      <c r="BL41" s="142" t="str">
        <f>_xlfn.IFNA(VLOOKUP($BC41,Programma!$F$3:$O$1101,10,0),"")</f>
        <v/>
      </c>
      <c r="BM41" s="142" t="str">
        <f>_xlfn.IFNA(VLOOKUP($BC41,Programma!$F$3:$P$1101,11,0),"")</f>
        <v/>
      </c>
      <c r="BN41" s="142" t="str">
        <f>_xlfn.IFNA(VLOOKUP($BC41,Programma!$F$3:$Q$1101,12,0),"")</f>
        <v/>
      </c>
      <c r="BO41" s="142" t="str">
        <f>_xlfn.IFNA(VLOOKUP($BC41,Programma!$F$3:$R$1101,13,0),"")</f>
        <v/>
      </c>
      <c r="BP41" s="142" t="str">
        <f>_xlfn.IFNA(VLOOKUP($BC41,Programma!$F$3:$S$1101,14,0),"")</f>
        <v/>
      </c>
      <c r="BQ41" s="142" t="str">
        <f>_xlfn.IFNA(VLOOKUP($BC41,Programma!$F$3:$T$1101,15,0),"")</f>
        <v/>
      </c>
      <c r="BR41" s="142" t="str">
        <f>_xlfn.IFNA(VLOOKUP($BC41,Programma!$F$3:$U$1101,16,0),"")</f>
        <v/>
      </c>
      <c r="BS41" s="142" t="str">
        <f>_xlfn.IFNA(VLOOKUP($BC41,Programma!$F$3:$V$1101,17,0),"")</f>
        <v/>
      </c>
      <c r="BT41" s="142" t="str">
        <f>_xlfn.IFNA(VLOOKUP($BC41,Programma!$F$3:$W$1101,18,0),"")</f>
        <v/>
      </c>
      <c r="BU41" s="142" t="str">
        <f>_xlfn.IFNA(VLOOKUP($BC41,Programma!$F$3:$X$1101,19,0),"")</f>
        <v/>
      </c>
      <c r="BV41" s="142" t="str">
        <f>_xlfn.IFNA(VLOOKUP($BC41,Programma!$F$3:$Y$1101,20,0),"")</f>
        <v/>
      </c>
      <c r="BW41" s="28"/>
      <c r="BX41" s="28"/>
      <c r="BY41" s="28"/>
      <c r="BZ41" s="28"/>
      <c r="CA41" s="28"/>
      <c r="CB41" s="28"/>
      <c r="CC41" s="28"/>
      <c r="CD41" s="28"/>
      <c r="CE41" s="28"/>
      <c r="CF41" s="28"/>
      <c r="CG41" s="28"/>
      <c r="CH41" s="28"/>
      <c r="CI41" s="28"/>
      <c r="CJ41" s="28"/>
      <c r="CK41" s="28"/>
      <c r="CL41" s="28"/>
      <c r="CM41" s="28"/>
      <c r="CN41" s="28"/>
      <c r="CO41" s="28"/>
      <c r="CP41" s="28"/>
      <c r="CQ41" s="28"/>
      <c r="CR41" s="28"/>
      <c r="CS41" s="28"/>
      <c r="CT41" s="28"/>
      <c r="CU41" s="28"/>
      <c r="CV41" s="28"/>
      <c r="CW41" s="28"/>
      <c r="CX41" s="28"/>
      <c r="CY41" s="28"/>
      <c r="CZ41" s="28"/>
      <c r="DA41" s="28"/>
      <c r="DB41" s="28"/>
      <c r="DC41" s="28"/>
      <c r="DD41" s="28"/>
      <c r="DE41" s="28"/>
      <c r="DF41" s="28"/>
      <c r="DG41" s="28"/>
      <c r="DH41" s="28"/>
      <c r="DI41" s="28"/>
      <c r="DJ41" s="28"/>
      <c r="DK41" s="28"/>
      <c r="DL41" s="28"/>
      <c r="DM41" s="28"/>
      <c r="DN41" s="28"/>
      <c r="DO41" s="28"/>
      <c r="DP41" s="28"/>
      <c r="DQ41" s="28"/>
      <c r="DR41" s="28"/>
      <c r="DS41" s="28"/>
      <c r="DT41" s="28"/>
      <c r="DU41" s="28"/>
      <c r="DV41" s="28"/>
      <c r="DW41" s="28"/>
      <c r="DX41" s="28"/>
      <c r="DY41" s="28"/>
      <c r="DZ41" s="28"/>
      <c r="EA41" s="28"/>
      <c r="EB41" s="28"/>
      <c r="EC41" s="28"/>
      <c r="ED41" s="28"/>
      <c r="EE41" s="28"/>
      <c r="EF41" s="28"/>
      <c r="EG41" s="28"/>
      <c r="EH41" s="28"/>
      <c r="EI41" s="28"/>
      <c r="EJ41" s="28"/>
      <c r="EK41" s="28"/>
      <c r="EL41" s="28"/>
      <c r="EM41" s="28"/>
      <c r="EN41" s="28"/>
      <c r="EO41" s="28"/>
      <c r="EP41" s="28"/>
      <c r="EQ41" s="28"/>
      <c r="ER41" s="28"/>
      <c r="ES41" s="28"/>
      <c r="ET41" s="28"/>
      <c r="EU41" s="28"/>
      <c r="EV41" s="28"/>
      <c r="EW41" s="28"/>
      <c r="EX41" s="28"/>
      <c r="EY41" s="28"/>
      <c r="EZ41" s="28"/>
      <c r="FA41" s="28"/>
      <c r="FB41" s="28"/>
      <c r="FC41" s="28"/>
      <c r="FD41" s="28"/>
      <c r="FE41" s="28"/>
      <c r="FF41" s="28"/>
      <c r="FG41" s="28"/>
      <c r="FH41" s="28"/>
      <c r="FI41" s="28"/>
      <c r="FJ41" s="28"/>
      <c r="FK41" s="28"/>
      <c r="FL41" s="28"/>
      <c r="FM41" s="28"/>
      <c r="FN41" s="28"/>
      <c r="FO41" s="28"/>
      <c r="FP41" s="28"/>
      <c r="FQ41" s="28"/>
      <c r="FR41" s="28"/>
      <c r="FS41" s="28"/>
      <c r="FT41" s="28"/>
      <c r="FU41" s="28"/>
      <c r="FV41" s="28"/>
      <c r="FW41" s="28"/>
      <c r="FX41" s="28"/>
      <c r="FY41" s="28"/>
      <c r="FZ41" s="28"/>
      <c r="GA41" s="28"/>
      <c r="GB41" s="28"/>
      <c r="GC41" s="28"/>
      <c r="GD41" s="28"/>
      <c r="GE41" s="28"/>
      <c r="GF41" s="28"/>
      <c r="GG41" s="28"/>
      <c r="GH41" s="28"/>
      <c r="GI41" s="28"/>
      <c r="GJ41" s="28"/>
      <c r="GK41" s="28"/>
      <c r="GL41" s="28"/>
      <c r="GM41" s="28"/>
      <c r="GN41" s="28"/>
      <c r="GO41" s="28"/>
      <c r="GP41" s="28"/>
      <c r="GQ41" s="28"/>
      <c r="GR41" s="28"/>
      <c r="GS41" s="28"/>
      <c r="GT41" s="28"/>
      <c r="GU41" s="28"/>
      <c r="GV41" s="28"/>
      <c r="GW41" s="28"/>
      <c r="GX41" s="28"/>
      <c r="GY41" s="28"/>
      <c r="GZ41" s="28"/>
      <c r="HA41" s="28"/>
      <c r="HB41" s="28"/>
      <c r="HC41" s="28"/>
      <c r="HD41" s="28"/>
      <c r="HE41" s="28"/>
      <c r="HF41" s="28"/>
      <c r="HG41" s="28"/>
      <c r="HH41" s="28"/>
      <c r="HI41" s="28"/>
      <c r="HJ41" s="28"/>
      <c r="HK41" s="28"/>
    </row>
    <row r="42" spans="1:219" ht="15" customHeight="1">
      <c r="A42" s="100">
        <v>1</v>
      </c>
      <c r="B42" s="132" t="str">
        <f>VLOOKUP(Ruimtestaat[[#This Row],[Code]],Locaties[[Code]:[Locatie]],2,FALSE)</f>
        <v>Mirtehuis</v>
      </c>
      <c r="C42" s="132" t="str">
        <f>VLOOKUP(Ruimtestaat[[#This Row],[Code]],Locaties[[#All],[Code]:[Adres]],4,FALSE)</f>
        <v>Weseperweg 6</v>
      </c>
      <c r="D42" s="132" t="str">
        <f>VLOOKUP(Ruimtestaat[[#This Row],[Code]],Locaties[[#All],[Code]:[Postcode]],5,FALSE)</f>
        <v>8111 PK</v>
      </c>
      <c r="E42" s="132" t="str">
        <f>VLOOKUP(Ruimtestaat[[#This Row],[Code]],Locaties[#All],6,FALSE)</f>
        <v>Heeten</v>
      </c>
      <c r="F42" s="100"/>
      <c r="G42" s="100" t="s">
        <v>1675</v>
      </c>
      <c r="H42" s="344"/>
      <c r="I42" s="345" t="s">
        <v>22</v>
      </c>
      <c r="J42" s="49">
        <v>20</v>
      </c>
      <c r="K42" s="140" t="str">
        <f>VLOOKUP(Ruimtestaat[[#This Row],[Ruimte code]],Ruimtegroepen[[#All],[Code]:[Ruimte omschrijving]],2,FALSE)</f>
        <v>Niet in Onderhoud</v>
      </c>
      <c r="L42" s="100" t="s">
        <v>101</v>
      </c>
      <c r="M42" s="345" t="s">
        <v>1642</v>
      </c>
      <c r="N42" s="133"/>
      <c r="O42" s="139"/>
      <c r="P42" s="134">
        <f>VLOOKUP(Ruimtestaat[[#This Row],[Ruimte code]],Ruimtegroepen[],4,FALSE)</f>
        <v>0</v>
      </c>
      <c r="Q42" s="100"/>
      <c r="R42" s="100"/>
      <c r="S42" s="100">
        <f>IF(Q42&gt;0,IF(RIGHT(Ruimtestaat[[#This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42" s="100">
        <f>IF(S42&gt;0,VLOOKUP($J42,Ruimtegroepen[],3,FALSE)*VLOOKUP($L42,Vloersoorten[],3,FALSE)*VLOOKUP($R42,Frequenties[],3,FALSE)*VLOOKUP($A42,Locaties[],3,FALSE),0)</f>
        <v>0</v>
      </c>
      <c r="U42" s="100">
        <f>Ruimtestaat[[#This Row],[Uitvoeringen werkdagen]]*Ruimtestaat[[#This Row],[Oppervlak (netto)]]</f>
        <v>0</v>
      </c>
      <c r="V42" s="135">
        <f>IF(T42&gt;0,Ruimtestaat[[#This Row],[Prest. (m2 /jaar) werkdagen]]/Ruimtestaat[[#This Row],[Norm (m2/uur) werkdagen]],0)</f>
        <v>0</v>
      </c>
      <c r="W42" s="136">
        <f>Ruimtestaat[[#This Row],[uren / jaar werkdagen]]*Tariefsopbouw!$E$35</f>
        <v>0</v>
      </c>
      <c r="X42" s="100"/>
      <c r="Y42" s="100">
        <f>IF(Ruimtestaat[[#This Row],[Frequentie weekend]]&gt;0,VALUE(LEFT(X42,1))*Q42,0)</f>
        <v>0</v>
      </c>
      <c r="Z42" s="99">
        <f>IF($Y42&gt;0,VLOOKUP($J42,Ruimtegroepen[],3,FALSE)*VLOOKUP($L42,Vloersoorten[],3,FALSE)*VLOOKUP($X42,Frequenties[],3,FALSE)*VLOOKUP(Ruimtestaat[[#This Row],[Code]],Locaties[],3,FALSE),0)</f>
        <v>0</v>
      </c>
      <c r="AA42" s="99">
        <f>Ruimtestaat[[#This Row],[Uitvoeringen weekend]]*Ruimtestaat[[#This Row],[Oppervlak (netto)]]</f>
        <v>0</v>
      </c>
      <c r="AB42" s="99">
        <f>IF(Z42&gt;0,Ruimtestaat[[#This Row],[Prest. (m2 /jaar) weekend]]/Ruimtestaat[[#This Row],[Norm (m2/uur) weekend]],0)</f>
        <v>0</v>
      </c>
      <c r="AC42" s="136">
        <f>Ruimtestaat[[#This Row],[uren / jaar weekend]]*Tariefsopbouw!$D$40</f>
        <v>0</v>
      </c>
      <c r="AD42" s="135">
        <f>Ruimtestaat[[#This Row],[Prest. (m2 /jaar) weekend]]+Ruimtestaat[[#This Row],[Prest. (m2 /jaar) werkdagen]]</f>
        <v>0</v>
      </c>
      <c r="AE42" s="135">
        <f>Ruimtestaat[[#This Row],[uren / jaar weekend]]+Ruimtestaat[[#This Row],[uren / jaar werkdagen]]</f>
        <v>0</v>
      </c>
      <c r="AF42" s="130">
        <f>Ruimtestaat[[#This Row],[kosten / jaar weekend]]+Ruimtestaat[[#This Row],[kosten / jaar werkdagen]]</f>
        <v>0</v>
      </c>
      <c r="AG42" s="130"/>
      <c r="AH42" s="137" t="str">
        <f>IF(Ruimtestaat[[#This Row],[Frequentie werkdagen]]="","",_xlfn.CONCAT(Ruimtestaat[[#This Row],[Ruimte code]],"-",Ruimtestaat[[#This Row],[Frequentie werkdagen]]," ",Ruimtestaat[[#This Row],[Vloer code]]))</f>
        <v/>
      </c>
      <c r="AI42" s="142" t="str">
        <f>_xlfn.IFNA(VLOOKUP($AH42,Programma!$F$3:$G$1101,2,0),"")</f>
        <v/>
      </c>
      <c r="AJ42" s="142" t="str">
        <f>_xlfn.IFNA(VLOOKUP($AH42,Programma!$F$3:$H$1101,3,0),"")</f>
        <v/>
      </c>
      <c r="AK42" s="142" t="str">
        <f>_xlfn.IFNA(VLOOKUP($AH42,Programma!$F$3:$I$1101,4,0),"")</f>
        <v/>
      </c>
      <c r="AL42" s="142" t="str">
        <f>_xlfn.IFNA(VLOOKUP($AH42,Programma!$F$3:$J$1101,5,0),"")</f>
        <v/>
      </c>
      <c r="AM42" s="142" t="str">
        <f>_xlfn.IFNA(VLOOKUP($AH42,Programma!$F$3:$K$1101,6,0),"")</f>
        <v/>
      </c>
      <c r="AN42" s="142" t="str">
        <f>_xlfn.IFNA(VLOOKUP($AH42,Programma!$F$3:$L$1101,7,0),"")</f>
        <v/>
      </c>
      <c r="AO42" s="142" t="str">
        <f>_xlfn.IFNA(VLOOKUP($AH42,Programma!$F$3:$M$1101,8,0),"")</f>
        <v/>
      </c>
      <c r="AP42" s="142" t="str">
        <f>_xlfn.IFNA(VLOOKUP($AH42,Programma!$F$3:$N$1101,9,0),"")</f>
        <v/>
      </c>
      <c r="AQ42" s="142" t="str">
        <f>_xlfn.IFNA(VLOOKUP($AH42,Programma!$F$3:$O$1101,10,0),"")</f>
        <v/>
      </c>
      <c r="AR42" s="142" t="str">
        <f>_xlfn.IFNA(VLOOKUP($AH42,Programma!$F$3:$P$1101,11,0),"")</f>
        <v/>
      </c>
      <c r="AS42" s="142" t="str">
        <f>_xlfn.IFNA(VLOOKUP($AH42,Programma!$F$3:$Q$1101,12,0),"")</f>
        <v/>
      </c>
      <c r="AT42" s="142" t="str">
        <f>_xlfn.IFNA(VLOOKUP($AH42,Programma!$F$3:$R$1101,13,0),"")</f>
        <v/>
      </c>
      <c r="AU42" s="142" t="str">
        <f>_xlfn.IFNA(VLOOKUP($AH42,Programma!$F$3:$S$1101,14,0),"")</f>
        <v/>
      </c>
      <c r="AV42" s="142" t="str">
        <f>_xlfn.IFNA(VLOOKUP($AH42,Programma!$F$3:$T$1101,15,0),"")</f>
        <v/>
      </c>
      <c r="AW42" s="142" t="str">
        <f>_xlfn.IFNA(VLOOKUP($AH42,Programma!$F$3:$U$1101,16,0),"")</f>
        <v/>
      </c>
      <c r="AX42" s="142" t="str">
        <f>_xlfn.IFNA(VLOOKUP($AH42,Programma!$F$3:$V$1101,17,0),"")</f>
        <v/>
      </c>
      <c r="AY42" s="142" t="str">
        <f>_xlfn.IFNA(VLOOKUP($AH42,Programma!$F$3:$W$1101,18,0),"")</f>
        <v/>
      </c>
      <c r="AZ42" s="142" t="str">
        <f>_xlfn.IFNA(VLOOKUP($AH42,Programma!$F$3:$X$1101,19,0),"")</f>
        <v/>
      </c>
      <c r="BA42" s="142" t="str">
        <f>_xlfn.IFNA(VLOOKUP($AH42,Programma!$F$3:$Y$1101,20,0),"")</f>
        <v/>
      </c>
      <c r="BB42" s="138"/>
      <c r="BC42" s="137" t="str">
        <f>IF(Ruimtestaat[[#This Row],[Frequentie weekend]]="","",_xlfn.CONCAT(Ruimtestaat[[#This Row],[Ruimte code]],"-",Ruimtestaat[[#This Row],[Frequentie weekend]]," ",Ruimtestaat[[#This Row],[Vloer code]]))</f>
        <v/>
      </c>
      <c r="BD42" s="142" t="str">
        <f>_xlfn.IFNA(VLOOKUP($BC42,Programma!$F$3:$G$1101,2,0),"")</f>
        <v/>
      </c>
      <c r="BE42" s="142" t="str">
        <f>_xlfn.IFNA(VLOOKUP($BC42,Programma!$F$3:$H$1101,3,0),"")</f>
        <v/>
      </c>
      <c r="BF42" s="142" t="str">
        <f>_xlfn.IFNA(VLOOKUP($BC42,Programma!$F$3:$I$1101,4,0),"")</f>
        <v/>
      </c>
      <c r="BG42" s="142" t="str">
        <f>_xlfn.IFNA(VLOOKUP($BC42,Programma!$F$3:$J$1101,5,0),"")</f>
        <v/>
      </c>
      <c r="BH42" s="142" t="str">
        <f>_xlfn.IFNA(VLOOKUP($BC42,Programma!$F$3:$K$1101,6,0),"")</f>
        <v/>
      </c>
      <c r="BI42" s="142" t="str">
        <f>_xlfn.IFNA(VLOOKUP($BC42,Programma!$F$3:$L$1101,7,0),"")</f>
        <v/>
      </c>
      <c r="BJ42" s="142" t="str">
        <f>_xlfn.IFNA(VLOOKUP($BC42,Programma!$F$3:$M$1101,8,0),"")</f>
        <v/>
      </c>
      <c r="BK42" s="142" t="str">
        <f>_xlfn.IFNA(VLOOKUP($BC42,Programma!$F$3:$N$1101,9,0),"")</f>
        <v/>
      </c>
      <c r="BL42" s="142" t="str">
        <f>_xlfn.IFNA(VLOOKUP($BC42,Programma!$F$3:$O$1101,10,0),"")</f>
        <v/>
      </c>
      <c r="BM42" s="142" t="str">
        <f>_xlfn.IFNA(VLOOKUP($BC42,Programma!$F$3:$P$1101,11,0),"")</f>
        <v/>
      </c>
      <c r="BN42" s="142" t="str">
        <f>_xlfn.IFNA(VLOOKUP($BC42,Programma!$F$3:$Q$1101,12,0),"")</f>
        <v/>
      </c>
      <c r="BO42" s="142" t="str">
        <f>_xlfn.IFNA(VLOOKUP($BC42,Programma!$F$3:$R$1101,13,0),"")</f>
        <v/>
      </c>
      <c r="BP42" s="142" t="str">
        <f>_xlfn.IFNA(VLOOKUP($BC42,Programma!$F$3:$S$1101,14,0),"")</f>
        <v/>
      </c>
      <c r="BQ42" s="142" t="str">
        <f>_xlfn.IFNA(VLOOKUP($BC42,Programma!$F$3:$T$1101,15,0),"")</f>
        <v/>
      </c>
      <c r="BR42" s="142" t="str">
        <f>_xlfn.IFNA(VLOOKUP($BC42,Programma!$F$3:$U$1101,16,0),"")</f>
        <v/>
      </c>
      <c r="BS42" s="142" t="str">
        <f>_xlfn.IFNA(VLOOKUP($BC42,Programma!$F$3:$V$1101,17,0),"")</f>
        <v/>
      </c>
      <c r="BT42" s="142" t="str">
        <f>_xlfn.IFNA(VLOOKUP($BC42,Programma!$F$3:$W$1101,18,0),"")</f>
        <v/>
      </c>
      <c r="BU42" s="142" t="str">
        <f>_xlfn.IFNA(VLOOKUP($BC42,Programma!$F$3:$X$1101,19,0),"")</f>
        <v/>
      </c>
      <c r="BV42" s="142" t="str">
        <f>_xlfn.IFNA(VLOOKUP($BC42,Programma!$F$3:$Y$1101,20,0),"")</f>
        <v/>
      </c>
      <c r="BW42" s="28"/>
      <c r="BX42" s="28"/>
      <c r="BY42" s="28"/>
      <c r="BZ42" s="28"/>
      <c r="CA42" s="28"/>
      <c r="CB42" s="28"/>
      <c r="CC42" s="28"/>
      <c r="CD42" s="28"/>
      <c r="CE42" s="28"/>
      <c r="CF42" s="28"/>
      <c r="CG42" s="28"/>
      <c r="CH42" s="28"/>
      <c r="CI42" s="28"/>
      <c r="CJ42" s="28"/>
      <c r="CK42" s="28"/>
      <c r="CL42" s="28"/>
      <c r="CM42" s="28"/>
      <c r="CN42" s="28"/>
      <c r="CO42" s="28"/>
      <c r="CP42" s="28"/>
      <c r="CQ42" s="28"/>
      <c r="CR42" s="28"/>
      <c r="CS42" s="28"/>
      <c r="CT42" s="28"/>
      <c r="CU42" s="28"/>
      <c r="CV42" s="28"/>
      <c r="CW42" s="28"/>
      <c r="CX42" s="28"/>
      <c r="CY42" s="28"/>
      <c r="CZ42" s="28"/>
      <c r="DA42" s="28"/>
      <c r="DB42" s="28"/>
      <c r="DC42" s="28"/>
      <c r="DD42" s="28"/>
      <c r="DE42" s="28"/>
      <c r="DF42" s="28"/>
      <c r="DG42" s="28"/>
      <c r="DH42" s="28"/>
      <c r="DI42" s="28"/>
      <c r="DJ42" s="28"/>
      <c r="DK42" s="28"/>
      <c r="DL42" s="28"/>
      <c r="DM42" s="28"/>
      <c r="DN42" s="28"/>
      <c r="DO42" s="28"/>
      <c r="DP42" s="28"/>
      <c r="DQ42" s="28"/>
      <c r="DR42" s="28"/>
      <c r="DS42" s="28"/>
      <c r="DT42" s="28"/>
      <c r="DU42" s="28"/>
      <c r="DV42" s="28"/>
      <c r="DW42" s="28"/>
      <c r="DX42" s="28"/>
      <c r="DY42" s="28"/>
      <c r="DZ42" s="28"/>
      <c r="EA42" s="28"/>
      <c r="EB42" s="28"/>
      <c r="EC42" s="28"/>
      <c r="ED42" s="28"/>
      <c r="EE42" s="28"/>
      <c r="EF42" s="28"/>
      <c r="EG42" s="28"/>
      <c r="EH42" s="28"/>
      <c r="EI42" s="28"/>
      <c r="EJ42" s="28"/>
      <c r="EK42" s="28"/>
      <c r="EL42" s="28"/>
      <c r="EM42" s="28"/>
      <c r="EN42" s="28"/>
      <c r="EO42" s="28"/>
      <c r="EP42" s="28"/>
      <c r="EQ42" s="28"/>
      <c r="ER42" s="28"/>
      <c r="ES42" s="28"/>
      <c r="ET42" s="28"/>
      <c r="EU42" s="28"/>
      <c r="EV42" s="28"/>
      <c r="EW42" s="28"/>
      <c r="EX42" s="28"/>
      <c r="EY42" s="28"/>
      <c r="EZ42" s="28"/>
      <c r="FA42" s="28"/>
      <c r="FB42" s="28"/>
      <c r="FC42" s="28"/>
      <c r="FD42" s="28"/>
      <c r="FE42" s="28"/>
      <c r="FF42" s="28"/>
      <c r="FG42" s="28"/>
      <c r="FH42" s="28"/>
      <c r="FI42" s="28"/>
      <c r="FJ42" s="28"/>
      <c r="FK42" s="28"/>
      <c r="FL42" s="28"/>
      <c r="FM42" s="28"/>
      <c r="FN42" s="28"/>
      <c r="FO42" s="28"/>
      <c r="FP42" s="28"/>
      <c r="FQ42" s="28"/>
      <c r="FR42" s="28"/>
      <c r="FS42" s="28"/>
      <c r="FT42" s="28"/>
      <c r="FU42" s="28"/>
      <c r="FV42" s="28"/>
      <c r="FW42" s="28"/>
      <c r="FX42" s="28"/>
      <c r="FY42" s="28"/>
      <c r="FZ42" s="28"/>
      <c r="GA42" s="28"/>
      <c r="GB42" s="28"/>
      <c r="GC42" s="28"/>
      <c r="GD42" s="28"/>
      <c r="GE42" s="28"/>
      <c r="GF42" s="28"/>
      <c r="GG42" s="28"/>
      <c r="GH42" s="28"/>
      <c r="GI42" s="28"/>
      <c r="GJ42" s="28"/>
      <c r="GK42" s="28"/>
      <c r="GL42" s="28"/>
      <c r="GM42" s="28"/>
      <c r="GN42" s="28"/>
      <c r="GO42" s="28"/>
      <c r="GP42" s="28"/>
      <c r="GQ42" s="28"/>
      <c r="GR42" s="28"/>
      <c r="GS42" s="28"/>
      <c r="GT42" s="28"/>
      <c r="GU42" s="28"/>
      <c r="GV42" s="28"/>
      <c r="GW42" s="28"/>
      <c r="GX42" s="28"/>
      <c r="GY42" s="28"/>
      <c r="GZ42" s="28"/>
      <c r="HA42" s="28"/>
      <c r="HB42" s="28"/>
      <c r="HC42" s="28"/>
      <c r="HD42" s="28"/>
      <c r="HE42" s="28"/>
      <c r="HF42" s="28"/>
      <c r="HG42" s="28"/>
      <c r="HH42" s="28"/>
      <c r="HI42" s="28"/>
      <c r="HJ42" s="28"/>
      <c r="HK42" s="28"/>
    </row>
    <row r="43" spans="1:219" ht="15" customHeight="1">
      <c r="A43" s="100">
        <v>1</v>
      </c>
      <c r="B43" s="132" t="str">
        <f>VLOOKUP(Ruimtestaat[[#This Row],[Code]],Locaties[[Code]:[Locatie]],2,FALSE)</f>
        <v>Mirtehuis</v>
      </c>
      <c r="C43" s="132" t="str">
        <f>VLOOKUP(Ruimtestaat[[#This Row],[Code]],Locaties[[#All],[Code]:[Adres]],4,FALSE)</f>
        <v>Weseperweg 6</v>
      </c>
      <c r="D43" s="132" t="str">
        <f>VLOOKUP(Ruimtestaat[[#This Row],[Code]],Locaties[[#All],[Code]:[Postcode]],5,FALSE)</f>
        <v>8111 PK</v>
      </c>
      <c r="E43" s="132" t="str">
        <f>VLOOKUP(Ruimtestaat[[#This Row],[Code]],Locaties[#All],6,FALSE)</f>
        <v>Heeten</v>
      </c>
      <c r="F43" s="100"/>
      <c r="G43" s="100" t="s">
        <v>1675</v>
      </c>
      <c r="H43" s="344"/>
      <c r="I43" s="345" t="s">
        <v>1635</v>
      </c>
      <c r="J43" s="49">
        <v>20</v>
      </c>
      <c r="K43" s="140" t="str">
        <f>VLOOKUP(Ruimtestaat[[#This Row],[Ruimte code]],Ruimtegroepen[[#All],[Code]:[Ruimte omschrijving]],2,FALSE)</f>
        <v>Niet in Onderhoud</v>
      </c>
      <c r="L43" s="100" t="s">
        <v>100</v>
      </c>
      <c r="M43" s="345" t="s">
        <v>1636</v>
      </c>
      <c r="N43" s="133"/>
      <c r="O43" s="100"/>
      <c r="P43" s="134">
        <f>VLOOKUP(Ruimtestaat[[#This Row],[Ruimte code]],Ruimtegroepen[],4,FALSE)</f>
        <v>0</v>
      </c>
      <c r="Q43" s="100"/>
      <c r="R43" s="100"/>
      <c r="S43" s="100">
        <f>IF(Q43&gt;0,IF(RIGHT(Ruimtestaat[[#This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43" s="100">
        <f>IF(S43&gt;0,VLOOKUP($J43,Ruimtegroepen[],3,FALSE)*VLOOKUP($L43,Vloersoorten[],3,FALSE)*VLOOKUP($R43,Frequenties[],3,FALSE)*VLOOKUP($A43,Locaties[],3,FALSE),0)</f>
        <v>0</v>
      </c>
      <c r="U43" s="100">
        <f>Ruimtestaat[[#This Row],[Uitvoeringen werkdagen]]*Ruimtestaat[[#This Row],[Oppervlak (netto)]]</f>
        <v>0</v>
      </c>
      <c r="V43" s="135">
        <f>IF(T43&gt;0,Ruimtestaat[[#This Row],[Prest. (m2 /jaar) werkdagen]]/Ruimtestaat[[#This Row],[Norm (m2/uur) werkdagen]],0)</f>
        <v>0</v>
      </c>
      <c r="W43" s="136">
        <f>Ruimtestaat[[#This Row],[uren / jaar werkdagen]]*Tariefsopbouw!$E$35</f>
        <v>0</v>
      </c>
      <c r="X43" s="100"/>
      <c r="Y43" s="100">
        <f>IF(Ruimtestaat[[#This Row],[Frequentie weekend]]&gt;0,VALUE(LEFT(X43,1))*Q43,0)</f>
        <v>0</v>
      </c>
      <c r="Z43" s="99">
        <f>IF($Y43&gt;0,VLOOKUP($J43,Ruimtegroepen[],3,FALSE)*VLOOKUP($L43,Vloersoorten[],3,FALSE)*VLOOKUP($X43,Frequenties[],3,FALSE)*VLOOKUP(Ruimtestaat[[#This Row],[Code]],Locaties[],3,FALSE),0)</f>
        <v>0</v>
      </c>
      <c r="AA43" s="99">
        <f>Ruimtestaat[[#This Row],[Uitvoeringen weekend]]*Ruimtestaat[[#This Row],[Oppervlak (netto)]]</f>
        <v>0</v>
      </c>
      <c r="AB43" s="99">
        <f>IF(Z43&gt;0,Ruimtestaat[[#This Row],[Prest. (m2 /jaar) weekend]]/Ruimtestaat[[#This Row],[Norm (m2/uur) weekend]],0)</f>
        <v>0</v>
      </c>
      <c r="AC43" s="136">
        <f>Ruimtestaat[[#This Row],[uren / jaar weekend]]*Tariefsopbouw!$D$40</f>
        <v>0</v>
      </c>
      <c r="AD43" s="135">
        <f>Ruimtestaat[[#This Row],[Prest. (m2 /jaar) weekend]]+Ruimtestaat[[#This Row],[Prest. (m2 /jaar) werkdagen]]</f>
        <v>0</v>
      </c>
      <c r="AE43" s="135">
        <f>Ruimtestaat[[#This Row],[uren / jaar weekend]]+Ruimtestaat[[#This Row],[uren / jaar werkdagen]]</f>
        <v>0</v>
      </c>
      <c r="AF43" s="130">
        <f>Ruimtestaat[[#This Row],[kosten / jaar weekend]]+Ruimtestaat[[#This Row],[kosten / jaar werkdagen]]</f>
        <v>0</v>
      </c>
      <c r="AG43" s="130"/>
      <c r="AH43" s="137" t="str">
        <f>IF(Ruimtestaat[[#This Row],[Frequentie werkdagen]]="","",_xlfn.CONCAT(Ruimtestaat[[#This Row],[Ruimte code]],"-",Ruimtestaat[[#This Row],[Frequentie werkdagen]]," ",Ruimtestaat[[#This Row],[Vloer code]]))</f>
        <v/>
      </c>
      <c r="AI43" s="142" t="str">
        <f>_xlfn.IFNA(VLOOKUP($AH43,Programma!$F$3:$G$1101,2,0),"")</f>
        <v/>
      </c>
      <c r="AJ43" s="142" t="str">
        <f>_xlfn.IFNA(VLOOKUP($AH43,Programma!$F$3:$H$1101,3,0),"")</f>
        <v/>
      </c>
      <c r="AK43" s="142" t="str">
        <f>_xlfn.IFNA(VLOOKUP($AH43,Programma!$F$3:$I$1101,4,0),"")</f>
        <v/>
      </c>
      <c r="AL43" s="142" t="str">
        <f>_xlfn.IFNA(VLOOKUP($AH43,Programma!$F$3:$J$1101,5,0),"")</f>
        <v/>
      </c>
      <c r="AM43" s="142" t="str">
        <f>_xlfn.IFNA(VLOOKUP($AH43,Programma!$F$3:$K$1101,6,0),"")</f>
        <v/>
      </c>
      <c r="AN43" s="142" t="str">
        <f>_xlfn.IFNA(VLOOKUP($AH43,Programma!$F$3:$L$1101,7,0),"")</f>
        <v/>
      </c>
      <c r="AO43" s="142" t="str">
        <f>_xlfn.IFNA(VLOOKUP($AH43,Programma!$F$3:$M$1101,8,0),"")</f>
        <v/>
      </c>
      <c r="AP43" s="142" t="str">
        <f>_xlfn.IFNA(VLOOKUP($AH43,Programma!$F$3:$N$1101,9,0),"")</f>
        <v/>
      </c>
      <c r="AQ43" s="142" t="str">
        <f>_xlfn.IFNA(VLOOKUP($AH43,Programma!$F$3:$O$1101,10,0),"")</f>
        <v/>
      </c>
      <c r="AR43" s="142" t="str">
        <f>_xlfn.IFNA(VLOOKUP($AH43,Programma!$F$3:$P$1101,11,0),"")</f>
        <v/>
      </c>
      <c r="AS43" s="142" t="str">
        <f>_xlfn.IFNA(VLOOKUP($AH43,Programma!$F$3:$Q$1101,12,0),"")</f>
        <v/>
      </c>
      <c r="AT43" s="142" t="str">
        <f>_xlfn.IFNA(VLOOKUP($AH43,Programma!$F$3:$R$1101,13,0),"")</f>
        <v/>
      </c>
      <c r="AU43" s="142" t="str">
        <f>_xlfn.IFNA(VLOOKUP($AH43,Programma!$F$3:$S$1101,14,0),"")</f>
        <v/>
      </c>
      <c r="AV43" s="142" t="str">
        <f>_xlfn.IFNA(VLOOKUP($AH43,Programma!$F$3:$T$1101,15,0),"")</f>
        <v/>
      </c>
      <c r="AW43" s="142" t="str">
        <f>_xlfn.IFNA(VLOOKUP($AH43,Programma!$F$3:$U$1101,16,0),"")</f>
        <v/>
      </c>
      <c r="AX43" s="142" t="str">
        <f>_xlfn.IFNA(VLOOKUP($AH43,Programma!$F$3:$V$1101,17,0),"")</f>
        <v/>
      </c>
      <c r="AY43" s="142" t="str">
        <f>_xlfn.IFNA(VLOOKUP($AH43,Programma!$F$3:$W$1101,18,0),"")</f>
        <v/>
      </c>
      <c r="AZ43" s="142" t="str">
        <f>_xlfn.IFNA(VLOOKUP($AH43,Programma!$F$3:$X$1101,19,0),"")</f>
        <v/>
      </c>
      <c r="BA43" s="142" t="str">
        <f>_xlfn.IFNA(VLOOKUP($AH43,Programma!$F$3:$Y$1101,20,0),"")</f>
        <v/>
      </c>
      <c r="BB43" s="138"/>
      <c r="BC43" s="137" t="str">
        <f>IF(Ruimtestaat[[#This Row],[Frequentie weekend]]="","",_xlfn.CONCAT(Ruimtestaat[[#This Row],[Ruimte code]],"-",Ruimtestaat[[#This Row],[Frequentie weekend]]," ",Ruimtestaat[[#This Row],[Vloer code]]))</f>
        <v/>
      </c>
      <c r="BD43" s="142" t="str">
        <f>_xlfn.IFNA(VLOOKUP($BC43,Programma!$F$3:$G$1101,2,0),"")</f>
        <v/>
      </c>
      <c r="BE43" s="142" t="str">
        <f>_xlfn.IFNA(VLOOKUP($BC43,Programma!$F$3:$H$1101,3,0),"")</f>
        <v/>
      </c>
      <c r="BF43" s="142" t="str">
        <f>_xlfn.IFNA(VLOOKUP($BC43,Programma!$F$3:$I$1101,4,0),"")</f>
        <v/>
      </c>
      <c r="BG43" s="142" t="str">
        <f>_xlfn.IFNA(VLOOKUP($BC43,Programma!$F$3:$J$1101,5,0),"")</f>
        <v/>
      </c>
      <c r="BH43" s="142" t="str">
        <f>_xlfn.IFNA(VLOOKUP($BC43,Programma!$F$3:$K$1101,6,0),"")</f>
        <v/>
      </c>
      <c r="BI43" s="142" t="str">
        <f>_xlfn.IFNA(VLOOKUP($BC43,Programma!$F$3:$L$1101,7,0),"")</f>
        <v/>
      </c>
      <c r="BJ43" s="142" t="str">
        <f>_xlfn.IFNA(VLOOKUP($BC43,Programma!$F$3:$M$1101,8,0),"")</f>
        <v/>
      </c>
      <c r="BK43" s="142" t="str">
        <f>_xlfn.IFNA(VLOOKUP($BC43,Programma!$F$3:$N$1101,9,0),"")</f>
        <v/>
      </c>
      <c r="BL43" s="142" t="str">
        <f>_xlfn.IFNA(VLOOKUP($BC43,Programma!$F$3:$O$1101,10,0),"")</f>
        <v/>
      </c>
      <c r="BM43" s="142" t="str">
        <f>_xlfn.IFNA(VLOOKUP($BC43,Programma!$F$3:$P$1101,11,0),"")</f>
        <v/>
      </c>
      <c r="BN43" s="142" t="str">
        <f>_xlfn.IFNA(VLOOKUP($BC43,Programma!$F$3:$Q$1101,12,0),"")</f>
        <v/>
      </c>
      <c r="BO43" s="142" t="str">
        <f>_xlfn.IFNA(VLOOKUP($BC43,Programma!$F$3:$R$1101,13,0),"")</f>
        <v/>
      </c>
      <c r="BP43" s="142" t="str">
        <f>_xlfn.IFNA(VLOOKUP($BC43,Programma!$F$3:$S$1101,14,0),"")</f>
        <v/>
      </c>
      <c r="BQ43" s="142" t="str">
        <f>_xlfn.IFNA(VLOOKUP($BC43,Programma!$F$3:$T$1101,15,0),"")</f>
        <v/>
      </c>
      <c r="BR43" s="142" t="str">
        <f>_xlfn.IFNA(VLOOKUP($BC43,Programma!$F$3:$U$1101,16,0),"")</f>
        <v/>
      </c>
      <c r="BS43" s="142" t="str">
        <f>_xlfn.IFNA(VLOOKUP($BC43,Programma!$F$3:$V$1101,17,0),"")</f>
        <v/>
      </c>
      <c r="BT43" s="142" t="str">
        <f>_xlfn.IFNA(VLOOKUP($BC43,Programma!$F$3:$W$1101,18,0),"")</f>
        <v/>
      </c>
      <c r="BU43" s="142" t="str">
        <f>_xlfn.IFNA(VLOOKUP($BC43,Programma!$F$3:$X$1101,19,0),"")</f>
        <v/>
      </c>
      <c r="BV43" s="142" t="str">
        <f>_xlfn.IFNA(VLOOKUP($BC43,Programma!$F$3:$Y$1101,20,0),"")</f>
        <v/>
      </c>
      <c r="BW43" s="28"/>
      <c r="BX43" s="28"/>
      <c r="BY43" s="28"/>
      <c r="BZ43" s="28"/>
      <c r="CA43" s="28"/>
      <c r="CB43" s="28"/>
      <c r="CC43" s="28"/>
      <c r="CD43" s="28"/>
      <c r="CE43" s="28"/>
      <c r="CF43" s="28"/>
      <c r="CG43" s="28"/>
      <c r="CH43" s="28"/>
      <c r="CI43" s="28"/>
      <c r="CJ43" s="28"/>
      <c r="CK43" s="28"/>
      <c r="CL43" s="28"/>
      <c r="CM43" s="28"/>
      <c r="CN43" s="28"/>
      <c r="CO43" s="28"/>
      <c r="CP43" s="28"/>
      <c r="CQ43" s="28"/>
      <c r="CR43" s="28"/>
      <c r="CS43" s="28"/>
      <c r="CT43" s="28"/>
      <c r="CU43" s="28"/>
      <c r="CV43" s="28"/>
      <c r="CW43" s="28"/>
      <c r="CX43" s="28"/>
      <c r="CY43" s="28"/>
      <c r="CZ43" s="28"/>
      <c r="DA43" s="28"/>
      <c r="DB43" s="28"/>
      <c r="DC43" s="28"/>
      <c r="DD43" s="28"/>
      <c r="DE43" s="28"/>
      <c r="DF43" s="28"/>
      <c r="DG43" s="28"/>
      <c r="DH43" s="28"/>
      <c r="DI43" s="28"/>
      <c r="DJ43" s="28"/>
      <c r="DK43" s="28"/>
      <c r="DL43" s="28"/>
      <c r="DM43" s="28"/>
      <c r="DN43" s="28"/>
      <c r="DO43" s="28"/>
      <c r="DP43" s="28"/>
      <c r="DQ43" s="28"/>
      <c r="DR43" s="28"/>
      <c r="DS43" s="28"/>
      <c r="DT43" s="28"/>
      <c r="DU43" s="28"/>
      <c r="DV43" s="28"/>
      <c r="DW43" s="28"/>
      <c r="DX43" s="28"/>
      <c r="DY43" s="28"/>
      <c r="DZ43" s="28"/>
      <c r="EA43" s="28"/>
      <c r="EB43" s="28"/>
      <c r="EC43" s="28"/>
      <c r="ED43" s="28"/>
      <c r="EE43" s="28"/>
      <c r="EF43" s="28"/>
      <c r="EG43" s="28"/>
      <c r="EH43" s="28"/>
      <c r="EI43" s="28"/>
      <c r="EJ43" s="28"/>
      <c r="EK43" s="28"/>
      <c r="EL43" s="28"/>
      <c r="EM43" s="28"/>
      <c r="EN43" s="28"/>
      <c r="EO43" s="28"/>
      <c r="EP43" s="28"/>
      <c r="EQ43" s="28"/>
      <c r="ER43" s="28"/>
      <c r="ES43" s="28"/>
      <c r="ET43" s="28"/>
      <c r="EU43" s="28"/>
      <c r="EV43" s="28"/>
      <c r="EW43" s="28"/>
      <c r="EX43" s="28"/>
      <c r="EY43" s="28"/>
      <c r="EZ43" s="28"/>
      <c r="FA43" s="28"/>
      <c r="FB43" s="28"/>
      <c r="FC43" s="28"/>
      <c r="FD43" s="28"/>
      <c r="FE43" s="28"/>
      <c r="FF43" s="28"/>
      <c r="FG43" s="28"/>
      <c r="FH43" s="28"/>
      <c r="FI43" s="28"/>
      <c r="FJ43" s="28"/>
      <c r="FK43" s="28"/>
      <c r="FL43" s="28"/>
      <c r="FM43" s="28"/>
      <c r="FN43" s="28"/>
      <c r="FO43" s="28"/>
      <c r="FP43" s="28"/>
      <c r="FQ43" s="28"/>
      <c r="FR43" s="28"/>
      <c r="FS43" s="28"/>
      <c r="FT43" s="28"/>
      <c r="FU43" s="28"/>
      <c r="FV43" s="28"/>
      <c r="FW43" s="28"/>
      <c r="FX43" s="28"/>
      <c r="FY43" s="28"/>
      <c r="FZ43" s="28"/>
      <c r="GA43" s="28"/>
      <c r="GB43" s="28"/>
      <c r="GC43" s="28"/>
      <c r="GD43" s="28"/>
      <c r="GE43" s="28"/>
      <c r="GF43" s="28"/>
      <c r="GG43" s="28"/>
      <c r="GH43" s="28"/>
      <c r="GI43" s="28"/>
      <c r="GJ43" s="28"/>
      <c r="GK43" s="28"/>
      <c r="GL43" s="28"/>
      <c r="GM43" s="28"/>
      <c r="GN43" s="28"/>
      <c r="GO43" s="28"/>
      <c r="GP43" s="28"/>
      <c r="GQ43" s="28"/>
      <c r="GR43" s="28"/>
      <c r="GS43" s="28"/>
      <c r="GT43" s="28"/>
      <c r="GU43" s="28"/>
      <c r="GV43" s="28"/>
      <c r="GW43" s="28"/>
      <c r="GX43" s="28"/>
      <c r="GY43" s="28"/>
      <c r="GZ43" s="28"/>
      <c r="HA43" s="28"/>
      <c r="HB43" s="28"/>
      <c r="HC43" s="28"/>
      <c r="HD43" s="28"/>
      <c r="HE43" s="28"/>
      <c r="HF43" s="28"/>
      <c r="HG43" s="28"/>
      <c r="HH43" s="28"/>
      <c r="HI43" s="28"/>
      <c r="HJ43" s="28"/>
      <c r="HK43" s="28"/>
    </row>
    <row r="44" spans="1:219" ht="15" customHeight="1">
      <c r="A44" s="100">
        <v>1</v>
      </c>
      <c r="B44" s="132" t="str">
        <f>VLOOKUP(Ruimtestaat[[#This Row],[Code]],Locaties[[Code]:[Locatie]],2,FALSE)</f>
        <v>Mirtehuis</v>
      </c>
      <c r="C44" s="132" t="str">
        <f>VLOOKUP(Ruimtestaat[[#This Row],[Code]],Locaties[[#All],[Code]:[Adres]],4,FALSE)</f>
        <v>Weseperweg 6</v>
      </c>
      <c r="D44" s="132" t="str">
        <f>VLOOKUP(Ruimtestaat[[#This Row],[Code]],Locaties[[#All],[Code]:[Postcode]],5,FALSE)</f>
        <v>8111 PK</v>
      </c>
      <c r="E44" s="132" t="str">
        <f>VLOOKUP(Ruimtestaat[[#This Row],[Code]],Locaties[#All],6,FALSE)</f>
        <v>Heeten</v>
      </c>
      <c r="F44" s="100"/>
      <c r="G44" s="100" t="s">
        <v>1675</v>
      </c>
      <c r="H44" s="344"/>
      <c r="I44" s="345" t="s">
        <v>1650</v>
      </c>
      <c r="J44" s="49">
        <v>20</v>
      </c>
      <c r="K44" s="140" t="str">
        <f>VLOOKUP(Ruimtestaat[[#This Row],[Ruimte code]],Ruimtegroepen[[#All],[Code]:[Ruimte omschrijving]],2,FALSE)</f>
        <v>Niet in Onderhoud</v>
      </c>
      <c r="L44" s="100" t="s">
        <v>100</v>
      </c>
      <c r="M44" s="345" t="s">
        <v>1636</v>
      </c>
      <c r="N44" s="133"/>
      <c r="O44" s="139"/>
      <c r="P44" s="134">
        <f>VLOOKUP(Ruimtestaat[[#This Row],[Ruimte code]],Ruimtegroepen[],4,FALSE)</f>
        <v>0</v>
      </c>
      <c r="Q44" s="100"/>
      <c r="R44" s="100"/>
      <c r="S44" s="100">
        <f>IF(Q44&gt;0,IF(RIGHT(Ruimtestaat[[#This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44" s="100">
        <f>IF(S44&gt;0,VLOOKUP($J44,Ruimtegroepen[],3,FALSE)*VLOOKUP($L44,Vloersoorten[],3,FALSE)*VLOOKUP($R44,Frequenties[],3,FALSE)*VLOOKUP($A44,Locaties[],3,FALSE),0)</f>
        <v>0</v>
      </c>
      <c r="U44" s="100">
        <f>Ruimtestaat[[#This Row],[Uitvoeringen werkdagen]]*Ruimtestaat[[#This Row],[Oppervlak (netto)]]</f>
        <v>0</v>
      </c>
      <c r="V44" s="135">
        <f>IF(T44&gt;0,Ruimtestaat[[#This Row],[Prest. (m2 /jaar) werkdagen]]/Ruimtestaat[[#This Row],[Norm (m2/uur) werkdagen]],0)</f>
        <v>0</v>
      </c>
      <c r="W44" s="136">
        <f>Ruimtestaat[[#This Row],[uren / jaar werkdagen]]*Tariefsopbouw!$E$35</f>
        <v>0</v>
      </c>
      <c r="X44" s="100"/>
      <c r="Y44" s="100">
        <f>IF(Ruimtestaat[[#This Row],[Frequentie weekend]]&gt;0,VALUE(LEFT(X44,1))*Q44,0)</f>
        <v>0</v>
      </c>
      <c r="Z44" s="99">
        <f>IF($Y44&gt;0,VLOOKUP($J44,Ruimtegroepen[],3,FALSE)*VLOOKUP($L44,Vloersoorten[],3,FALSE)*VLOOKUP($X44,Frequenties[],3,FALSE)*VLOOKUP(Ruimtestaat[[#This Row],[Code]],Locaties[],3,FALSE),0)</f>
        <v>0</v>
      </c>
      <c r="AA44" s="99">
        <f>Ruimtestaat[[#This Row],[Uitvoeringen weekend]]*Ruimtestaat[[#This Row],[Oppervlak (netto)]]</f>
        <v>0</v>
      </c>
      <c r="AB44" s="99">
        <f>IF(Z44&gt;0,Ruimtestaat[[#This Row],[Prest. (m2 /jaar) weekend]]/Ruimtestaat[[#This Row],[Norm (m2/uur) weekend]],0)</f>
        <v>0</v>
      </c>
      <c r="AC44" s="136">
        <f>Ruimtestaat[[#This Row],[uren / jaar weekend]]*Tariefsopbouw!$D$40</f>
        <v>0</v>
      </c>
      <c r="AD44" s="135">
        <f>Ruimtestaat[[#This Row],[Prest. (m2 /jaar) weekend]]+Ruimtestaat[[#This Row],[Prest. (m2 /jaar) werkdagen]]</f>
        <v>0</v>
      </c>
      <c r="AE44" s="135">
        <f>Ruimtestaat[[#This Row],[uren / jaar weekend]]+Ruimtestaat[[#This Row],[uren / jaar werkdagen]]</f>
        <v>0</v>
      </c>
      <c r="AF44" s="130">
        <f>Ruimtestaat[[#This Row],[kosten / jaar weekend]]+Ruimtestaat[[#This Row],[kosten / jaar werkdagen]]</f>
        <v>0</v>
      </c>
      <c r="AG44" s="130"/>
      <c r="AH44" s="137" t="str">
        <f>IF(Ruimtestaat[[#This Row],[Frequentie werkdagen]]="","",_xlfn.CONCAT(Ruimtestaat[[#This Row],[Ruimte code]],"-",Ruimtestaat[[#This Row],[Frequentie werkdagen]]," ",Ruimtestaat[[#This Row],[Vloer code]]))</f>
        <v/>
      </c>
      <c r="AI44" s="142" t="str">
        <f>_xlfn.IFNA(VLOOKUP($AH44,Programma!$F$3:$G$1101,2,0),"")</f>
        <v/>
      </c>
      <c r="AJ44" s="142" t="str">
        <f>_xlfn.IFNA(VLOOKUP($AH44,Programma!$F$3:$H$1101,3,0),"")</f>
        <v/>
      </c>
      <c r="AK44" s="142" t="str">
        <f>_xlfn.IFNA(VLOOKUP($AH44,Programma!$F$3:$I$1101,4,0),"")</f>
        <v/>
      </c>
      <c r="AL44" s="142" t="str">
        <f>_xlfn.IFNA(VLOOKUP($AH44,Programma!$F$3:$J$1101,5,0),"")</f>
        <v/>
      </c>
      <c r="AM44" s="142" t="str">
        <f>_xlfn.IFNA(VLOOKUP($AH44,Programma!$F$3:$K$1101,6,0),"")</f>
        <v/>
      </c>
      <c r="AN44" s="142" t="str">
        <f>_xlfn.IFNA(VLOOKUP($AH44,Programma!$F$3:$L$1101,7,0),"")</f>
        <v/>
      </c>
      <c r="AO44" s="142" t="str">
        <f>_xlfn.IFNA(VLOOKUP($AH44,Programma!$F$3:$M$1101,8,0),"")</f>
        <v/>
      </c>
      <c r="AP44" s="142" t="str">
        <f>_xlfn.IFNA(VLOOKUP($AH44,Programma!$F$3:$N$1101,9,0),"")</f>
        <v/>
      </c>
      <c r="AQ44" s="142" t="str">
        <f>_xlfn.IFNA(VLOOKUP($AH44,Programma!$F$3:$O$1101,10,0),"")</f>
        <v/>
      </c>
      <c r="AR44" s="142" t="str">
        <f>_xlfn.IFNA(VLOOKUP($AH44,Programma!$F$3:$P$1101,11,0),"")</f>
        <v/>
      </c>
      <c r="AS44" s="142" t="str">
        <f>_xlfn.IFNA(VLOOKUP($AH44,Programma!$F$3:$Q$1101,12,0),"")</f>
        <v/>
      </c>
      <c r="AT44" s="142" t="str">
        <f>_xlfn.IFNA(VLOOKUP($AH44,Programma!$F$3:$R$1101,13,0),"")</f>
        <v/>
      </c>
      <c r="AU44" s="142" t="str">
        <f>_xlfn.IFNA(VLOOKUP($AH44,Programma!$F$3:$S$1101,14,0),"")</f>
        <v/>
      </c>
      <c r="AV44" s="142" t="str">
        <f>_xlfn.IFNA(VLOOKUP($AH44,Programma!$F$3:$T$1101,15,0),"")</f>
        <v/>
      </c>
      <c r="AW44" s="142" t="str">
        <f>_xlfn.IFNA(VLOOKUP($AH44,Programma!$F$3:$U$1101,16,0),"")</f>
        <v/>
      </c>
      <c r="AX44" s="142" t="str">
        <f>_xlfn.IFNA(VLOOKUP($AH44,Programma!$F$3:$V$1101,17,0),"")</f>
        <v/>
      </c>
      <c r="AY44" s="142" t="str">
        <f>_xlfn.IFNA(VLOOKUP($AH44,Programma!$F$3:$W$1101,18,0),"")</f>
        <v/>
      </c>
      <c r="AZ44" s="142" t="str">
        <f>_xlfn.IFNA(VLOOKUP($AH44,Programma!$F$3:$X$1101,19,0),"")</f>
        <v/>
      </c>
      <c r="BA44" s="142" t="str">
        <f>_xlfn.IFNA(VLOOKUP($AH44,Programma!$F$3:$Y$1101,20,0),"")</f>
        <v/>
      </c>
      <c r="BB44" s="138"/>
      <c r="BC44" s="137" t="str">
        <f>IF(Ruimtestaat[[#This Row],[Frequentie weekend]]="","",_xlfn.CONCAT(Ruimtestaat[[#This Row],[Ruimte code]],"-",Ruimtestaat[[#This Row],[Frequentie weekend]]," ",Ruimtestaat[[#This Row],[Vloer code]]))</f>
        <v/>
      </c>
      <c r="BD44" s="142" t="str">
        <f>_xlfn.IFNA(VLOOKUP($BC44,Programma!$F$3:$G$1101,2,0),"")</f>
        <v/>
      </c>
      <c r="BE44" s="142" t="str">
        <f>_xlfn.IFNA(VLOOKUP($BC44,Programma!$F$3:$H$1101,3,0),"")</f>
        <v/>
      </c>
      <c r="BF44" s="142" t="str">
        <f>_xlfn.IFNA(VLOOKUP($BC44,Programma!$F$3:$I$1101,4,0),"")</f>
        <v/>
      </c>
      <c r="BG44" s="142" t="str">
        <f>_xlfn.IFNA(VLOOKUP($BC44,Programma!$F$3:$J$1101,5,0),"")</f>
        <v/>
      </c>
      <c r="BH44" s="142" t="str">
        <f>_xlfn.IFNA(VLOOKUP($BC44,Programma!$F$3:$K$1101,6,0),"")</f>
        <v/>
      </c>
      <c r="BI44" s="142" t="str">
        <f>_xlfn.IFNA(VLOOKUP($BC44,Programma!$F$3:$L$1101,7,0),"")</f>
        <v/>
      </c>
      <c r="BJ44" s="142" t="str">
        <f>_xlfn.IFNA(VLOOKUP($BC44,Programma!$F$3:$M$1101,8,0),"")</f>
        <v/>
      </c>
      <c r="BK44" s="142" t="str">
        <f>_xlfn.IFNA(VLOOKUP($BC44,Programma!$F$3:$N$1101,9,0),"")</f>
        <v/>
      </c>
      <c r="BL44" s="142" t="str">
        <f>_xlfn.IFNA(VLOOKUP($BC44,Programma!$F$3:$O$1101,10,0),"")</f>
        <v/>
      </c>
      <c r="BM44" s="142" t="str">
        <f>_xlfn.IFNA(VLOOKUP($BC44,Programma!$F$3:$P$1101,11,0),"")</f>
        <v/>
      </c>
      <c r="BN44" s="142" t="str">
        <f>_xlfn.IFNA(VLOOKUP($BC44,Programma!$F$3:$Q$1101,12,0),"")</f>
        <v/>
      </c>
      <c r="BO44" s="142" t="str">
        <f>_xlfn.IFNA(VLOOKUP($BC44,Programma!$F$3:$R$1101,13,0),"")</f>
        <v/>
      </c>
      <c r="BP44" s="142" t="str">
        <f>_xlfn.IFNA(VLOOKUP($BC44,Programma!$F$3:$S$1101,14,0),"")</f>
        <v/>
      </c>
      <c r="BQ44" s="142" t="str">
        <f>_xlfn.IFNA(VLOOKUP($BC44,Programma!$F$3:$T$1101,15,0),"")</f>
        <v/>
      </c>
      <c r="BR44" s="142" t="str">
        <f>_xlfn.IFNA(VLOOKUP($BC44,Programma!$F$3:$U$1101,16,0),"")</f>
        <v/>
      </c>
      <c r="BS44" s="142" t="str">
        <f>_xlfn.IFNA(VLOOKUP($BC44,Programma!$F$3:$V$1101,17,0),"")</f>
        <v/>
      </c>
      <c r="BT44" s="142" t="str">
        <f>_xlfn.IFNA(VLOOKUP($BC44,Programma!$F$3:$W$1101,18,0),"")</f>
        <v/>
      </c>
      <c r="BU44" s="142" t="str">
        <f>_xlfn.IFNA(VLOOKUP($BC44,Programma!$F$3:$X$1101,19,0),"")</f>
        <v/>
      </c>
      <c r="BV44" s="142" t="str">
        <f>_xlfn.IFNA(VLOOKUP($BC44,Programma!$F$3:$Y$1101,20,0),"")</f>
        <v/>
      </c>
      <c r="BW44" s="28"/>
      <c r="BX44" s="28"/>
      <c r="BY44" s="28"/>
      <c r="BZ44" s="28"/>
      <c r="CA44" s="28"/>
      <c r="CB44" s="28"/>
      <c r="CC44" s="28"/>
      <c r="CD44" s="28"/>
      <c r="CE44" s="28"/>
      <c r="CF44" s="28"/>
      <c r="CG44" s="28"/>
      <c r="CH44" s="28"/>
      <c r="CI44" s="28"/>
      <c r="CJ44" s="28"/>
      <c r="CK44" s="28"/>
      <c r="CL44" s="28"/>
      <c r="CM44" s="28"/>
      <c r="CN44" s="28"/>
      <c r="CO44" s="28"/>
      <c r="CP44" s="28"/>
      <c r="CQ44" s="28"/>
      <c r="CR44" s="28"/>
      <c r="CS44" s="28"/>
      <c r="CT44" s="28"/>
      <c r="CU44" s="28"/>
      <c r="CV44" s="28"/>
      <c r="CW44" s="28"/>
      <c r="CX44" s="28"/>
      <c r="CY44" s="28"/>
      <c r="CZ44" s="28"/>
      <c r="DA44" s="28"/>
      <c r="DB44" s="28"/>
      <c r="DC44" s="28"/>
      <c r="DD44" s="28"/>
      <c r="DE44" s="28"/>
      <c r="DF44" s="28"/>
      <c r="DG44" s="28"/>
      <c r="DH44" s="28"/>
      <c r="DI44" s="28"/>
      <c r="DJ44" s="28"/>
      <c r="DK44" s="28"/>
      <c r="DL44" s="28"/>
      <c r="DM44" s="28"/>
      <c r="DN44" s="28"/>
      <c r="DO44" s="28"/>
      <c r="DP44" s="28"/>
      <c r="DQ44" s="28"/>
      <c r="DR44" s="28"/>
      <c r="DS44" s="28"/>
      <c r="DT44" s="28"/>
      <c r="DU44" s="28"/>
      <c r="DV44" s="28"/>
      <c r="DW44" s="28"/>
      <c r="DX44" s="28"/>
      <c r="DY44" s="28"/>
      <c r="DZ44" s="28"/>
      <c r="EA44" s="28"/>
      <c r="EB44" s="28"/>
      <c r="EC44" s="28"/>
      <c r="ED44" s="28"/>
      <c r="EE44" s="28"/>
      <c r="EF44" s="28"/>
      <c r="EG44" s="28"/>
      <c r="EH44" s="28"/>
      <c r="EI44" s="28"/>
      <c r="EJ44" s="28"/>
      <c r="EK44" s="28"/>
      <c r="EL44" s="28"/>
      <c r="EM44" s="28"/>
      <c r="EN44" s="28"/>
      <c r="EO44" s="28"/>
      <c r="EP44" s="28"/>
      <c r="EQ44" s="28"/>
      <c r="ER44" s="28"/>
      <c r="ES44" s="28"/>
      <c r="ET44" s="28"/>
      <c r="EU44" s="28"/>
      <c r="EV44" s="28"/>
      <c r="EW44" s="28"/>
      <c r="EX44" s="28"/>
      <c r="EY44" s="28"/>
      <c r="EZ44" s="28"/>
      <c r="FA44" s="28"/>
      <c r="FB44" s="28"/>
      <c r="FC44" s="28"/>
      <c r="FD44" s="28"/>
      <c r="FE44" s="28"/>
      <c r="FF44" s="28"/>
      <c r="FG44" s="28"/>
      <c r="FH44" s="28"/>
      <c r="FI44" s="28"/>
      <c r="FJ44" s="28"/>
      <c r="FK44" s="28"/>
      <c r="FL44" s="28"/>
      <c r="FM44" s="28"/>
      <c r="FN44" s="28"/>
      <c r="FO44" s="28"/>
      <c r="FP44" s="28"/>
      <c r="FQ44" s="28"/>
      <c r="FR44" s="28"/>
      <c r="FS44" s="28"/>
      <c r="FT44" s="28"/>
      <c r="FU44" s="28"/>
      <c r="FV44" s="28"/>
      <c r="FW44" s="28"/>
      <c r="FX44" s="28"/>
      <c r="FY44" s="28"/>
      <c r="FZ44" s="28"/>
      <c r="GA44" s="28"/>
      <c r="GB44" s="28"/>
      <c r="GC44" s="28"/>
      <c r="GD44" s="28"/>
      <c r="GE44" s="28"/>
      <c r="GF44" s="28"/>
      <c r="GG44" s="28"/>
      <c r="GH44" s="28"/>
      <c r="GI44" s="28"/>
      <c r="GJ44" s="28"/>
      <c r="GK44" s="28"/>
      <c r="GL44" s="28"/>
      <c r="GM44" s="28"/>
      <c r="GN44" s="28"/>
      <c r="GO44" s="28"/>
      <c r="GP44" s="28"/>
      <c r="GQ44" s="28"/>
      <c r="GR44" s="28"/>
      <c r="GS44" s="28"/>
      <c r="GT44" s="28"/>
      <c r="GU44" s="28"/>
      <c r="GV44" s="28"/>
      <c r="GW44" s="28"/>
      <c r="GX44" s="28"/>
      <c r="GY44" s="28"/>
      <c r="GZ44" s="28"/>
      <c r="HA44" s="28"/>
      <c r="HB44" s="28"/>
      <c r="HC44" s="28"/>
      <c r="HD44" s="28"/>
      <c r="HE44" s="28"/>
      <c r="HF44" s="28"/>
      <c r="HG44" s="28"/>
      <c r="HH44" s="28"/>
      <c r="HI44" s="28"/>
      <c r="HJ44" s="28"/>
      <c r="HK44" s="28"/>
    </row>
    <row r="45" spans="1:219" ht="15" customHeight="1">
      <c r="A45" s="100">
        <v>1</v>
      </c>
      <c r="B45" s="132" t="str">
        <f>VLOOKUP(Ruimtestaat[[#This Row],[Code]],Locaties[[Code]:[Locatie]],2,FALSE)</f>
        <v>Mirtehuis</v>
      </c>
      <c r="C45" s="132" t="str">
        <f>VLOOKUP(Ruimtestaat[[#This Row],[Code]],Locaties[[#All],[Code]:[Adres]],4,FALSE)</f>
        <v>Weseperweg 6</v>
      </c>
      <c r="D45" s="132" t="str">
        <f>VLOOKUP(Ruimtestaat[[#This Row],[Code]],Locaties[[#All],[Code]:[Postcode]],5,FALSE)</f>
        <v>8111 PK</v>
      </c>
      <c r="E45" s="132" t="str">
        <f>VLOOKUP(Ruimtestaat[[#This Row],[Code]],Locaties[#All],6,FALSE)</f>
        <v>Heeten</v>
      </c>
      <c r="F45" s="100"/>
      <c r="G45" s="100" t="s">
        <v>1675</v>
      </c>
      <c r="H45" s="344" t="s">
        <v>1660</v>
      </c>
      <c r="I45" s="345" t="s">
        <v>1656</v>
      </c>
      <c r="J45" s="49">
        <v>20</v>
      </c>
      <c r="K45" s="140" t="str">
        <f>VLOOKUP(Ruimtestaat[[#This Row],[Ruimte code]],Ruimtegroepen[[#All],[Code]:[Ruimte omschrijving]],2,FALSE)</f>
        <v>Niet in Onderhoud</v>
      </c>
      <c r="L45" s="100" t="s">
        <v>100</v>
      </c>
      <c r="M45" s="345" t="s">
        <v>1636</v>
      </c>
      <c r="N45" s="133"/>
      <c r="O45" s="139"/>
      <c r="P45" s="134">
        <f>VLOOKUP(Ruimtestaat[[#This Row],[Ruimte code]],Ruimtegroepen[],4,FALSE)</f>
        <v>0</v>
      </c>
      <c r="Q45" s="100"/>
      <c r="R45" s="100"/>
      <c r="S45" s="100">
        <f>IF(Q45&gt;0,IF(RIGHT(Ruimtestaat[[#This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45" s="100">
        <f>IF(S45&gt;0,VLOOKUP($J45,Ruimtegroepen[],3,FALSE)*VLOOKUP($L45,Vloersoorten[],3,FALSE)*VLOOKUP($R45,Frequenties[],3,FALSE)*VLOOKUP($A45,Locaties[],3,FALSE),0)</f>
        <v>0</v>
      </c>
      <c r="U45" s="100">
        <f>Ruimtestaat[[#This Row],[Uitvoeringen werkdagen]]*Ruimtestaat[[#This Row],[Oppervlak (netto)]]</f>
        <v>0</v>
      </c>
      <c r="V45" s="135">
        <f>IF(T45&gt;0,Ruimtestaat[[#This Row],[Prest. (m2 /jaar) werkdagen]]/Ruimtestaat[[#This Row],[Norm (m2/uur) werkdagen]],0)</f>
        <v>0</v>
      </c>
      <c r="W45" s="136">
        <f>Ruimtestaat[[#This Row],[uren / jaar werkdagen]]*Tariefsopbouw!$E$35</f>
        <v>0</v>
      </c>
      <c r="X45" s="100"/>
      <c r="Y45" s="100">
        <f>IF(Ruimtestaat[[#This Row],[Frequentie weekend]]&gt;0,VALUE(LEFT(X45,1))*Q45,0)</f>
        <v>0</v>
      </c>
      <c r="Z45" s="99">
        <f>IF($Y45&gt;0,VLOOKUP($J45,Ruimtegroepen[],3,FALSE)*VLOOKUP($L45,Vloersoorten[],3,FALSE)*VLOOKUP($X45,Frequenties[],3,FALSE)*VLOOKUP(Ruimtestaat[[#This Row],[Code]],Locaties[],3,FALSE),0)</f>
        <v>0</v>
      </c>
      <c r="AA45" s="99">
        <f>Ruimtestaat[[#This Row],[Uitvoeringen weekend]]*Ruimtestaat[[#This Row],[Oppervlak (netto)]]</f>
        <v>0</v>
      </c>
      <c r="AB45" s="99">
        <f>IF(Z45&gt;0,Ruimtestaat[[#This Row],[Prest. (m2 /jaar) weekend]]/Ruimtestaat[[#This Row],[Norm (m2/uur) weekend]],0)</f>
        <v>0</v>
      </c>
      <c r="AC45" s="136">
        <f>Ruimtestaat[[#This Row],[uren / jaar weekend]]*Tariefsopbouw!$D$40</f>
        <v>0</v>
      </c>
      <c r="AD45" s="135">
        <f>Ruimtestaat[[#This Row],[Prest. (m2 /jaar) weekend]]+Ruimtestaat[[#This Row],[Prest. (m2 /jaar) werkdagen]]</f>
        <v>0</v>
      </c>
      <c r="AE45" s="135">
        <f>Ruimtestaat[[#This Row],[uren / jaar weekend]]+Ruimtestaat[[#This Row],[uren / jaar werkdagen]]</f>
        <v>0</v>
      </c>
      <c r="AF45" s="130">
        <f>Ruimtestaat[[#This Row],[kosten / jaar weekend]]+Ruimtestaat[[#This Row],[kosten / jaar werkdagen]]</f>
        <v>0</v>
      </c>
      <c r="AG45" s="130"/>
      <c r="AH45" s="137" t="str">
        <f>IF(Ruimtestaat[[#This Row],[Frequentie werkdagen]]="","",_xlfn.CONCAT(Ruimtestaat[[#This Row],[Ruimte code]],"-",Ruimtestaat[[#This Row],[Frequentie werkdagen]]," ",Ruimtestaat[[#This Row],[Vloer code]]))</f>
        <v/>
      </c>
      <c r="AI45" s="142" t="str">
        <f>_xlfn.IFNA(VLOOKUP($AH45,Programma!$F$3:$G$1101,2,0),"")</f>
        <v/>
      </c>
      <c r="AJ45" s="142" t="str">
        <f>_xlfn.IFNA(VLOOKUP($AH45,Programma!$F$3:$H$1101,3,0),"")</f>
        <v/>
      </c>
      <c r="AK45" s="142" t="str">
        <f>_xlfn.IFNA(VLOOKUP($AH45,Programma!$F$3:$I$1101,4,0),"")</f>
        <v/>
      </c>
      <c r="AL45" s="142" t="str">
        <f>_xlfn.IFNA(VLOOKUP($AH45,Programma!$F$3:$J$1101,5,0),"")</f>
        <v/>
      </c>
      <c r="AM45" s="142" t="str">
        <f>_xlfn.IFNA(VLOOKUP($AH45,Programma!$F$3:$K$1101,6,0),"")</f>
        <v/>
      </c>
      <c r="AN45" s="142" t="str">
        <f>_xlfn.IFNA(VLOOKUP($AH45,Programma!$F$3:$L$1101,7,0),"")</f>
        <v/>
      </c>
      <c r="AO45" s="142" t="str">
        <f>_xlfn.IFNA(VLOOKUP($AH45,Programma!$F$3:$M$1101,8,0),"")</f>
        <v/>
      </c>
      <c r="AP45" s="142" t="str">
        <f>_xlfn.IFNA(VLOOKUP($AH45,Programma!$F$3:$N$1101,9,0),"")</f>
        <v/>
      </c>
      <c r="AQ45" s="142" t="str">
        <f>_xlfn.IFNA(VLOOKUP($AH45,Programma!$F$3:$O$1101,10,0),"")</f>
        <v/>
      </c>
      <c r="AR45" s="142" t="str">
        <f>_xlfn.IFNA(VLOOKUP($AH45,Programma!$F$3:$P$1101,11,0),"")</f>
        <v/>
      </c>
      <c r="AS45" s="142" t="str">
        <f>_xlfn.IFNA(VLOOKUP($AH45,Programma!$F$3:$Q$1101,12,0),"")</f>
        <v/>
      </c>
      <c r="AT45" s="142" t="str">
        <f>_xlfn.IFNA(VLOOKUP($AH45,Programma!$F$3:$R$1101,13,0),"")</f>
        <v/>
      </c>
      <c r="AU45" s="142" t="str">
        <f>_xlfn.IFNA(VLOOKUP($AH45,Programma!$F$3:$S$1101,14,0),"")</f>
        <v/>
      </c>
      <c r="AV45" s="142" t="str">
        <f>_xlfn.IFNA(VLOOKUP($AH45,Programma!$F$3:$T$1101,15,0),"")</f>
        <v/>
      </c>
      <c r="AW45" s="142" t="str">
        <f>_xlfn.IFNA(VLOOKUP($AH45,Programma!$F$3:$U$1101,16,0),"")</f>
        <v/>
      </c>
      <c r="AX45" s="142" t="str">
        <f>_xlfn.IFNA(VLOOKUP($AH45,Programma!$F$3:$V$1101,17,0),"")</f>
        <v/>
      </c>
      <c r="AY45" s="142" t="str">
        <f>_xlfn.IFNA(VLOOKUP($AH45,Programma!$F$3:$W$1101,18,0),"")</f>
        <v/>
      </c>
      <c r="AZ45" s="142" t="str">
        <f>_xlfn.IFNA(VLOOKUP($AH45,Programma!$F$3:$X$1101,19,0),"")</f>
        <v/>
      </c>
      <c r="BA45" s="142" t="str">
        <f>_xlfn.IFNA(VLOOKUP($AH45,Programma!$F$3:$Y$1101,20,0),"")</f>
        <v/>
      </c>
      <c r="BB45" s="138"/>
      <c r="BC45" s="137" t="str">
        <f>IF(Ruimtestaat[[#This Row],[Frequentie weekend]]="","",_xlfn.CONCAT(Ruimtestaat[[#This Row],[Ruimte code]],"-",Ruimtestaat[[#This Row],[Frequentie weekend]]," ",Ruimtestaat[[#This Row],[Vloer code]]))</f>
        <v/>
      </c>
      <c r="BD45" s="142" t="str">
        <f>_xlfn.IFNA(VLOOKUP($BC45,Programma!$F$3:$G$1101,2,0),"")</f>
        <v/>
      </c>
      <c r="BE45" s="142" t="str">
        <f>_xlfn.IFNA(VLOOKUP($BC45,Programma!$F$3:$H$1101,3,0),"")</f>
        <v/>
      </c>
      <c r="BF45" s="142" t="str">
        <f>_xlfn.IFNA(VLOOKUP($BC45,Programma!$F$3:$I$1101,4,0),"")</f>
        <v/>
      </c>
      <c r="BG45" s="142" t="str">
        <f>_xlfn.IFNA(VLOOKUP($BC45,Programma!$F$3:$J$1101,5,0),"")</f>
        <v/>
      </c>
      <c r="BH45" s="142" t="str">
        <f>_xlfn.IFNA(VLOOKUP($BC45,Programma!$F$3:$K$1101,6,0),"")</f>
        <v/>
      </c>
      <c r="BI45" s="142" t="str">
        <f>_xlfn.IFNA(VLOOKUP($BC45,Programma!$F$3:$L$1101,7,0),"")</f>
        <v/>
      </c>
      <c r="BJ45" s="142" t="str">
        <f>_xlfn.IFNA(VLOOKUP($BC45,Programma!$F$3:$M$1101,8,0),"")</f>
        <v/>
      </c>
      <c r="BK45" s="142" t="str">
        <f>_xlfn.IFNA(VLOOKUP($BC45,Programma!$F$3:$N$1101,9,0),"")</f>
        <v/>
      </c>
      <c r="BL45" s="142" t="str">
        <f>_xlfn.IFNA(VLOOKUP($BC45,Programma!$F$3:$O$1101,10,0),"")</f>
        <v/>
      </c>
      <c r="BM45" s="142" t="str">
        <f>_xlfn.IFNA(VLOOKUP($BC45,Programma!$F$3:$P$1101,11,0),"")</f>
        <v/>
      </c>
      <c r="BN45" s="142" t="str">
        <f>_xlfn.IFNA(VLOOKUP($BC45,Programma!$F$3:$Q$1101,12,0),"")</f>
        <v/>
      </c>
      <c r="BO45" s="142" t="str">
        <f>_xlfn.IFNA(VLOOKUP($BC45,Programma!$F$3:$R$1101,13,0),"")</f>
        <v/>
      </c>
      <c r="BP45" s="142" t="str">
        <f>_xlfn.IFNA(VLOOKUP($BC45,Programma!$F$3:$S$1101,14,0),"")</f>
        <v/>
      </c>
      <c r="BQ45" s="142" t="str">
        <f>_xlfn.IFNA(VLOOKUP($BC45,Programma!$F$3:$T$1101,15,0),"")</f>
        <v/>
      </c>
      <c r="BR45" s="142" t="str">
        <f>_xlfn.IFNA(VLOOKUP($BC45,Programma!$F$3:$U$1101,16,0),"")</f>
        <v/>
      </c>
      <c r="BS45" s="142" t="str">
        <f>_xlfn.IFNA(VLOOKUP($BC45,Programma!$F$3:$V$1101,17,0),"")</f>
        <v/>
      </c>
      <c r="BT45" s="142" t="str">
        <f>_xlfn.IFNA(VLOOKUP($BC45,Programma!$F$3:$W$1101,18,0),"")</f>
        <v/>
      </c>
      <c r="BU45" s="142" t="str">
        <f>_xlfn.IFNA(VLOOKUP($BC45,Programma!$F$3:$X$1101,19,0),"")</f>
        <v/>
      </c>
      <c r="BV45" s="142" t="str">
        <f>_xlfn.IFNA(VLOOKUP($BC45,Programma!$F$3:$Y$1101,20,0),"")</f>
        <v/>
      </c>
      <c r="BW45" s="28"/>
      <c r="BX45" s="28"/>
      <c r="BY45" s="28"/>
      <c r="BZ45" s="28"/>
      <c r="CA45" s="28"/>
      <c r="CB45" s="28"/>
      <c r="CC45" s="28"/>
      <c r="CD45" s="28"/>
      <c r="CE45" s="28"/>
      <c r="CF45" s="28"/>
      <c r="CG45" s="28"/>
      <c r="CH45" s="28"/>
      <c r="CI45" s="28"/>
      <c r="CJ45" s="28"/>
      <c r="CK45" s="28"/>
      <c r="CL45" s="28"/>
      <c r="CM45" s="28"/>
      <c r="CN45" s="28"/>
      <c r="CO45" s="28"/>
      <c r="CP45" s="28"/>
      <c r="CQ45" s="28"/>
      <c r="CR45" s="28"/>
      <c r="CS45" s="28"/>
      <c r="CT45" s="28"/>
      <c r="CU45" s="28"/>
      <c r="CV45" s="28"/>
      <c r="CW45" s="28"/>
      <c r="CX45" s="28"/>
      <c r="CY45" s="28"/>
      <c r="CZ45" s="28"/>
      <c r="DA45" s="28"/>
      <c r="DB45" s="28"/>
      <c r="DC45" s="28"/>
      <c r="DD45" s="28"/>
      <c r="DE45" s="28"/>
      <c r="DF45" s="28"/>
      <c r="DG45" s="28"/>
      <c r="DH45" s="28"/>
      <c r="DI45" s="28"/>
      <c r="DJ45" s="28"/>
      <c r="DK45" s="28"/>
      <c r="DL45" s="28"/>
      <c r="DM45" s="28"/>
      <c r="DN45" s="28"/>
      <c r="DO45" s="28"/>
      <c r="DP45" s="28"/>
      <c r="DQ45" s="28"/>
      <c r="DR45" s="28"/>
      <c r="DS45" s="28"/>
      <c r="DT45" s="28"/>
      <c r="DU45" s="28"/>
      <c r="DV45" s="28"/>
      <c r="DW45" s="28"/>
      <c r="DX45" s="28"/>
      <c r="DY45" s="28"/>
      <c r="DZ45" s="28"/>
      <c r="EA45" s="28"/>
      <c r="EB45" s="28"/>
      <c r="EC45" s="28"/>
      <c r="ED45" s="28"/>
      <c r="EE45" s="28"/>
      <c r="EF45" s="28"/>
      <c r="EG45" s="28"/>
      <c r="EH45" s="28"/>
      <c r="EI45" s="28"/>
      <c r="EJ45" s="28"/>
      <c r="EK45" s="28"/>
      <c r="EL45" s="28"/>
      <c r="EM45" s="28"/>
      <c r="EN45" s="28"/>
      <c r="EO45" s="28"/>
      <c r="EP45" s="28"/>
      <c r="EQ45" s="28"/>
      <c r="ER45" s="28"/>
      <c r="ES45" s="28"/>
      <c r="ET45" s="28"/>
      <c r="EU45" s="28"/>
      <c r="EV45" s="28"/>
      <c r="EW45" s="28"/>
      <c r="EX45" s="28"/>
      <c r="EY45" s="28"/>
      <c r="EZ45" s="28"/>
      <c r="FA45" s="28"/>
      <c r="FB45" s="28"/>
      <c r="FC45" s="28"/>
      <c r="FD45" s="28"/>
      <c r="FE45" s="28"/>
      <c r="FF45" s="28"/>
      <c r="FG45" s="28"/>
      <c r="FH45" s="28"/>
      <c r="FI45" s="28"/>
      <c r="FJ45" s="28"/>
      <c r="FK45" s="28"/>
      <c r="FL45" s="28"/>
      <c r="FM45" s="28"/>
      <c r="FN45" s="28"/>
      <c r="FO45" s="28"/>
      <c r="FP45" s="28"/>
      <c r="FQ45" s="28"/>
      <c r="FR45" s="28"/>
      <c r="FS45" s="28"/>
      <c r="FT45" s="28"/>
      <c r="FU45" s="28"/>
      <c r="FV45" s="28"/>
      <c r="FW45" s="28"/>
      <c r="FX45" s="28"/>
      <c r="FY45" s="28"/>
      <c r="FZ45" s="28"/>
      <c r="GA45" s="28"/>
      <c r="GB45" s="28"/>
      <c r="GC45" s="28"/>
      <c r="GD45" s="28"/>
      <c r="GE45" s="28"/>
      <c r="GF45" s="28"/>
      <c r="GG45" s="28"/>
      <c r="GH45" s="28"/>
      <c r="GI45" s="28"/>
      <c r="GJ45" s="28"/>
      <c r="GK45" s="28"/>
      <c r="GL45" s="28"/>
      <c r="GM45" s="28"/>
      <c r="GN45" s="28"/>
      <c r="GO45" s="28"/>
      <c r="GP45" s="28"/>
      <c r="GQ45" s="28"/>
      <c r="GR45" s="28"/>
      <c r="GS45" s="28"/>
      <c r="GT45" s="28"/>
      <c r="GU45" s="28"/>
      <c r="GV45" s="28"/>
      <c r="GW45" s="28"/>
      <c r="GX45" s="28"/>
      <c r="GY45" s="28"/>
      <c r="GZ45" s="28"/>
      <c r="HA45" s="28"/>
      <c r="HB45" s="28"/>
      <c r="HC45" s="28"/>
      <c r="HD45" s="28"/>
      <c r="HE45" s="28"/>
      <c r="HF45" s="28"/>
      <c r="HG45" s="28"/>
      <c r="HH45" s="28"/>
      <c r="HI45" s="28"/>
      <c r="HJ45" s="28"/>
      <c r="HK45" s="28"/>
    </row>
    <row r="46" spans="1:219" ht="15" customHeight="1">
      <c r="A46" s="100">
        <v>1</v>
      </c>
      <c r="B46" s="132" t="str">
        <f>VLOOKUP(Ruimtestaat[[#This Row],[Code]],Locaties[[Code]:[Locatie]],2,FALSE)</f>
        <v>Mirtehuis</v>
      </c>
      <c r="C46" s="132" t="str">
        <f>VLOOKUP(Ruimtestaat[[#This Row],[Code]],Locaties[[#All],[Code]:[Adres]],4,FALSE)</f>
        <v>Weseperweg 6</v>
      </c>
      <c r="D46" s="132" t="str">
        <f>VLOOKUP(Ruimtestaat[[#This Row],[Code]],Locaties[[#All],[Code]:[Postcode]],5,FALSE)</f>
        <v>8111 PK</v>
      </c>
      <c r="E46" s="132" t="str">
        <f>VLOOKUP(Ruimtestaat[[#This Row],[Code]],Locaties[#All],6,FALSE)</f>
        <v>Heeten</v>
      </c>
      <c r="F46" s="100"/>
      <c r="G46" s="100" t="s">
        <v>1675</v>
      </c>
      <c r="H46" s="344"/>
      <c r="I46" s="345" t="s">
        <v>22</v>
      </c>
      <c r="J46" s="49">
        <v>20</v>
      </c>
      <c r="K46" s="140" t="str">
        <f>VLOOKUP(Ruimtestaat[[#This Row],[Ruimte code]],Ruimtegroepen[[#All],[Code]:[Ruimte omschrijving]],2,FALSE)</f>
        <v>Niet in Onderhoud</v>
      </c>
      <c r="L46" s="100" t="s">
        <v>101</v>
      </c>
      <c r="M46" s="345" t="s">
        <v>1642</v>
      </c>
      <c r="N46" s="133"/>
      <c r="O46" s="100"/>
      <c r="P46" s="134">
        <f>VLOOKUP(Ruimtestaat[[#This Row],[Ruimte code]],Ruimtegroepen[],4,FALSE)</f>
        <v>0</v>
      </c>
      <c r="Q46" s="100"/>
      <c r="R46" s="100"/>
      <c r="S46" s="100">
        <f>IF(Q46&gt;0,IF(RIGHT(Ruimtestaat[[#This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46" s="100">
        <f>IF(S46&gt;0,VLOOKUP($J46,Ruimtegroepen[],3,FALSE)*VLOOKUP($L46,Vloersoorten[],3,FALSE)*VLOOKUP($R46,Frequenties[],3,FALSE)*VLOOKUP($A46,Locaties[],3,FALSE),0)</f>
        <v>0</v>
      </c>
      <c r="U46" s="100">
        <f>Ruimtestaat[[#This Row],[Uitvoeringen werkdagen]]*Ruimtestaat[[#This Row],[Oppervlak (netto)]]</f>
        <v>0</v>
      </c>
      <c r="V46" s="135">
        <f>IF(T46&gt;0,Ruimtestaat[[#This Row],[Prest. (m2 /jaar) werkdagen]]/Ruimtestaat[[#This Row],[Norm (m2/uur) werkdagen]],0)</f>
        <v>0</v>
      </c>
      <c r="W46" s="136">
        <f>Ruimtestaat[[#This Row],[uren / jaar werkdagen]]*Tariefsopbouw!$E$35</f>
        <v>0</v>
      </c>
      <c r="X46" s="100"/>
      <c r="Y46" s="100">
        <f>IF(Ruimtestaat[[#This Row],[Frequentie weekend]]&gt;0,VALUE(LEFT(X46,1))*Q46,0)</f>
        <v>0</v>
      </c>
      <c r="Z46" s="99">
        <f>IF($Y46&gt;0,VLOOKUP($J46,Ruimtegroepen[],3,FALSE)*VLOOKUP($L46,Vloersoorten[],3,FALSE)*VLOOKUP($X46,Frequenties[],3,FALSE)*VLOOKUP(Ruimtestaat[[#This Row],[Code]],Locaties[],3,FALSE),0)</f>
        <v>0</v>
      </c>
      <c r="AA46" s="99">
        <f>Ruimtestaat[[#This Row],[Uitvoeringen weekend]]*Ruimtestaat[[#This Row],[Oppervlak (netto)]]</f>
        <v>0</v>
      </c>
      <c r="AB46" s="99">
        <f>IF(Z46&gt;0,Ruimtestaat[[#This Row],[Prest. (m2 /jaar) weekend]]/Ruimtestaat[[#This Row],[Norm (m2/uur) weekend]],0)</f>
        <v>0</v>
      </c>
      <c r="AC46" s="136">
        <f>Ruimtestaat[[#This Row],[uren / jaar weekend]]*Tariefsopbouw!$D$40</f>
        <v>0</v>
      </c>
      <c r="AD46" s="135">
        <f>Ruimtestaat[[#This Row],[Prest. (m2 /jaar) weekend]]+Ruimtestaat[[#This Row],[Prest. (m2 /jaar) werkdagen]]</f>
        <v>0</v>
      </c>
      <c r="AE46" s="135">
        <f>Ruimtestaat[[#This Row],[uren / jaar weekend]]+Ruimtestaat[[#This Row],[uren / jaar werkdagen]]</f>
        <v>0</v>
      </c>
      <c r="AF46" s="130">
        <f>Ruimtestaat[[#This Row],[kosten / jaar weekend]]+Ruimtestaat[[#This Row],[kosten / jaar werkdagen]]</f>
        <v>0</v>
      </c>
      <c r="AG46" s="130"/>
      <c r="AH46" s="137" t="str">
        <f>IF(Ruimtestaat[[#This Row],[Frequentie werkdagen]]="","",_xlfn.CONCAT(Ruimtestaat[[#This Row],[Ruimte code]],"-",Ruimtestaat[[#This Row],[Frequentie werkdagen]]," ",Ruimtestaat[[#This Row],[Vloer code]]))</f>
        <v/>
      </c>
      <c r="AI46" s="142" t="str">
        <f>_xlfn.IFNA(VLOOKUP($AH46,Programma!$F$3:$G$1101,2,0),"")</f>
        <v/>
      </c>
      <c r="AJ46" s="142" t="str">
        <f>_xlfn.IFNA(VLOOKUP($AH46,Programma!$F$3:$H$1101,3,0),"")</f>
        <v/>
      </c>
      <c r="AK46" s="142" t="str">
        <f>_xlfn.IFNA(VLOOKUP($AH46,Programma!$F$3:$I$1101,4,0),"")</f>
        <v/>
      </c>
      <c r="AL46" s="142" t="str">
        <f>_xlfn.IFNA(VLOOKUP($AH46,Programma!$F$3:$J$1101,5,0),"")</f>
        <v/>
      </c>
      <c r="AM46" s="142" t="str">
        <f>_xlfn.IFNA(VLOOKUP($AH46,Programma!$F$3:$K$1101,6,0),"")</f>
        <v/>
      </c>
      <c r="AN46" s="142" t="str">
        <f>_xlfn.IFNA(VLOOKUP($AH46,Programma!$F$3:$L$1101,7,0),"")</f>
        <v/>
      </c>
      <c r="AO46" s="142" t="str">
        <f>_xlfn.IFNA(VLOOKUP($AH46,Programma!$F$3:$M$1101,8,0),"")</f>
        <v/>
      </c>
      <c r="AP46" s="142" t="str">
        <f>_xlfn.IFNA(VLOOKUP($AH46,Programma!$F$3:$N$1101,9,0),"")</f>
        <v/>
      </c>
      <c r="AQ46" s="142" t="str">
        <f>_xlfn.IFNA(VLOOKUP($AH46,Programma!$F$3:$O$1101,10,0),"")</f>
        <v/>
      </c>
      <c r="AR46" s="142" t="str">
        <f>_xlfn.IFNA(VLOOKUP($AH46,Programma!$F$3:$P$1101,11,0),"")</f>
        <v/>
      </c>
      <c r="AS46" s="142" t="str">
        <f>_xlfn.IFNA(VLOOKUP($AH46,Programma!$F$3:$Q$1101,12,0),"")</f>
        <v/>
      </c>
      <c r="AT46" s="142" t="str">
        <f>_xlfn.IFNA(VLOOKUP($AH46,Programma!$F$3:$R$1101,13,0),"")</f>
        <v/>
      </c>
      <c r="AU46" s="142" t="str">
        <f>_xlfn.IFNA(VLOOKUP($AH46,Programma!$F$3:$S$1101,14,0),"")</f>
        <v/>
      </c>
      <c r="AV46" s="142" t="str">
        <f>_xlfn.IFNA(VLOOKUP($AH46,Programma!$F$3:$T$1101,15,0),"")</f>
        <v/>
      </c>
      <c r="AW46" s="142" t="str">
        <f>_xlfn.IFNA(VLOOKUP($AH46,Programma!$F$3:$U$1101,16,0),"")</f>
        <v/>
      </c>
      <c r="AX46" s="142" t="str">
        <f>_xlfn.IFNA(VLOOKUP($AH46,Programma!$F$3:$V$1101,17,0),"")</f>
        <v/>
      </c>
      <c r="AY46" s="142" t="str">
        <f>_xlfn.IFNA(VLOOKUP($AH46,Programma!$F$3:$W$1101,18,0),"")</f>
        <v/>
      </c>
      <c r="AZ46" s="142" t="str">
        <f>_xlfn.IFNA(VLOOKUP($AH46,Programma!$F$3:$X$1101,19,0),"")</f>
        <v/>
      </c>
      <c r="BA46" s="142" t="str">
        <f>_xlfn.IFNA(VLOOKUP($AH46,Programma!$F$3:$Y$1101,20,0),"")</f>
        <v/>
      </c>
      <c r="BB46" s="138"/>
      <c r="BC46" s="137" t="str">
        <f>IF(Ruimtestaat[[#This Row],[Frequentie weekend]]="","",_xlfn.CONCAT(Ruimtestaat[[#This Row],[Ruimte code]],"-",Ruimtestaat[[#This Row],[Frequentie weekend]]," ",Ruimtestaat[[#This Row],[Vloer code]]))</f>
        <v/>
      </c>
      <c r="BD46" s="142" t="str">
        <f>_xlfn.IFNA(VLOOKUP($BC46,Programma!$F$3:$G$1101,2,0),"")</f>
        <v/>
      </c>
      <c r="BE46" s="142" t="str">
        <f>_xlfn.IFNA(VLOOKUP($BC46,Programma!$F$3:$H$1101,3,0),"")</f>
        <v/>
      </c>
      <c r="BF46" s="142" t="str">
        <f>_xlfn.IFNA(VLOOKUP($BC46,Programma!$F$3:$I$1101,4,0),"")</f>
        <v/>
      </c>
      <c r="BG46" s="142" t="str">
        <f>_xlfn.IFNA(VLOOKUP($BC46,Programma!$F$3:$J$1101,5,0),"")</f>
        <v/>
      </c>
      <c r="BH46" s="142" t="str">
        <f>_xlfn.IFNA(VLOOKUP($BC46,Programma!$F$3:$K$1101,6,0),"")</f>
        <v/>
      </c>
      <c r="BI46" s="142" t="str">
        <f>_xlfn.IFNA(VLOOKUP($BC46,Programma!$F$3:$L$1101,7,0),"")</f>
        <v/>
      </c>
      <c r="BJ46" s="142" t="str">
        <f>_xlfn.IFNA(VLOOKUP($BC46,Programma!$F$3:$M$1101,8,0),"")</f>
        <v/>
      </c>
      <c r="BK46" s="142" t="str">
        <f>_xlfn.IFNA(VLOOKUP($BC46,Programma!$F$3:$N$1101,9,0),"")</f>
        <v/>
      </c>
      <c r="BL46" s="142" t="str">
        <f>_xlfn.IFNA(VLOOKUP($BC46,Programma!$F$3:$O$1101,10,0),"")</f>
        <v/>
      </c>
      <c r="BM46" s="142" t="str">
        <f>_xlfn.IFNA(VLOOKUP($BC46,Programma!$F$3:$P$1101,11,0),"")</f>
        <v/>
      </c>
      <c r="BN46" s="142" t="str">
        <f>_xlfn.IFNA(VLOOKUP($BC46,Programma!$F$3:$Q$1101,12,0),"")</f>
        <v/>
      </c>
      <c r="BO46" s="142" t="str">
        <f>_xlfn.IFNA(VLOOKUP($BC46,Programma!$F$3:$R$1101,13,0),"")</f>
        <v/>
      </c>
      <c r="BP46" s="142" t="str">
        <f>_xlfn.IFNA(VLOOKUP($BC46,Programma!$F$3:$S$1101,14,0),"")</f>
        <v/>
      </c>
      <c r="BQ46" s="142" t="str">
        <f>_xlfn.IFNA(VLOOKUP($BC46,Programma!$F$3:$T$1101,15,0),"")</f>
        <v/>
      </c>
      <c r="BR46" s="142" t="str">
        <f>_xlfn.IFNA(VLOOKUP($BC46,Programma!$F$3:$U$1101,16,0),"")</f>
        <v/>
      </c>
      <c r="BS46" s="142" t="str">
        <f>_xlfn.IFNA(VLOOKUP($BC46,Programma!$F$3:$V$1101,17,0),"")</f>
        <v/>
      </c>
      <c r="BT46" s="142" t="str">
        <f>_xlfn.IFNA(VLOOKUP($BC46,Programma!$F$3:$W$1101,18,0),"")</f>
        <v/>
      </c>
      <c r="BU46" s="142" t="str">
        <f>_xlfn.IFNA(VLOOKUP($BC46,Programma!$F$3:$X$1101,19,0),"")</f>
        <v/>
      </c>
      <c r="BV46" s="142" t="str">
        <f>_xlfn.IFNA(VLOOKUP($BC46,Programma!$F$3:$Y$1101,20,0),"")</f>
        <v/>
      </c>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8"/>
      <c r="EZ46" s="28"/>
      <c r="FA46" s="28"/>
      <c r="FB46" s="28"/>
      <c r="FC46" s="28"/>
      <c r="FD46" s="28"/>
      <c r="FE46" s="28"/>
      <c r="FF46" s="28"/>
      <c r="FG46" s="28"/>
      <c r="FH46" s="28"/>
      <c r="FI46" s="28"/>
      <c r="FJ46" s="28"/>
      <c r="FK46" s="28"/>
      <c r="FL46" s="28"/>
      <c r="FM46" s="28"/>
      <c r="FN46" s="28"/>
      <c r="FO46" s="28"/>
      <c r="FP46" s="28"/>
      <c r="FQ46" s="28"/>
      <c r="FR46" s="28"/>
      <c r="FS46" s="28"/>
      <c r="FT46" s="28"/>
      <c r="FU46" s="28"/>
      <c r="FV46" s="28"/>
      <c r="FW46" s="28"/>
      <c r="FX46" s="28"/>
      <c r="FY46" s="28"/>
      <c r="FZ46" s="28"/>
      <c r="GA46" s="28"/>
      <c r="GB46" s="28"/>
      <c r="GC46" s="28"/>
      <c r="GD46" s="28"/>
      <c r="GE46" s="28"/>
      <c r="GF46" s="28"/>
      <c r="GG46" s="28"/>
      <c r="GH46" s="28"/>
      <c r="GI46" s="28"/>
      <c r="GJ46" s="28"/>
      <c r="GK46" s="28"/>
      <c r="GL46" s="28"/>
      <c r="GM46" s="28"/>
      <c r="GN46" s="28"/>
      <c r="GO46" s="28"/>
      <c r="GP46" s="28"/>
      <c r="GQ46" s="28"/>
      <c r="GR46" s="28"/>
      <c r="GS46" s="28"/>
      <c r="GT46" s="28"/>
      <c r="GU46" s="28"/>
      <c r="GV46" s="28"/>
      <c r="GW46" s="28"/>
      <c r="GX46" s="28"/>
      <c r="GY46" s="28"/>
      <c r="GZ46" s="28"/>
      <c r="HA46" s="28"/>
      <c r="HB46" s="28"/>
      <c r="HC46" s="28"/>
      <c r="HD46" s="28"/>
      <c r="HE46" s="28"/>
      <c r="HF46" s="28"/>
      <c r="HG46" s="28"/>
      <c r="HH46" s="28"/>
      <c r="HI46" s="28"/>
      <c r="HJ46" s="28"/>
      <c r="HK46" s="28"/>
    </row>
    <row r="47" spans="1:219" ht="15" customHeight="1">
      <c r="A47" s="100">
        <v>1</v>
      </c>
      <c r="B47" s="132" t="str">
        <f>VLOOKUP(Ruimtestaat[[#This Row],[Code]],Locaties[[Code]:[Locatie]],2,FALSE)</f>
        <v>Mirtehuis</v>
      </c>
      <c r="C47" s="132" t="str">
        <f>VLOOKUP(Ruimtestaat[[#This Row],[Code]],Locaties[[#All],[Code]:[Adres]],4,FALSE)</f>
        <v>Weseperweg 6</v>
      </c>
      <c r="D47" s="132" t="str">
        <f>VLOOKUP(Ruimtestaat[[#This Row],[Code]],Locaties[[#All],[Code]:[Postcode]],5,FALSE)</f>
        <v>8111 PK</v>
      </c>
      <c r="E47" s="132" t="str">
        <f>VLOOKUP(Ruimtestaat[[#This Row],[Code]],Locaties[#All],6,FALSE)</f>
        <v>Heeten</v>
      </c>
      <c r="F47" s="100"/>
      <c r="G47" s="100" t="s">
        <v>1675</v>
      </c>
      <c r="H47" s="344"/>
      <c r="I47" s="345" t="s">
        <v>1635</v>
      </c>
      <c r="J47" s="49">
        <v>20</v>
      </c>
      <c r="K47" s="140" t="str">
        <f>VLOOKUP(Ruimtestaat[[#This Row],[Ruimte code]],Ruimtegroepen[[#All],[Code]:[Ruimte omschrijving]],2,FALSE)</f>
        <v>Niet in Onderhoud</v>
      </c>
      <c r="L47" s="100" t="s">
        <v>100</v>
      </c>
      <c r="M47" s="345" t="s">
        <v>1636</v>
      </c>
      <c r="N47" s="133"/>
      <c r="O47" s="139"/>
      <c r="P47" s="134">
        <f>VLOOKUP(Ruimtestaat[[#This Row],[Ruimte code]],Ruimtegroepen[],4,FALSE)</f>
        <v>0</v>
      </c>
      <c r="Q47" s="100"/>
      <c r="R47" s="100"/>
      <c r="S47" s="100">
        <f>IF(Q47&gt;0,IF(RIGHT(Ruimtestaat[[#This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47" s="100">
        <f>IF(S47&gt;0,VLOOKUP($J47,Ruimtegroepen[],3,FALSE)*VLOOKUP($L47,Vloersoorten[],3,FALSE)*VLOOKUP($R47,Frequenties[],3,FALSE)*VLOOKUP($A47,Locaties[],3,FALSE),0)</f>
        <v>0</v>
      </c>
      <c r="U47" s="100">
        <f>Ruimtestaat[[#This Row],[Uitvoeringen werkdagen]]*Ruimtestaat[[#This Row],[Oppervlak (netto)]]</f>
        <v>0</v>
      </c>
      <c r="V47" s="135">
        <f>IF(T47&gt;0,Ruimtestaat[[#This Row],[Prest. (m2 /jaar) werkdagen]]/Ruimtestaat[[#This Row],[Norm (m2/uur) werkdagen]],0)</f>
        <v>0</v>
      </c>
      <c r="W47" s="136">
        <f>Ruimtestaat[[#This Row],[uren / jaar werkdagen]]*Tariefsopbouw!$E$35</f>
        <v>0</v>
      </c>
      <c r="X47" s="100"/>
      <c r="Y47" s="100">
        <f>IF(Ruimtestaat[[#This Row],[Frequentie weekend]]&gt;0,VALUE(LEFT(X47,1))*Q47,0)</f>
        <v>0</v>
      </c>
      <c r="Z47" s="99">
        <f>IF($Y47&gt;0,VLOOKUP($J47,Ruimtegroepen[],3,FALSE)*VLOOKUP($L47,Vloersoorten[],3,FALSE)*VLOOKUP($X47,Frequenties[],3,FALSE)*VLOOKUP(Ruimtestaat[[#This Row],[Code]],Locaties[],3,FALSE),0)</f>
        <v>0</v>
      </c>
      <c r="AA47" s="99">
        <f>Ruimtestaat[[#This Row],[Uitvoeringen weekend]]*Ruimtestaat[[#This Row],[Oppervlak (netto)]]</f>
        <v>0</v>
      </c>
      <c r="AB47" s="99">
        <f>IF(Z47&gt;0,Ruimtestaat[[#This Row],[Prest. (m2 /jaar) weekend]]/Ruimtestaat[[#This Row],[Norm (m2/uur) weekend]],0)</f>
        <v>0</v>
      </c>
      <c r="AC47" s="136">
        <f>Ruimtestaat[[#This Row],[uren / jaar weekend]]*Tariefsopbouw!$D$40</f>
        <v>0</v>
      </c>
      <c r="AD47" s="135">
        <f>Ruimtestaat[[#This Row],[Prest. (m2 /jaar) weekend]]+Ruimtestaat[[#This Row],[Prest. (m2 /jaar) werkdagen]]</f>
        <v>0</v>
      </c>
      <c r="AE47" s="135">
        <f>Ruimtestaat[[#This Row],[uren / jaar weekend]]+Ruimtestaat[[#This Row],[uren / jaar werkdagen]]</f>
        <v>0</v>
      </c>
      <c r="AF47" s="130">
        <f>Ruimtestaat[[#This Row],[kosten / jaar weekend]]+Ruimtestaat[[#This Row],[kosten / jaar werkdagen]]</f>
        <v>0</v>
      </c>
      <c r="AG47" s="130"/>
      <c r="AH47" s="137" t="str">
        <f>IF(Ruimtestaat[[#This Row],[Frequentie werkdagen]]="","",_xlfn.CONCAT(Ruimtestaat[[#This Row],[Ruimte code]],"-",Ruimtestaat[[#This Row],[Frequentie werkdagen]]," ",Ruimtestaat[[#This Row],[Vloer code]]))</f>
        <v/>
      </c>
      <c r="AI47" s="142" t="str">
        <f>_xlfn.IFNA(VLOOKUP($AH47,Programma!$F$3:$G$1101,2,0),"")</f>
        <v/>
      </c>
      <c r="AJ47" s="142" t="str">
        <f>_xlfn.IFNA(VLOOKUP($AH47,Programma!$F$3:$H$1101,3,0),"")</f>
        <v/>
      </c>
      <c r="AK47" s="142" t="str">
        <f>_xlfn.IFNA(VLOOKUP($AH47,Programma!$F$3:$I$1101,4,0),"")</f>
        <v/>
      </c>
      <c r="AL47" s="142" t="str">
        <f>_xlfn.IFNA(VLOOKUP($AH47,Programma!$F$3:$J$1101,5,0),"")</f>
        <v/>
      </c>
      <c r="AM47" s="142" t="str">
        <f>_xlfn.IFNA(VLOOKUP($AH47,Programma!$F$3:$K$1101,6,0),"")</f>
        <v/>
      </c>
      <c r="AN47" s="142" t="str">
        <f>_xlfn.IFNA(VLOOKUP($AH47,Programma!$F$3:$L$1101,7,0),"")</f>
        <v/>
      </c>
      <c r="AO47" s="142" t="str">
        <f>_xlfn.IFNA(VLOOKUP($AH47,Programma!$F$3:$M$1101,8,0),"")</f>
        <v/>
      </c>
      <c r="AP47" s="142" t="str">
        <f>_xlfn.IFNA(VLOOKUP($AH47,Programma!$F$3:$N$1101,9,0),"")</f>
        <v/>
      </c>
      <c r="AQ47" s="142" t="str">
        <f>_xlfn.IFNA(VLOOKUP($AH47,Programma!$F$3:$O$1101,10,0),"")</f>
        <v/>
      </c>
      <c r="AR47" s="142" t="str">
        <f>_xlfn.IFNA(VLOOKUP($AH47,Programma!$F$3:$P$1101,11,0),"")</f>
        <v/>
      </c>
      <c r="AS47" s="142" t="str">
        <f>_xlfn.IFNA(VLOOKUP($AH47,Programma!$F$3:$Q$1101,12,0),"")</f>
        <v/>
      </c>
      <c r="AT47" s="142" t="str">
        <f>_xlfn.IFNA(VLOOKUP($AH47,Programma!$F$3:$R$1101,13,0),"")</f>
        <v/>
      </c>
      <c r="AU47" s="142" t="str">
        <f>_xlfn.IFNA(VLOOKUP($AH47,Programma!$F$3:$S$1101,14,0),"")</f>
        <v/>
      </c>
      <c r="AV47" s="142" t="str">
        <f>_xlfn.IFNA(VLOOKUP($AH47,Programma!$F$3:$T$1101,15,0),"")</f>
        <v/>
      </c>
      <c r="AW47" s="142" t="str">
        <f>_xlfn.IFNA(VLOOKUP($AH47,Programma!$F$3:$U$1101,16,0),"")</f>
        <v/>
      </c>
      <c r="AX47" s="142" t="str">
        <f>_xlfn.IFNA(VLOOKUP($AH47,Programma!$F$3:$V$1101,17,0),"")</f>
        <v/>
      </c>
      <c r="AY47" s="142" t="str">
        <f>_xlfn.IFNA(VLOOKUP($AH47,Programma!$F$3:$W$1101,18,0),"")</f>
        <v/>
      </c>
      <c r="AZ47" s="142" t="str">
        <f>_xlfn.IFNA(VLOOKUP($AH47,Programma!$F$3:$X$1101,19,0),"")</f>
        <v/>
      </c>
      <c r="BA47" s="142" t="str">
        <f>_xlfn.IFNA(VLOOKUP($AH47,Programma!$F$3:$Y$1101,20,0),"")</f>
        <v/>
      </c>
      <c r="BB47" s="138"/>
      <c r="BC47" s="137" t="str">
        <f>IF(Ruimtestaat[[#This Row],[Frequentie weekend]]="","",_xlfn.CONCAT(Ruimtestaat[[#This Row],[Ruimte code]],"-",Ruimtestaat[[#This Row],[Frequentie weekend]]," ",Ruimtestaat[[#This Row],[Vloer code]]))</f>
        <v/>
      </c>
      <c r="BD47" s="142" t="str">
        <f>_xlfn.IFNA(VLOOKUP($BC47,Programma!$F$3:$G$1101,2,0),"")</f>
        <v/>
      </c>
      <c r="BE47" s="142" t="str">
        <f>_xlfn.IFNA(VLOOKUP($BC47,Programma!$F$3:$H$1101,3,0),"")</f>
        <v/>
      </c>
      <c r="BF47" s="142" t="str">
        <f>_xlfn.IFNA(VLOOKUP($BC47,Programma!$F$3:$I$1101,4,0),"")</f>
        <v/>
      </c>
      <c r="BG47" s="142" t="str">
        <f>_xlfn.IFNA(VLOOKUP($BC47,Programma!$F$3:$J$1101,5,0),"")</f>
        <v/>
      </c>
      <c r="BH47" s="142" t="str">
        <f>_xlfn.IFNA(VLOOKUP($BC47,Programma!$F$3:$K$1101,6,0),"")</f>
        <v/>
      </c>
      <c r="BI47" s="142" t="str">
        <f>_xlfn.IFNA(VLOOKUP($BC47,Programma!$F$3:$L$1101,7,0),"")</f>
        <v/>
      </c>
      <c r="BJ47" s="142" t="str">
        <f>_xlfn.IFNA(VLOOKUP($BC47,Programma!$F$3:$M$1101,8,0),"")</f>
        <v/>
      </c>
      <c r="BK47" s="142" t="str">
        <f>_xlfn.IFNA(VLOOKUP($BC47,Programma!$F$3:$N$1101,9,0),"")</f>
        <v/>
      </c>
      <c r="BL47" s="142" t="str">
        <f>_xlfn.IFNA(VLOOKUP($BC47,Programma!$F$3:$O$1101,10,0),"")</f>
        <v/>
      </c>
      <c r="BM47" s="142" t="str">
        <f>_xlfn.IFNA(VLOOKUP($BC47,Programma!$F$3:$P$1101,11,0),"")</f>
        <v/>
      </c>
      <c r="BN47" s="142" t="str">
        <f>_xlfn.IFNA(VLOOKUP($BC47,Programma!$F$3:$Q$1101,12,0),"")</f>
        <v/>
      </c>
      <c r="BO47" s="142" t="str">
        <f>_xlfn.IFNA(VLOOKUP($BC47,Programma!$F$3:$R$1101,13,0),"")</f>
        <v/>
      </c>
      <c r="BP47" s="142" t="str">
        <f>_xlfn.IFNA(VLOOKUP($BC47,Programma!$F$3:$S$1101,14,0),"")</f>
        <v/>
      </c>
      <c r="BQ47" s="142" t="str">
        <f>_xlfn.IFNA(VLOOKUP($BC47,Programma!$F$3:$T$1101,15,0),"")</f>
        <v/>
      </c>
      <c r="BR47" s="142" t="str">
        <f>_xlfn.IFNA(VLOOKUP($BC47,Programma!$F$3:$U$1101,16,0),"")</f>
        <v/>
      </c>
      <c r="BS47" s="142" t="str">
        <f>_xlfn.IFNA(VLOOKUP($BC47,Programma!$F$3:$V$1101,17,0),"")</f>
        <v/>
      </c>
      <c r="BT47" s="142" t="str">
        <f>_xlfn.IFNA(VLOOKUP($BC47,Programma!$F$3:$W$1101,18,0),"")</f>
        <v/>
      </c>
      <c r="BU47" s="142" t="str">
        <f>_xlfn.IFNA(VLOOKUP($BC47,Programma!$F$3:$X$1101,19,0),"")</f>
        <v/>
      </c>
      <c r="BV47" s="142" t="str">
        <f>_xlfn.IFNA(VLOOKUP($BC47,Programma!$F$3:$Y$1101,20,0),"")</f>
        <v/>
      </c>
      <c r="BW47" s="28"/>
      <c r="BX47" s="28"/>
      <c r="BY47" s="28"/>
      <c r="BZ47" s="28"/>
      <c r="CA47" s="28"/>
      <c r="CB47" s="28"/>
      <c r="CC47" s="28"/>
      <c r="CD47" s="28"/>
      <c r="CE47" s="28"/>
      <c r="CF47" s="28"/>
      <c r="CG47" s="28"/>
      <c r="CH47" s="28"/>
      <c r="CI47" s="28"/>
      <c r="CJ47" s="28"/>
      <c r="CK47" s="28"/>
      <c r="CL47" s="28"/>
      <c r="CM47" s="28"/>
      <c r="CN47" s="28"/>
      <c r="CO47" s="28"/>
      <c r="CP47" s="28"/>
      <c r="CQ47" s="28"/>
      <c r="CR47" s="28"/>
      <c r="CS47" s="28"/>
      <c r="CT47" s="28"/>
      <c r="CU47" s="28"/>
      <c r="CV47" s="28"/>
      <c r="CW47" s="28"/>
      <c r="CX47" s="28"/>
      <c r="CY47" s="28"/>
      <c r="CZ47" s="28"/>
      <c r="DA47" s="28"/>
      <c r="DB47" s="28"/>
      <c r="DC47" s="28"/>
      <c r="DD47" s="28"/>
      <c r="DE47" s="28"/>
      <c r="DF47" s="28"/>
      <c r="DG47" s="28"/>
      <c r="DH47" s="28"/>
      <c r="DI47" s="28"/>
      <c r="DJ47" s="28"/>
      <c r="DK47" s="28"/>
      <c r="DL47" s="28"/>
      <c r="DM47" s="28"/>
      <c r="DN47" s="28"/>
      <c r="DO47" s="28"/>
      <c r="DP47" s="28"/>
      <c r="DQ47" s="28"/>
      <c r="DR47" s="28"/>
      <c r="DS47" s="28"/>
      <c r="DT47" s="28"/>
      <c r="DU47" s="28"/>
      <c r="DV47" s="28"/>
      <c r="DW47" s="28"/>
      <c r="DX47" s="28"/>
      <c r="DY47" s="28"/>
      <c r="DZ47" s="28"/>
      <c r="EA47" s="28"/>
      <c r="EB47" s="28"/>
      <c r="EC47" s="28"/>
      <c r="ED47" s="28"/>
      <c r="EE47" s="28"/>
      <c r="EF47" s="28"/>
      <c r="EG47" s="28"/>
      <c r="EH47" s="28"/>
      <c r="EI47" s="28"/>
      <c r="EJ47" s="28"/>
      <c r="EK47" s="28"/>
      <c r="EL47" s="28"/>
      <c r="EM47" s="28"/>
      <c r="EN47" s="28"/>
      <c r="EO47" s="28"/>
      <c r="EP47" s="28"/>
      <c r="EQ47" s="28"/>
      <c r="ER47" s="28"/>
      <c r="ES47" s="28"/>
      <c r="ET47" s="28"/>
      <c r="EU47" s="28"/>
      <c r="EV47" s="28"/>
      <c r="EW47" s="28"/>
      <c r="EX47" s="28"/>
      <c r="EY47" s="28"/>
      <c r="EZ47" s="28"/>
      <c r="FA47" s="28"/>
      <c r="FB47" s="28"/>
      <c r="FC47" s="28"/>
      <c r="FD47" s="28"/>
      <c r="FE47" s="28"/>
      <c r="FF47" s="28"/>
      <c r="FG47" s="28"/>
      <c r="FH47" s="28"/>
      <c r="FI47" s="28"/>
      <c r="FJ47" s="28"/>
      <c r="FK47" s="28"/>
      <c r="FL47" s="28"/>
      <c r="FM47" s="28"/>
      <c r="FN47" s="28"/>
      <c r="FO47" s="28"/>
      <c r="FP47" s="28"/>
      <c r="FQ47" s="28"/>
      <c r="FR47" s="28"/>
      <c r="FS47" s="28"/>
      <c r="FT47" s="28"/>
      <c r="FU47" s="28"/>
      <c r="FV47" s="28"/>
      <c r="FW47" s="28"/>
      <c r="FX47" s="28"/>
      <c r="FY47" s="28"/>
      <c r="FZ47" s="28"/>
      <c r="GA47" s="28"/>
      <c r="GB47" s="28"/>
      <c r="GC47" s="28"/>
      <c r="GD47" s="28"/>
      <c r="GE47" s="28"/>
      <c r="GF47" s="28"/>
      <c r="GG47" s="28"/>
      <c r="GH47" s="28"/>
      <c r="GI47" s="28"/>
      <c r="GJ47" s="28"/>
      <c r="GK47" s="28"/>
      <c r="GL47" s="28"/>
      <c r="GM47" s="28"/>
      <c r="GN47" s="28"/>
      <c r="GO47" s="28"/>
      <c r="GP47" s="28"/>
      <c r="GQ47" s="28"/>
      <c r="GR47" s="28"/>
      <c r="GS47" s="28"/>
      <c r="GT47" s="28"/>
      <c r="GU47" s="28"/>
      <c r="GV47" s="28"/>
      <c r="GW47" s="28"/>
      <c r="GX47" s="28"/>
      <c r="GY47" s="28"/>
      <c r="GZ47" s="28"/>
      <c r="HA47" s="28"/>
      <c r="HB47" s="28"/>
      <c r="HC47" s="28"/>
      <c r="HD47" s="28"/>
      <c r="HE47" s="28"/>
      <c r="HF47" s="28"/>
      <c r="HG47" s="28"/>
      <c r="HH47" s="28"/>
      <c r="HI47" s="28"/>
      <c r="HJ47" s="28"/>
      <c r="HK47" s="28"/>
    </row>
    <row r="48" spans="1:219" ht="14.25" customHeight="1">
      <c r="A48" s="100">
        <v>1</v>
      </c>
      <c r="B48" s="132" t="str">
        <f>VLOOKUP(Ruimtestaat[[#This Row],[Code]],Locaties[[Code]:[Locatie]],2,FALSE)</f>
        <v>Mirtehuis</v>
      </c>
      <c r="C48" s="132" t="str">
        <f>VLOOKUP(Ruimtestaat[[#This Row],[Code]],Locaties[[#All],[Code]:[Adres]],4,FALSE)</f>
        <v>Weseperweg 6</v>
      </c>
      <c r="D48" s="132" t="str">
        <f>VLOOKUP(Ruimtestaat[[#This Row],[Code]],Locaties[[#All],[Code]:[Postcode]],5,FALSE)</f>
        <v>8111 PK</v>
      </c>
      <c r="E48" s="132" t="str">
        <f>VLOOKUP(Ruimtestaat[[#This Row],[Code]],Locaties[#All],6,FALSE)</f>
        <v>Heeten</v>
      </c>
      <c r="F48" s="100"/>
      <c r="G48" s="100" t="s">
        <v>1675</v>
      </c>
      <c r="H48" s="344" t="s">
        <v>1661</v>
      </c>
      <c r="I48" s="345" t="s">
        <v>1662</v>
      </c>
      <c r="J48" s="49">
        <v>1</v>
      </c>
      <c r="K48" s="140" t="str">
        <f>VLOOKUP(Ruimtestaat[[#This Row],[Ruimte code]],Ruimtegroepen[[#All],[Code]:[Ruimte omschrijving]],2,FALSE)</f>
        <v>Magazijnen/bergingen</v>
      </c>
      <c r="L48" s="100" t="s">
        <v>100</v>
      </c>
      <c r="M48" s="345" t="s">
        <v>1636</v>
      </c>
      <c r="N48" s="133">
        <v>10</v>
      </c>
      <c r="O48" s="139"/>
      <c r="P48" s="134" t="str">
        <f>VLOOKUP(Ruimtestaat[[#This Row],[Ruimte code]],Ruimtegroepen[],4,FALSE)</f>
        <v>Ve</v>
      </c>
      <c r="Q48" s="100">
        <v>51</v>
      </c>
      <c r="R48" s="100" t="s">
        <v>16</v>
      </c>
      <c r="S48" s="100">
        <f>IF(Q48&gt;0,IF(RIGHT(Ruimtestaat[[#This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48" s="100">
        <f>IF(S48&gt;0,VLOOKUP($J48,Ruimtegroepen[],3,FALSE)*VLOOKUP($L48,Vloersoorten[],3,FALSE)*VLOOKUP($R48,Frequenties[],3,FALSE)*VLOOKUP($A48,Locaties[],3,FALSE),0)</f>
        <v>0</v>
      </c>
      <c r="U48" s="100">
        <f>Ruimtestaat[[#This Row],[Uitvoeringen werkdagen]]*Ruimtestaat[[#This Row],[Oppervlak (netto)]]</f>
        <v>120</v>
      </c>
      <c r="V48" s="135">
        <f>IF(T48&gt;0,Ruimtestaat[[#This Row],[Prest. (m2 /jaar) werkdagen]]/Ruimtestaat[[#This Row],[Norm (m2/uur) werkdagen]],0)</f>
        <v>0</v>
      </c>
      <c r="W48" s="136">
        <f>Ruimtestaat[[#This Row],[uren / jaar werkdagen]]*Tariefsopbouw!$E$35</f>
        <v>0</v>
      </c>
      <c r="X48" s="100"/>
      <c r="Y48" s="100">
        <f>IF(Ruimtestaat[[#This Row],[Frequentie weekend]]&gt;0,VALUE(LEFT(X48,1))*Q48,0)</f>
        <v>0</v>
      </c>
      <c r="Z48" s="99">
        <f>IF($Y48&gt;0,VLOOKUP($J48,Ruimtegroepen[],3,FALSE)*VLOOKUP($L48,Vloersoorten[],3,FALSE)*VLOOKUP($X48,Frequenties[],3,FALSE)*VLOOKUP(Ruimtestaat[[#This Row],[Code]],Locaties[],3,FALSE),0)</f>
        <v>0</v>
      </c>
      <c r="AA48" s="99">
        <f>Ruimtestaat[[#This Row],[Uitvoeringen weekend]]*Ruimtestaat[[#This Row],[Oppervlak (netto)]]</f>
        <v>0</v>
      </c>
      <c r="AB48" s="99">
        <f>IF(Z48&gt;0,Ruimtestaat[[#This Row],[Prest. (m2 /jaar) weekend]]/Ruimtestaat[[#This Row],[Norm (m2/uur) weekend]],0)</f>
        <v>0</v>
      </c>
      <c r="AC48" s="136">
        <f>Ruimtestaat[[#This Row],[uren / jaar weekend]]*Tariefsopbouw!$D$40</f>
        <v>0</v>
      </c>
      <c r="AD48" s="135">
        <f>Ruimtestaat[[#This Row],[Prest. (m2 /jaar) weekend]]+Ruimtestaat[[#This Row],[Prest. (m2 /jaar) werkdagen]]</f>
        <v>120</v>
      </c>
      <c r="AE48" s="135">
        <f>Ruimtestaat[[#This Row],[uren / jaar weekend]]+Ruimtestaat[[#This Row],[uren / jaar werkdagen]]</f>
        <v>0</v>
      </c>
      <c r="AF48" s="130">
        <f>Ruimtestaat[[#This Row],[kosten / jaar weekend]]+Ruimtestaat[[#This Row],[kosten / jaar werkdagen]]</f>
        <v>0</v>
      </c>
      <c r="AG48" s="130"/>
      <c r="AH48" s="137" t="str">
        <f>IF(Ruimtestaat[[#This Row],[Frequentie werkdagen]]="","",_xlfn.CONCAT(Ruimtestaat[[#This Row],[Ruimte code]],"-",Ruimtestaat[[#This Row],[Frequentie werkdagen]]," ",Ruimtestaat[[#This Row],[Vloer code]]))</f>
        <v>1-1m L</v>
      </c>
      <c r="AI48" s="142" t="str">
        <f>_xlfn.IFNA(VLOOKUP($AH48,Programma!$F$3:$G$1101,2,0),"")</f>
        <v>_</v>
      </c>
      <c r="AJ48" s="142" t="str">
        <f>_xlfn.IFNA(VLOOKUP($AH48,Programma!$F$3:$H$1101,3,0),"")</f>
        <v>_</v>
      </c>
      <c r="AK48" s="142" t="str">
        <f>_xlfn.IFNA(VLOOKUP($AH48,Programma!$F$3:$I$1101,4,0),"")</f>
        <v>1m</v>
      </c>
      <c r="AL48" s="142" t="str">
        <f>_xlfn.IFNA(VLOOKUP($AH48,Programma!$F$3:$J$1101,5,0),"")</f>
        <v>1m</v>
      </c>
      <c r="AM48" s="142" t="str">
        <f>_xlfn.IFNA(VLOOKUP($AH48,Programma!$F$3:$K$1101,6,0),"")</f>
        <v>_</v>
      </c>
      <c r="AN48" s="142" t="str">
        <f>_xlfn.IFNA(VLOOKUP($AH48,Programma!$F$3:$L$1101,7,0),"")</f>
        <v>_</v>
      </c>
      <c r="AO48" s="142" t="str">
        <f>_xlfn.IFNA(VLOOKUP($AH48,Programma!$F$3:$M$1101,8,0),"")</f>
        <v>_</v>
      </c>
      <c r="AP48" s="142" t="str">
        <f>_xlfn.IFNA(VLOOKUP($AH48,Programma!$F$3:$N$1101,9,0),"")</f>
        <v>_</v>
      </c>
      <c r="AQ48" s="142" t="str">
        <f>_xlfn.IFNA(VLOOKUP($AH48,Programma!$F$3:$O$1101,10,0),"")</f>
        <v>_</v>
      </c>
      <c r="AR48" s="142" t="str">
        <f>_xlfn.IFNA(VLOOKUP($AH48,Programma!$F$3:$P$1101,11,0),"")</f>
        <v>_</v>
      </c>
      <c r="AS48" s="142" t="str">
        <f>_xlfn.IFNA(VLOOKUP($AH48,Programma!$F$3:$Q$1101,12,0),"")</f>
        <v>_</v>
      </c>
      <c r="AT48" s="142" t="str">
        <f>_xlfn.IFNA(VLOOKUP($AH48,Programma!$F$3:$R$1101,13,0),"")</f>
        <v>_</v>
      </c>
      <c r="AU48" s="142" t="str">
        <f>_xlfn.IFNA(VLOOKUP($AH48,Programma!$F$3:$S$1101,14,0),"")</f>
        <v>1m</v>
      </c>
      <c r="AV48" s="142" t="str">
        <f>_xlfn.IFNA(VLOOKUP($AH48,Programma!$F$3:$T$1101,15,0),"")</f>
        <v>4j</v>
      </c>
      <c r="AW48" s="142" t="str">
        <f>_xlfn.IFNA(VLOOKUP($AH48,Programma!$F$3:$U$1101,16,0),"")</f>
        <v>4j</v>
      </c>
      <c r="AX48" s="142" t="str">
        <f>_xlfn.IFNA(VLOOKUP($AH48,Programma!$F$3:$V$1101,17,0),"")</f>
        <v>_</v>
      </c>
      <c r="AY48" s="142" t="str">
        <f>_xlfn.IFNA(VLOOKUP($AH48,Programma!$F$3:$W$1101,18,0),"")</f>
        <v>_</v>
      </c>
      <c r="AZ48" s="142" t="str">
        <f>_xlfn.IFNA(VLOOKUP($AH48,Programma!$F$3:$X$1101,19,0),"")</f>
        <v>_</v>
      </c>
      <c r="BA48" s="142" t="str">
        <f>_xlfn.IFNA(VLOOKUP($AH48,Programma!$F$3:$Y$1101,20,0),"")</f>
        <v>_</v>
      </c>
      <c r="BB48" s="138"/>
      <c r="BC48" s="137" t="str">
        <f>IF(Ruimtestaat[[#This Row],[Frequentie weekend]]="","",_xlfn.CONCAT(Ruimtestaat[[#This Row],[Ruimte code]],"-",Ruimtestaat[[#This Row],[Frequentie weekend]]," ",Ruimtestaat[[#This Row],[Vloer code]]))</f>
        <v/>
      </c>
      <c r="BD48" s="142" t="str">
        <f>_xlfn.IFNA(VLOOKUP($BC48,Programma!$F$3:$G$1101,2,0),"")</f>
        <v/>
      </c>
      <c r="BE48" s="142" t="str">
        <f>_xlfn.IFNA(VLOOKUP($BC48,Programma!$F$3:$H$1101,3,0),"")</f>
        <v/>
      </c>
      <c r="BF48" s="142" t="str">
        <f>_xlfn.IFNA(VLOOKUP($BC48,Programma!$F$3:$I$1101,4,0),"")</f>
        <v/>
      </c>
      <c r="BG48" s="142" t="str">
        <f>_xlfn.IFNA(VLOOKUP($BC48,Programma!$F$3:$J$1101,5,0),"")</f>
        <v/>
      </c>
      <c r="BH48" s="142" t="str">
        <f>_xlfn.IFNA(VLOOKUP($BC48,Programma!$F$3:$K$1101,6,0),"")</f>
        <v/>
      </c>
      <c r="BI48" s="142" t="str">
        <f>_xlfn.IFNA(VLOOKUP($BC48,Programma!$F$3:$L$1101,7,0),"")</f>
        <v/>
      </c>
      <c r="BJ48" s="142" t="str">
        <f>_xlfn.IFNA(VLOOKUP($BC48,Programma!$F$3:$M$1101,8,0),"")</f>
        <v/>
      </c>
      <c r="BK48" s="142" t="str">
        <f>_xlfn.IFNA(VLOOKUP($BC48,Programma!$F$3:$N$1101,9,0),"")</f>
        <v/>
      </c>
      <c r="BL48" s="142" t="str">
        <f>_xlfn.IFNA(VLOOKUP($BC48,Programma!$F$3:$O$1101,10,0),"")</f>
        <v/>
      </c>
      <c r="BM48" s="142" t="str">
        <f>_xlfn.IFNA(VLOOKUP($BC48,Programma!$F$3:$P$1101,11,0),"")</f>
        <v/>
      </c>
      <c r="BN48" s="142" t="str">
        <f>_xlfn.IFNA(VLOOKUP($BC48,Programma!$F$3:$Q$1101,12,0),"")</f>
        <v/>
      </c>
      <c r="BO48" s="142" t="str">
        <f>_xlfn.IFNA(VLOOKUP($BC48,Programma!$F$3:$R$1101,13,0),"")</f>
        <v/>
      </c>
      <c r="BP48" s="142" t="str">
        <f>_xlfn.IFNA(VLOOKUP($BC48,Programma!$F$3:$S$1101,14,0),"")</f>
        <v/>
      </c>
      <c r="BQ48" s="142" t="str">
        <f>_xlfn.IFNA(VLOOKUP($BC48,Programma!$F$3:$T$1101,15,0),"")</f>
        <v/>
      </c>
      <c r="BR48" s="142" t="str">
        <f>_xlfn.IFNA(VLOOKUP($BC48,Programma!$F$3:$U$1101,16,0),"")</f>
        <v/>
      </c>
      <c r="BS48" s="142" t="str">
        <f>_xlfn.IFNA(VLOOKUP($BC48,Programma!$F$3:$V$1101,17,0),"")</f>
        <v/>
      </c>
      <c r="BT48" s="142" t="str">
        <f>_xlfn.IFNA(VLOOKUP($BC48,Programma!$F$3:$W$1101,18,0),"")</f>
        <v/>
      </c>
      <c r="BU48" s="142" t="str">
        <f>_xlfn.IFNA(VLOOKUP($BC48,Programma!$F$3:$X$1101,19,0),"")</f>
        <v/>
      </c>
      <c r="BV48" s="142" t="str">
        <f>_xlfn.IFNA(VLOOKUP($BC48,Programma!$F$3:$Y$1101,20,0),"")</f>
        <v/>
      </c>
      <c r="BW48" s="28"/>
      <c r="BX48" s="28"/>
      <c r="BY48" s="28"/>
      <c r="BZ48" s="28"/>
      <c r="CA48" s="28"/>
      <c r="CB48" s="28"/>
      <c r="CC48" s="28"/>
      <c r="CD48" s="28"/>
      <c r="CE48" s="28"/>
      <c r="CF48" s="28"/>
      <c r="CG48" s="28"/>
      <c r="CH48" s="28"/>
      <c r="CI48" s="28"/>
      <c r="CJ48" s="28"/>
      <c r="CK48" s="28"/>
      <c r="CL48" s="28"/>
      <c r="CM48" s="28"/>
      <c r="CN48" s="28"/>
      <c r="CO48" s="28"/>
      <c r="CP48" s="28"/>
      <c r="CQ48" s="28"/>
      <c r="CR48" s="28"/>
      <c r="CS48" s="28"/>
      <c r="CT48" s="28"/>
      <c r="CU48" s="28"/>
      <c r="CV48" s="28"/>
      <c r="CW48" s="28"/>
      <c r="CX48" s="28"/>
      <c r="CY48" s="28"/>
      <c r="CZ48" s="28"/>
      <c r="DA48" s="28"/>
      <c r="DB48" s="28"/>
      <c r="DC48" s="28"/>
      <c r="DD48" s="28"/>
      <c r="DE48" s="28"/>
      <c r="DF48" s="28"/>
      <c r="DG48" s="28"/>
      <c r="DH48" s="28"/>
      <c r="DI48" s="28"/>
      <c r="DJ48" s="28"/>
      <c r="DK48" s="28"/>
      <c r="DL48" s="28"/>
      <c r="DM48" s="28"/>
      <c r="DN48" s="28"/>
      <c r="DO48" s="28"/>
      <c r="DP48" s="28"/>
      <c r="DQ48" s="28"/>
      <c r="DR48" s="28"/>
      <c r="DS48" s="28"/>
      <c r="DT48" s="28"/>
      <c r="DU48" s="28"/>
      <c r="DV48" s="28"/>
      <c r="DW48" s="28"/>
      <c r="DX48" s="28"/>
      <c r="DY48" s="28"/>
      <c r="DZ48" s="28"/>
      <c r="EA48" s="28"/>
      <c r="EB48" s="28"/>
      <c r="EC48" s="28"/>
      <c r="ED48" s="28"/>
      <c r="EE48" s="28"/>
      <c r="EF48" s="28"/>
      <c r="EG48" s="28"/>
      <c r="EH48" s="28"/>
      <c r="EI48" s="28"/>
      <c r="EJ48" s="28"/>
      <c r="EK48" s="28"/>
      <c r="EL48" s="28"/>
      <c r="EM48" s="28"/>
      <c r="EN48" s="28"/>
      <c r="EO48" s="28"/>
      <c r="EP48" s="28"/>
      <c r="EQ48" s="28"/>
      <c r="ER48" s="28"/>
      <c r="ES48" s="28"/>
      <c r="ET48" s="28"/>
      <c r="EU48" s="28"/>
      <c r="EV48" s="28"/>
      <c r="EW48" s="28"/>
      <c r="EX48" s="28"/>
      <c r="EY48" s="28"/>
      <c r="EZ48" s="28"/>
      <c r="FA48" s="28"/>
      <c r="FB48" s="28"/>
      <c r="FC48" s="28"/>
      <c r="FD48" s="28"/>
      <c r="FE48" s="28"/>
      <c r="FF48" s="28"/>
      <c r="FG48" s="28"/>
      <c r="FH48" s="28"/>
      <c r="FI48" s="28"/>
      <c r="FJ48" s="28"/>
      <c r="FK48" s="28"/>
      <c r="FL48" s="28"/>
      <c r="FM48" s="28"/>
      <c r="FN48" s="28"/>
      <c r="FO48" s="28"/>
      <c r="FP48" s="28"/>
      <c r="FQ48" s="28"/>
      <c r="FR48" s="28"/>
      <c r="FS48" s="28"/>
      <c r="FT48" s="28"/>
      <c r="FU48" s="28"/>
      <c r="FV48" s="28"/>
      <c r="FW48" s="28"/>
      <c r="FX48" s="28"/>
      <c r="FY48" s="28"/>
      <c r="FZ48" s="28"/>
      <c r="GA48" s="28"/>
      <c r="GB48" s="28"/>
      <c r="GC48" s="28"/>
      <c r="GD48" s="28"/>
      <c r="GE48" s="28"/>
      <c r="GF48" s="28"/>
      <c r="GG48" s="28"/>
      <c r="GH48" s="28"/>
      <c r="GI48" s="28"/>
      <c r="GJ48" s="28"/>
      <c r="GK48" s="28"/>
      <c r="GL48" s="28"/>
      <c r="GM48" s="28"/>
      <c r="GN48" s="28"/>
      <c r="GO48" s="28"/>
      <c r="GP48" s="28"/>
      <c r="GQ48" s="28"/>
      <c r="GR48" s="28"/>
      <c r="GS48" s="28"/>
      <c r="GT48" s="28"/>
      <c r="GU48" s="28"/>
      <c r="GV48" s="28"/>
      <c r="GW48" s="28"/>
      <c r="GX48" s="28"/>
      <c r="GY48" s="28"/>
      <c r="GZ48" s="28"/>
      <c r="HA48" s="28"/>
      <c r="HB48" s="28"/>
      <c r="HC48" s="28"/>
      <c r="HD48" s="28"/>
      <c r="HE48" s="28"/>
      <c r="HF48" s="28"/>
      <c r="HG48" s="28"/>
      <c r="HH48" s="28"/>
      <c r="HI48" s="28"/>
      <c r="HJ48" s="28"/>
      <c r="HK48" s="28"/>
    </row>
    <row r="49" spans="1:219" ht="15" customHeight="1">
      <c r="A49" s="100">
        <v>1</v>
      </c>
      <c r="B49" s="132" t="str">
        <f>VLOOKUP(Ruimtestaat[[#This Row],[Code]],Locaties[[Code]:[Locatie]],2,FALSE)</f>
        <v>Mirtehuis</v>
      </c>
      <c r="C49" s="132" t="str">
        <f>VLOOKUP(Ruimtestaat[[#This Row],[Code]],Locaties[[#All],[Code]:[Adres]],4,FALSE)</f>
        <v>Weseperweg 6</v>
      </c>
      <c r="D49" s="132" t="str">
        <f>VLOOKUP(Ruimtestaat[[#This Row],[Code]],Locaties[[#All],[Code]:[Postcode]],5,FALSE)</f>
        <v>8111 PK</v>
      </c>
      <c r="E49" s="132" t="str">
        <f>VLOOKUP(Ruimtestaat[[#This Row],[Code]],Locaties[#All],6,FALSE)</f>
        <v>Heeten</v>
      </c>
      <c r="F49" s="100"/>
      <c r="G49" s="100" t="s">
        <v>1675</v>
      </c>
      <c r="H49" s="344"/>
      <c r="I49" s="345" t="s">
        <v>1650</v>
      </c>
      <c r="J49" s="49">
        <v>6</v>
      </c>
      <c r="K49" s="140" t="str">
        <f>VLOOKUP(Ruimtestaat[[#This Row],[Ruimte code]],Ruimtegroepen[[#All],[Code]:[Ruimte omschrijving]],2,FALSE)</f>
        <v>Gangen/hallen</v>
      </c>
      <c r="L49" s="100" t="s">
        <v>100</v>
      </c>
      <c r="M49" s="345" t="s">
        <v>1636</v>
      </c>
      <c r="N49" s="133">
        <v>25.1</v>
      </c>
      <c r="O49" s="100"/>
      <c r="P49" s="134" t="str">
        <f>VLOOKUP(Ruimtestaat[[#This Row],[Ruimte code]],Ruimtegroepen[],4,FALSE)</f>
        <v>Ve</v>
      </c>
      <c r="Q49" s="100">
        <v>51</v>
      </c>
      <c r="R49" s="100" t="s">
        <v>2</v>
      </c>
      <c r="S49" s="100">
        <f>IF(Q49&gt;0,IF(RIGHT(Ruimtestaat[[#This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9" s="100">
        <f>IF(S49&gt;0,VLOOKUP($J49,Ruimtegroepen[],3,FALSE)*VLOOKUP($L49,Vloersoorten[],3,FALSE)*VLOOKUP($R49,Frequenties[],3,FALSE)*VLOOKUP($A49,Locaties[],3,FALSE),0)</f>
        <v>0</v>
      </c>
      <c r="U49" s="100">
        <f>Ruimtestaat[[#This Row],[Uitvoeringen werkdagen]]*Ruimtestaat[[#This Row],[Oppervlak (netto)]]</f>
        <v>6400.5</v>
      </c>
      <c r="V49" s="135">
        <f>IF(T49&gt;0,Ruimtestaat[[#This Row],[Prest. (m2 /jaar) werkdagen]]/Ruimtestaat[[#This Row],[Norm (m2/uur) werkdagen]],0)</f>
        <v>0</v>
      </c>
      <c r="W49" s="136">
        <f>Ruimtestaat[[#This Row],[uren / jaar werkdagen]]*Tariefsopbouw!$E$35</f>
        <v>0</v>
      </c>
      <c r="X49" s="100"/>
      <c r="Y49" s="100">
        <f>IF(Ruimtestaat[[#This Row],[Frequentie weekend]]&gt;0,VALUE(LEFT(X49,1))*Q49,0)</f>
        <v>0</v>
      </c>
      <c r="Z49" s="99">
        <f>IF($Y49&gt;0,VLOOKUP($J49,Ruimtegroepen[],3,FALSE)*VLOOKUP($L49,Vloersoorten[],3,FALSE)*VLOOKUP($X49,Frequenties[],3,FALSE)*VLOOKUP(Ruimtestaat[[#This Row],[Code]],Locaties[],3,FALSE),0)</f>
        <v>0</v>
      </c>
      <c r="AA49" s="99">
        <f>Ruimtestaat[[#This Row],[Uitvoeringen weekend]]*Ruimtestaat[[#This Row],[Oppervlak (netto)]]</f>
        <v>0</v>
      </c>
      <c r="AB49" s="99">
        <f>IF(Z49&gt;0,Ruimtestaat[[#This Row],[Prest. (m2 /jaar) weekend]]/Ruimtestaat[[#This Row],[Norm (m2/uur) weekend]],0)</f>
        <v>0</v>
      </c>
      <c r="AC49" s="136">
        <f>Ruimtestaat[[#This Row],[uren / jaar weekend]]*Tariefsopbouw!$D$40</f>
        <v>0</v>
      </c>
      <c r="AD49" s="135">
        <f>Ruimtestaat[[#This Row],[Prest. (m2 /jaar) weekend]]+Ruimtestaat[[#This Row],[Prest. (m2 /jaar) werkdagen]]</f>
        <v>6400.5</v>
      </c>
      <c r="AE49" s="135">
        <f>Ruimtestaat[[#This Row],[uren / jaar weekend]]+Ruimtestaat[[#This Row],[uren / jaar werkdagen]]</f>
        <v>0</v>
      </c>
      <c r="AF49" s="130">
        <f>Ruimtestaat[[#This Row],[kosten / jaar weekend]]+Ruimtestaat[[#This Row],[kosten / jaar werkdagen]]</f>
        <v>0</v>
      </c>
      <c r="AG49" s="130"/>
      <c r="AH49" s="137" t="str">
        <f>IF(Ruimtestaat[[#This Row],[Frequentie werkdagen]]="","",_xlfn.CONCAT(Ruimtestaat[[#This Row],[Ruimte code]],"-",Ruimtestaat[[#This Row],[Frequentie werkdagen]]," ",Ruimtestaat[[#This Row],[Vloer code]]))</f>
        <v>6-5w L</v>
      </c>
      <c r="AI49" s="142" t="str">
        <f>_xlfn.IFNA(VLOOKUP($AH49,Programma!$F$3:$G$1101,2,0),"")</f>
        <v>_</v>
      </c>
      <c r="AJ49" s="142" t="str">
        <f>_xlfn.IFNA(VLOOKUP($AH49,Programma!$F$3:$H$1101,3,0),"")</f>
        <v>_</v>
      </c>
      <c r="AK49" s="142" t="str">
        <f>_xlfn.IFNA(VLOOKUP($AH49,Programma!$F$3:$I$1101,4,0),"")</f>
        <v>_</v>
      </c>
      <c r="AL49" s="142" t="str">
        <f>_xlfn.IFNA(VLOOKUP($AH49,Programma!$F$3:$J$1101,5,0),"")</f>
        <v>5w</v>
      </c>
      <c r="AM49" s="142" t="str">
        <f>_xlfn.IFNA(VLOOKUP($AH49,Programma!$F$3:$K$1101,6,0),"")</f>
        <v>_</v>
      </c>
      <c r="AN49" s="142" t="str">
        <f>_xlfn.IFNA(VLOOKUP($AH49,Programma!$F$3:$L$1101,7,0),"")</f>
        <v>_</v>
      </c>
      <c r="AO49" s="142" t="str">
        <f>_xlfn.IFNA(VLOOKUP($AH49,Programma!$F$3:$M$1101,8,0),"")</f>
        <v>_</v>
      </c>
      <c r="AP49" s="142" t="str">
        <f>_xlfn.IFNA(VLOOKUP($AH49,Programma!$F$3:$N$1101,9,0),"")</f>
        <v>_</v>
      </c>
      <c r="AQ49" s="142" t="str">
        <f>_xlfn.IFNA(VLOOKUP($AH49,Programma!$F$3:$O$1101,10,0),"")</f>
        <v>5w</v>
      </c>
      <c r="AR49" s="142" t="str">
        <f>_xlfn.IFNA(VLOOKUP($AH49,Programma!$F$3:$P$1101,11,0),"")</f>
        <v>5w</v>
      </c>
      <c r="AS49" s="142" t="str">
        <f>_xlfn.IFNA(VLOOKUP($AH49,Programma!$F$3:$Q$1101,12,0),"")</f>
        <v>1w</v>
      </c>
      <c r="AT49" s="142" t="str">
        <f>_xlfn.IFNA(VLOOKUP($AH49,Programma!$F$3:$R$1101,13,0),"")</f>
        <v>1w</v>
      </c>
      <c r="AU49" s="142" t="str">
        <f>_xlfn.IFNA(VLOOKUP($AH49,Programma!$F$3:$S$1101,14,0),"")</f>
        <v>1m</v>
      </c>
      <c r="AV49" s="142" t="str">
        <f>_xlfn.IFNA(VLOOKUP($AH49,Programma!$F$3:$T$1101,15,0),"")</f>
        <v>2j</v>
      </c>
      <c r="AW49" s="142" t="str">
        <f>_xlfn.IFNA(VLOOKUP($AH49,Programma!$F$3:$U$1101,16,0),"")</f>
        <v>1j</v>
      </c>
      <c r="AX49" s="142" t="str">
        <f>_xlfn.IFNA(VLOOKUP($AH49,Programma!$F$3:$V$1101,17,0),"")</f>
        <v>_</v>
      </c>
      <c r="AY49" s="142" t="str">
        <f>_xlfn.IFNA(VLOOKUP($AH49,Programma!$F$3:$W$1101,18,0),"")</f>
        <v>_</v>
      </c>
      <c r="AZ49" s="142" t="str">
        <f>_xlfn.IFNA(VLOOKUP($AH49,Programma!$F$3:$X$1101,19,0),"")</f>
        <v>_</v>
      </c>
      <c r="BA49" s="142" t="str">
        <f>_xlfn.IFNA(VLOOKUP($AH49,Programma!$F$3:$Y$1101,20,0),"")</f>
        <v>_</v>
      </c>
      <c r="BB49" s="138"/>
      <c r="BC49" s="137" t="str">
        <f>IF(Ruimtestaat[[#This Row],[Frequentie weekend]]="","",_xlfn.CONCAT(Ruimtestaat[[#This Row],[Ruimte code]],"-",Ruimtestaat[[#This Row],[Frequentie weekend]]," ",Ruimtestaat[[#This Row],[Vloer code]]))</f>
        <v/>
      </c>
      <c r="BD49" s="142" t="str">
        <f>_xlfn.IFNA(VLOOKUP($BC49,Programma!$F$3:$G$1101,2,0),"")</f>
        <v/>
      </c>
      <c r="BE49" s="142" t="str">
        <f>_xlfn.IFNA(VLOOKUP($BC49,Programma!$F$3:$H$1101,3,0),"")</f>
        <v/>
      </c>
      <c r="BF49" s="142" t="str">
        <f>_xlfn.IFNA(VLOOKUP($BC49,Programma!$F$3:$I$1101,4,0),"")</f>
        <v/>
      </c>
      <c r="BG49" s="142" t="str">
        <f>_xlfn.IFNA(VLOOKUP($BC49,Programma!$F$3:$J$1101,5,0),"")</f>
        <v/>
      </c>
      <c r="BH49" s="142" t="str">
        <f>_xlfn.IFNA(VLOOKUP($BC49,Programma!$F$3:$K$1101,6,0),"")</f>
        <v/>
      </c>
      <c r="BI49" s="142" t="str">
        <f>_xlfn.IFNA(VLOOKUP($BC49,Programma!$F$3:$L$1101,7,0),"")</f>
        <v/>
      </c>
      <c r="BJ49" s="142" t="str">
        <f>_xlfn.IFNA(VLOOKUP($BC49,Programma!$F$3:$M$1101,8,0),"")</f>
        <v/>
      </c>
      <c r="BK49" s="142" t="str">
        <f>_xlfn.IFNA(VLOOKUP($BC49,Programma!$F$3:$N$1101,9,0),"")</f>
        <v/>
      </c>
      <c r="BL49" s="142" t="str">
        <f>_xlfn.IFNA(VLOOKUP($BC49,Programma!$F$3:$O$1101,10,0),"")</f>
        <v/>
      </c>
      <c r="BM49" s="142" t="str">
        <f>_xlfn.IFNA(VLOOKUP($BC49,Programma!$F$3:$P$1101,11,0),"")</f>
        <v/>
      </c>
      <c r="BN49" s="142" t="str">
        <f>_xlfn.IFNA(VLOOKUP($BC49,Programma!$F$3:$Q$1101,12,0),"")</f>
        <v/>
      </c>
      <c r="BO49" s="142" t="str">
        <f>_xlfn.IFNA(VLOOKUP($BC49,Programma!$F$3:$R$1101,13,0),"")</f>
        <v/>
      </c>
      <c r="BP49" s="142" t="str">
        <f>_xlfn.IFNA(VLOOKUP($BC49,Programma!$F$3:$S$1101,14,0),"")</f>
        <v/>
      </c>
      <c r="BQ49" s="142" t="str">
        <f>_xlfn.IFNA(VLOOKUP($BC49,Programma!$F$3:$T$1101,15,0),"")</f>
        <v/>
      </c>
      <c r="BR49" s="142" t="str">
        <f>_xlfn.IFNA(VLOOKUP($BC49,Programma!$F$3:$U$1101,16,0),"")</f>
        <v/>
      </c>
      <c r="BS49" s="142" t="str">
        <f>_xlfn.IFNA(VLOOKUP($BC49,Programma!$F$3:$V$1101,17,0),"")</f>
        <v/>
      </c>
      <c r="BT49" s="142" t="str">
        <f>_xlfn.IFNA(VLOOKUP($BC49,Programma!$F$3:$W$1101,18,0),"")</f>
        <v/>
      </c>
      <c r="BU49" s="142" t="str">
        <f>_xlfn.IFNA(VLOOKUP($BC49,Programma!$F$3:$X$1101,19,0),"")</f>
        <v/>
      </c>
      <c r="BV49" s="142" t="str">
        <f>_xlfn.IFNA(VLOOKUP($BC49,Programma!$F$3:$Y$1101,20,0),"")</f>
        <v/>
      </c>
      <c r="BW49" s="28"/>
      <c r="BX49" s="28"/>
      <c r="BY49" s="28"/>
      <c r="BZ49" s="28"/>
      <c r="CA49" s="28"/>
      <c r="CB49" s="28"/>
      <c r="CC49" s="28"/>
      <c r="CD49" s="28"/>
      <c r="CE49" s="28"/>
      <c r="CF49" s="28"/>
      <c r="CG49" s="28"/>
      <c r="CH49" s="28"/>
      <c r="CI49" s="28"/>
      <c r="CJ49" s="28"/>
      <c r="CK49" s="28"/>
      <c r="CL49" s="28"/>
      <c r="CM49" s="28"/>
      <c r="CN49" s="28"/>
      <c r="CO49" s="28"/>
      <c r="CP49" s="28"/>
      <c r="CQ49" s="28"/>
      <c r="CR49" s="28"/>
      <c r="CS49" s="28"/>
      <c r="CT49" s="28"/>
      <c r="CU49" s="28"/>
      <c r="CV49" s="28"/>
      <c r="CW49" s="28"/>
      <c r="CX49" s="28"/>
      <c r="CY49" s="28"/>
      <c r="CZ49" s="28"/>
      <c r="DA49" s="28"/>
      <c r="DB49" s="28"/>
      <c r="DC49" s="28"/>
      <c r="DD49" s="28"/>
      <c r="DE49" s="28"/>
      <c r="DF49" s="28"/>
      <c r="DG49" s="28"/>
      <c r="DH49" s="28"/>
      <c r="DI49" s="28"/>
      <c r="DJ49" s="28"/>
      <c r="DK49" s="28"/>
      <c r="DL49" s="28"/>
      <c r="DM49" s="28"/>
      <c r="DN49" s="28"/>
      <c r="DO49" s="28"/>
      <c r="DP49" s="28"/>
      <c r="DQ49" s="28"/>
      <c r="DR49" s="28"/>
      <c r="DS49" s="28"/>
      <c r="DT49" s="28"/>
      <c r="DU49" s="28"/>
      <c r="DV49" s="28"/>
      <c r="DW49" s="28"/>
      <c r="DX49" s="28"/>
      <c r="DY49" s="28"/>
      <c r="DZ49" s="28"/>
      <c r="EA49" s="28"/>
      <c r="EB49" s="28"/>
      <c r="EC49" s="28"/>
      <c r="ED49" s="28"/>
      <c r="EE49" s="28"/>
      <c r="EF49" s="28"/>
      <c r="EG49" s="28"/>
      <c r="EH49" s="28"/>
      <c r="EI49" s="28"/>
      <c r="EJ49" s="28"/>
      <c r="EK49" s="28"/>
      <c r="EL49" s="28"/>
      <c r="EM49" s="28"/>
      <c r="EN49" s="28"/>
      <c r="EO49" s="28"/>
      <c r="EP49" s="28"/>
      <c r="EQ49" s="28"/>
      <c r="ER49" s="28"/>
      <c r="ES49" s="28"/>
      <c r="ET49" s="28"/>
      <c r="EU49" s="28"/>
      <c r="EV49" s="28"/>
      <c r="EW49" s="28"/>
      <c r="EX49" s="28"/>
      <c r="EY49" s="28"/>
      <c r="EZ49" s="28"/>
      <c r="FA49" s="28"/>
      <c r="FB49" s="28"/>
      <c r="FC49" s="28"/>
      <c r="FD49" s="28"/>
      <c r="FE49" s="28"/>
      <c r="FF49" s="28"/>
      <c r="FG49" s="28"/>
      <c r="FH49" s="28"/>
      <c r="FI49" s="28"/>
      <c r="FJ49" s="28"/>
      <c r="FK49" s="28"/>
      <c r="FL49" s="28"/>
      <c r="FM49" s="28"/>
      <c r="FN49" s="28"/>
      <c r="FO49" s="28"/>
      <c r="FP49" s="28"/>
      <c r="FQ49" s="28"/>
      <c r="FR49" s="28"/>
      <c r="FS49" s="28"/>
      <c r="FT49" s="28"/>
      <c r="FU49" s="28"/>
      <c r="FV49" s="28"/>
      <c r="FW49" s="28"/>
      <c r="FX49" s="28"/>
      <c r="FY49" s="28"/>
      <c r="FZ49" s="28"/>
      <c r="GA49" s="28"/>
      <c r="GB49" s="28"/>
      <c r="GC49" s="28"/>
      <c r="GD49" s="28"/>
      <c r="GE49" s="28"/>
      <c r="GF49" s="28"/>
      <c r="GG49" s="28"/>
      <c r="GH49" s="28"/>
      <c r="GI49" s="28"/>
      <c r="GJ49" s="28"/>
      <c r="GK49" s="28"/>
      <c r="GL49" s="28"/>
      <c r="GM49" s="28"/>
      <c r="GN49" s="28"/>
      <c r="GO49" s="28"/>
      <c r="GP49" s="28"/>
      <c r="GQ49" s="28"/>
      <c r="GR49" s="28"/>
      <c r="GS49" s="28"/>
      <c r="GT49" s="28"/>
      <c r="GU49" s="28"/>
      <c r="GV49" s="28"/>
      <c r="GW49" s="28"/>
      <c r="GX49" s="28"/>
      <c r="GY49" s="28"/>
      <c r="GZ49" s="28"/>
      <c r="HA49" s="28"/>
      <c r="HB49" s="28"/>
      <c r="HC49" s="28"/>
      <c r="HD49" s="28"/>
      <c r="HE49" s="28"/>
      <c r="HF49" s="28"/>
      <c r="HG49" s="28"/>
      <c r="HH49" s="28"/>
      <c r="HI49" s="28"/>
      <c r="HJ49" s="28"/>
      <c r="HK49" s="28"/>
    </row>
    <row r="50" spans="1:219" ht="15" customHeight="1">
      <c r="A50" s="100">
        <v>1</v>
      </c>
      <c r="B50" s="132" t="str">
        <f>VLOOKUP(Ruimtestaat[[#This Row],[Code]],Locaties[[Code]:[Locatie]],2,FALSE)</f>
        <v>Mirtehuis</v>
      </c>
      <c r="C50" s="132" t="str">
        <f>VLOOKUP(Ruimtestaat[[#This Row],[Code]],Locaties[[#All],[Code]:[Adres]],4,FALSE)</f>
        <v>Weseperweg 6</v>
      </c>
      <c r="D50" s="132" t="str">
        <f>VLOOKUP(Ruimtestaat[[#This Row],[Code]],Locaties[[#All],[Code]:[Postcode]],5,FALSE)</f>
        <v>8111 PK</v>
      </c>
      <c r="E50" s="132" t="str">
        <f>VLOOKUP(Ruimtestaat[[#This Row],[Code]],Locaties[#All],6,FALSE)</f>
        <v>Heeten</v>
      </c>
      <c r="F50" s="100"/>
      <c r="G50" s="100" t="s">
        <v>1675</v>
      </c>
      <c r="H50" s="344"/>
      <c r="I50" s="345" t="s">
        <v>1635</v>
      </c>
      <c r="J50" s="49">
        <v>10</v>
      </c>
      <c r="K50" s="140" t="str">
        <f>VLOOKUP(Ruimtestaat[[#This Row],[Ruimte code]],Ruimtegroepen[[#All],[Code]:[Ruimte omschrijving]],2,FALSE)</f>
        <v>Trappenhuizen/lift</v>
      </c>
      <c r="L50" s="100" t="s">
        <v>100</v>
      </c>
      <c r="M50" s="345" t="s">
        <v>1636</v>
      </c>
      <c r="N50" s="133">
        <v>2.75</v>
      </c>
      <c r="O50" s="139"/>
      <c r="P50" s="134" t="str">
        <f>VLOOKUP(Ruimtestaat[[#This Row],[Ruimte code]],Ruimtegroepen[],4,FALSE)</f>
        <v>Ve</v>
      </c>
      <c r="Q50" s="100">
        <v>51</v>
      </c>
      <c r="R50" s="100" t="s">
        <v>18</v>
      </c>
      <c r="S50" s="100">
        <f>IF(Q50&gt;0,IF(RIGHT(Ruimtestaat[[#This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153</v>
      </c>
      <c r="T50" s="100">
        <f>IF(S50&gt;0,VLOOKUP($J50,Ruimtegroepen[],3,FALSE)*VLOOKUP($L50,Vloersoorten[],3,FALSE)*VLOOKUP($R50,Frequenties[],3,FALSE)*VLOOKUP($A50,Locaties[],3,FALSE),0)</f>
        <v>0</v>
      </c>
      <c r="U50" s="100">
        <f>Ruimtestaat[[#This Row],[Uitvoeringen werkdagen]]*Ruimtestaat[[#This Row],[Oppervlak (netto)]]</f>
        <v>420.75</v>
      </c>
      <c r="V50" s="135">
        <f>IF(T50&gt;0,Ruimtestaat[[#This Row],[Prest. (m2 /jaar) werkdagen]]/Ruimtestaat[[#This Row],[Norm (m2/uur) werkdagen]],0)</f>
        <v>0</v>
      </c>
      <c r="W50" s="136">
        <f>Ruimtestaat[[#This Row],[uren / jaar werkdagen]]*Tariefsopbouw!$E$35</f>
        <v>0</v>
      </c>
      <c r="X50" s="100"/>
      <c r="Y50" s="100">
        <f>IF(Ruimtestaat[[#This Row],[Frequentie weekend]]&gt;0,VALUE(LEFT(X50,1))*Q50,0)</f>
        <v>0</v>
      </c>
      <c r="Z50" s="99">
        <f>IF($Y50&gt;0,VLOOKUP($J50,Ruimtegroepen[],3,FALSE)*VLOOKUP($L50,Vloersoorten[],3,FALSE)*VLOOKUP($X50,Frequenties[],3,FALSE)*VLOOKUP(Ruimtestaat[[#This Row],[Code]],Locaties[],3,FALSE),0)</f>
        <v>0</v>
      </c>
      <c r="AA50" s="99">
        <f>Ruimtestaat[[#This Row],[Uitvoeringen weekend]]*Ruimtestaat[[#This Row],[Oppervlak (netto)]]</f>
        <v>0</v>
      </c>
      <c r="AB50" s="99">
        <f>IF(Z50&gt;0,Ruimtestaat[[#This Row],[Prest. (m2 /jaar) weekend]]/Ruimtestaat[[#This Row],[Norm (m2/uur) weekend]],0)</f>
        <v>0</v>
      </c>
      <c r="AC50" s="136">
        <f>Ruimtestaat[[#This Row],[uren / jaar weekend]]*Tariefsopbouw!$D$40</f>
        <v>0</v>
      </c>
      <c r="AD50" s="135">
        <f>Ruimtestaat[[#This Row],[Prest. (m2 /jaar) weekend]]+Ruimtestaat[[#This Row],[Prest. (m2 /jaar) werkdagen]]</f>
        <v>420.75</v>
      </c>
      <c r="AE50" s="135">
        <f>Ruimtestaat[[#This Row],[uren / jaar weekend]]+Ruimtestaat[[#This Row],[uren / jaar werkdagen]]</f>
        <v>0</v>
      </c>
      <c r="AF50" s="130">
        <f>Ruimtestaat[[#This Row],[kosten / jaar weekend]]+Ruimtestaat[[#This Row],[kosten / jaar werkdagen]]</f>
        <v>0</v>
      </c>
      <c r="AG50" s="130"/>
      <c r="AH50" s="137" t="str">
        <f>IF(Ruimtestaat[[#This Row],[Frequentie werkdagen]]="","",_xlfn.CONCAT(Ruimtestaat[[#This Row],[Ruimte code]],"-",Ruimtestaat[[#This Row],[Frequentie werkdagen]]," ",Ruimtestaat[[#This Row],[Vloer code]]))</f>
        <v>10-3w L</v>
      </c>
      <c r="AI50" s="142" t="str">
        <f>_xlfn.IFNA(VLOOKUP($AH50,Programma!$F$3:$G$1101,2,0),"")</f>
        <v>_</v>
      </c>
      <c r="AJ50" s="142" t="str">
        <f>_xlfn.IFNA(VLOOKUP($AH50,Programma!$F$3:$H$1101,3,0),"")</f>
        <v>_</v>
      </c>
      <c r="AK50" s="142" t="str">
        <f>_xlfn.IFNA(VLOOKUP($AH50,Programma!$F$3:$I$1101,4,0),"")</f>
        <v>2w</v>
      </c>
      <c r="AL50" s="142" t="str">
        <f>_xlfn.IFNA(VLOOKUP($AH50,Programma!$F$3:$J$1101,5,0),"")</f>
        <v>1w</v>
      </c>
      <c r="AM50" s="142" t="str">
        <f>_xlfn.IFNA(VLOOKUP($AH50,Programma!$F$3:$K$1101,6,0),"")</f>
        <v>_</v>
      </c>
      <c r="AN50" s="142" t="str">
        <f>_xlfn.IFNA(VLOOKUP($AH50,Programma!$F$3:$L$1101,7,0),"")</f>
        <v>_</v>
      </c>
      <c r="AO50" s="142" t="str">
        <f>_xlfn.IFNA(VLOOKUP($AH50,Programma!$F$3:$M$1101,8,0),"")</f>
        <v>_</v>
      </c>
      <c r="AP50" s="142" t="str">
        <f>_xlfn.IFNA(VLOOKUP($AH50,Programma!$F$3:$N$1101,9,0),"")</f>
        <v>_</v>
      </c>
      <c r="AQ50" s="142" t="str">
        <f>_xlfn.IFNA(VLOOKUP($AH50,Programma!$F$3:$O$1101,10,0),"")</f>
        <v>3w</v>
      </c>
      <c r="AR50" s="142" t="str">
        <f>_xlfn.IFNA(VLOOKUP($AH50,Programma!$F$3:$P$1101,11,0),"")</f>
        <v>3w</v>
      </c>
      <c r="AS50" s="142" t="str">
        <f>_xlfn.IFNA(VLOOKUP($AH50,Programma!$F$3:$Q$1101,12,0),"")</f>
        <v>1w</v>
      </c>
      <c r="AT50" s="142" t="str">
        <f>_xlfn.IFNA(VLOOKUP($AH50,Programma!$F$3:$R$1101,13,0),"")</f>
        <v>1w</v>
      </c>
      <c r="AU50" s="142" t="str">
        <f>_xlfn.IFNA(VLOOKUP($AH50,Programma!$F$3:$S$1101,14,0),"")</f>
        <v>1m</v>
      </c>
      <c r="AV50" s="142" t="str">
        <f>_xlfn.IFNA(VLOOKUP($AH50,Programma!$F$3:$T$1101,15,0),"")</f>
        <v>2j</v>
      </c>
      <c r="AW50" s="142" t="str">
        <f>_xlfn.IFNA(VLOOKUP($AH50,Programma!$F$3:$U$1101,16,0),"")</f>
        <v>1j</v>
      </c>
      <c r="AX50" s="142" t="str">
        <f>_xlfn.IFNA(VLOOKUP($AH50,Programma!$F$3:$V$1101,17,0),"")</f>
        <v>_</v>
      </c>
      <c r="AY50" s="142" t="str">
        <f>_xlfn.IFNA(VLOOKUP($AH50,Programma!$F$3:$W$1101,18,0),"")</f>
        <v>_</v>
      </c>
      <c r="AZ50" s="142" t="str">
        <f>_xlfn.IFNA(VLOOKUP($AH50,Programma!$F$3:$X$1101,19,0),"")</f>
        <v>_</v>
      </c>
      <c r="BA50" s="142" t="str">
        <f>_xlfn.IFNA(VLOOKUP($AH50,Programma!$F$3:$Y$1101,20,0),"")</f>
        <v>_</v>
      </c>
      <c r="BB50" s="138"/>
      <c r="BC50" s="137" t="str">
        <f>IF(Ruimtestaat[[#This Row],[Frequentie weekend]]="","",_xlfn.CONCAT(Ruimtestaat[[#This Row],[Ruimte code]],"-",Ruimtestaat[[#This Row],[Frequentie weekend]]," ",Ruimtestaat[[#This Row],[Vloer code]]))</f>
        <v/>
      </c>
      <c r="BD50" s="142" t="str">
        <f>_xlfn.IFNA(VLOOKUP($BC50,Programma!$F$3:$G$1101,2,0),"")</f>
        <v/>
      </c>
      <c r="BE50" s="142" t="str">
        <f>_xlfn.IFNA(VLOOKUP($BC50,Programma!$F$3:$H$1101,3,0),"")</f>
        <v/>
      </c>
      <c r="BF50" s="142" t="str">
        <f>_xlfn.IFNA(VLOOKUP($BC50,Programma!$F$3:$I$1101,4,0),"")</f>
        <v/>
      </c>
      <c r="BG50" s="142" t="str">
        <f>_xlfn.IFNA(VLOOKUP($BC50,Programma!$F$3:$J$1101,5,0),"")</f>
        <v/>
      </c>
      <c r="BH50" s="142" t="str">
        <f>_xlfn.IFNA(VLOOKUP($BC50,Programma!$F$3:$K$1101,6,0),"")</f>
        <v/>
      </c>
      <c r="BI50" s="142" t="str">
        <f>_xlfn.IFNA(VLOOKUP($BC50,Programma!$F$3:$L$1101,7,0),"")</f>
        <v/>
      </c>
      <c r="BJ50" s="142" t="str">
        <f>_xlfn.IFNA(VLOOKUP($BC50,Programma!$F$3:$M$1101,8,0),"")</f>
        <v/>
      </c>
      <c r="BK50" s="142" t="str">
        <f>_xlfn.IFNA(VLOOKUP($BC50,Programma!$F$3:$N$1101,9,0),"")</f>
        <v/>
      </c>
      <c r="BL50" s="142" t="str">
        <f>_xlfn.IFNA(VLOOKUP($BC50,Programma!$F$3:$O$1101,10,0),"")</f>
        <v/>
      </c>
      <c r="BM50" s="142" t="str">
        <f>_xlfn.IFNA(VLOOKUP($BC50,Programma!$F$3:$P$1101,11,0),"")</f>
        <v/>
      </c>
      <c r="BN50" s="142" t="str">
        <f>_xlfn.IFNA(VLOOKUP($BC50,Programma!$F$3:$Q$1101,12,0),"")</f>
        <v/>
      </c>
      <c r="BO50" s="142" t="str">
        <f>_xlfn.IFNA(VLOOKUP($BC50,Programma!$F$3:$R$1101,13,0),"")</f>
        <v/>
      </c>
      <c r="BP50" s="142" t="str">
        <f>_xlfn.IFNA(VLOOKUP($BC50,Programma!$F$3:$S$1101,14,0),"")</f>
        <v/>
      </c>
      <c r="BQ50" s="142" t="str">
        <f>_xlfn.IFNA(VLOOKUP($BC50,Programma!$F$3:$T$1101,15,0),"")</f>
        <v/>
      </c>
      <c r="BR50" s="142" t="str">
        <f>_xlfn.IFNA(VLOOKUP($BC50,Programma!$F$3:$U$1101,16,0),"")</f>
        <v/>
      </c>
      <c r="BS50" s="142" t="str">
        <f>_xlfn.IFNA(VLOOKUP($BC50,Programma!$F$3:$V$1101,17,0),"")</f>
        <v/>
      </c>
      <c r="BT50" s="142" t="str">
        <f>_xlfn.IFNA(VLOOKUP($BC50,Programma!$F$3:$W$1101,18,0),"")</f>
        <v/>
      </c>
      <c r="BU50" s="142" t="str">
        <f>_xlfn.IFNA(VLOOKUP($BC50,Programma!$F$3:$X$1101,19,0),"")</f>
        <v/>
      </c>
      <c r="BV50" s="142" t="str">
        <f>_xlfn.IFNA(VLOOKUP($BC50,Programma!$F$3:$Y$1101,20,0),"")</f>
        <v/>
      </c>
      <c r="BW50" s="28"/>
      <c r="BX50" s="28"/>
      <c r="BY50" s="28"/>
      <c r="BZ50" s="28"/>
      <c r="CA50" s="28"/>
      <c r="CB50" s="28"/>
      <c r="CC50" s="28"/>
      <c r="CD50" s="28"/>
      <c r="CE50" s="28"/>
      <c r="CF50" s="28"/>
      <c r="CG50" s="28"/>
      <c r="CH50" s="28"/>
      <c r="CI50" s="28"/>
      <c r="CJ50" s="28"/>
      <c r="CK50" s="28"/>
      <c r="CL50" s="28"/>
      <c r="CM50" s="28"/>
      <c r="CN50" s="28"/>
      <c r="CO50" s="28"/>
      <c r="CP50" s="28"/>
      <c r="CQ50" s="28"/>
      <c r="CR50" s="28"/>
      <c r="CS50" s="28"/>
      <c r="CT50" s="28"/>
      <c r="CU50" s="28"/>
      <c r="CV50" s="28"/>
      <c r="CW50" s="28"/>
      <c r="CX50" s="28"/>
      <c r="CY50" s="28"/>
      <c r="CZ50" s="28"/>
      <c r="DA50" s="28"/>
      <c r="DB50" s="28"/>
      <c r="DC50" s="28"/>
      <c r="DD50" s="28"/>
      <c r="DE50" s="28"/>
      <c r="DF50" s="28"/>
      <c r="DG50" s="28"/>
      <c r="DH50" s="28"/>
      <c r="DI50" s="28"/>
      <c r="DJ50" s="28"/>
      <c r="DK50" s="28"/>
      <c r="DL50" s="28"/>
      <c r="DM50" s="28"/>
      <c r="DN50" s="28"/>
      <c r="DO50" s="28"/>
      <c r="DP50" s="28"/>
      <c r="DQ50" s="28"/>
      <c r="DR50" s="28"/>
      <c r="DS50" s="28"/>
      <c r="DT50" s="28"/>
      <c r="DU50" s="28"/>
      <c r="DV50" s="28"/>
      <c r="DW50" s="28"/>
      <c r="DX50" s="28"/>
      <c r="DY50" s="28"/>
      <c r="DZ50" s="28"/>
      <c r="EA50" s="28"/>
      <c r="EB50" s="28"/>
      <c r="EC50" s="28"/>
      <c r="ED50" s="28"/>
      <c r="EE50" s="28"/>
      <c r="EF50" s="28"/>
      <c r="EG50" s="28"/>
      <c r="EH50" s="28"/>
      <c r="EI50" s="28"/>
      <c r="EJ50" s="28"/>
      <c r="EK50" s="28"/>
      <c r="EL50" s="28"/>
      <c r="EM50" s="28"/>
      <c r="EN50" s="28"/>
      <c r="EO50" s="28"/>
      <c r="EP50" s="28"/>
      <c r="EQ50" s="28"/>
      <c r="ER50" s="28"/>
      <c r="ES50" s="28"/>
      <c r="ET50" s="28"/>
      <c r="EU50" s="28"/>
      <c r="EV50" s="28"/>
      <c r="EW50" s="28"/>
      <c r="EX50" s="28"/>
      <c r="EY50" s="28"/>
      <c r="EZ50" s="28"/>
      <c r="FA50" s="28"/>
      <c r="FB50" s="28"/>
      <c r="FC50" s="28"/>
      <c r="FD50" s="28"/>
      <c r="FE50" s="28"/>
      <c r="FF50" s="28"/>
      <c r="FG50" s="28"/>
      <c r="FH50" s="28"/>
      <c r="FI50" s="28"/>
      <c r="FJ50" s="28"/>
      <c r="FK50" s="28"/>
      <c r="FL50" s="28"/>
      <c r="FM50" s="28"/>
      <c r="FN50" s="28"/>
      <c r="FO50" s="28"/>
      <c r="FP50" s="28"/>
      <c r="FQ50" s="28"/>
      <c r="FR50" s="28"/>
      <c r="FS50" s="28"/>
      <c r="FT50" s="28"/>
      <c r="FU50" s="28"/>
      <c r="FV50" s="28"/>
      <c r="FW50" s="28"/>
      <c r="FX50" s="28"/>
      <c r="FY50" s="28"/>
      <c r="FZ50" s="28"/>
      <c r="GA50" s="28"/>
      <c r="GB50" s="28"/>
      <c r="GC50" s="28"/>
      <c r="GD50" s="28"/>
      <c r="GE50" s="28"/>
      <c r="GF50" s="28"/>
      <c r="GG50" s="28"/>
      <c r="GH50" s="28"/>
      <c r="GI50" s="28"/>
      <c r="GJ50" s="28"/>
      <c r="GK50" s="28"/>
      <c r="GL50" s="28"/>
      <c r="GM50" s="28"/>
      <c r="GN50" s="28"/>
      <c r="GO50" s="28"/>
      <c r="GP50" s="28"/>
      <c r="GQ50" s="28"/>
      <c r="GR50" s="28"/>
      <c r="GS50" s="28"/>
      <c r="GT50" s="28"/>
      <c r="GU50" s="28"/>
      <c r="GV50" s="28"/>
      <c r="GW50" s="28"/>
      <c r="GX50" s="28"/>
      <c r="GY50" s="28"/>
      <c r="GZ50" s="28"/>
      <c r="HA50" s="28"/>
      <c r="HB50" s="28"/>
      <c r="HC50" s="28"/>
      <c r="HD50" s="28"/>
      <c r="HE50" s="28"/>
      <c r="HF50" s="28"/>
      <c r="HG50" s="28"/>
      <c r="HH50" s="28"/>
      <c r="HI50" s="28"/>
      <c r="HJ50" s="28"/>
      <c r="HK50" s="28"/>
    </row>
    <row r="51" spans="1:219" ht="15" customHeight="1">
      <c r="A51" s="100">
        <v>1</v>
      </c>
      <c r="B51" s="132" t="str">
        <f>VLOOKUP(Ruimtestaat[[#This Row],[Code]],Locaties[[Code]:[Locatie]],2,FALSE)</f>
        <v>Mirtehuis</v>
      </c>
      <c r="C51" s="132" t="str">
        <f>VLOOKUP(Ruimtestaat[[#This Row],[Code]],Locaties[[#All],[Code]:[Adres]],4,FALSE)</f>
        <v>Weseperweg 6</v>
      </c>
      <c r="D51" s="132" t="str">
        <f>VLOOKUP(Ruimtestaat[[#This Row],[Code]],Locaties[[#All],[Code]:[Postcode]],5,FALSE)</f>
        <v>8111 PK</v>
      </c>
      <c r="E51" s="132" t="str">
        <f>VLOOKUP(Ruimtestaat[[#This Row],[Code]],Locaties[#All],6,FALSE)</f>
        <v>Heeten</v>
      </c>
      <c r="F51" s="100"/>
      <c r="G51" s="100" t="s">
        <v>1675</v>
      </c>
      <c r="H51" s="344" t="s">
        <v>1663</v>
      </c>
      <c r="I51" s="345" t="s">
        <v>1664</v>
      </c>
      <c r="J51" s="100">
        <v>20</v>
      </c>
      <c r="K51" s="140" t="str">
        <f>VLOOKUP(Ruimtestaat[[#This Row],[Ruimte code]],Ruimtegroepen[[#All],[Code]:[Ruimte omschrijving]],2,FALSE)</f>
        <v>Niet in Onderhoud</v>
      </c>
      <c r="L51" s="100" t="s">
        <v>100</v>
      </c>
      <c r="M51" s="345" t="s">
        <v>1636</v>
      </c>
      <c r="N51" s="133"/>
      <c r="O51" s="139">
        <v>6.75</v>
      </c>
      <c r="P51" s="134">
        <f>VLOOKUP(Ruimtestaat[[#This Row],[Ruimte code]],Ruimtegroepen[],4,FALSE)</f>
        <v>0</v>
      </c>
      <c r="Q51" s="100"/>
      <c r="R51" s="100"/>
      <c r="S51" s="100">
        <f>IF(Q51&gt;0,IF(RIGHT(Ruimtestaat[[#This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1" s="100">
        <f>IF(S51&gt;0,VLOOKUP($J51,Ruimtegroepen[],3,FALSE)*VLOOKUP($L51,Vloersoorten[],3,FALSE)*VLOOKUP($R51,Frequenties[],3,FALSE)*VLOOKUP($A51,Locaties[],3,FALSE),0)</f>
        <v>0</v>
      </c>
      <c r="U51" s="100">
        <f>Ruimtestaat[[#This Row],[Uitvoeringen werkdagen]]*Ruimtestaat[[#This Row],[Oppervlak (netto)]]</f>
        <v>0</v>
      </c>
      <c r="V51" s="135">
        <f>IF(T51&gt;0,Ruimtestaat[[#This Row],[Prest. (m2 /jaar) werkdagen]]/Ruimtestaat[[#This Row],[Norm (m2/uur) werkdagen]],0)</f>
        <v>0</v>
      </c>
      <c r="W51" s="136">
        <f>Ruimtestaat[[#This Row],[uren / jaar werkdagen]]*Tariefsopbouw!$E$35</f>
        <v>0</v>
      </c>
      <c r="X51" s="100"/>
      <c r="Y51" s="100">
        <f>IF(Ruimtestaat[[#This Row],[Frequentie weekend]]&gt;0,VALUE(LEFT(X51,1))*Q51,0)</f>
        <v>0</v>
      </c>
      <c r="Z51" s="99">
        <f>IF($Y51&gt;0,VLOOKUP($J51,Ruimtegroepen[],3,FALSE)*VLOOKUP($L51,Vloersoorten[],3,FALSE)*VLOOKUP($X51,Frequenties[],3,FALSE)*VLOOKUP(Ruimtestaat[[#This Row],[Code]],Locaties[],3,FALSE),0)</f>
        <v>0</v>
      </c>
      <c r="AA51" s="99">
        <f>Ruimtestaat[[#This Row],[Uitvoeringen weekend]]*Ruimtestaat[[#This Row],[Oppervlak (netto)]]</f>
        <v>0</v>
      </c>
      <c r="AB51" s="99">
        <f>IF(Z51&gt;0,Ruimtestaat[[#This Row],[Prest. (m2 /jaar) weekend]]/Ruimtestaat[[#This Row],[Norm (m2/uur) weekend]],0)</f>
        <v>0</v>
      </c>
      <c r="AC51" s="136">
        <f>Ruimtestaat[[#This Row],[uren / jaar weekend]]*Tariefsopbouw!$D$40</f>
        <v>0</v>
      </c>
      <c r="AD51" s="135">
        <f>Ruimtestaat[[#This Row],[Prest. (m2 /jaar) weekend]]+Ruimtestaat[[#This Row],[Prest. (m2 /jaar) werkdagen]]</f>
        <v>0</v>
      </c>
      <c r="AE51" s="135">
        <f>Ruimtestaat[[#This Row],[uren / jaar weekend]]+Ruimtestaat[[#This Row],[uren / jaar werkdagen]]</f>
        <v>0</v>
      </c>
      <c r="AF51" s="130">
        <f>Ruimtestaat[[#This Row],[kosten / jaar weekend]]+Ruimtestaat[[#This Row],[kosten / jaar werkdagen]]</f>
        <v>0</v>
      </c>
      <c r="AG51" s="130"/>
      <c r="AH51" s="137" t="str">
        <f>IF(Ruimtestaat[[#This Row],[Frequentie werkdagen]]="","",_xlfn.CONCAT(Ruimtestaat[[#This Row],[Ruimte code]],"-",Ruimtestaat[[#This Row],[Frequentie werkdagen]]," ",Ruimtestaat[[#This Row],[Vloer code]]))</f>
        <v/>
      </c>
      <c r="AI51" s="142" t="str">
        <f>_xlfn.IFNA(VLOOKUP($AH51,Programma!$F$3:$G$1101,2,0),"")</f>
        <v/>
      </c>
      <c r="AJ51" s="142" t="str">
        <f>_xlfn.IFNA(VLOOKUP($AH51,Programma!$F$3:$H$1101,3,0),"")</f>
        <v/>
      </c>
      <c r="AK51" s="142" t="str">
        <f>_xlfn.IFNA(VLOOKUP($AH51,Programma!$F$3:$I$1101,4,0),"")</f>
        <v/>
      </c>
      <c r="AL51" s="142" t="str">
        <f>_xlfn.IFNA(VLOOKUP($AH51,Programma!$F$3:$J$1101,5,0),"")</f>
        <v/>
      </c>
      <c r="AM51" s="142" t="str">
        <f>_xlfn.IFNA(VLOOKUP($AH51,Programma!$F$3:$K$1101,6,0),"")</f>
        <v/>
      </c>
      <c r="AN51" s="142" t="str">
        <f>_xlfn.IFNA(VLOOKUP($AH51,Programma!$F$3:$L$1101,7,0),"")</f>
        <v/>
      </c>
      <c r="AO51" s="142" t="str">
        <f>_xlfn.IFNA(VLOOKUP($AH51,Programma!$F$3:$M$1101,8,0),"")</f>
        <v/>
      </c>
      <c r="AP51" s="142" t="str">
        <f>_xlfn.IFNA(VLOOKUP($AH51,Programma!$F$3:$N$1101,9,0),"")</f>
        <v/>
      </c>
      <c r="AQ51" s="142" t="str">
        <f>_xlfn.IFNA(VLOOKUP($AH51,Programma!$F$3:$O$1101,10,0),"")</f>
        <v/>
      </c>
      <c r="AR51" s="142" t="str">
        <f>_xlfn.IFNA(VLOOKUP($AH51,Programma!$F$3:$P$1101,11,0),"")</f>
        <v/>
      </c>
      <c r="AS51" s="142" t="str">
        <f>_xlfn.IFNA(VLOOKUP($AH51,Programma!$F$3:$Q$1101,12,0),"")</f>
        <v/>
      </c>
      <c r="AT51" s="142" t="str">
        <f>_xlfn.IFNA(VLOOKUP($AH51,Programma!$F$3:$R$1101,13,0),"")</f>
        <v/>
      </c>
      <c r="AU51" s="142" t="str">
        <f>_xlfn.IFNA(VLOOKUP($AH51,Programma!$F$3:$S$1101,14,0),"")</f>
        <v/>
      </c>
      <c r="AV51" s="142" t="str">
        <f>_xlfn.IFNA(VLOOKUP($AH51,Programma!$F$3:$T$1101,15,0),"")</f>
        <v/>
      </c>
      <c r="AW51" s="142" t="str">
        <f>_xlfn.IFNA(VLOOKUP($AH51,Programma!$F$3:$U$1101,16,0),"")</f>
        <v/>
      </c>
      <c r="AX51" s="142" t="str">
        <f>_xlfn.IFNA(VLOOKUP($AH51,Programma!$F$3:$V$1101,17,0),"")</f>
        <v/>
      </c>
      <c r="AY51" s="142" t="str">
        <f>_xlfn.IFNA(VLOOKUP($AH51,Programma!$F$3:$W$1101,18,0),"")</f>
        <v/>
      </c>
      <c r="AZ51" s="142" t="str">
        <f>_xlfn.IFNA(VLOOKUP($AH51,Programma!$F$3:$X$1101,19,0),"")</f>
        <v/>
      </c>
      <c r="BA51" s="142" t="str">
        <f>_xlfn.IFNA(VLOOKUP($AH51,Programma!$F$3:$Y$1101,20,0),"")</f>
        <v/>
      </c>
      <c r="BB51" s="138"/>
      <c r="BC51" s="137" t="str">
        <f>IF(Ruimtestaat[[#This Row],[Frequentie weekend]]="","",_xlfn.CONCAT(Ruimtestaat[[#This Row],[Ruimte code]],"-",Ruimtestaat[[#This Row],[Frequentie weekend]]," ",Ruimtestaat[[#This Row],[Vloer code]]))</f>
        <v/>
      </c>
      <c r="BD51" s="142" t="str">
        <f>_xlfn.IFNA(VLOOKUP($BC51,Programma!$F$3:$G$1101,2,0),"")</f>
        <v/>
      </c>
      <c r="BE51" s="142" t="str">
        <f>_xlfn.IFNA(VLOOKUP($BC51,Programma!$F$3:$H$1101,3,0),"")</f>
        <v/>
      </c>
      <c r="BF51" s="142" t="str">
        <f>_xlfn.IFNA(VLOOKUP($BC51,Programma!$F$3:$I$1101,4,0),"")</f>
        <v/>
      </c>
      <c r="BG51" s="142" t="str">
        <f>_xlfn.IFNA(VLOOKUP($BC51,Programma!$F$3:$J$1101,5,0),"")</f>
        <v/>
      </c>
      <c r="BH51" s="142" t="str">
        <f>_xlfn.IFNA(VLOOKUP($BC51,Programma!$F$3:$K$1101,6,0),"")</f>
        <v/>
      </c>
      <c r="BI51" s="142" t="str">
        <f>_xlfn.IFNA(VLOOKUP($BC51,Programma!$F$3:$L$1101,7,0),"")</f>
        <v/>
      </c>
      <c r="BJ51" s="142" t="str">
        <f>_xlfn.IFNA(VLOOKUP($BC51,Programma!$F$3:$M$1101,8,0),"")</f>
        <v/>
      </c>
      <c r="BK51" s="142" t="str">
        <f>_xlfn.IFNA(VLOOKUP($BC51,Programma!$F$3:$N$1101,9,0),"")</f>
        <v/>
      </c>
      <c r="BL51" s="142" t="str">
        <f>_xlfn.IFNA(VLOOKUP($BC51,Programma!$F$3:$O$1101,10,0),"")</f>
        <v/>
      </c>
      <c r="BM51" s="142" t="str">
        <f>_xlfn.IFNA(VLOOKUP($BC51,Programma!$F$3:$P$1101,11,0),"")</f>
        <v/>
      </c>
      <c r="BN51" s="142" t="str">
        <f>_xlfn.IFNA(VLOOKUP($BC51,Programma!$F$3:$Q$1101,12,0),"")</f>
        <v/>
      </c>
      <c r="BO51" s="142" t="str">
        <f>_xlfn.IFNA(VLOOKUP($BC51,Programma!$F$3:$R$1101,13,0),"")</f>
        <v/>
      </c>
      <c r="BP51" s="142" t="str">
        <f>_xlfn.IFNA(VLOOKUP($BC51,Programma!$F$3:$S$1101,14,0),"")</f>
        <v/>
      </c>
      <c r="BQ51" s="142" t="str">
        <f>_xlfn.IFNA(VLOOKUP($BC51,Programma!$F$3:$T$1101,15,0),"")</f>
        <v/>
      </c>
      <c r="BR51" s="142" t="str">
        <f>_xlfn.IFNA(VLOOKUP($BC51,Programma!$F$3:$U$1101,16,0),"")</f>
        <v/>
      </c>
      <c r="BS51" s="142" t="str">
        <f>_xlfn.IFNA(VLOOKUP($BC51,Programma!$F$3:$V$1101,17,0),"")</f>
        <v/>
      </c>
      <c r="BT51" s="142" t="str">
        <f>_xlfn.IFNA(VLOOKUP($BC51,Programma!$F$3:$W$1101,18,0),"")</f>
        <v/>
      </c>
      <c r="BU51" s="142" t="str">
        <f>_xlfn.IFNA(VLOOKUP($BC51,Programma!$F$3:$X$1101,19,0),"")</f>
        <v/>
      </c>
      <c r="BV51" s="142" t="str">
        <f>_xlfn.IFNA(VLOOKUP($BC51,Programma!$F$3:$Y$1101,20,0),"")</f>
        <v/>
      </c>
      <c r="BW51" s="28"/>
      <c r="BX51" s="28"/>
      <c r="BY51" s="28"/>
      <c r="BZ51" s="28"/>
      <c r="CA51" s="28"/>
      <c r="CB51" s="28"/>
      <c r="CC51" s="28"/>
      <c r="CD51" s="28"/>
      <c r="CE51" s="28"/>
      <c r="CF51" s="28"/>
      <c r="CG51" s="28"/>
      <c r="CH51" s="28"/>
      <c r="CI51" s="28"/>
      <c r="CJ51" s="28"/>
      <c r="CK51" s="28"/>
      <c r="CL51" s="28"/>
      <c r="CM51" s="28"/>
      <c r="CN51" s="28"/>
      <c r="CO51" s="28"/>
      <c r="CP51" s="28"/>
      <c r="CQ51" s="28"/>
      <c r="CR51" s="28"/>
      <c r="CS51" s="28"/>
      <c r="CT51" s="28"/>
      <c r="CU51" s="28"/>
      <c r="CV51" s="28"/>
      <c r="CW51" s="28"/>
      <c r="CX51" s="28"/>
      <c r="CY51" s="28"/>
      <c r="CZ51" s="28"/>
      <c r="DA51" s="28"/>
      <c r="DB51" s="28"/>
      <c r="DC51" s="28"/>
      <c r="DD51" s="28"/>
      <c r="DE51" s="28"/>
      <c r="DF51" s="28"/>
      <c r="DG51" s="28"/>
      <c r="DH51" s="28"/>
      <c r="DI51" s="28"/>
      <c r="DJ51" s="28"/>
      <c r="DK51" s="28"/>
      <c r="DL51" s="28"/>
      <c r="DM51" s="28"/>
      <c r="DN51" s="28"/>
      <c r="DO51" s="28"/>
      <c r="DP51" s="28"/>
      <c r="DQ51" s="28"/>
      <c r="DR51" s="28"/>
      <c r="DS51" s="28"/>
      <c r="DT51" s="28"/>
      <c r="DU51" s="28"/>
      <c r="DV51" s="28"/>
      <c r="DW51" s="28"/>
      <c r="DX51" s="28"/>
      <c r="DY51" s="28"/>
      <c r="DZ51" s="28"/>
      <c r="EA51" s="28"/>
      <c r="EB51" s="28"/>
      <c r="EC51" s="28"/>
      <c r="ED51" s="28"/>
      <c r="EE51" s="28"/>
      <c r="EF51" s="28"/>
      <c r="EG51" s="28"/>
      <c r="EH51" s="28"/>
      <c r="EI51" s="28"/>
      <c r="EJ51" s="28"/>
      <c r="EK51" s="28"/>
      <c r="EL51" s="28"/>
      <c r="EM51" s="28"/>
      <c r="EN51" s="28"/>
      <c r="EO51" s="28"/>
      <c r="EP51" s="28"/>
      <c r="EQ51" s="28"/>
      <c r="ER51" s="28"/>
      <c r="ES51" s="28"/>
      <c r="ET51" s="28"/>
      <c r="EU51" s="28"/>
      <c r="EV51" s="28"/>
      <c r="EW51" s="28"/>
      <c r="EX51" s="28"/>
      <c r="EY51" s="28"/>
      <c r="EZ51" s="28"/>
      <c r="FA51" s="28"/>
      <c r="FB51" s="28"/>
      <c r="FC51" s="28"/>
      <c r="FD51" s="28"/>
      <c r="FE51" s="28"/>
      <c r="FF51" s="28"/>
      <c r="FG51" s="28"/>
      <c r="FH51" s="28"/>
      <c r="FI51" s="28"/>
      <c r="FJ51" s="28"/>
      <c r="FK51" s="28"/>
      <c r="FL51" s="28"/>
      <c r="FM51" s="28"/>
      <c r="FN51" s="28"/>
      <c r="FO51" s="28"/>
      <c r="FP51" s="28"/>
      <c r="FQ51" s="28"/>
      <c r="FR51" s="28"/>
      <c r="FS51" s="28"/>
      <c r="FT51" s="28"/>
      <c r="FU51" s="28"/>
      <c r="FV51" s="28"/>
      <c r="FW51" s="28"/>
      <c r="FX51" s="28"/>
      <c r="FY51" s="28"/>
      <c r="FZ51" s="28"/>
      <c r="GA51" s="28"/>
      <c r="GB51" s="28"/>
      <c r="GC51" s="28"/>
      <c r="GD51" s="28"/>
      <c r="GE51" s="28"/>
      <c r="GF51" s="28"/>
      <c r="GG51" s="28"/>
      <c r="GH51" s="28"/>
      <c r="GI51" s="28"/>
      <c r="GJ51" s="28"/>
      <c r="GK51" s="28"/>
      <c r="GL51" s="28"/>
      <c r="GM51" s="28"/>
      <c r="GN51" s="28"/>
      <c r="GO51" s="28"/>
      <c r="GP51" s="28"/>
      <c r="GQ51" s="28"/>
      <c r="GR51" s="28"/>
      <c r="GS51" s="28"/>
      <c r="GT51" s="28"/>
      <c r="GU51" s="28"/>
      <c r="GV51" s="28"/>
      <c r="GW51" s="28"/>
      <c r="GX51" s="28"/>
      <c r="GY51" s="28"/>
      <c r="GZ51" s="28"/>
      <c r="HA51" s="28"/>
      <c r="HB51" s="28"/>
      <c r="HC51" s="28"/>
      <c r="HD51" s="28"/>
      <c r="HE51" s="28"/>
      <c r="HF51" s="28"/>
      <c r="HG51" s="28"/>
      <c r="HH51" s="28"/>
      <c r="HI51" s="28"/>
      <c r="HJ51" s="28"/>
      <c r="HK51" s="28"/>
    </row>
    <row r="52" spans="1:219" ht="15" customHeight="1">
      <c r="A52" s="100">
        <v>1</v>
      </c>
      <c r="B52" s="132" t="str">
        <f>VLOOKUP(Ruimtestaat[[#This Row],[Code]],Locaties[[Code]:[Locatie]],2,FALSE)</f>
        <v>Mirtehuis</v>
      </c>
      <c r="C52" s="132" t="str">
        <f>VLOOKUP(Ruimtestaat[[#This Row],[Code]],Locaties[[#All],[Code]:[Adres]],4,FALSE)</f>
        <v>Weseperweg 6</v>
      </c>
      <c r="D52" s="132" t="str">
        <f>VLOOKUP(Ruimtestaat[[#This Row],[Code]],Locaties[[#All],[Code]:[Postcode]],5,FALSE)</f>
        <v>8111 PK</v>
      </c>
      <c r="E52" s="132" t="str">
        <f>VLOOKUP(Ruimtestaat[[#This Row],[Code]],Locaties[#All],6,FALSE)</f>
        <v>Heeten</v>
      </c>
      <c r="F52" s="100"/>
      <c r="G52" s="100" t="s">
        <v>1675</v>
      </c>
      <c r="H52" s="344"/>
      <c r="I52" s="345" t="s">
        <v>1650</v>
      </c>
      <c r="J52" s="49">
        <v>20</v>
      </c>
      <c r="K52" s="140" t="str">
        <f>VLOOKUP(Ruimtestaat[[#This Row],[Ruimte code]],Ruimtegroepen[[#All],[Code]:[Ruimte omschrijving]],2,FALSE)</f>
        <v>Niet in Onderhoud</v>
      </c>
      <c r="L52" s="100" t="s">
        <v>100</v>
      </c>
      <c r="M52" s="345" t="s">
        <v>1636</v>
      </c>
      <c r="N52" s="133"/>
      <c r="O52" s="100"/>
      <c r="P52" s="134">
        <f>VLOOKUP(Ruimtestaat[[#This Row],[Ruimte code]],Ruimtegroepen[],4,FALSE)</f>
        <v>0</v>
      </c>
      <c r="Q52" s="100"/>
      <c r="R52" s="100"/>
      <c r="S52" s="100">
        <f>IF(Q52&gt;0,IF(RIGHT(Ruimtestaat[[#This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2" s="100">
        <f>IF(S52&gt;0,VLOOKUP($J52,Ruimtegroepen[],3,FALSE)*VLOOKUP($L52,Vloersoorten[],3,FALSE)*VLOOKUP($R52,Frequenties[],3,FALSE)*VLOOKUP($A52,Locaties[],3,FALSE),0)</f>
        <v>0</v>
      </c>
      <c r="U52" s="100">
        <f>Ruimtestaat[[#This Row],[Uitvoeringen werkdagen]]*Ruimtestaat[[#This Row],[Oppervlak (netto)]]</f>
        <v>0</v>
      </c>
      <c r="V52" s="135">
        <f>IF(T52&gt;0,Ruimtestaat[[#This Row],[Prest. (m2 /jaar) werkdagen]]/Ruimtestaat[[#This Row],[Norm (m2/uur) werkdagen]],0)</f>
        <v>0</v>
      </c>
      <c r="W52" s="136">
        <f>Ruimtestaat[[#This Row],[uren / jaar werkdagen]]*Tariefsopbouw!$E$35</f>
        <v>0</v>
      </c>
      <c r="X52" s="100"/>
      <c r="Y52" s="100">
        <f>IF(Ruimtestaat[[#This Row],[Frequentie weekend]]&gt;0,VALUE(LEFT(X52,1))*Q52,0)</f>
        <v>0</v>
      </c>
      <c r="Z52" s="99">
        <f>IF($Y52&gt;0,VLOOKUP($J52,Ruimtegroepen[],3,FALSE)*VLOOKUP($L52,Vloersoorten[],3,FALSE)*VLOOKUP($X52,Frequenties[],3,FALSE)*VLOOKUP(Ruimtestaat[[#This Row],[Code]],Locaties[],3,FALSE),0)</f>
        <v>0</v>
      </c>
      <c r="AA52" s="99">
        <f>Ruimtestaat[[#This Row],[Uitvoeringen weekend]]*Ruimtestaat[[#This Row],[Oppervlak (netto)]]</f>
        <v>0</v>
      </c>
      <c r="AB52" s="99">
        <f>IF(Z52&gt;0,Ruimtestaat[[#This Row],[Prest. (m2 /jaar) weekend]]/Ruimtestaat[[#This Row],[Norm (m2/uur) weekend]],0)</f>
        <v>0</v>
      </c>
      <c r="AC52" s="136">
        <f>Ruimtestaat[[#This Row],[uren / jaar weekend]]*Tariefsopbouw!$D$40</f>
        <v>0</v>
      </c>
      <c r="AD52" s="135">
        <f>Ruimtestaat[[#This Row],[Prest. (m2 /jaar) weekend]]+Ruimtestaat[[#This Row],[Prest. (m2 /jaar) werkdagen]]</f>
        <v>0</v>
      </c>
      <c r="AE52" s="135">
        <f>Ruimtestaat[[#This Row],[uren / jaar weekend]]+Ruimtestaat[[#This Row],[uren / jaar werkdagen]]</f>
        <v>0</v>
      </c>
      <c r="AF52" s="130">
        <f>Ruimtestaat[[#This Row],[kosten / jaar weekend]]+Ruimtestaat[[#This Row],[kosten / jaar werkdagen]]</f>
        <v>0</v>
      </c>
      <c r="AG52" s="130"/>
      <c r="AH52" s="137" t="str">
        <f>IF(Ruimtestaat[[#This Row],[Frequentie werkdagen]]="","",_xlfn.CONCAT(Ruimtestaat[[#This Row],[Ruimte code]],"-",Ruimtestaat[[#This Row],[Frequentie werkdagen]]," ",Ruimtestaat[[#This Row],[Vloer code]]))</f>
        <v/>
      </c>
      <c r="AI52" s="142" t="str">
        <f>_xlfn.IFNA(VLOOKUP($AH52,Programma!$F$3:$G$1101,2,0),"")</f>
        <v/>
      </c>
      <c r="AJ52" s="142" t="str">
        <f>_xlfn.IFNA(VLOOKUP($AH52,Programma!$F$3:$H$1101,3,0),"")</f>
        <v/>
      </c>
      <c r="AK52" s="142" t="str">
        <f>_xlfn.IFNA(VLOOKUP($AH52,Programma!$F$3:$I$1101,4,0),"")</f>
        <v/>
      </c>
      <c r="AL52" s="142" t="str">
        <f>_xlfn.IFNA(VLOOKUP($AH52,Programma!$F$3:$J$1101,5,0),"")</f>
        <v/>
      </c>
      <c r="AM52" s="142" t="str">
        <f>_xlfn.IFNA(VLOOKUP($AH52,Programma!$F$3:$K$1101,6,0),"")</f>
        <v/>
      </c>
      <c r="AN52" s="142" t="str">
        <f>_xlfn.IFNA(VLOOKUP($AH52,Programma!$F$3:$L$1101,7,0),"")</f>
        <v/>
      </c>
      <c r="AO52" s="142" t="str">
        <f>_xlfn.IFNA(VLOOKUP($AH52,Programma!$F$3:$M$1101,8,0),"")</f>
        <v/>
      </c>
      <c r="AP52" s="142" t="str">
        <f>_xlfn.IFNA(VLOOKUP($AH52,Programma!$F$3:$N$1101,9,0),"")</f>
        <v/>
      </c>
      <c r="AQ52" s="142" t="str">
        <f>_xlfn.IFNA(VLOOKUP($AH52,Programma!$F$3:$O$1101,10,0),"")</f>
        <v/>
      </c>
      <c r="AR52" s="142" t="str">
        <f>_xlfn.IFNA(VLOOKUP($AH52,Programma!$F$3:$P$1101,11,0),"")</f>
        <v/>
      </c>
      <c r="AS52" s="142" t="str">
        <f>_xlfn.IFNA(VLOOKUP($AH52,Programma!$F$3:$Q$1101,12,0),"")</f>
        <v/>
      </c>
      <c r="AT52" s="142" t="str">
        <f>_xlfn.IFNA(VLOOKUP($AH52,Programma!$F$3:$R$1101,13,0),"")</f>
        <v/>
      </c>
      <c r="AU52" s="142" t="str">
        <f>_xlfn.IFNA(VLOOKUP($AH52,Programma!$F$3:$S$1101,14,0),"")</f>
        <v/>
      </c>
      <c r="AV52" s="142" t="str">
        <f>_xlfn.IFNA(VLOOKUP($AH52,Programma!$F$3:$T$1101,15,0),"")</f>
        <v/>
      </c>
      <c r="AW52" s="142" t="str">
        <f>_xlfn.IFNA(VLOOKUP($AH52,Programma!$F$3:$U$1101,16,0),"")</f>
        <v/>
      </c>
      <c r="AX52" s="142" t="str">
        <f>_xlfn.IFNA(VLOOKUP($AH52,Programma!$F$3:$V$1101,17,0),"")</f>
        <v/>
      </c>
      <c r="AY52" s="142" t="str">
        <f>_xlfn.IFNA(VLOOKUP($AH52,Programma!$F$3:$W$1101,18,0),"")</f>
        <v/>
      </c>
      <c r="AZ52" s="142" t="str">
        <f>_xlfn.IFNA(VLOOKUP($AH52,Programma!$F$3:$X$1101,19,0),"")</f>
        <v/>
      </c>
      <c r="BA52" s="142" t="str">
        <f>_xlfn.IFNA(VLOOKUP($AH52,Programma!$F$3:$Y$1101,20,0),"")</f>
        <v/>
      </c>
      <c r="BB52" s="138"/>
      <c r="BC52" s="137" t="str">
        <f>IF(Ruimtestaat[[#This Row],[Frequentie weekend]]="","",_xlfn.CONCAT(Ruimtestaat[[#This Row],[Ruimte code]],"-",Ruimtestaat[[#This Row],[Frequentie weekend]]," ",Ruimtestaat[[#This Row],[Vloer code]]))</f>
        <v/>
      </c>
      <c r="BD52" s="142" t="str">
        <f>_xlfn.IFNA(VLOOKUP($BC52,Programma!$F$3:$G$1101,2,0),"")</f>
        <v/>
      </c>
      <c r="BE52" s="142" t="str">
        <f>_xlfn.IFNA(VLOOKUP($BC52,Programma!$F$3:$H$1101,3,0),"")</f>
        <v/>
      </c>
      <c r="BF52" s="142" t="str">
        <f>_xlfn.IFNA(VLOOKUP($BC52,Programma!$F$3:$I$1101,4,0),"")</f>
        <v/>
      </c>
      <c r="BG52" s="142" t="str">
        <f>_xlfn.IFNA(VLOOKUP($BC52,Programma!$F$3:$J$1101,5,0),"")</f>
        <v/>
      </c>
      <c r="BH52" s="142" t="str">
        <f>_xlfn.IFNA(VLOOKUP($BC52,Programma!$F$3:$K$1101,6,0),"")</f>
        <v/>
      </c>
      <c r="BI52" s="142" t="str">
        <f>_xlfn.IFNA(VLOOKUP($BC52,Programma!$F$3:$L$1101,7,0),"")</f>
        <v/>
      </c>
      <c r="BJ52" s="142" t="str">
        <f>_xlfn.IFNA(VLOOKUP($BC52,Programma!$F$3:$M$1101,8,0),"")</f>
        <v/>
      </c>
      <c r="BK52" s="142" t="str">
        <f>_xlfn.IFNA(VLOOKUP($BC52,Programma!$F$3:$N$1101,9,0),"")</f>
        <v/>
      </c>
      <c r="BL52" s="142" t="str">
        <f>_xlfn.IFNA(VLOOKUP($BC52,Programma!$F$3:$O$1101,10,0),"")</f>
        <v/>
      </c>
      <c r="BM52" s="142" t="str">
        <f>_xlfn.IFNA(VLOOKUP($BC52,Programma!$F$3:$P$1101,11,0),"")</f>
        <v/>
      </c>
      <c r="BN52" s="142" t="str">
        <f>_xlfn.IFNA(VLOOKUP($BC52,Programma!$F$3:$Q$1101,12,0),"")</f>
        <v/>
      </c>
      <c r="BO52" s="142" t="str">
        <f>_xlfn.IFNA(VLOOKUP($BC52,Programma!$F$3:$R$1101,13,0),"")</f>
        <v/>
      </c>
      <c r="BP52" s="142" t="str">
        <f>_xlfn.IFNA(VLOOKUP($BC52,Programma!$F$3:$S$1101,14,0),"")</f>
        <v/>
      </c>
      <c r="BQ52" s="142" t="str">
        <f>_xlfn.IFNA(VLOOKUP($BC52,Programma!$F$3:$T$1101,15,0),"")</f>
        <v/>
      </c>
      <c r="BR52" s="142" t="str">
        <f>_xlfn.IFNA(VLOOKUP($BC52,Programma!$F$3:$U$1101,16,0),"")</f>
        <v/>
      </c>
      <c r="BS52" s="142" t="str">
        <f>_xlfn.IFNA(VLOOKUP($BC52,Programma!$F$3:$V$1101,17,0),"")</f>
        <v/>
      </c>
      <c r="BT52" s="142" t="str">
        <f>_xlfn.IFNA(VLOOKUP($BC52,Programma!$F$3:$W$1101,18,0),"")</f>
        <v/>
      </c>
      <c r="BU52" s="142" t="str">
        <f>_xlfn.IFNA(VLOOKUP($BC52,Programma!$F$3:$X$1101,19,0),"")</f>
        <v/>
      </c>
      <c r="BV52" s="142" t="str">
        <f>_xlfn.IFNA(VLOOKUP($BC52,Programma!$F$3:$Y$1101,20,0),"")</f>
        <v/>
      </c>
      <c r="BW52" s="28"/>
      <c r="BX52" s="28"/>
      <c r="BY52" s="28"/>
      <c r="BZ52" s="28"/>
      <c r="CA52" s="28"/>
      <c r="CB52" s="28"/>
      <c r="CC52" s="28"/>
      <c r="CD52" s="28"/>
      <c r="CE52" s="28"/>
      <c r="CF52" s="28"/>
      <c r="CG52" s="28"/>
      <c r="CH52" s="28"/>
      <c r="CI52" s="28"/>
      <c r="CJ52" s="28"/>
      <c r="CK52" s="28"/>
      <c r="CL52" s="28"/>
      <c r="CM52" s="28"/>
      <c r="CN52" s="28"/>
      <c r="CO52" s="28"/>
      <c r="CP52" s="28"/>
      <c r="CQ52" s="28"/>
      <c r="CR52" s="28"/>
      <c r="CS52" s="28"/>
      <c r="CT52" s="28"/>
      <c r="CU52" s="28"/>
      <c r="CV52" s="28"/>
      <c r="CW52" s="28"/>
      <c r="CX52" s="28"/>
      <c r="CY52" s="28"/>
      <c r="CZ52" s="28"/>
      <c r="DA52" s="28"/>
      <c r="DB52" s="28"/>
      <c r="DC52" s="28"/>
      <c r="DD52" s="28"/>
      <c r="DE52" s="28"/>
      <c r="DF52" s="28"/>
      <c r="DG52" s="28"/>
      <c r="DH52" s="28"/>
      <c r="DI52" s="28"/>
      <c r="DJ52" s="28"/>
      <c r="DK52" s="28"/>
      <c r="DL52" s="28"/>
      <c r="DM52" s="28"/>
      <c r="DN52" s="28"/>
      <c r="DO52" s="28"/>
      <c r="DP52" s="28"/>
      <c r="DQ52" s="28"/>
      <c r="DR52" s="28"/>
      <c r="DS52" s="28"/>
      <c r="DT52" s="28"/>
      <c r="DU52" s="28"/>
      <c r="DV52" s="28"/>
      <c r="DW52" s="28"/>
      <c r="DX52" s="28"/>
      <c r="DY52" s="28"/>
      <c r="DZ52" s="28"/>
      <c r="EA52" s="28"/>
      <c r="EB52" s="28"/>
      <c r="EC52" s="28"/>
      <c r="ED52" s="28"/>
      <c r="EE52" s="28"/>
      <c r="EF52" s="28"/>
      <c r="EG52" s="28"/>
      <c r="EH52" s="28"/>
      <c r="EI52" s="28"/>
      <c r="EJ52" s="28"/>
      <c r="EK52" s="28"/>
      <c r="EL52" s="28"/>
      <c r="EM52" s="28"/>
      <c r="EN52" s="28"/>
      <c r="EO52" s="28"/>
      <c r="EP52" s="28"/>
      <c r="EQ52" s="28"/>
      <c r="ER52" s="28"/>
      <c r="ES52" s="28"/>
      <c r="ET52" s="28"/>
      <c r="EU52" s="28"/>
      <c r="EV52" s="28"/>
      <c r="EW52" s="28"/>
      <c r="EX52" s="28"/>
      <c r="EY52" s="28"/>
      <c r="EZ52" s="28"/>
      <c r="FA52" s="28"/>
      <c r="FB52" s="28"/>
      <c r="FC52" s="28"/>
      <c r="FD52" s="28"/>
      <c r="FE52" s="28"/>
      <c r="FF52" s="28"/>
      <c r="FG52" s="28"/>
      <c r="FH52" s="28"/>
      <c r="FI52" s="28"/>
      <c r="FJ52" s="28"/>
      <c r="FK52" s="28"/>
      <c r="FL52" s="28"/>
      <c r="FM52" s="28"/>
      <c r="FN52" s="28"/>
      <c r="FO52" s="28"/>
      <c r="FP52" s="28"/>
      <c r="FQ52" s="28"/>
      <c r="FR52" s="28"/>
      <c r="FS52" s="28"/>
      <c r="FT52" s="28"/>
      <c r="FU52" s="28"/>
      <c r="FV52" s="28"/>
      <c r="FW52" s="28"/>
      <c r="FX52" s="28"/>
      <c r="FY52" s="28"/>
      <c r="FZ52" s="28"/>
      <c r="GA52" s="28"/>
      <c r="GB52" s="28"/>
      <c r="GC52" s="28"/>
      <c r="GD52" s="28"/>
      <c r="GE52" s="28"/>
      <c r="GF52" s="28"/>
      <c r="GG52" s="28"/>
      <c r="GH52" s="28"/>
      <c r="GI52" s="28"/>
      <c r="GJ52" s="28"/>
      <c r="GK52" s="28"/>
      <c r="GL52" s="28"/>
      <c r="GM52" s="28"/>
      <c r="GN52" s="28"/>
      <c r="GO52" s="28"/>
      <c r="GP52" s="28"/>
      <c r="GQ52" s="28"/>
      <c r="GR52" s="28"/>
      <c r="GS52" s="28"/>
      <c r="GT52" s="28"/>
      <c r="GU52" s="28"/>
      <c r="GV52" s="28"/>
      <c r="GW52" s="28"/>
      <c r="GX52" s="28"/>
      <c r="GY52" s="28"/>
      <c r="GZ52" s="28"/>
      <c r="HA52" s="28"/>
      <c r="HB52" s="28"/>
      <c r="HC52" s="28"/>
      <c r="HD52" s="28"/>
      <c r="HE52" s="28"/>
      <c r="HF52" s="28"/>
      <c r="HG52" s="28"/>
      <c r="HH52" s="28"/>
      <c r="HI52" s="28"/>
      <c r="HJ52" s="28"/>
      <c r="HK52" s="28"/>
    </row>
    <row r="53" spans="1:219" ht="15" customHeight="1">
      <c r="A53" s="100">
        <v>1</v>
      </c>
      <c r="B53" s="132" t="str">
        <f>VLOOKUP(Ruimtestaat[[#This Row],[Code]],Locaties[[Code]:[Locatie]],2,FALSE)</f>
        <v>Mirtehuis</v>
      </c>
      <c r="C53" s="132" t="str">
        <f>VLOOKUP(Ruimtestaat[[#This Row],[Code]],Locaties[[#All],[Code]:[Adres]],4,FALSE)</f>
        <v>Weseperweg 6</v>
      </c>
      <c r="D53" s="132" t="str">
        <f>VLOOKUP(Ruimtestaat[[#This Row],[Code]],Locaties[[#All],[Code]:[Postcode]],5,FALSE)</f>
        <v>8111 PK</v>
      </c>
      <c r="E53" s="132" t="str">
        <f>VLOOKUP(Ruimtestaat[[#This Row],[Code]],Locaties[#All],6,FALSE)</f>
        <v>Heeten</v>
      </c>
      <c r="F53" s="100"/>
      <c r="G53" s="100" t="s">
        <v>1675</v>
      </c>
      <c r="H53" s="344" t="s">
        <v>1660</v>
      </c>
      <c r="I53" s="345" t="s">
        <v>1656</v>
      </c>
      <c r="J53" s="49">
        <v>20</v>
      </c>
      <c r="K53" s="140" t="str">
        <f>VLOOKUP(Ruimtestaat[[#This Row],[Ruimte code]],Ruimtegroepen[[#All],[Code]:[Ruimte omschrijving]],2,FALSE)</f>
        <v>Niet in Onderhoud</v>
      </c>
      <c r="L53" s="100" t="s">
        <v>100</v>
      </c>
      <c r="M53" s="345" t="s">
        <v>1636</v>
      </c>
      <c r="N53" s="133"/>
      <c r="O53" s="139"/>
      <c r="P53" s="134">
        <f>VLOOKUP(Ruimtestaat[[#This Row],[Ruimte code]],Ruimtegroepen[],4,FALSE)</f>
        <v>0</v>
      </c>
      <c r="Q53" s="100"/>
      <c r="R53" s="100"/>
      <c r="S53" s="100">
        <f>IF(Q53&gt;0,IF(RIGHT(Ruimtestaat[[#This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3" s="100">
        <f>IF(S53&gt;0,VLOOKUP($J53,Ruimtegroepen[],3,FALSE)*VLOOKUP($L53,Vloersoorten[],3,FALSE)*VLOOKUP($R53,Frequenties[],3,FALSE)*VLOOKUP($A53,Locaties[],3,FALSE),0)</f>
        <v>0</v>
      </c>
      <c r="U53" s="100">
        <f>Ruimtestaat[[#This Row],[Uitvoeringen werkdagen]]*Ruimtestaat[[#This Row],[Oppervlak (netto)]]</f>
        <v>0</v>
      </c>
      <c r="V53" s="135">
        <f>IF(T53&gt;0,Ruimtestaat[[#This Row],[Prest. (m2 /jaar) werkdagen]]/Ruimtestaat[[#This Row],[Norm (m2/uur) werkdagen]],0)</f>
        <v>0</v>
      </c>
      <c r="W53" s="136">
        <f>Ruimtestaat[[#This Row],[uren / jaar werkdagen]]*Tariefsopbouw!$E$35</f>
        <v>0</v>
      </c>
      <c r="X53" s="100"/>
      <c r="Y53" s="100">
        <f>IF(Ruimtestaat[[#This Row],[Frequentie weekend]]&gt;0,VALUE(LEFT(X53,1))*Q53,0)</f>
        <v>0</v>
      </c>
      <c r="Z53" s="99">
        <f>IF($Y53&gt;0,VLOOKUP($J53,Ruimtegroepen[],3,FALSE)*VLOOKUP($L53,Vloersoorten[],3,FALSE)*VLOOKUP($X53,Frequenties[],3,FALSE)*VLOOKUP(Ruimtestaat[[#This Row],[Code]],Locaties[],3,FALSE),0)</f>
        <v>0</v>
      </c>
      <c r="AA53" s="99">
        <f>Ruimtestaat[[#This Row],[Uitvoeringen weekend]]*Ruimtestaat[[#This Row],[Oppervlak (netto)]]</f>
        <v>0</v>
      </c>
      <c r="AB53" s="99">
        <f>IF(Z53&gt;0,Ruimtestaat[[#This Row],[Prest. (m2 /jaar) weekend]]/Ruimtestaat[[#This Row],[Norm (m2/uur) weekend]],0)</f>
        <v>0</v>
      </c>
      <c r="AC53" s="136">
        <f>Ruimtestaat[[#This Row],[uren / jaar weekend]]*Tariefsopbouw!$D$40</f>
        <v>0</v>
      </c>
      <c r="AD53" s="135">
        <f>Ruimtestaat[[#This Row],[Prest. (m2 /jaar) weekend]]+Ruimtestaat[[#This Row],[Prest. (m2 /jaar) werkdagen]]</f>
        <v>0</v>
      </c>
      <c r="AE53" s="135">
        <f>Ruimtestaat[[#This Row],[uren / jaar weekend]]+Ruimtestaat[[#This Row],[uren / jaar werkdagen]]</f>
        <v>0</v>
      </c>
      <c r="AF53" s="130">
        <f>Ruimtestaat[[#This Row],[kosten / jaar weekend]]+Ruimtestaat[[#This Row],[kosten / jaar werkdagen]]</f>
        <v>0</v>
      </c>
      <c r="AG53" s="130"/>
      <c r="AH53" s="137" t="str">
        <f>IF(Ruimtestaat[[#This Row],[Frequentie werkdagen]]="","",_xlfn.CONCAT(Ruimtestaat[[#This Row],[Ruimte code]],"-",Ruimtestaat[[#This Row],[Frequentie werkdagen]]," ",Ruimtestaat[[#This Row],[Vloer code]]))</f>
        <v/>
      </c>
      <c r="AI53" s="142" t="str">
        <f>_xlfn.IFNA(VLOOKUP($AH53,Programma!$F$3:$G$1101,2,0),"")</f>
        <v/>
      </c>
      <c r="AJ53" s="142" t="str">
        <f>_xlfn.IFNA(VLOOKUP($AH53,Programma!$F$3:$H$1101,3,0),"")</f>
        <v/>
      </c>
      <c r="AK53" s="142" t="str">
        <f>_xlfn.IFNA(VLOOKUP($AH53,Programma!$F$3:$I$1101,4,0),"")</f>
        <v/>
      </c>
      <c r="AL53" s="142" t="str">
        <f>_xlfn.IFNA(VLOOKUP($AH53,Programma!$F$3:$J$1101,5,0),"")</f>
        <v/>
      </c>
      <c r="AM53" s="142" t="str">
        <f>_xlfn.IFNA(VLOOKUP($AH53,Programma!$F$3:$K$1101,6,0),"")</f>
        <v/>
      </c>
      <c r="AN53" s="142" t="str">
        <f>_xlfn.IFNA(VLOOKUP($AH53,Programma!$F$3:$L$1101,7,0),"")</f>
        <v/>
      </c>
      <c r="AO53" s="142" t="str">
        <f>_xlfn.IFNA(VLOOKUP($AH53,Programma!$F$3:$M$1101,8,0),"")</f>
        <v/>
      </c>
      <c r="AP53" s="142" t="str">
        <f>_xlfn.IFNA(VLOOKUP($AH53,Programma!$F$3:$N$1101,9,0),"")</f>
        <v/>
      </c>
      <c r="AQ53" s="142" t="str">
        <f>_xlfn.IFNA(VLOOKUP($AH53,Programma!$F$3:$O$1101,10,0),"")</f>
        <v/>
      </c>
      <c r="AR53" s="142" t="str">
        <f>_xlfn.IFNA(VLOOKUP($AH53,Programma!$F$3:$P$1101,11,0),"")</f>
        <v/>
      </c>
      <c r="AS53" s="142" t="str">
        <f>_xlfn.IFNA(VLOOKUP($AH53,Programma!$F$3:$Q$1101,12,0),"")</f>
        <v/>
      </c>
      <c r="AT53" s="142" t="str">
        <f>_xlfn.IFNA(VLOOKUP($AH53,Programma!$F$3:$R$1101,13,0),"")</f>
        <v/>
      </c>
      <c r="AU53" s="142" t="str">
        <f>_xlfn.IFNA(VLOOKUP($AH53,Programma!$F$3:$S$1101,14,0),"")</f>
        <v/>
      </c>
      <c r="AV53" s="142" t="str">
        <f>_xlfn.IFNA(VLOOKUP($AH53,Programma!$F$3:$T$1101,15,0),"")</f>
        <v/>
      </c>
      <c r="AW53" s="142" t="str">
        <f>_xlfn.IFNA(VLOOKUP($AH53,Programma!$F$3:$U$1101,16,0),"")</f>
        <v/>
      </c>
      <c r="AX53" s="142" t="str">
        <f>_xlfn.IFNA(VLOOKUP($AH53,Programma!$F$3:$V$1101,17,0),"")</f>
        <v/>
      </c>
      <c r="AY53" s="142" t="str">
        <f>_xlfn.IFNA(VLOOKUP($AH53,Programma!$F$3:$W$1101,18,0),"")</f>
        <v/>
      </c>
      <c r="AZ53" s="142" t="str">
        <f>_xlfn.IFNA(VLOOKUP($AH53,Programma!$F$3:$X$1101,19,0),"")</f>
        <v/>
      </c>
      <c r="BA53" s="142" t="str">
        <f>_xlfn.IFNA(VLOOKUP($AH53,Programma!$F$3:$Y$1101,20,0),"")</f>
        <v/>
      </c>
      <c r="BB53" s="138"/>
      <c r="BC53" s="137" t="str">
        <f>IF(Ruimtestaat[[#This Row],[Frequentie weekend]]="","",_xlfn.CONCAT(Ruimtestaat[[#This Row],[Ruimte code]],"-",Ruimtestaat[[#This Row],[Frequentie weekend]]," ",Ruimtestaat[[#This Row],[Vloer code]]))</f>
        <v/>
      </c>
      <c r="BD53" s="142" t="str">
        <f>_xlfn.IFNA(VLOOKUP($BC53,Programma!$F$3:$G$1101,2,0),"")</f>
        <v/>
      </c>
      <c r="BE53" s="142" t="str">
        <f>_xlfn.IFNA(VLOOKUP($BC53,Programma!$F$3:$H$1101,3,0),"")</f>
        <v/>
      </c>
      <c r="BF53" s="142" t="str">
        <f>_xlfn.IFNA(VLOOKUP($BC53,Programma!$F$3:$I$1101,4,0),"")</f>
        <v/>
      </c>
      <c r="BG53" s="142" t="str">
        <f>_xlfn.IFNA(VLOOKUP($BC53,Programma!$F$3:$J$1101,5,0),"")</f>
        <v/>
      </c>
      <c r="BH53" s="142" t="str">
        <f>_xlfn.IFNA(VLOOKUP($BC53,Programma!$F$3:$K$1101,6,0),"")</f>
        <v/>
      </c>
      <c r="BI53" s="142" t="str">
        <f>_xlfn.IFNA(VLOOKUP($BC53,Programma!$F$3:$L$1101,7,0),"")</f>
        <v/>
      </c>
      <c r="BJ53" s="142" t="str">
        <f>_xlfn.IFNA(VLOOKUP($BC53,Programma!$F$3:$M$1101,8,0),"")</f>
        <v/>
      </c>
      <c r="BK53" s="142" t="str">
        <f>_xlfn.IFNA(VLOOKUP($BC53,Programma!$F$3:$N$1101,9,0),"")</f>
        <v/>
      </c>
      <c r="BL53" s="142" t="str">
        <f>_xlfn.IFNA(VLOOKUP($BC53,Programma!$F$3:$O$1101,10,0),"")</f>
        <v/>
      </c>
      <c r="BM53" s="142" t="str">
        <f>_xlfn.IFNA(VLOOKUP($BC53,Programma!$F$3:$P$1101,11,0),"")</f>
        <v/>
      </c>
      <c r="BN53" s="142" t="str">
        <f>_xlfn.IFNA(VLOOKUP($BC53,Programma!$F$3:$Q$1101,12,0),"")</f>
        <v/>
      </c>
      <c r="BO53" s="142" t="str">
        <f>_xlfn.IFNA(VLOOKUP($BC53,Programma!$F$3:$R$1101,13,0),"")</f>
        <v/>
      </c>
      <c r="BP53" s="142" t="str">
        <f>_xlfn.IFNA(VLOOKUP($BC53,Programma!$F$3:$S$1101,14,0),"")</f>
        <v/>
      </c>
      <c r="BQ53" s="142" t="str">
        <f>_xlfn.IFNA(VLOOKUP($BC53,Programma!$F$3:$T$1101,15,0),"")</f>
        <v/>
      </c>
      <c r="BR53" s="142" t="str">
        <f>_xlfn.IFNA(VLOOKUP($BC53,Programma!$F$3:$U$1101,16,0),"")</f>
        <v/>
      </c>
      <c r="BS53" s="142" t="str">
        <f>_xlfn.IFNA(VLOOKUP($BC53,Programma!$F$3:$V$1101,17,0),"")</f>
        <v/>
      </c>
      <c r="BT53" s="142" t="str">
        <f>_xlfn.IFNA(VLOOKUP($BC53,Programma!$F$3:$W$1101,18,0),"")</f>
        <v/>
      </c>
      <c r="BU53" s="142" t="str">
        <f>_xlfn.IFNA(VLOOKUP($BC53,Programma!$F$3:$X$1101,19,0),"")</f>
        <v/>
      </c>
      <c r="BV53" s="142" t="str">
        <f>_xlfn.IFNA(VLOOKUP($BC53,Programma!$F$3:$Y$1101,20,0),"")</f>
        <v/>
      </c>
      <c r="BW53" s="28"/>
      <c r="BX53" s="28"/>
      <c r="BY53" s="28"/>
      <c r="BZ53" s="28"/>
      <c r="CA53" s="28"/>
      <c r="CB53" s="28"/>
      <c r="CC53" s="28"/>
      <c r="CD53" s="28"/>
      <c r="CE53" s="28"/>
      <c r="CF53" s="28"/>
      <c r="CG53" s="28"/>
      <c r="CH53" s="28"/>
      <c r="CI53" s="28"/>
      <c r="CJ53" s="28"/>
      <c r="CK53" s="28"/>
      <c r="CL53" s="28"/>
      <c r="CM53" s="28"/>
      <c r="CN53" s="28"/>
      <c r="CO53" s="28"/>
      <c r="CP53" s="28"/>
      <c r="CQ53" s="28"/>
      <c r="CR53" s="28"/>
      <c r="CS53" s="28"/>
      <c r="CT53" s="28"/>
      <c r="CU53" s="28"/>
      <c r="CV53" s="28"/>
      <c r="CW53" s="28"/>
      <c r="CX53" s="28"/>
      <c r="CY53" s="28"/>
      <c r="CZ53" s="28"/>
      <c r="DA53" s="28"/>
      <c r="DB53" s="28"/>
      <c r="DC53" s="28"/>
      <c r="DD53" s="28"/>
      <c r="DE53" s="28"/>
      <c r="DF53" s="28"/>
      <c r="DG53" s="28"/>
      <c r="DH53" s="28"/>
      <c r="DI53" s="28"/>
      <c r="DJ53" s="28"/>
      <c r="DK53" s="28"/>
      <c r="DL53" s="28"/>
      <c r="DM53" s="28"/>
      <c r="DN53" s="28"/>
      <c r="DO53" s="28"/>
      <c r="DP53" s="28"/>
      <c r="DQ53" s="28"/>
      <c r="DR53" s="28"/>
      <c r="DS53" s="28"/>
      <c r="DT53" s="28"/>
      <c r="DU53" s="28"/>
      <c r="DV53" s="28"/>
      <c r="DW53" s="28"/>
      <c r="DX53" s="28"/>
      <c r="DY53" s="28"/>
      <c r="DZ53" s="28"/>
      <c r="EA53" s="28"/>
      <c r="EB53" s="28"/>
      <c r="EC53" s="28"/>
      <c r="ED53" s="28"/>
      <c r="EE53" s="28"/>
      <c r="EF53" s="28"/>
      <c r="EG53" s="28"/>
      <c r="EH53" s="28"/>
      <c r="EI53" s="28"/>
      <c r="EJ53" s="28"/>
      <c r="EK53" s="28"/>
      <c r="EL53" s="28"/>
      <c r="EM53" s="28"/>
      <c r="EN53" s="28"/>
      <c r="EO53" s="28"/>
      <c r="EP53" s="28"/>
      <c r="EQ53" s="28"/>
      <c r="ER53" s="28"/>
      <c r="ES53" s="28"/>
      <c r="ET53" s="28"/>
      <c r="EU53" s="28"/>
      <c r="EV53" s="28"/>
      <c r="EW53" s="28"/>
      <c r="EX53" s="28"/>
      <c r="EY53" s="28"/>
      <c r="EZ53" s="28"/>
      <c r="FA53" s="28"/>
      <c r="FB53" s="28"/>
      <c r="FC53" s="28"/>
      <c r="FD53" s="28"/>
      <c r="FE53" s="28"/>
      <c r="FF53" s="28"/>
      <c r="FG53" s="28"/>
      <c r="FH53" s="28"/>
      <c r="FI53" s="28"/>
      <c r="FJ53" s="28"/>
      <c r="FK53" s="28"/>
      <c r="FL53" s="28"/>
      <c r="FM53" s="28"/>
      <c r="FN53" s="28"/>
      <c r="FO53" s="28"/>
      <c r="FP53" s="28"/>
      <c r="FQ53" s="28"/>
      <c r="FR53" s="28"/>
      <c r="FS53" s="28"/>
      <c r="FT53" s="28"/>
      <c r="FU53" s="28"/>
      <c r="FV53" s="28"/>
      <c r="FW53" s="28"/>
      <c r="FX53" s="28"/>
      <c r="FY53" s="28"/>
      <c r="FZ53" s="28"/>
      <c r="GA53" s="28"/>
      <c r="GB53" s="28"/>
      <c r="GC53" s="28"/>
      <c r="GD53" s="28"/>
      <c r="GE53" s="28"/>
      <c r="GF53" s="28"/>
      <c r="GG53" s="28"/>
      <c r="GH53" s="28"/>
      <c r="GI53" s="28"/>
      <c r="GJ53" s="28"/>
      <c r="GK53" s="28"/>
      <c r="GL53" s="28"/>
      <c r="GM53" s="28"/>
      <c r="GN53" s="28"/>
      <c r="GO53" s="28"/>
      <c r="GP53" s="28"/>
      <c r="GQ53" s="28"/>
      <c r="GR53" s="28"/>
      <c r="GS53" s="28"/>
      <c r="GT53" s="28"/>
      <c r="GU53" s="28"/>
      <c r="GV53" s="28"/>
      <c r="GW53" s="28"/>
      <c r="GX53" s="28"/>
      <c r="GY53" s="28"/>
      <c r="GZ53" s="28"/>
      <c r="HA53" s="28"/>
      <c r="HB53" s="28"/>
      <c r="HC53" s="28"/>
      <c r="HD53" s="28"/>
      <c r="HE53" s="28"/>
      <c r="HF53" s="28"/>
      <c r="HG53" s="28"/>
      <c r="HH53" s="28"/>
      <c r="HI53" s="28"/>
      <c r="HJ53" s="28"/>
      <c r="HK53" s="28"/>
    </row>
    <row r="54" spans="1:219" ht="15" customHeight="1">
      <c r="A54" s="100">
        <v>1</v>
      </c>
      <c r="B54" s="132" t="str">
        <f>VLOOKUP(Ruimtestaat[[#This Row],[Code]],Locaties[[Code]:[Locatie]],2,FALSE)</f>
        <v>Mirtehuis</v>
      </c>
      <c r="C54" s="132" t="str">
        <f>VLOOKUP(Ruimtestaat[[#This Row],[Code]],Locaties[[#All],[Code]:[Adres]],4,FALSE)</f>
        <v>Weseperweg 6</v>
      </c>
      <c r="D54" s="132" t="str">
        <f>VLOOKUP(Ruimtestaat[[#This Row],[Code]],Locaties[[#All],[Code]:[Postcode]],5,FALSE)</f>
        <v>8111 PK</v>
      </c>
      <c r="E54" s="132" t="str">
        <f>VLOOKUP(Ruimtestaat[[#This Row],[Code]],Locaties[#All],6,FALSE)</f>
        <v>Heeten</v>
      </c>
      <c r="F54" s="100"/>
      <c r="G54" s="100" t="s">
        <v>1675</v>
      </c>
      <c r="H54" s="344"/>
      <c r="I54" s="345" t="s">
        <v>1641</v>
      </c>
      <c r="J54" s="49">
        <v>20</v>
      </c>
      <c r="K54" s="140" t="str">
        <f>VLOOKUP(Ruimtestaat[[#This Row],[Ruimte code]],Ruimtegroepen[[#All],[Code]:[Ruimte omschrijving]],2,FALSE)</f>
        <v>Niet in Onderhoud</v>
      </c>
      <c r="L54" s="100" t="s">
        <v>101</v>
      </c>
      <c r="M54" s="345" t="s">
        <v>1642</v>
      </c>
      <c r="N54" s="133"/>
      <c r="O54" s="139"/>
      <c r="P54" s="134">
        <f>VLOOKUP(Ruimtestaat[[#This Row],[Ruimte code]],Ruimtegroepen[],4,FALSE)</f>
        <v>0</v>
      </c>
      <c r="Q54" s="100"/>
      <c r="R54" s="100"/>
      <c r="S54" s="100">
        <f>IF(Q54&gt;0,IF(RIGHT(Ruimtestaat[[#This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4" s="100">
        <f>IF(S54&gt;0,VLOOKUP($J54,Ruimtegroepen[],3,FALSE)*VLOOKUP($L54,Vloersoorten[],3,FALSE)*VLOOKUP($R54,Frequenties[],3,FALSE)*VLOOKUP($A54,Locaties[],3,FALSE),0)</f>
        <v>0</v>
      </c>
      <c r="U54" s="100">
        <f>Ruimtestaat[[#This Row],[Uitvoeringen werkdagen]]*Ruimtestaat[[#This Row],[Oppervlak (netto)]]</f>
        <v>0</v>
      </c>
      <c r="V54" s="135">
        <f>IF(T54&gt;0,Ruimtestaat[[#This Row],[Prest. (m2 /jaar) werkdagen]]/Ruimtestaat[[#This Row],[Norm (m2/uur) werkdagen]],0)</f>
        <v>0</v>
      </c>
      <c r="W54" s="136">
        <f>Ruimtestaat[[#This Row],[uren / jaar werkdagen]]*Tariefsopbouw!$E$35</f>
        <v>0</v>
      </c>
      <c r="X54" s="100"/>
      <c r="Y54" s="100">
        <f>IF(Ruimtestaat[[#This Row],[Frequentie weekend]]&gt;0,VALUE(LEFT(X54,1))*Q54,0)</f>
        <v>0</v>
      </c>
      <c r="Z54" s="99">
        <f>IF($Y54&gt;0,VLOOKUP($J54,Ruimtegroepen[],3,FALSE)*VLOOKUP($L54,Vloersoorten[],3,FALSE)*VLOOKUP($X54,Frequenties[],3,FALSE)*VLOOKUP(Ruimtestaat[[#This Row],[Code]],Locaties[],3,FALSE),0)</f>
        <v>0</v>
      </c>
      <c r="AA54" s="99">
        <f>Ruimtestaat[[#This Row],[Uitvoeringen weekend]]*Ruimtestaat[[#This Row],[Oppervlak (netto)]]</f>
        <v>0</v>
      </c>
      <c r="AB54" s="99">
        <f>IF(Z54&gt;0,Ruimtestaat[[#This Row],[Prest. (m2 /jaar) weekend]]/Ruimtestaat[[#This Row],[Norm (m2/uur) weekend]],0)</f>
        <v>0</v>
      </c>
      <c r="AC54" s="136">
        <f>Ruimtestaat[[#This Row],[uren / jaar weekend]]*Tariefsopbouw!$D$40</f>
        <v>0</v>
      </c>
      <c r="AD54" s="135">
        <f>Ruimtestaat[[#This Row],[Prest. (m2 /jaar) weekend]]+Ruimtestaat[[#This Row],[Prest. (m2 /jaar) werkdagen]]</f>
        <v>0</v>
      </c>
      <c r="AE54" s="135">
        <f>Ruimtestaat[[#This Row],[uren / jaar weekend]]+Ruimtestaat[[#This Row],[uren / jaar werkdagen]]</f>
        <v>0</v>
      </c>
      <c r="AF54" s="130">
        <f>Ruimtestaat[[#This Row],[kosten / jaar weekend]]+Ruimtestaat[[#This Row],[kosten / jaar werkdagen]]</f>
        <v>0</v>
      </c>
      <c r="AG54" s="130"/>
      <c r="AH54" s="137" t="str">
        <f>IF(Ruimtestaat[[#This Row],[Frequentie werkdagen]]="","",_xlfn.CONCAT(Ruimtestaat[[#This Row],[Ruimte code]],"-",Ruimtestaat[[#This Row],[Frequentie werkdagen]]," ",Ruimtestaat[[#This Row],[Vloer code]]))</f>
        <v/>
      </c>
      <c r="AI54" s="142" t="str">
        <f>_xlfn.IFNA(VLOOKUP($AH54,Programma!$F$3:$G$1101,2,0),"")</f>
        <v/>
      </c>
      <c r="AJ54" s="142" t="str">
        <f>_xlfn.IFNA(VLOOKUP($AH54,Programma!$F$3:$H$1101,3,0),"")</f>
        <v/>
      </c>
      <c r="AK54" s="142" t="str">
        <f>_xlfn.IFNA(VLOOKUP($AH54,Programma!$F$3:$I$1101,4,0),"")</f>
        <v/>
      </c>
      <c r="AL54" s="142" t="str">
        <f>_xlfn.IFNA(VLOOKUP($AH54,Programma!$F$3:$J$1101,5,0),"")</f>
        <v/>
      </c>
      <c r="AM54" s="142" t="str">
        <f>_xlfn.IFNA(VLOOKUP($AH54,Programma!$F$3:$K$1101,6,0),"")</f>
        <v/>
      </c>
      <c r="AN54" s="142" t="str">
        <f>_xlfn.IFNA(VLOOKUP($AH54,Programma!$F$3:$L$1101,7,0),"")</f>
        <v/>
      </c>
      <c r="AO54" s="142" t="str">
        <f>_xlfn.IFNA(VLOOKUP($AH54,Programma!$F$3:$M$1101,8,0),"")</f>
        <v/>
      </c>
      <c r="AP54" s="142" t="str">
        <f>_xlfn.IFNA(VLOOKUP($AH54,Programma!$F$3:$N$1101,9,0),"")</f>
        <v/>
      </c>
      <c r="AQ54" s="142" t="str">
        <f>_xlfn.IFNA(VLOOKUP($AH54,Programma!$F$3:$O$1101,10,0),"")</f>
        <v/>
      </c>
      <c r="AR54" s="142" t="str">
        <f>_xlfn.IFNA(VLOOKUP($AH54,Programma!$F$3:$P$1101,11,0),"")</f>
        <v/>
      </c>
      <c r="AS54" s="142" t="str">
        <f>_xlfn.IFNA(VLOOKUP($AH54,Programma!$F$3:$Q$1101,12,0),"")</f>
        <v/>
      </c>
      <c r="AT54" s="142" t="str">
        <f>_xlfn.IFNA(VLOOKUP($AH54,Programma!$F$3:$R$1101,13,0),"")</f>
        <v/>
      </c>
      <c r="AU54" s="142" t="str">
        <f>_xlfn.IFNA(VLOOKUP($AH54,Programma!$F$3:$S$1101,14,0),"")</f>
        <v/>
      </c>
      <c r="AV54" s="142" t="str">
        <f>_xlfn.IFNA(VLOOKUP($AH54,Programma!$F$3:$T$1101,15,0),"")</f>
        <v/>
      </c>
      <c r="AW54" s="142" t="str">
        <f>_xlfn.IFNA(VLOOKUP($AH54,Programma!$F$3:$U$1101,16,0),"")</f>
        <v/>
      </c>
      <c r="AX54" s="142" t="str">
        <f>_xlfn.IFNA(VLOOKUP($AH54,Programma!$F$3:$V$1101,17,0),"")</f>
        <v/>
      </c>
      <c r="AY54" s="142" t="str">
        <f>_xlfn.IFNA(VLOOKUP($AH54,Programma!$F$3:$W$1101,18,0),"")</f>
        <v/>
      </c>
      <c r="AZ54" s="142" t="str">
        <f>_xlfn.IFNA(VLOOKUP($AH54,Programma!$F$3:$X$1101,19,0),"")</f>
        <v/>
      </c>
      <c r="BA54" s="142" t="str">
        <f>_xlfn.IFNA(VLOOKUP($AH54,Programma!$F$3:$Y$1101,20,0),"")</f>
        <v/>
      </c>
      <c r="BB54" s="138"/>
      <c r="BC54" s="137" t="str">
        <f>IF(Ruimtestaat[[#This Row],[Frequentie weekend]]="","",_xlfn.CONCAT(Ruimtestaat[[#This Row],[Ruimte code]],"-",Ruimtestaat[[#This Row],[Frequentie weekend]]," ",Ruimtestaat[[#This Row],[Vloer code]]))</f>
        <v/>
      </c>
      <c r="BD54" s="142" t="str">
        <f>_xlfn.IFNA(VLOOKUP($BC54,Programma!$F$3:$G$1101,2,0),"")</f>
        <v/>
      </c>
      <c r="BE54" s="142" t="str">
        <f>_xlfn.IFNA(VLOOKUP($BC54,Programma!$F$3:$H$1101,3,0),"")</f>
        <v/>
      </c>
      <c r="BF54" s="142" t="str">
        <f>_xlfn.IFNA(VLOOKUP($BC54,Programma!$F$3:$I$1101,4,0),"")</f>
        <v/>
      </c>
      <c r="BG54" s="142" t="str">
        <f>_xlfn.IFNA(VLOOKUP($BC54,Programma!$F$3:$J$1101,5,0),"")</f>
        <v/>
      </c>
      <c r="BH54" s="142" t="str">
        <f>_xlfn.IFNA(VLOOKUP($BC54,Programma!$F$3:$K$1101,6,0),"")</f>
        <v/>
      </c>
      <c r="BI54" s="142" t="str">
        <f>_xlfn.IFNA(VLOOKUP($BC54,Programma!$F$3:$L$1101,7,0),"")</f>
        <v/>
      </c>
      <c r="BJ54" s="142" t="str">
        <f>_xlfn.IFNA(VLOOKUP($BC54,Programma!$F$3:$M$1101,8,0),"")</f>
        <v/>
      </c>
      <c r="BK54" s="142" t="str">
        <f>_xlfn.IFNA(VLOOKUP($BC54,Programma!$F$3:$N$1101,9,0),"")</f>
        <v/>
      </c>
      <c r="BL54" s="142" t="str">
        <f>_xlfn.IFNA(VLOOKUP($BC54,Programma!$F$3:$O$1101,10,0),"")</f>
        <v/>
      </c>
      <c r="BM54" s="142" t="str">
        <f>_xlfn.IFNA(VLOOKUP($BC54,Programma!$F$3:$P$1101,11,0),"")</f>
        <v/>
      </c>
      <c r="BN54" s="142" t="str">
        <f>_xlfn.IFNA(VLOOKUP($BC54,Programma!$F$3:$Q$1101,12,0),"")</f>
        <v/>
      </c>
      <c r="BO54" s="142" t="str">
        <f>_xlfn.IFNA(VLOOKUP($BC54,Programma!$F$3:$R$1101,13,0),"")</f>
        <v/>
      </c>
      <c r="BP54" s="142" t="str">
        <f>_xlfn.IFNA(VLOOKUP($BC54,Programma!$F$3:$S$1101,14,0),"")</f>
        <v/>
      </c>
      <c r="BQ54" s="142" t="str">
        <f>_xlfn.IFNA(VLOOKUP($BC54,Programma!$F$3:$T$1101,15,0),"")</f>
        <v/>
      </c>
      <c r="BR54" s="142" t="str">
        <f>_xlfn.IFNA(VLOOKUP($BC54,Programma!$F$3:$U$1101,16,0),"")</f>
        <v/>
      </c>
      <c r="BS54" s="142" t="str">
        <f>_xlfn.IFNA(VLOOKUP($BC54,Programma!$F$3:$V$1101,17,0),"")</f>
        <v/>
      </c>
      <c r="BT54" s="142" t="str">
        <f>_xlfn.IFNA(VLOOKUP($BC54,Programma!$F$3:$W$1101,18,0),"")</f>
        <v/>
      </c>
      <c r="BU54" s="142" t="str">
        <f>_xlfn.IFNA(VLOOKUP($BC54,Programma!$F$3:$X$1101,19,0),"")</f>
        <v/>
      </c>
      <c r="BV54" s="142" t="str">
        <f>_xlfn.IFNA(VLOOKUP($BC54,Programma!$F$3:$Y$1101,20,0),"")</f>
        <v/>
      </c>
      <c r="BW54" s="28"/>
      <c r="BX54" s="28"/>
      <c r="BY54" s="28"/>
      <c r="BZ54" s="28"/>
      <c r="CA54" s="28"/>
      <c r="CB54" s="28"/>
      <c r="CC54" s="28"/>
      <c r="CD54" s="28"/>
      <c r="CE54" s="28"/>
      <c r="CF54" s="28"/>
      <c r="CG54" s="28"/>
      <c r="CH54" s="28"/>
      <c r="CI54" s="28"/>
      <c r="CJ54" s="28"/>
      <c r="CK54" s="28"/>
      <c r="CL54" s="28"/>
      <c r="CM54" s="28"/>
      <c r="CN54" s="28"/>
      <c r="CO54" s="28"/>
      <c r="CP54" s="28"/>
      <c r="CQ54" s="28"/>
      <c r="CR54" s="28"/>
      <c r="CS54" s="28"/>
      <c r="CT54" s="28"/>
      <c r="CU54" s="28"/>
      <c r="CV54" s="28"/>
      <c r="CW54" s="28"/>
      <c r="CX54" s="28"/>
      <c r="CY54" s="28"/>
      <c r="CZ54" s="28"/>
      <c r="DA54" s="28"/>
      <c r="DB54" s="28"/>
      <c r="DC54" s="28"/>
      <c r="DD54" s="28"/>
      <c r="DE54" s="28"/>
      <c r="DF54" s="28"/>
      <c r="DG54" s="28"/>
      <c r="DH54" s="28"/>
      <c r="DI54" s="28"/>
      <c r="DJ54" s="28"/>
      <c r="DK54" s="28"/>
      <c r="DL54" s="28"/>
      <c r="DM54" s="28"/>
      <c r="DN54" s="28"/>
      <c r="DO54" s="28"/>
      <c r="DP54" s="28"/>
      <c r="DQ54" s="28"/>
      <c r="DR54" s="28"/>
      <c r="DS54" s="28"/>
      <c r="DT54" s="28"/>
      <c r="DU54" s="28"/>
      <c r="DV54" s="28"/>
      <c r="DW54" s="28"/>
      <c r="DX54" s="28"/>
      <c r="DY54" s="28"/>
      <c r="DZ54" s="28"/>
      <c r="EA54" s="28"/>
      <c r="EB54" s="28"/>
      <c r="EC54" s="28"/>
      <c r="ED54" s="28"/>
      <c r="EE54" s="28"/>
      <c r="EF54" s="28"/>
      <c r="EG54" s="28"/>
      <c r="EH54" s="28"/>
      <c r="EI54" s="28"/>
      <c r="EJ54" s="28"/>
      <c r="EK54" s="28"/>
      <c r="EL54" s="28"/>
      <c r="EM54" s="28"/>
      <c r="EN54" s="28"/>
      <c r="EO54" s="28"/>
      <c r="EP54" s="28"/>
      <c r="EQ54" s="28"/>
      <c r="ER54" s="28"/>
      <c r="ES54" s="28"/>
      <c r="ET54" s="28"/>
      <c r="EU54" s="28"/>
      <c r="EV54" s="28"/>
      <c r="EW54" s="28"/>
      <c r="EX54" s="28"/>
      <c r="EY54" s="28"/>
      <c r="EZ54" s="28"/>
      <c r="FA54" s="28"/>
      <c r="FB54" s="28"/>
      <c r="FC54" s="28"/>
      <c r="FD54" s="28"/>
      <c r="FE54" s="28"/>
      <c r="FF54" s="28"/>
      <c r="FG54" s="28"/>
      <c r="FH54" s="28"/>
      <c r="FI54" s="28"/>
      <c r="FJ54" s="28"/>
      <c r="FK54" s="28"/>
      <c r="FL54" s="28"/>
      <c r="FM54" s="28"/>
      <c r="FN54" s="28"/>
      <c r="FO54" s="28"/>
      <c r="FP54" s="28"/>
      <c r="FQ54" s="28"/>
      <c r="FR54" s="28"/>
      <c r="FS54" s="28"/>
      <c r="FT54" s="28"/>
      <c r="FU54" s="28"/>
      <c r="FV54" s="28"/>
      <c r="FW54" s="28"/>
      <c r="FX54" s="28"/>
      <c r="FY54" s="28"/>
      <c r="FZ54" s="28"/>
      <c r="GA54" s="28"/>
      <c r="GB54" s="28"/>
      <c r="GC54" s="28"/>
      <c r="GD54" s="28"/>
      <c r="GE54" s="28"/>
      <c r="GF54" s="28"/>
      <c r="GG54" s="28"/>
      <c r="GH54" s="28"/>
      <c r="GI54" s="28"/>
      <c r="GJ54" s="28"/>
      <c r="GK54" s="28"/>
      <c r="GL54" s="28"/>
      <c r="GM54" s="28"/>
      <c r="GN54" s="28"/>
      <c r="GO54" s="28"/>
      <c r="GP54" s="28"/>
      <c r="GQ54" s="28"/>
      <c r="GR54" s="28"/>
      <c r="GS54" s="28"/>
      <c r="GT54" s="28"/>
      <c r="GU54" s="28"/>
      <c r="GV54" s="28"/>
      <c r="GW54" s="28"/>
      <c r="GX54" s="28"/>
      <c r="GY54" s="28"/>
      <c r="GZ54" s="28"/>
      <c r="HA54" s="28"/>
      <c r="HB54" s="28"/>
      <c r="HC54" s="28"/>
      <c r="HD54" s="28"/>
      <c r="HE54" s="28"/>
      <c r="HF54" s="28"/>
      <c r="HG54" s="28"/>
      <c r="HH54" s="28"/>
      <c r="HI54" s="28"/>
      <c r="HJ54" s="28"/>
      <c r="HK54" s="28"/>
    </row>
    <row r="55" spans="1:219" ht="15" customHeight="1">
      <c r="A55" s="100">
        <v>1</v>
      </c>
      <c r="B55" s="132" t="str">
        <f>VLOOKUP(Ruimtestaat[[#This Row],[Code]],Locaties[[Code]:[Locatie]],2,FALSE)</f>
        <v>Mirtehuis</v>
      </c>
      <c r="C55" s="132" t="str">
        <f>VLOOKUP(Ruimtestaat[[#This Row],[Code]],Locaties[[#All],[Code]:[Adres]],4,FALSE)</f>
        <v>Weseperweg 6</v>
      </c>
      <c r="D55" s="132" t="str">
        <f>VLOOKUP(Ruimtestaat[[#This Row],[Code]],Locaties[[#All],[Code]:[Postcode]],5,FALSE)</f>
        <v>8111 PK</v>
      </c>
      <c r="E55" s="132" t="str">
        <f>VLOOKUP(Ruimtestaat[[#This Row],[Code]],Locaties[#All],6,FALSE)</f>
        <v>Heeten</v>
      </c>
      <c r="F55" s="100"/>
      <c r="G55" s="100" t="s">
        <v>1675</v>
      </c>
      <c r="H55" s="344"/>
      <c r="I55" s="345" t="s">
        <v>1635</v>
      </c>
      <c r="J55" s="49">
        <v>20</v>
      </c>
      <c r="K55" s="140" t="str">
        <f>VLOOKUP(Ruimtestaat[[#This Row],[Ruimte code]],Ruimtegroepen[[#All],[Code]:[Ruimte omschrijving]],2,FALSE)</f>
        <v>Niet in Onderhoud</v>
      </c>
      <c r="L55" s="100" t="s">
        <v>100</v>
      </c>
      <c r="M55" s="345" t="s">
        <v>1636</v>
      </c>
      <c r="N55" s="133"/>
      <c r="O55" s="100"/>
      <c r="P55" s="134">
        <f>VLOOKUP(Ruimtestaat[[#This Row],[Ruimte code]],Ruimtegroepen[],4,FALSE)</f>
        <v>0</v>
      </c>
      <c r="Q55" s="100"/>
      <c r="R55" s="100"/>
      <c r="S55" s="100">
        <f>IF(Q55&gt;0,IF(RIGHT(Ruimtestaat[[#This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5" s="100">
        <f>IF(S55&gt;0,VLOOKUP($J55,Ruimtegroepen[],3,FALSE)*VLOOKUP($L55,Vloersoorten[],3,FALSE)*VLOOKUP($R55,Frequenties[],3,FALSE)*VLOOKUP($A55,Locaties[],3,FALSE),0)</f>
        <v>0</v>
      </c>
      <c r="U55" s="100">
        <f>Ruimtestaat[[#This Row],[Uitvoeringen werkdagen]]*Ruimtestaat[[#This Row],[Oppervlak (netto)]]</f>
        <v>0</v>
      </c>
      <c r="V55" s="135">
        <f>IF(T55&gt;0,Ruimtestaat[[#This Row],[Prest. (m2 /jaar) werkdagen]]/Ruimtestaat[[#This Row],[Norm (m2/uur) werkdagen]],0)</f>
        <v>0</v>
      </c>
      <c r="W55" s="136">
        <f>Ruimtestaat[[#This Row],[uren / jaar werkdagen]]*Tariefsopbouw!$E$35</f>
        <v>0</v>
      </c>
      <c r="X55" s="100"/>
      <c r="Y55" s="100">
        <f>IF(Ruimtestaat[[#This Row],[Frequentie weekend]]&gt;0,VALUE(LEFT(X55,1))*Q55,0)</f>
        <v>0</v>
      </c>
      <c r="Z55" s="99">
        <f>IF($Y55&gt;0,VLOOKUP($J55,Ruimtegroepen[],3,FALSE)*VLOOKUP($L55,Vloersoorten[],3,FALSE)*VLOOKUP($X55,Frequenties[],3,FALSE)*VLOOKUP(Ruimtestaat[[#This Row],[Code]],Locaties[],3,FALSE),0)</f>
        <v>0</v>
      </c>
      <c r="AA55" s="99">
        <f>Ruimtestaat[[#This Row],[Uitvoeringen weekend]]*Ruimtestaat[[#This Row],[Oppervlak (netto)]]</f>
        <v>0</v>
      </c>
      <c r="AB55" s="99">
        <f>IF(Z55&gt;0,Ruimtestaat[[#This Row],[Prest. (m2 /jaar) weekend]]/Ruimtestaat[[#This Row],[Norm (m2/uur) weekend]],0)</f>
        <v>0</v>
      </c>
      <c r="AC55" s="136">
        <f>Ruimtestaat[[#This Row],[uren / jaar weekend]]*Tariefsopbouw!$D$40</f>
        <v>0</v>
      </c>
      <c r="AD55" s="135">
        <f>Ruimtestaat[[#This Row],[Prest. (m2 /jaar) weekend]]+Ruimtestaat[[#This Row],[Prest. (m2 /jaar) werkdagen]]</f>
        <v>0</v>
      </c>
      <c r="AE55" s="135">
        <f>Ruimtestaat[[#This Row],[uren / jaar weekend]]+Ruimtestaat[[#This Row],[uren / jaar werkdagen]]</f>
        <v>0</v>
      </c>
      <c r="AF55" s="130">
        <f>Ruimtestaat[[#This Row],[kosten / jaar weekend]]+Ruimtestaat[[#This Row],[kosten / jaar werkdagen]]</f>
        <v>0</v>
      </c>
      <c r="AG55" s="130"/>
      <c r="AH55" s="137" t="str">
        <f>IF(Ruimtestaat[[#This Row],[Frequentie werkdagen]]="","",_xlfn.CONCAT(Ruimtestaat[[#This Row],[Ruimte code]],"-",Ruimtestaat[[#This Row],[Frequentie werkdagen]]," ",Ruimtestaat[[#This Row],[Vloer code]]))</f>
        <v/>
      </c>
      <c r="AI55" s="142" t="str">
        <f>_xlfn.IFNA(VLOOKUP($AH55,Programma!$F$3:$G$1101,2,0),"")</f>
        <v/>
      </c>
      <c r="AJ55" s="142" t="str">
        <f>_xlfn.IFNA(VLOOKUP($AH55,Programma!$F$3:$H$1101,3,0),"")</f>
        <v/>
      </c>
      <c r="AK55" s="142" t="str">
        <f>_xlfn.IFNA(VLOOKUP($AH55,Programma!$F$3:$I$1101,4,0),"")</f>
        <v/>
      </c>
      <c r="AL55" s="142" t="str">
        <f>_xlfn.IFNA(VLOOKUP($AH55,Programma!$F$3:$J$1101,5,0),"")</f>
        <v/>
      </c>
      <c r="AM55" s="142" t="str">
        <f>_xlfn.IFNA(VLOOKUP($AH55,Programma!$F$3:$K$1101,6,0),"")</f>
        <v/>
      </c>
      <c r="AN55" s="142" t="str">
        <f>_xlfn.IFNA(VLOOKUP($AH55,Programma!$F$3:$L$1101,7,0),"")</f>
        <v/>
      </c>
      <c r="AO55" s="142" t="str">
        <f>_xlfn.IFNA(VLOOKUP($AH55,Programma!$F$3:$M$1101,8,0),"")</f>
        <v/>
      </c>
      <c r="AP55" s="142" t="str">
        <f>_xlfn.IFNA(VLOOKUP($AH55,Programma!$F$3:$N$1101,9,0),"")</f>
        <v/>
      </c>
      <c r="AQ55" s="142" t="str">
        <f>_xlfn.IFNA(VLOOKUP($AH55,Programma!$F$3:$O$1101,10,0),"")</f>
        <v/>
      </c>
      <c r="AR55" s="142" t="str">
        <f>_xlfn.IFNA(VLOOKUP($AH55,Programma!$F$3:$P$1101,11,0),"")</f>
        <v/>
      </c>
      <c r="AS55" s="142" t="str">
        <f>_xlfn.IFNA(VLOOKUP($AH55,Programma!$F$3:$Q$1101,12,0),"")</f>
        <v/>
      </c>
      <c r="AT55" s="142" t="str">
        <f>_xlfn.IFNA(VLOOKUP($AH55,Programma!$F$3:$R$1101,13,0),"")</f>
        <v/>
      </c>
      <c r="AU55" s="142" t="str">
        <f>_xlfn.IFNA(VLOOKUP($AH55,Programma!$F$3:$S$1101,14,0),"")</f>
        <v/>
      </c>
      <c r="AV55" s="142" t="str">
        <f>_xlfn.IFNA(VLOOKUP($AH55,Programma!$F$3:$T$1101,15,0),"")</f>
        <v/>
      </c>
      <c r="AW55" s="142" t="str">
        <f>_xlfn.IFNA(VLOOKUP($AH55,Programma!$F$3:$U$1101,16,0),"")</f>
        <v/>
      </c>
      <c r="AX55" s="142" t="str">
        <f>_xlfn.IFNA(VLOOKUP($AH55,Programma!$F$3:$V$1101,17,0),"")</f>
        <v/>
      </c>
      <c r="AY55" s="142" t="str">
        <f>_xlfn.IFNA(VLOOKUP($AH55,Programma!$F$3:$W$1101,18,0),"")</f>
        <v/>
      </c>
      <c r="AZ55" s="142" t="str">
        <f>_xlfn.IFNA(VLOOKUP($AH55,Programma!$F$3:$X$1101,19,0),"")</f>
        <v/>
      </c>
      <c r="BA55" s="142" t="str">
        <f>_xlfn.IFNA(VLOOKUP($AH55,Programma!$F$3:$Y$1101,20,0),"")</f>
        <v/>
      </c>
      <c r="BB55" s="138"/>
      <c r="BC55" s="137" t="str">
        <f>IF(Ruimtestaat[[#This Row],[Frequentie weekend]]="","",_xlfn.CONCAT(Ruimtestaat[[#This Row],[Ruimte code]],"-",Ruimtestaat[[#This Row],[Frequentie weekend]]," ",Ruimtestaat[[#This Row],[Vloer code]]))</f>
        <v/>
      </c>
      <c r="BD55" s="142" t="str">
        <f>_xlfn.IFNA(VLOOKUP($BC55,Programma!$F$3:$G$1101,2,0),"")</f>
        <v/>
      </c>
      <c r="BE55" s="142" t="str">
        <f>_xlfn.IFNA(VLOOKUP($BC55,Programma!$F$3:$H$1101,3,0),"")</f>
        <v/>
      </c>
      <c r="BF55" s="142" t="str">
        <f>_xlfn.IFNA(VLOOKUP($BC55,Programma!$F$3:$I$1101,4,0),"")</f>
        <v/>
      </c>
      <c r="BG55" s="142" t="str">
        <f>_xlfn.IFNA(VLOOKUP($BC55,Programma!$F$3:$J$1101,5,0),"")</f>
        <v/>
      </c>
      <c r="BH55" s="142" t="str">
        <f>_xlfn.IFNA(VLOOKUP($BC55,Programma!$F$3:$K$1101,6,0),"")</f>
        <v/>
      </c>
      <c r="BI55" s="142" t="str">
        <f>_xlfn.IFNA(VLOOKUP($BC55,Programma!$F$3:$L$1101,7,0),"")</f>
        <v/>
      </c>
      <c r="BJ55" s="142" t="str">
        <f>_xlfn.IFNA(VLOOKUP($BC55,Programma!$F$3:$M$1101,8,0),"")</f>
        <v/>
      </c>
      <c r="BK55" s="142" t="str">
        <f>_xlfn.IFNA(VLOOKUP($BC55,Programma!$F$3:$N$1101,9,0),"")</f>
        <v/>
      </c>
      <c r="BL55" s="142" t="str">
        <f>_xlfn.IFNA(VLOOKUP($BC55,Programma!$F$3:$O$1101,10,0),"")</f>
        <v/>
      </c>
      <c r="BM55" s="142" t="str">
        <f>_xlfn.IFNA(VLOOKUP($BC55,Programma!$F$3:$P$1101,11,0),"")</f>
        <v/>
      </c>
      <c r="BN55" s="142" t="str">
        <f>_xlfn.IFNA(VLOOKUP($BC55,Programma!$F$3:$Q$1101,12,0),"")</f>
        <v/>
      </c>
      <c r="BO55" s="142" t="str">
        <f>_xlfn.IFNA(VLOOKUP($BC55,Programma!$F$3:$R$1101,13,0),"")</f>
        <v/>
      </c>
      <c r="BP55" s="142" t="str">
        <f>_xlfn.IFNA(VLOOKUP($BC55,Programma!$F$3:$S$1101,14,0),"")</f>
        <v/>
      </c>
      <c r="BQ55" s="142" t="str">
        <f>_xlfn.IFNA(VLOOKUP($BC55,Programma!$F$3:$T$1101,15,0),"")</f>
        <v/>
      </c>
      <c r="BR55" s="142" t="str">
        <f>_xlfn.IFNA(VLOOKUP($BC55,Programma!$F$3:$U$1101,16,0),"")</f>
        <v/>
      </c>
      <c r="BS55" s="142" t="str">
        <f>_xlfn.IFNA(VLOOKUP($BC55,Programma!$F$3:$V$1101,17,0),"")</f>
        <v/>
      </c>
      <c r="BT55" s="142" t="str">
        <f>_xlfn.IFNA(VLOOKUP($BC55,Programma!$F$3:$W$1101,18,0),"")</f>
        <v/>
      </c>
      <c r="BU55" s="142" t="str">
        <f>_xlfn.IFNA(VLOOKUP($BC55,Programma!$F$3:$X$1101,19,0),"")</f>
        <v/>
      </c>
      <c r="BV55" s="142" t="str">
        <f>_xlfn.IFNA(VLOOKUP($BC55,Programma!$F$3:$Y$1101,20,0),"")</f>
        <v/>
      </c>
      <c r="BW55" s="28"/>
      <c r="BX55" s="28"/>
      <c r="BY55" s="28"/>
      <c r="BZ55" s="28"/>
      <c r="CA55" s="28"/>
      <c r="CB55" s="28"/>
      <c r="CC55" s="28"/>
      <c r="CD55" s="28"/>
      <c r="CE55" s="28"/>
      <c r="CF55" s="28"/>
      <c r="CG55" s="28"/>
      <c r="CH55" s="28"/>
      <c r="CI55" s="28"/>
      <c r="CJ55" s="28"/>
      <c r="CK55" s="28"/>
      <c r="CL55" s="28"/>
      <c r="CM55" s="28"/>
      <c r="CN55" s="28"/>
      <c r="CO55" s="28"/>
      <c r="CP55" s="28"/>
      <c r="CQ55" s="28"/>
      <c r="CR55" s="28"/>
      <c r="CS55" s="28"/>
      <c r="CT55" s="28"/>
      <c r="CU55" s="28"/>
      <c r="CV55" s="28"/>
      <c r="CW55" s="28"/>
      <c r="CX55" s="28"/>
      <c r="CY55" s="28"/>
      <c r="CZ55" s="28"/>
      <c r="DA55" s="28"/>
      <c r="DB55" s="28"/>
      <c r="DC55" s="28"/>
      <c r="DD55" s="28"/>
      <c r="DE55" s="28"/>
      <c r="DF55" s="28"/>
      <c r="DG55" s="28"/>
      <c r="DH55" s="28"/>
      <c r="DI55" s="28"/>
      <c r="DJ55" s="28"/>
      <c r="DK55" s="28"/>
      <c r="DL55" s="28"/>
      <c r="DM55" s="28"/>
      <c r="DN55" s="28"/>
      <c r="DO55" s="28"/>
      <c r="DP55" s="28"/>
      <c r="DQ55" s="28"/>
      <c r="DR55" s="28"/>
      <c r="DS55" s="28"/>
      <c r="DT55" s="28"/>
      <c r="DU55" s="28"/>
      <c r="DV55" s="28"/>
      <c r="DW55" s="28"/>
      <c r="DX55" s="28"/>
      <c r="DY55" s="28"/>
      <c r="DZ55" s="28"/>
      <c r="EA55" s="28"/>
      <c r="EB55" s="28"/>
      <c r="EC55" s="28"/>
      <c r="ED55" s="28"/>
      <c r="EE55" s="28"/>
      <c r="EF55" s="28"/>
      <c r="EG55" s="28"/>
      <c r="EH55" s="28"/>
      <c r="EI55" s="28"/>
      <c r="EJ55" s="28"/>
      <c r="EK55" s="28"/>
      <c r="EL55" s="28"/>
      <c r="EM55" s="28"/>
      <c r="EN55" s="28"/>
      <c r="EO55" s="28"/>
      <c r="EP55" s="28"/>
      <c r="EQ55" s="28"/>
      <c r="ER55" s="28"/>
      <c r="ES55" s="28"/>
      <c r="ET55" s="28"/>
      <c r="EU55" s="28"/>
      <c r="EV55" s="28"/>
      <c r="EW55" s="28"/>
      <c r="EX55" s="28"/>
      <c r="EY55" s="28"/>
      <c r="EZ55" s="28"/>
      <c r="FA55" s="28"/>
      <c r="FB55" s="28"/>
      <c r="FC55" s="28"/>
      <c r="FD55" s="28"/>
      <c r="FE55" s="28"/>
      <c r="FF55" s="28"/>
      <c r="FG55" s="28"/>
      <c r="FH55" s="28"/>
      <c r="FI55" s="28"/>
      <c r="FJ55" s="28"/>
      <c r="FK55" s="28"/>
      <c r="FL55" s="28"/>
      <c r="FM55" s="28"/>
      <c r="FN55" s="28"/>
      <c r="FO55" s="28"/>
      <c r="FP55" s="28"/>
      <c r="FQ55" s="28"/>
      <c r="FR55" s="28"/>
      <c r="FS55" s="28"/>
      <c r="FT55" s="28"/>
      <c r="FU55" s="28"/>
      <c r="FV55" s="28"/>
      <c r="FW55" s="28"/>
      <c r="FX55" s="28"/>
      <c r="FY55" s="28"/>
      <c r="FZ55" s="28"/>
      <c r="GA55" s="28"/>
      <c r="GB55" s="28"/>
      <c r="GC55" s="28"/>
      <c r="GD55" s="28"/>
      <c r="GE55" s="28"/>
      <c r="GF55" s="28"/>
      <c r="GG55" s="28"/>
      <c r="GH55" s="28"/>
      <c r="GI55" s="28"/>
      <c r="GJ55" s="28"/>
      <c r="GK55" s="28"/>
      <c r="GL55" s="28"/>
      <c r="GM55" s="28"/>
      <c r="GN55" s="28"/>
      <c r="GO55" s="28"/>
      <c r="GP55" s="28"/>
      <c r="GQ55" s="28"/>
      <c r="GR55" s="28"/>
      <c r="GS55" s="28"/>
      <c r="GT55" s="28"/>
      <c r="GU55" s="28"/>
      <c r="GV55" s="28"/>
      <c r="GW55" s="28"/>
      <c r="GX55" s="28"/>
      <c r="GY55" s="28"/>
      <c r="GZ55" s="28"/>
      <c r="HA55" s="28"/>
      <c r="HB55" s="28"/>
      <c r="HC55" s="28"/>
      <c r="HD55" s="28"/>
      <c r="HE55" s="28"/>
      <c r="HF55" s="28"/>
      <c r="HG55" s="28"/>
      <c r="HH55" s="28"/>
      <c r="HI55" s="28"/>
      <c r="HJ55" s="28"/>
      <c r="HK55" s="28"/>
    </row>
    <row r="56" spans="1:219" ht="15" customHeight="1">
      <c r="A56" s="100">
        <v>1</v>
      </c>
      <c r="B56" s="132" t="str">
        <f>VLOOKUP(Ruimtestaat[[#This Row],[Code]],Locaties[[Code]:[Locatie]],2,FALSE)</f>
        <v>Mirtehuis</v>
      </c>
      <c r="C56" s="132" t="str">
        <f>VLOOKUP(Ruimtestaat[[#This Row],[Code]],Locaties[[#All],[Code]:[Adres]],4,FALSE)</f>
        <v>Weseperweg 6</v>
      </c>
      <c r="D56" s="132" t="str">
        <f>VLOOKUP(Ruimtestaat[[#This Row],[Code]],Locaties[[#All],[Code]:[Postcode]],5,FALSE)</f>
        <v>8111 PK</v>
      </c>
      <c r="E56" s="132" t="str">
        <f>VLOOKUP(Ruimtestaat[[#This Row],[Code]],Locaties[#All],6,FALSE)</f>
        <v>Heeten</v>
      </c>
      <c r="F56" s="100"/>
      <c r="G56" s="100" t="s">
        <v>1675</v>
      </c>
      <c r="H56" s="344"/>
      <c r="I56" s="345" t="s">
        <v>1650</v>
      </c>
      <c r="J56" s="49">
        <v>20</v>
      </c>
      <c r="K56" s="140" t="str">
        <f>VLOOKUP(Ruimtestaat[[#This Row],[Ruimte code]],Ruimtegroepen[[#All],[Code]:[Ruimte omschrijving]],2,FALSE)</f>
        <v>Niet in Onderhoud</v>
      </c>
      <c r="L56" s="100" t="s">
        <v>100</v>
      </c>
      <c r="M56" s="345" t="s">
        <v>1636</v>
      </c>
      <c r="N56" s="133"/>
      <c r="O56" s="139"/>
      <c r="P56" s="134">
        <f>VLOOKUP(Ruimtestaat[[#This Row],[Ruimte code]],Ruimtegroepen[],4,FALSE)</f>
        <v>0</v>
      </c>
      <c r="Q56" s="100"/>
      <c r="R56" s="100"/>
      <c r="S56" s="100">
        <f>IF(Q56&gt;0,IF(RIGHT(Ruimtestaat[[#This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6" s="100">
        <f>IF(S56&gt;0,VLOOKUP($J56,Ruimtegroepen[],3,FALSE)*VLOOKUP($L56,Vloersoorten[],3,FALSE)*VLOOKUP($R56,Frequenties[],3,FALSE)*VLOOKUP($A56,Locaties[],3,FALSE),0)</f>
        <v>0</v>
      </c>
      <c r="U56" s="100">
        <f>Ruimtestaat[[#This Row],[Uitvoeringen werkdagen]]*Ruimtestaat[[#This Row],[Oppervlak (netto)]]</f>
        <v>0</v>
      </c>
      <c r="V56" s="135">
        <f>IF(T56&gt;0,Ruimtestaat[[#This Row],[Prest. (m2 /jaar) werkdagen]]/Ruimtestaat[[#This Row],[Norm (m2/uur) werkdagen]],0)</f>
        <v>0</v>
      </c>
      <c r="W56" s="136">
        <f>Ruimtestaat[[#This Row],[uren / jaar werkdagen]]*Tariefsopbouw!$E$35</f>
        <v>0</v>
      </c>
      <c r="X56" s="100"/>
      <c r="Y56" s="100">
        <f>IF(Ruimtestaat[[#This Row],[Frequentie weekend]]&gt;0,VALUE(LEFT(X56,1))*Q56,0)</f>
        <v>0</v>
      </c>
      <c r="Z56" s="99">
        <f>IF($Y56&gt;0,VLOOKUP($J56,Ruimtegroepen[],3,FALSE)*VLOOKUP($L56,Vloersoorten[],3,FALSE)*VLOOKUP($X56,Frequenties[],3,FALSE)*VLOOKUP(Ruimtestaat[[#This Row],[Code]],Locaties[],3,FALSE),0)</f>
        <v>0</v>
      </c>
      <c r="AA56" s="99">
        <f>Ruimtestaat[[#This Row],[Uitvoeringen weekend]]*Ruimtestaat[[#This Row],[Oppervlak (netto)]]</f>
        <v>0</v>
      </c>
      <c r="AB56" s="99">
        <f>IF(Z56&gt;0,Ruimtestaat[[#This Row],[Prest. (m2 /jaar) weekend]]/Ruimtestaat[[#This Row],[Norm (m2/uur) weekend]],0)</f>
        <v>0</v>
      </c>
      <c r="AC56" s="136">
        <f>Ruimtestaat[[#This Row],[uren / jaar weekend]]*Tariefsopbouw!$D$40</f>
        <v>0</v>
      </c>
      <c r="AD56" s="135">
        <f>Ruimtestaat[[#This Row],[Prest. (m2 /jaar) weekend]]+Ruimtestaat[[#This Row],[Prest. (m2 /jaar) werkdagen]]</f>
        <v>0</v>
      </c>
      <c r="AE56" s="135">
        <f>Ruimtestaat[[#This Row],[uren / jaar weekend]]+Ruimtestaat[[#This Row],[uren / jaar werkdagen]]</f>
        <v>0</v>
      </c>
      <c r="AF56" s="130">
        <f>Ruimtestaat[[#This Row],[kosten / jaar weekend]]+Ruimtestaat[[#This Row],[kosten / jaar werkdagen]]</f>
        <v>0</v>
      </c>
      <c r="AG56" s="130"/>
      <c r="AH56" s="137" t="str">
        <f>IF(Ruimtestaat[[#This Row],[Frequentie werkdagen]]="","",_xlfn.CONCAT(Ruimtestaat[[#This Row],[Ruimte code]],"-",Ruimtestaat[[#This Row],[Frequentie werkdagen]]," ",Ruimtestaat[[#This Row],[Vloer code]]))</f>
        <v/>
      </c>
      <c r="AI56" s="142" t="str">
        <f>_xlfn.IFNA(VLOOKUP($AH56,Programma!$F$3:$G$1101,2,0),"")</f>
        <v/>
      </c>
      <c r="AJ56" s="142" t="str">
        <f>_xlfn.IFNA(VLOOKUP($AH56,Programma!$F$3:$H$1101,3,0),"")</f>
        <v/>
      </c>
      <c r="AK56" s="142" t="str">
        <f>_xlfn.IFNA(VLOOKUP($AH56,Programma!$F$3:$I$1101,4,0),"")</f>
        <v/>
      </c>
      <c r="AL56" s="142" t="str">
        <f>_xlfn.IFNA(VLOOKUP($AH56,Programma!$F$3:$J$1101,5,0),"")</f>
        <v/>
      </c>
      <c r="AM56" s="142" t="str">
        <f>_xlfn.IFNA(VLOOKUP($AH56,Programma!$F$3:$K$1101,6,0),"")</f>
        <v/>
      </c>
      <c r="AN56" s="142" t="str">
        <f>_xlfn.IFNA(VLOOKUP($AH56,Programma!$F$3:$L$1101,7,0),"")</f>
        <v/>
      </c>
      <c r="AO56" s="142" t="str">
        <f>_xlfn.IFNA(VLOOKUP($AH56,Programma!$F$3:$M$1101,8,0),"")</f>
        <v/>
      </c>
      <c r="AP56" s="142" t="str">
        <f>_xlfn.IFNA(VLOOKUP($AH56,Programma!$F$3:$N$1101,9,0),"")</f>
        <v/>
      </c>
      <c r="AQ56" s="142" t="str">
        <f>_xlfn.IFNA(VLOOKUP($AH56,Programma!$F$3:$O$1101,10,0),"")</f>
        <v/>
      </c>
      <c r="AR56" s="142" t="str">
        <f>_xlfn.IFNA(VLOOKUP($AH56,Programma!$F$3:$P$1101,11,0),"")</f>
        <v/>
      </c>
      <c r="AS56" s="142" t="str">
        <f>_xlfn.IFNA(VLOOKUP($AH56,Programma!$F$3:$Q$1101,12,0),"")</f>
        <v/>
      </c>
      <c r="AT56" s="142" t="str">
        <f>_xlfn.IFNA(VLOOKUP($AH56,Programma!$F$3:$R$1101,13,0),"")</f>
        <v/>
      </c>
      <c r="AU56" s="142" t="str">
        <f>_xlfn.IFNA(VLOOKUP($AH56,Programma!$F$3:$S$1101,14,0),"")</f>
        <v/>
      </c>
      <c r="AV56" s="142" t="str">
        <f>_xlfn.IFNA(VLOOKUP($AH56,Programma!$F$3:$T$1101,15,0),"")</f>
        <v/>
      </c>
      <c r="AW56" s="142" t="str">
        <f>_xlfn.IFNA(VLOOKUP($AH56,Programma!$F$3:$U$1101,16,0),"")</f>
        <v/>
      </c>
      <c r="AX56" s="142" t="str">
        <f>_xlfn.IFNA(VLOOKUP($AH56,Programma!$F$3:$V$1101,17,0),"")</f>
        <v/>
      </c>
      <c r="AY56" s="142" t="str">
        <f>_xlfn.IFNA(VLOOKUP($AH56,Programma!$F$3:$W$1101,18,0),"")</f>
        <v/>
      </c>
      <c r="AZ56" s="142" t="str">
        <f>_xlfn.IFNA(VLOOKUP($AH56,Programma!$F$3:$X$1101,19,0),"")</f>
        <v/>
      </c>
      <c r="BA56" s="142" t="str">
        <f>_xlfn.IFNA(VLOOKUP($AH56,Programma!$F$3:$Y$1101,20,0),"")</f>
        <v/>
      </c>
      <c r="BB56" s="138"/>
      <c r="BC56" s="137" t="str">
        <f>IF(Ruimtestaat[[#This Row],[Frequentie weekend]]="","",_xlfn.CONCAT(Ruimtestaat[[#This Row],[Ruimte code]],"-",Ruimtestaat[[#This Row],[Frequentie weekend]]," ",Ruimtestaat[[#This Row],[Vloer code]]))</f>
        <v/>
      </c>
      <c r="BD56" s="142" t="str">
        <f>_xlfn.IFNA(VLOOKUP($BC56,Programma!$F$3:$G$1101,2,0),"")</f>
        <v/>
      </c>
      <c r="BE56" s="142" t="str">
        <f>_xlfn.IFNA(VLOOKUP($BC56,Programma!$F$3:$H$1101,3,0),"")</f>
        <v/>
      </c>
      <c r="BF56" s="142" t="str">
        <f>_xlfn.IFNA(VLOOKUP($BC56,Programma!$F$3:$I$1101,4,0),"")</f>
        <v/>
      </c>
      <c r="BG56" s="142" t="str">
        <f>_xlfn.IFNA(VLOOKUP($BC56,Programma!$F$3:$J$1101,5,0),"")</f>
        <v/>
      </c>
      <c r="BH56" s="142" t="str">
        <f>_xlfn.IFNA(VLOOKUP($BC56,Programma!$F$3:$K$1101,6,0),"")</f>
        <v/>
      </c>
      <c r="BI56" s="142" t="str">
        <f>_xlfn.IFNA(VLOOKUP($BC56,Programma!$F$3:$L$1101,7,0),"")</f>
        <v/>
      </c>
      <c r="BJ56" s="142" t="str">
        <f>_xlfn.IFNA(VLOOKUP($BC56,Programma!$F$3:$M$1101,8,0),"")</f>
        <v/>
      </c>
      <c r="BK56" s="142" t="str">
        <f>_xlfn.IFNA(VLOOKUP($BC56,Programma!$F$3:$N$1101,9,0),"")</f>
        <v/>
      </c>
      <c r="BL56" s="142" t="str">
        <f>_xlfn.IFNA(VLOOKUP($BC56,Programma!$F$3:$O$1101,10,0),"")</f>
        <v/>
      </c>
      <c r="BM56" s="142" t="str">
        <f>_xlfn.IFNA(VLOOKUP($BC56,Programma!$F$3:$P$1101,11,0),"")</f>
        <v/>
      </c>
      <c r="BN56" s="142" t="str">
        <f>_xlfn.IFNA(VLOOKUP($BC56,Programma!$F$3:$Q$1101,12,0),"")</f>
        <v/>
      </c>
      <c r="BO56" s="142" t="str">
        <f>_xlfn.IFNA(VLOOKUP($BC56,Programma!$F$3:$R$1101,13,0),"")</f>
        <v/>
      </c>
      <c r="BP56" s="142" t="str">
        <f>_xlfn.IFNA(VLOOKUP($BC56,Programma!$F$3:$S$1101,14,0),"")</f>
        <v/>
      </c>
      <c r="BQ56" s="142" t="str">
        <f>_xlfn.IFNA(VLOOKUP($BC56,Programma!$F$3:$T$1101,15,0),"")</f>
        <v/>
      </c>
      <c r="BR56" s="142" t="str">
        <f>_xlfn.IFNA(VLOOKUP($BC56,Programma!$F$3:$U$1101,16,0),"")</f>
        <v/>
      </c>
      <c r="BS56" s="142" t="str">
        <f>_xlfn.IFNA(VLOOKUP($BC56,Programma!$F$3:$V$1101,17,0),"")</f>
        <v/>
      </c>
      <c r="BT56" s="142" t="str">
        <f>_xlfn.IFNA(VLOOKUP($BC56,Programma!$F$3:$W$1101,18,0),"")</f>
        <v/>
      </c>
      <c r="BU56" s="142" t="str">
        <f>_xlfn.IFNA(VLOOKUP($BC56,Programma!$F$3:$X$1101,19,0),"")</f>
        <v/>
      </c>
      <c r="BV56" s="142" t="str">
        <f>_xlfn.IFNA(VLOOKUP($BC56,Programma!$F$3:$Y$1101,20,0),"")</f>
        <v/>
      </c>
      <c r="BW56" s="28"/>
      <c r="BX56" s="28"/>
      <c r="BY56" s="28"/>
      <c r="BZ56" s="28"/>
      <c r="CA56" s="28"/>
      <c r="CB56" s="28"/>
      <c r="CC56" s="28"/>
      <c r="CD56" s="28"/>
      <c r="CE56" s="28"/>
      <c r="CF56" s="28"/>
      <c r="CG56" s="28"/>
      <c r="CH56" s="28"/>
      <c r="CI56" s="28"/>
      <c r="CJ56" s="28"/>
      <c r="CK56" s="28"/>
      <c r="CL56" s="28"/>
      <c r="CM56" s="28"/>
      <c r="CN56" s="28"/>
      <c r="CO56" s="28"/>
      <c r="CP56" s="28"/>
      <c r="CQ56" s="28"/>
      <c r="CR56" s="28"/>
      <c r="CS56" s="28"/>
      <c r="CT56" s="28"/>
      <c r="CU56" s="28"/>
      <c r="CV56" s="28"/>
      <c r="CW56" s="28"/>
      <c r="CX56" s="28"/>
      <c r="CY56" s="28"/>
      <c r="CZ56" s="28"/>
      <c r="DA56" s="28"/>
      <c r="DB56" s="28"/>
      <c r="DC56" s="28"/>
      <c r="DD56" s="28"/>
      <c r="DE56" s="28"/>
      <c r="DF56" s="28"/>
      <c r="DG56" s="28"/>
      <c r="DH56" s="28"/>
      <c r="DI56" s="28"/>
      <c r="DJ56" s="28"/>
      <c r="DK56" s="28"/>
      <c r="DL56" s="28"/>
      <c r="DM56" s="28"/>
      <c r="DN56" s="28"/>
      <c r="DO56" s="28"/>
      <c r="DP56" s="28"/>
      <c r="DQ56" s="28"/>
      <c r="DR56" s="28"/>
      <c r="DS56" s="28"/>
      <c r="DT56" s="28"/>
      <c r="DU56" s="28"/>
      <c r="DV56" s="28"/>
      <c r="DW56" s="28"/>
      <c r="DX56" s="28"/>
      <c r="DY56" s="28"/>
      <c r="DZ56" s="28"/>
      <c r="EA56" s="28"/>
      <c r="EB56" s="28"/>
      <c r="EC56" s="28"/>
      <c r="ED56" s="28"/>
      <c r="EE56" s="28"/>
      <c r="EF56" s="28"/>
      <c r="EG56" s="28"/>
      <c r="EH56" s="28"/>
      <c r="EI56" s="28"/>
      <c r="EJ56" s="28"/>
      <c r="EK56" s="28"/>
      <c r="EL56" s="28"/>
      <c r="EM56" s="28"/>
      <c r="EN56" s="28"/>
      <c r="EO56" s="28"/>
      <c r="EP56" s="28"/>
      <c r="EQ56" s="28"/>
      <c r="ER56" s="28"/>
      <c r="ES56" s="28"/>
      <c r="ET56" s="28"/>
      <c r="EU56" s="28"/>
      <c r="EV56" s="28"/>
      <c r="EW56" s="28"/>
      <c r="EX56" s="28"/>
      <c r="EY56" s="28"/>
      <c r="EZ56" s="28"/>
      <c r="FA56" s="28"/>
      <c r="FB56" s="28"/>
      <c r="FC56" s="28"/>
      <c r="FD56" s="28"/>
      <c r="FE56" s="28"/>
      <c r="FF56" s="28"/>
      <c r="FG56" s="28"/>
      <c r="FH56" s="28"/>
      <c r="FI56" s="28"/>
      <c r="FJ56" s="28"/>
      <c r="FK56" s="28"/>
      <c r="FL56" s="28"/>
      <c r="FM56" s="28"/>
      <c r="FN56" s="28"/>
      <c r="FO56" s="28"/>
      <c r="FP56" s="28"/>
      <c r="FQ56" s="28"/>
      <c r="FR56" s="28"/>
      <c r="FS56" s="28"/>
      <c r="FT56" s="28"/>
      <c r="FU56" s="28"/>
      <c r="FV56" s="28"/>
      <c r="FW56" s="28"/>
      <c r="FX56" s="28"/>
      <c r="FY56" s="28"/>
      <c r="FZ56" s="28"/>
      <c r="GA56" s="28"/>
      <c r="GB56" s="28"/>
      <c r="GC56" s="28"/>
      <c r="GD56" s="28"/>
      <c r="GE56" s="28"/>
      <c r="GF56" s="28"/>
      <c r="GG56" s="28"/>
      <c r="GH56" s="28"/>
      <c r="GI56" s="28"/>
      <c r="GJ56" s="28"/>
      <c r="GK56" s="28"/>
      <c r="GL56" s="28"/>
      <c r="GM56" s="28"/>
      <c r="GN56" s="28"/>
      <c r="GO56" s="28"/>
      <c r="GP56" s="28"/>
      <c r="GQ56" s="28"/>
      <c r="GR56" s="28"/>
      <c r="GS56" s="28"/>
      <c r="GT56" s="28"/>
      <c r="GU56" s="28"/>
      <c r="GV56" s="28"/>
      <c r="GW56" s="28"/>
      <c r="GX56" s="28"/>
      <c r="GY56" s="28"/>
      <c r="GZ56" s="28"/>
      <c r="HA56" s="28"/>
      <c r="HB56" s="28"/>
      <c r="HC56" s="28"/>
      <c r="HD56" s="28"/>
      <c r="HE56" s="28"/>
      <c r="HF56" s="28"/>
      <c r="HG56" s="28"/>
      <c r="HH56" s="28"/>
      <c r="HI56" s="28"/>
      <c r="HJ56" s="28"/>
      <c r="HK56" s="28"/>
    </row>
    <row r="57" spans="1:219" ht="15" customHeight="1">
      <c r="A57" s="100">
        <v>1</v>
      </c>
      <c r="B57" s="132" t="str">
        <f>VLOOKUP(Ruimtestaat[[#This Row],[Code]],Locaties[[Code]:[Locatie]],2,FALSE)</f>
        <v>Mirtehuis</v>
      </c>
      <c r="C57" s="132" t="str">
        <f>VLOOKUP(Ruimtestaat[[#This Row],[Code]],Locaties[[#All],[Code]:[Adres]],4,FALSE)</f>
        <v>Weseperweg 6</v>
      </c>
      <c r="D57" s="132" t="str">
        <f>VLOOKUP(Ruimtestaat[[#This Row],[Code]],Locaties[[#All],[Code]:[Postcode]],5,FALSE)</f>
        <v>8111 PK</v>
      </c>
      <c r="E57" s="132" t="str">
        <f>VLOOKUP(Ruimtestaat[[#This Row],[Code]],Locaties[#All],6,FALSE)</f>
        <v>Heeten</v>
      </c>
      <c r="F57" s="100"/>
      <c r="G57" s="100" t="s">
        <v>1675</v>
      </c>
      <c r="H57" s="344" t="s">
        <v>1665</v>
      </c>
      <c r="I57" s="345" t="s">
        <v>1656</v>
      </c>
      <c r="J57" s="49">
        <v>20</v>
      </c>
      <c r="K57" s="140" t="str">
        <f>VLOOKUP(Ruimtestaat[[#This Row],[Ruimte code]],Ruimtegroepen[[#All],[Code]:[Ruimte omschrijving]],2,FALSE)</f>
        <v>Niet in Onderhoud</v>
      </c>
      <c r="L57" s="100" t="s">
        <v>100</v>
      </c>
      <c r="M57" s="345" t="s">
        <v>1636</v>
      </c>
      <c r="N57" s="133"/>
      <c r="O57" s="139"/>
      <c r="P57" s="134">
        <f>VLOOKUP(Ruimtestaat[[#This Row],[Ruimte code]],Ruimtegroepen[],4,FALSE)</f>
        <v>0</v>
      </c>
      <c r="Q57" s="100"/>
      <c r="R57" s="100"/>
      <c r="S57" s="100">
        <f>IF(Q57&gt;0,IF(RIGHT(Ruimtestaat[[#This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7" s="100">
        <f>IF(S57&gt;0,VLOOKUP($J57,Ruimtegroepen[],3,FALSE)*VLOOKUP($L57,Vloersoorten[],3,FALSE)*VLOOKUP($R57,Frequenties[],3,FALSE)*VLOOKUP($A57,Locaties[],3,FALSE),0)</f>
        <v>0</v>
      </c>
      <c r="U57" s="100">
        <f>Ruimtestaat[[#This Row],[Uitvoeringen werkdagen]]*Ruimtestaat[[#This Row],[Oppervlak (netto)]]</f>
        <v>0</v>
      </c>
      <c r="V57" s="135">
        <f>IF(T57&gt;0,Ruimtestaat[[#This Row],[Prest. (m2 /jaar) werkdagen]]/Ruimtestaat[[#This Row],[Norm (m2/uur) werkdagen]],0)</f>
        <v>0</v>
      </c>
      <c r="W57" s="136">
        <f>Ruimtestaat[[#This Row],[uren / jaar werkdagen]]*Tariefsopbouw!$E$35</f>
        <v>0</v>
      </c>
      <c r="X57" s="100"/>
      <c r="Y57" s="100">
        <f>IF(Ruimtestaat[[#This Row],[Frequentie weekend]]&gt;0,VALUE(LEFT(X57,1))*Q57,0)</f>
        <v>0</v>
      </c>
      <c r="Z57" s="99">
        <f>IF($Y57&gt;0,VLOOKUP($J57,Ruimtegroepen[],3,FALSE)*VLOOKUP($L57,Vloersoorten[],3,FALSE)*VLOOKUP($X57,Frequenties[],3,FALSE)*VLOOKUP(Ruimtestaat[[#This Row],[Code]],Locaties[],3,FALSE),0)</f>
        <v>0</v>
      </c>
      <c r="AA57" s="99">
        <f>Ruimtestaat[[#This Row],[Uitvoeringen weekend]]*Ruimtestaat[[#This Row],[Oppervlak (netto)]]</f>
        <v>0</v>
      </c>
      <c r="AB57" s="99">
        <f>IF(Z57&gt;0,Ruimtestaat[[#This Row],[Prest. (m2 /jaar) weekend]]/Ruimtestaat[[#This Row],[Norm (m2/uur) weekend]],0)</f>
        <v>0</v>
      </c>
      <c r="AC57" s="136">
        <f>Ruimtestaat[[#This Row],[uren / jaar weekend]]*Tariefsopbouw!$D$40</f>
        <v>0</v>
      </c>
      <c r="AD57" s="135">
        <f>Ruimtestaat[[#This Row],[Prest. (m2 /jaar) weekend]]+Ruimtestaat[[#This Row],[Prest. (m2 /jaar) werkdagen]]</f>
        <v>0</v>
      </c>
      <c r="AE57" s="135">
        <f>Ruimtestaat[[#This Row],[uren / jaar weekend]]+Ruimtestaat[[#This Row],[uren / jaar werkdagen]]</f>
        <v>0</v>
      </c>
      <c r="AF57" s="130">
        <f>Ruimtestaat[[#This Row],[kosten / jaar weekend]]+Ruimtestaat[[#This Row],[kosten / jaar werkdagen]]</f>
        <v>0</v>
      </c>
      <c r="AG57" s="130"/>
      <c r="AH57" s="137" t="str">
        <f>IF(Ruimtestaat[[#This Row],[Frequentie werkdagen]]="","",_xlfn.CONCAT(Ruimtestaat[[#This Row],[Ruimte code]],"-",Ruimtestaat[[#This Row],[Frequentie werkdagen]]," ",Ruimtestaat[[#This Row],[Vloer code]]))</f>
        <v/>
      </c>
      <c r="AI57" s="142" t="str">
        <f>_xlfn.IFNA(VLOOKUP($AH57,Programma!$F$3:$G$1101,2,0),"")</f>
        <v/>
      </c>
      <c r="AJ57" s="142" t="str">
        <f>_xlfn.IFNA(VLOOKUP($AH57,Programma!$F$3:$H$1101,3,0),"")</f>
        <v/>
      </c>
      <c r="AK57" s="142" t="str">
        <f>_xlfn.IFNA(VLOOKUP($AH57,Programma!$F$3:$I$1101,4,0),"")</f>
        <v/>
      </c>
      <c r="AL57" s="142" t="str">
        <f>_xlfn.IFNA(VLOOKUP($AH57,Programma!$F$3:$J$1101,5,0),"")</f>
        <v/>
      </c>
      <c r="AM57" s="142" t="str">
        <f>_xlfn.IFNA(VLOOKUP($AH57,Programma!$F$3:$K$1101,6,0),"")</f>
        <v/>
      </c>
      <c r="AN57" s="142" t="str">
        <f>_xlfn.IFNA(VLOOKUP($AH57,Programma!$F$3:$L$1101,7,0),"")</f>
        <v/>
      </c>
      <c r="AO57" s="142" t="str">
        <f>_xlfn.IFNA(VLOOKUP($AH57,Programma!$F$3:$M$1101,8,0),"")</f>
        <v/>
      </c>
      <c r="AP57" s="142" t="str">
        <f>_xlfn.IFNA(VLOOKUP($AH57,Programma!$F$3:$N$1101,9,0),"")</f>
        <v/>
      </c>
      <c r="AQ57" s="142" t="str">
        <f>_xlfn.IFNA(VLOOKUP($AH57,Programma!$F$3:$O$1101,10,0),"")</f>
        <v/>
      </c>
      <c r="AR57" s="142" t="str">
        <f>_xlfn.IFNA(VLOOKUP($AH57,Programma!$F$3:$P$1101,11,0),"")</f>
        <v/>
      </c>
      <c r="AS57" s="142" t="str">
        <f>_xlfn.IFNA(VLOOKUP($AH57,Programma!$F$3:$Q$1101,12,0),"")</f>
        <v/>
      </c>
      <c r="AT57" s="142" t="str">
        <f>_xlfn.IFNA(VLOOKUP($AH57,Programma!$F$3:$R$1101,13,0),"")</f>
        <v/>
      </c>
      <c r="AU57" s="142" t="str">
        <f>_xlfn.IFNA(VLOOKUP($AH57,Programma!$F$3:$S$1101,14,0),"")</f>
        <v/>
      </c>
      <c r="AV57" s="142" t="str">
        <f>_xlfn.IFNA(VLOOKUP($AH57,Programma!$F$3:$T$1101,15,0),"")</f>
        <v/>
      </c>
      <c r="AW57" s="142" t="str">
        <f>_xlfn.IFNA(VLOOKUP($AH57,Programma!$F$3:$U$1101,16,0),"")</f>
        <v/>
      </c>
      <c r="AX57" s="142" t="str">
        <f>_xlfn.IFNA(VLOOKUP($AH57,Programma!$F$3:$V$1101,17,0),"")</f>
        <v/>
      </c>
      <c r="AY57" s="142" t="str">
        <f>_xlfn.IFNA(VLOOKUP($AH57,Programma!$F$3:$W$1101,18,0),"")</f>
        <v/>
      </c>
      <c r="AZ57" s="142" t="str">
        <f>_xlfn.IFNA(VLOOKUP($AH57,Programma!$F$3:$X$1101,19,0),"")</f>
        <v/>
      </c>
      <c r="BA57" s="142" t="str">
        <f>_xlfn.IFNA(VLOOKUP($AH57,Programma!$F$3:$Y$1101,20,0),"")</f>
        <v/>
      </c>
      <c r="BB57" s="138"/>
      <c r="BC57" s="137" t="str">
        <f>IF(Ruimtestaat[[#This Row],[Frequentie weekend]]="","",_xlfn.CONCAT(Ruimtestaat[[#This Row],[Ruimte code]],"-",Ruimtestaat[[#This Row],[Frequentie weekend]]," ",Ruimtestaat[[#This Row],[Vloer code]]))</f>
        <v/>
      </c>
      <c r="BD57" s="142" t="str">
        <f>_xlfn.IFNA(VLOOKUP($BC57,Programma!$F$3:$G$1101,2,0),"")</f>
        <v/>
      </c>
      <c r="BE57" s="142" t="str">
        <f>_xlfn.IFNA(VLOOKUP($BC57,Programma!$F$3:$H$1101,3,0),"")</f>
        <v/>
      </c>
      <c r="BF57" s="142" t="str">
        <f>_xlfn.IFNA(VLOOKUP($BC57,Programma!$F$3:$I$1101,4,0),"")</f>
        <v/>
      </c>
      <c r="BG57" s="142" t="str">
        <f>_xlfn.IFNA(VLOOKUP($BC57,Programma!$F$3:$J$1101,5,0),"")</f>
        <v/>
      </c>
      <c r="BH57" s="142" t="str">
        <f>_xlfn.IFNA(VLOOKUP($BC57,Programma!$F$3:$K$1101,6,0),"")</f>
        <v/>
      </c>
      <c r="BI57" s="142" t="str">
        <f>_xlfn.IFNA(VLOOKUP($BC57,Programma!$F$3:$L$1101,7,0),"")</f>
        <v/>
      </c>
      <c r="BJ57" s="142" t="str">
        <f>_xlfn.IFNA(VLOOKUP($BC57,Programma!$F$3:$M$1101,8,0),"")</f>
        <v/>
      </c>
      <c r="BK57" s="142" t="str">
        <f>_xlfn.IFNA(VLOOKUP($BC57,Programma!$F$3:$N$1101,9,0),"")</f>
        <v/>
      </c>
      <c r="BL57" s="142" t="str">
        <f>_xlfn.IFNA(VLOOKUP($BC57,Programma!$F$3:$O$1101,10,0),"")</f>
        <v/>
      </c>
      <c r="BM57" s="142" t="str">
        <f>_xlfn.IFNA(VLOOKUP($BC57,Programma!$F$3:$P$1101,11,0),"")</f>
        <v/>
      </c>
      <c r="BN57" s="142" t="str">
        <f>_xlfn.IFNA(VLOOKUP($BC57,Programma!$F$3:$Q$1101,12,0),"")</f>
        <v/>
      </c>
      <c r="BO57" s="142" t="str">
        <f>_xlfn.IFNA(VLOOKUP($BC57,Programma!$F$3:$R$1101,13,0),"")</f>
        <v/>
      </c>
      <c r="BP57" s="142" t="str">
        <f>_xlfn.IFNA(VLOOKUP($BC57,Programma!$F$3:$S$1101,14,0),"")</f>
        <v/>
      </c>
      <c r="BQ57" s="142" t="str">
        <f>_xlfn.IFNA(VLOOKUP($BC57,Programma!$F$3:$T$1101,15,0),"")</f>
        <v/>
      </c>
      <c r="BR57" s="142" t="str">
        <f>_xlfn.IFNA(VLOOKUP($BC57,Programma!$F$3:$U$1101,16,0),"")</f>
        <v/>
      </c>
      <c r="BS57" s="142" t="str">
        <f>_xlfn.IFNA(VLOOKUP($BC57,Programma!$F$3:$V$1101,17,0),"")</f>
        <v/>
      </c>
      <c r="BT57" s="142" t="str">
        <f>_xlfn.IFNA(VLOOKUP($BC57,Programma!$F$3:$W$1101,18,0),"")</f>
        <v/>
      </c>
      <c r="BU57" s="142" t="str">
        <f>_xlfn.IFNA(VLOOKUP($BC57,Programma!$F$3:$X$1101,19,0),"")</f>
        <v/>
      </c>
      <c r="BV57" s="142" t="str">
        <f>_xlfn.IFNA(VLOOKUP($BC57,Programma!$F$3:$Y$1101,20,0),"")</f>
        <v/>
      </c>
      <c r="BW57" s="28"/>
      <c r="BX57" s="28"/>
      <c r="BY57" s="28"/>
      <c r="BZ57" s="28"/>
      <c r="CA57" s="28"/>
      <c r="CB57" s="28"/>
      <c r="CC57" s="28"/>
      <c r="CD57" s="28"/>
      <c r="CE57" s="28"/>
      <c r="CF57" s="28"/>
      <c r="CG57" s="28"/>
      <c r="CH57" s="28"/>
      <c r="CI57" s="28"/>
      <c r="CJ57" s="28"/>
      <c r="CK57" s="28"/>
      <c r="CL57" s="28"/>
      <c r="CM57" s="28"/>
      <c r="CN57" s="28"/>
      <c r="CO57" s="28"/>
      <c r="CP57" s="28"/>
      <c r="CQ57" s="28"/>
      <c r="CR57" s="28"/>
      <c r="CS57" s="28"/>
      <c r="CT57" s="28"/>
      <c r="CU57" s="28"/>
      <c r="CV57" s="28"/>
      <c r="CW57" s="28"/>
      <c r="CX57" s="28"/>
      <c r="CY57" s="28"/>
      <c r="CZ57" s="28"/>
      <c r="DA57" s="28"/>
      <c r="DB57" s="28"/>
      <c r="DC57" s="28"/>
      <c r="DD57" s="28"/>
      <c r="DE57" s="28"/>
      <c r="DF57" s="28"/>
      <c r="DG57" s="28"/>
      <c r="DH57" s="28"/>
      <c r="DI57" s="28"/>
      <c r="DJ57" s="28"/>
      <c r="DK57" s="28"/>
      <c r="DL57" s="28"/>
      <c r="DM57" s="28"/>
      <c r="DN57" s="28"/>
      <c r="DO57" s="28"/>
      <c r="DP57" s="28"/>
      <c r="DQ57" s="28"/>
      <c r="DR57" s="28"/>
      <c r="DS57" s="28"/>
      <c r="DT57" s="28"/>
      <c r="DU57" s="28"/>
      <c r="DV57" s="28"/>
      <c r="DW57" s="28"/>
      <c r="DX57" s="28"/>
      <c r="DY57" s="28"/>
      <c r="DZ57" s="28"/>
      <c r="EA57" s="28"/>
      <c r="EB57" s="28"/>
      <c r="EC57" s="28"/>
      <c r="ED57" s="28"/>
      <c r="EE57" s="28"/>
      <c r="EF57" s="28"/>
      <c r="EG57" s="28"/>
      <c r="EH57" s="28"/>
      <c r="EI57" s="28"/>
      <c r="EJ57" s="28"/>
      <c r="EK57" s="28"/>
      <c r="EL57" s="28"/>
      <c r="EM57" s="28"/>
      <c r="EN57" s="28"/>
      <c r="EO57" s="28"/>
      <c r="EP57" s="28"/>
      <c r="EQ57" s="28"/>
      <c r="ER57" s="28"/>
      <c r="ES57" s="28"/>
      <c r="ET57" s="28"/>
      <c r="EU57" s="28"/>
      <c r="EV57" s="28"/>
      <c r="EW57" s="28"/>
      <c r="EX57" s="28"/>
      <c r="EY57" s="28"/>
      <c r="EZ57" s="28"/>
      <c r="FA57" s="28"/>
      <c r="FB57" s="28"/>
      <c r="FC57" s="28"/>
      <c r="FD57" s="28"/>
      <c r="FE57" s="28"/>
      <c r="FF57" s="28"/>
      <c r="FG57" s="28"/>
      <c r="FH57" s="28"/>
      <c r="FI57" s="28"/>
      <c r="FJ57" s="28"/>
      <c r="FK57" s="28"/>
      <c r="FL57" s="28"/>
      <c r="FM57" s="28"/>
      <c r="FN57" s="28"/>
      <c r="FO57" s="28"/>
      <c r="FP57" s="28"/>
      <c r="FQ57" s="28"/>
      <c r="FR57" s="28"/>
      <c r="FS57" s="28"/>
      <c r="FT57" s="28"/>
      <c r="FU57" s="28"/>
      <c r="FV57" s="28"/>
      <c r="FW57" s="28"/>
      <c r="FX57" s="28"/>
      <c r="FY57" s="28"/>
      <c r="FZ57" s="28"/>
      <c r="GA57" s="28"/>
      <c r="GB57" s="28"/>
      <c r="GC57" s="28"/>
      <c r="GD57" s="28"/>
      <c r="GE57" s="28"/>
      <c r="GF57" s="28"/>
      <c r="GG57" s="28"/>
      <c r="GH57" s="28"/>
      <c r="GI57" s="28"/>
      <c r="GJ57" s="28"/>
      <c r="GK57" s="28"/>
      <c r="GL57" s="28"/>
      <c r="GM57" s="28"/>
      <c r="GN57" s="28"/>
      <c r="GO57" s="28"/>
      <c r="GP57" s="28"/>
      <c r="GQ57" s="28"/>
      <c r="GR57" s="28"/>
      <c r="GS57" s="28"/>
      <c r="GT57" s="28"/>
      <c r="GU57" s="28"/>
      <c r="GV57" s="28"/>
      <c r="GW57" s="28"/>
      <c r="GX57" s="28"/>
      <c r="GY57" s="28"/>
      <c r="GZ57" s="28"/>
      <c r="HA57" s="28"/>
      <c r="HB57" s="28"/>
      <c r="HC57" s="28"/>
      <c r="HD57" s="28"/>
      <c r="HE57" s="28"/>
      <c r="HF57" s="28"/>
      <c r="HG57" s="28"/>
      <c r="HH57" s="28"/>
      <c r="HI57" s="28"/>
      <c r="HJ57" s="28"/>
      <c r="HK57" s="28"/>
    </row>
    <row r="58" spans="1:219" ht="15" customHeight="1">
      <c r="A58" s="100">
        <v>1</v>
      </c>
      <c r="B58" s="132" t="str">
        <f>VLOOKUP(Ruimtestaat[[#This Row],[Code]],Locaties[[Code]:[Locatie]],2,FALSE)</f>
        <v>Mirtehuis</v>
      </c>
      <c r="C58" s="132" t="str">
        <f>VLOOKUP(Ruimtestaat[[#This Row],[Code]],Locaties[[#All],[Code]:[Adres]],4,FALSE)</f>
        <v>Weseperweg 6</v>
      </c>
      <c r="D58" s="132" t="str">
        <f>VLOOKUP(Ruimtestaat[[#This Row],[Code]],Locaties[[#All],[Code]:[Postcode]],5,FALSE)</f>
        <v>8111 PK</v>
      </c>
      <c r="E58" s="132" t="str">
        <f>VLOOKUP(Ruimtestaat[[#This Row],[Code]],Locaties[#All],6,FALSE)</f>
        <v>Heeten</v>
      </c>
      <c r="F58" s="100"/>
      <c r="G58" s="100" t="s">
        <v>1675</v>
      </c>
      <c r="H58" s="344"/>
      <c r="I58" s="345" t="s">
        <v>1641</v>
      </c>
      <c r="J58" s="49">
        <v>20</v>
      </c>
      <c r="K58" s="140" t="str">
        <f>VLOOKUP(Ruimtestaat[[#This Row],[Ruimte code]],Ruimtegroepen[[#All],[Code]:[Ruimte omschrijving]],2,FALSE)</f>
        <v>Niet in Onderhoud</v>
      </c>
      <c r="L58" s="100" t="s">
        <v>101</v>
      </c>
      <c r="M58" s="345" t="s">
        <v>1642</v>
      </c>
      <c r="N58" s="133"/>
      <c r="O58" s="100"/>
      <c r="P58" s="134">
        <f>VLOOKUP(Ruimtestaat[[#This Row],[Ruimte code]],Ruimtegroepen[],4,FALSE)</f>
        <v>0</v>
      </c>
      <c r="Q58" s="100"/>
      <c r="R58" s="100"/>
      <c r="S58" s="100">
        <f>IF(Q58&gt;0,IF(RIGHT(Ruimtestaat[[#This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8" s="100">
        <f>IF(S58&gt;0,VLOOKUP($J58,Ruimtegroepen[],3,FALSE)*VLOOKUP($L58,Vloersoorten[],3,FALSE)*VLOOKUP($R58,Frequenties[],3,FALSE)*VLOOKUP($A58,Locaties[],3,FALSE),0)</f>
        <v>0</v>
      </c>
      <c r="U58" s="100">
        <f>Ruimtestaat[[#This Row],[Uitvoeringen werkdagen]]*Ruimtestaat[[#This Row],[Oppervlak (netto)]]</f>
        <v>0</v>
      </c>
      <c r="V58" s="135">
        <f>IF(T58&gt;0,Ruimtestaat[[#This Row],[Prest. (m2 /jaar) werkdagen]]/Ruimtestaat[[#This Row],[Norm (m2/uur) werkdagen]],0)</f>
        <v>0</v>
      </c>
      <c r="W58" s="136">
        <f>Ruimtestaat[[#This Row],[uren / jaar werkdagen]]*Tariefsopbouw!$E$35</f>
        <v>0</v>
      </c>
      <c r="X58" s="100"/>
      <c r="Y58" s="100">
        <f>IF(Ruimtestaat[[#This Row],[Frequentie weekend]]&gt;0,VALUE(LEFT(X58,1))*Q58,0)</f>
        <v>0</v>
      </c>
      <c r="Z58" s="99">
        <f>IF($Y58&gt;0,VLOOKUP($J58,Ruimtegroepen[],3,FALSE)*VLOOKUP($L58,Vloersoorten[],3,FALSE)*VLOOKUP($X58,Frequenties[],3,FALSE)*VLOOKUP(Ruimtestaat[[#This Row],[Code]],Locaties[],3,FALSE),0)</f>
        <v>0</v>
      </c>
      <c r="AA58" s="99">
        <f>Ruimtestaat[[#This Row],[Uitvoeringen weekend]]*Ruimtestaat[[#This Row],[Oppervlak (netto)]]</f>
        <v>0</v>
      </c>
      <c r="AB58" s="99">
        <f>IF(Z58&gt;0,Ruimtestaat[[#This Row],[Prest. (m2 /jaar) weekend]]/Ruimtestaat[[#This Row],[Norm (m2/uur) weekend]],0)</f>
        <v>0</v>
      </c>
      <c r="AC58" s="136">
        <f>Ruimtestaat[[#This Row],[uren / jaar weekend]]*Tariefsopbouw!$D$40</f>
        <v>0</v>
      </c>
      <c r="AD58" s="135">
        <f>Ruimtestaat[[#This Row],[Prest. (m2 /jaar) weekend]]+Ruimtestaat[[#This Row],[Prest. (m2 /jaar) werkdagen]]</f>
        <v>0</v>
      </c>
      <c r="AE58" s="135">
        <f>Ruimtestaat[[#This Row],[uren / jaar weekend]]+Ruimtestaat[[#This Row],[uren / jaar werkdagen]]</f>
        <v>0</v>
      </c>
      <c r="AF58" s="130">
        <f>Ruimtestaat[[#This Row],[kosten / jaar weekend]]+Ruimtestaat[[#This Row],[kosten / jaar werkdagen]]</f>
        <v>0</v>
      </c>
      <c r="AG58" s="130"/>
      <c r="AH58" s="137" t="str">
        <f>IF(Ruimtestaat[[#This Row],[Frequentie werkdagen]]="","",_xlfn.CONCAT(Ruimtestaat[[#This Row],[Ruimte code]],"-",Ruimtestaat[[#This Row],[Frequentie werkdagen]]," ",Ruimtestaat[[#This Row],[Vloer code]]))</f>
        <v/>
      </c>
      <c r="AI58" s="142" t="str">
        <f>_xlfn.IFNA(VLOOKUP($AH58,Programma!$F$3:$G$1101,2,0),"")</f>
        <v/>
      </c>
      <c r="AJ58" s="142" t="str">
        <f>_xlfn.IFNA(VLOOKUP($AH58,Programma!$F$3:$H$1101,3,0),"")</f>
        <v/>
      </c>
      <c r="AK58" s="142" t="str">
        <f>_xlfn.IFNA(VLOOKUP($AH58,Programma!$F$3:$I$1101,4,0),"")</f>
        <v/>
      </c>
      <c r="AL58" s="142" t="str">
        <f>_xlfn.IFNA(VLOOKUP($AH58,Programma!$F$3:$J$1101,5,0),"")</f>
        <v/>
      </c>
      <c r="AM58" s="142" t="str">
        <f>_xlfn.IFNA(VLOOKUP($AH58,Programma!$F$3:$K$1101,6,0),"")</f>
        <v/>
      </c>
      <c r="AN58" s="142" t="str">
        <f>_xlfn.IFNA(VLOOKUP($AH58,Programma!$F$3:$L$1101,7,0),"")</f>
        <v/>
      </c>
      <c r="AO58" s="142" t="str">
        <f>_xlfn.IFNA(VLOOKUP($AH58,Programma!$F$3:$M$1101,8,0),"")</f>
        <v/>
      </c>
      <c r="AP58" s="142" t="str">
        <f>_xlfn.IFNA(VLOOKUP($AH58,Programma!$F$3:$N$1101,9,0),"")</f>
        <v/>
      </c>
      <c r="AQ58" s="142" t="str">
        <f>_xlfn.IFNA(VLOOKUP($AH58,Programma!$F$3:$O$1101,10,0),"")</f>
        <v/>
      </c>
      <c r="AR58" s="142" t="str">
        <f>_xlfn.IFNA(VLOOKUP($AH58,Programma!$F$3:$P$1101,11,0),"")</f>
        <v/>
      </c>
      <c r="AS58" s="142" t="str">
        <f>_xlfn.IFNA(VLOOKUP($AH58,Programma!$F$3:$Q$1101,12,0),"")</f>
        <v/>
      </c>
      <c r="AT58" s="142" t="str">
        <f>_xlfn.IFNA(VLOOKUP($AH58,Programma!$F$3:$R$1101,13,0),"")</f>
        <v/>
      </c>
      <c r="AU58" s="142" t="str">
        <f>_xlfn.IFNA(VLOOKUP($AH58,Programma!$F$3:$S$1101,14,0),"")</f>
        <v/>
      </c>
      <c r="AV58" s="142" t="str">
        <f>_xlfn.IFNA(VLOOKUP($AH58,Programma!$F$3:$T$1101,15,0),"")</f>
        <v/>
      </c>
      <c r="AW58" s="142" t="str">
        <f>_xlfn.IFNA(VLOOKUP($AH58,Programma!$F$3:$U$1101,16,0),"")</f>
        <v/>
      </c>
      <c r="AX58" s="142" t="str">
        <f>_xlfn.IFNA(VLOOKUP($AH58,Programma!$F$3:$V$1101,17,0),"")</f>
        <v/>
      </c>
      <c r="AY58" s="142" t="str">
        <f>_xlfn.IFNA(VLOOKUP($AH58,Programma!$F$3:$W$1101,18,0),"")</f>
        <v/>
      </c>
      <c r="AZ58" s="142" t="str">
        <f>_xlfn.IFNA(VLOOKUP($AH58,Programma!$F$3:$X$1101,19,0),"")</f>
        <v/>
      </c>
      <c r="BA58" s="142" t="str">
        <f>_xlfn.IFNA(VLOOKUP($AH58,Programma!$F$3:$Y$1101,20,0),"")</f>
        <v/>
      </c>
      <c r="BB58" s="138"/>
      <c r="BC58" s="137" t="str">
        <f>IF(Ruimtestaat[[#This Row],[Frequentie weekend]]="","",_xlfn.CONCAT(Ruimtestaat[[#This Row],[Ruimte code]],"-",Ruimtestaat[[#This Row],[Frequentie weekend]]," ",Ruimtestaat[[#This Row],[Vloer code]]))</f>
        <v/>
      </c>
      <c r="BD58" s="142" t="str">
        <f>_xlfn.IFNA(VLOOKUP($BC58,Programma!$F$3:$G$1101,2,0),"")</f>
        <v/>
      </c>
      <c r="BE58" s="142" t="str">
        <f>_xlfn.IFNA(VLOOKUP($BC58,Programma!$F$3:$H$1101,3,0),"")</f>
        <v/>
      </c>
      <c r="BF58" s="142" t="str">
        <f>_xlfn.IFNA(VLOOKUP($BC58,Programma!$F$3:$I$1101,4,0),"")</f>
        <v/>
      </c>
      <c r="BG58" s="142" t="str">
        <f>_xlfn.IFNA(VLOOKUP($BC58,Programma!$F$3:$J$1101,5,0),"")</f>
        <v/>
      </c>
      <c r="BH58" s="142" t="str">
        <f>_xlfn.IFNA(VLOOKUP($BC58,Programma!$F$3:$K$1101,6,0),"")</f>
        <v/>
      </c>
      <c r="BI58" s="142" t="str">
        <f>_xlfn.IFNA(VLOOKUP($BC58,Programma!$F$3:$L$1101,7,0),"")</f>
        <v/>
      </c>
      <c r="BJ58" s="142" t="str">
        <f>_xlfn.IFNA(VLOOKUP($BC58,Programma!$F$3:$M$1101,8,0),"")</f>
        <v/>
      </c>
      <c r="BK58" s="142" t="str">
        <f>_xlfn.IFNA(VLOOKUP($BC58,Programma!$F$3:$N$1101,9,0),"")</f>
        <v/>
      </c>
      <c r="BL58" s="142" t="str">
        <f>_xlfn.IFNA(VLOOKUP($BC58,Programma!$F$3:$O$1101,10,0),"")</f>
        <v/>
      </c>
      <c r="BM58" s="142" t="str">
        <f>_xlfn.IFNA(VLOOKUP($BC58,Programma!$F$3:$P$1101,11,0),"")</f>
        <v/>
      </c>
      <c r="BN58" s="142" t="str">
        <f>_xlfn.IFNA(VLOOKUP($BC58,Programma!$F$3:$Q$1101,12,0),"")</f>
        <v/>
      </c>
      <c r="BO58" s="142" t="str">
        <f>_xlfn.IFNA(VLOOKUP($BC58,Programma!$F$3:$R$1101,13,0),"")</f>
        <v/>
      </c>
      <c r="BP58" s="142" t="str">
        <f>_xlfn.IFNA(VLOOKUP($BC58,Programma!$F$3:$S$1101,14,0),"")</f>
        <v/>
      </c>
      <c r="BQ58" s="142" t="str">
        <f>_xlfn.IFNA(VLOOKUP($BC58,Programma!$F$3:$T$1101,15,0),"")</f>
        <v/>
      </c>
      <c r="BR58" s="142" t="str">
        <f>_xlfn.IFNA(VLOOKUP($BC58,Programma!$F$3:$U$1101,16,0),"")</f>
        <v/>
      </c>
      <c r="BS58" s="142" t="str">
        <f>_xlfn.IFNA(VLOOKUP($BC58,Programma!$F$3:$V$1101,17,0),"")</f>
        <v/>
      </c>
      <c r="BT58" s="142" t="str">
        <f>_xlfn.IFNA(VLOOKUP($BC58,Programma!$F$3:$W$1101,18,0),"")</f>
        <v/>
      </c>
      <c r="BU58" s="142" t="str">
        <f>_xlfn.IFNA(VLOOKUP($BC58,Programma!$F$3:$X$1101,19,0),"")</f>
        <v/>
      </c>
      <c r="BV58" s="142" t="str">
        <f>_xlfn.IFNA(VLOOKUP($BC58,Programma!$F$3:$Y$1101,20,0),"")</f>
        <v/>
      </c>
      <c r="BW58" s="28"/>
      <c r="BX58" s="28"/>
      <c r="BY58" s="28"/>
      <c r="BZ58" s="28"/>
      <c r="CA58" s="28"/>
      <c r="CB58" s="28"/>
      <c r="CC58" s="28"/>
      <c r="CD58" s="28"/>
      <c r="CE58" s="28"/>
      <c r="CF58" s="28"/>
      <c r="CG58" s="28"/>
      <c r="CH58" s="28"/>
      <c r="CI58" s="28"/>
      <c r="CJ58" s="28"/>
      <c r="CK58" s="28"/>
      <c r="CL58" s="28"/>
      <c r="CM58" s="28"/>
      <c r="CN58" s="28"/>
      <c r="CO58" s="28"/>
      <c r="CP58" s="28"/>
      <c r="CQ58" s="28"/>
      <c r="CR58" s="28"/>
      <c r="CS58" s="28"/>
      <c r="CT58" s="28"/>
      <c r="CU58" s="28"/>
      <c r="CV58" s="28"/>
      <c r="CW58" s="28"/>
      <c r="CX58" s="28"/>
      <c r="CY58" s="28"/>
      <c r="CZ58" s="28"/>
      <c r="DA58" s="28"/>
      <c r="DB58" s="28"/>
      <c r="DC58" s="28"/>
      <c r="DD58" s="28"/>
      <c r="DE58" s="28"/>
      <c r="DF58" s="28"/>
      <c r="DG58" s="28"/>
      <c r="DH58" s="28"/>
      <c r="DI58" s="28"/>
      <c r="DJ58" s="28"/>
      <c r="DK58" s="28"/>
      <c r="DL58" s="28"/>
      <c r="DM58" s="28"/>
      <c r="DN58" s="28"/>
      <c r="DO58" s="28"/>
      <c r="DP58" s="28"/>
      <c r="DQ58" s="28"/>
      <c r="DR58" s="28"/>
      <c r="DS58" s="28"/>
      <c r="DT58" s="28"/>
      <c r="DU58" s="28"/>
      <c r="DV58" s="28"/>
      <c r="DW58" s="28"/>
      <c r="DX58" s="28"/>
      <c r="DY58" s="28"/>
      <c r="DZ58" s="28"/>
      <c r="EA58" s="28"/>
      <c r="EB58" s="28"/>
      <c r="EC58" s="28"/>
      <c r="ED58" s="28"/>
      <c r="EE58" s="28"/>
      <c r="EF58" s="28"/>
      <c r="EG58" s="28"/>
      <c r="EH58" s="28"/>
      <c r="EI58" s="28"/>
      <c r="EJ58" s="28"/>
      <c r="EK58" s="28"/>
      <c r="EL58" s="28"/>
      <c r="EM58" s="28"/>
      <c r="EN58" s="28"/>
      <c r="EO58" s="28"/>
      <c r="EP58" s="28"/>
      <c r="EQ58" s="28"/>
      <c r="ER58" s="28"/>
      <c r="ES58" s="28"/>
      <c r="ET58" s="28"/>
      <c r="EU58" s="28"/>
      <c r="EV58" s="28"/>
      <c r="EW58" s="28"/>
      <c r="EX58" s="28"/>
      <c r="EY58" s="28"/>
      <c r="EZ58" s="28"/>
      <c r="FA58" s="28"/>
      <c r="FB58" s="28"/>
      <c r="FC58" s="28"/>
      <c r="FD58" s="28"/>
      <c r="FE58" s="28"/>
      <c r="FF58" s="28"/>
      <c r="FG58" s="28"/>
      <c r="FH58" s="28"/>
      <c r="FI58" s="28"/>
      <c r="FJ58" s="28"/>
      <c r="FK58" s="28"/>
      <c r="FL58" s="28"/>
      <c r="FM58" s="28"/>
      <c r="FN58" s="28"/>
      <c r="FO58" s="28"/>
      <c r="FP58" s="28"/>
      <c r="FQ58" s="28"/>
      <c r="FR58" s="28"/>
      <c r="FS58" s="28"/>
      <c r="FT58" s="28"/>
      <c r="FU58" s="28"/>
      <c r="FV58" s="28"/>
      <c r="FW58" s="28"/>
      <c r="FX58" s="28"/>
      <c r="FY58" s="28"/>
      <c r="FZ58" s="28"/>
      <c r="GA58" s="28"/>
      <c r="GB58" s="28"/>
      <c r="GC58" s="28"/>
      <c r="GD58" s="28"/>
      <c r="GE58" s="28"/>
      <c r="GF58" s="28"/>
      <c r="GG58" s="28"/>
      <c r="GH58" s="28"/>
      <c r="GI58" s="28"/>
      <c r="GJ58" s="28"/>
      <c r="GK58" s="28"/>
      <c r="GL58" s="28"/>
      <c r="GM58" s="28"/>
      <c r="GN58" s="28"/>
      <c r="GO58" s="28"/>
      <c r="GP58" s="28"/>
      <c r="GQ58" s="28"/>
      <c r="GR58" s="28"/>
      <c r="GS58" s="28"/>
      <c r="GT58" s="28"/>
      <c r="GU58" s="28"/>
      <c r="GV58" s="28"/>
      <c r="GW58" s="28"/>
      <c r="GX58" s="28"/>
      <c r="GY58" s="28"/>
      <c r="GZ58" s="28"/>
      <c r="HA58" s="28"/>
      <c r="HB58" s="28"/>
      <c r="HC58" s="28"/>
      <c r="HD58" s="28"/>
      <c r="HE58" s="28"/>
      <c r="HF58" s="28"/>
      <c r="HG58" s="28"/>
      <c r="HH58" s="28"/>
      <c r="HI58" s="28"/>
      <c r="HJ58" s="28"/>
      <c r="HK58" s="28"/>
    </row>
    <row r="59" spans="1:219" ht="15" customHeight="1">
      <c r="A59" s="100">
        <v>1</v>
      </c>
      <c r="B59" s="132" t="str">
        <f>VLOOKUP(Ruimtestaat[[#This Row],[Code]],Locaties[[Code]:[Locatie]],2,FALSE)</f>
        <v>Mirtehuis</v>
      </c>
      <c r="C59" s="132" t="str">
        <f>VLOOKUP(Ruimtestaat[[#This Row],[Code]],Locaties[[#All],[Code]:[Adres]],4,FALSE)</f>
        <v>Weseperweg 6</v>
      </c>
      <c r="D59" s="132" t="str">
        <f>VLOOKUP(Ruimtestaat[[#This Row],[Code]],Locaties[[#All],[Code]:[Postcode]],5,FALSE)</f>
        <v>8111 PK</v>
      </c>
      <c r="E59" s="132" t="str">
        <f>VLOOKUP(Ruimtestaat[[#This Row],[Code]],Locaties[#All],6,FALSE)</f>
        <v>Heeten</v>
      </c>
      <c r="F59" s="100"/>
      <c r="G59" s="100" t="s">
        <v>1675</v>
      </c>
      <c r="H59" s="344"/>
      <c r="I59" s="345" t="s">
        <v>1635</v>
      </c>
      <c r="J59" s="49">
        <v>20</v>
      </c>
      <c r="K59" s="140" t="str">
        <f>VLOOKUP(Ruimtestaat[[#This Row],[Ruimte code]],Ruimtegroepen[[#All],[Code]:[Ruimte omschrijving]],2,FALSE)</f>
        <v>Niet in Onderhoud</v>
      </c>
      <c r="L59" s="100" t="s">
        <v>100</v>
      </c>
      <c r="M59" s="345" t="s">
        <v>1636</v>
      </c>
      <c r="N59" s="133"/>
      <c r="O59" s="139"/>
      <c r="P59" s="134">
        <f>VLOOKUP(Ruimtestaat[[#This Row],[Ruimte code]],Ruimtegroepen[],4,FALSE)</f>
        <v>0</v>
      </c>
      <c r="Q59" s="100"/>
      <c r="R59" s="100"/>
      <c r="S59" s="100">
        <f>IF(Q59&gt;0,IF(RIGHT(Ruimtestaat[[#This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9" s="100">
        <f>IF(S59&gt;0,VLOOKUP($J59,Ruimtegroepen[],3,FALSE)*VLOOKUP($L59,Vloersoorten[],3,FALSE)*VLOOKUP($R59,Frequenties[],3,FALSE)*VLOOKUP($A59,Locaties[],3,FALSE),0)</f>
        <v>0</v>
      </c>
      <c r="U59" s="100">
        <f>Ruimtestaat[[#This Row],[Uitvoeringen werkdagen]]*Ruimtestaat[[#This Row],[Oppervlak (netto)]]</f>
        <v>0</v>
      </c>
      <c r="V59" s="135">
        <f>IF(T59&gt;0,Ruimtestaat[[#This Row],[Prest. (m2 /jaar) werkdagen]]/Ruimtestaat[[#This Row],[Norm (m2/uur) werkdagen]],0)</f>
        <v>0</v>
      </c>
      <c r="W59" s="136">
        <f>Ruimtestaat[[#This Row],[uren / jaar werkdagen]]*Tariefsopbouw!$E$35</f>
        <v>0</v>
      </c>
      <c r="X59" s="100"/>
      <c r="Y59" s="100">
        <f>IF(Ruimtestaat[[#This Row],[Frequentie weekend]]&gt;0,VALUE(LEFT(X59,1))*Q59,0)</f>
        <v>0</v>
      </c>
      <c r="Z59" s="99">
        <f>IF($Y59&gt;0,VLOOKUP($J59,Ruimtegroepen[],3,FALSE)*VLOOKUP($L59,Vloersoorten[],3,FALSE)*VLOOKUP($X59,Frequenties[],3,FALSE)*VLOOKUP(Ruimtestaat[[#This Row],[Code]],Locaties[],3,FALSE),0)</f>
        <v>0</v>
      </c>
      <c r="AA59" s="99">
        <f>Ruimtestaat[[#This Row],[Uitvoeringen weekend]]*Ruimtestaat[[#This Row],[Oppervlak (netto)]]</f>
        <v>0</v>
      </c>
      <c r="AB59" s="99">
        <f>IF(Z59&gt;0,Ruimtestaat[[#This Row],[Prest. (m2 /jaar) weekend]]/Ruimtestaat[[#This Row],[Norm (m2/uur) weekend]],0)</f>
        <v>0</v>
      </c>
      <c r="AC59" s="136">
        <f>Ruimtestaat[[#This Row],[uren / jaar weekend]]*Tariefsopbouw!$D$40</f>
        <v>0</v>
      </c>
      <c r="AD59" s="135">
        <f>Ruimtestaat[[#This Row],[Prest. (m2 /jaar) weekend]]+Ruimtestaat[[#This Row],[Prest. (m2 /jaar) werkdagen]]</f>
        <v>0</v>
      </c>
      <c r="AE59" s="135">
        <f>Ruimtestaat[[#This Row],[uren / jaar weekend]]+Ruimtestaat[[#This Row],[uren / jaar werkdagen]]</f>
        <v>0</v>
      </c>
      <c r="AF59" s="130">
        <f>Ruimtestaat[[#This Row],[kosten / jaar weekend]]+Ruimtestaat[[#This Row],[kosten / jaar werkdagen]]</f>
        <v>0</v>
      </c>
      <c r="AG59" s="130"/>
      <c r="AH59" s="137" t="str">
        <f>IF(Ruimtestaat[[#This Row],[Frequentie werkdagen]]="","",_xlfn.CONCAT(Ruimtestaat[[#This Row],[Ruimte code]],"-",Ruimtestaat[[#This Row],[Frequentie werkdagen]]," ",Ruimtestaat[[#This Row],[Vloer code]]))</f>
        <v/>
      </c>
      <c r="AI59" s="142" t="str">
        <f>_xlfn.IFNA(VLOOKUP($AH59,Programma!$F$3:$G$1101,2,0),"")</f>
        <v/>
      </c>
      <c r="AJ59" s="142" t="str">
        <f>_xlfn.IFNA(VLOOKUP($AH59,Programma!$F$3:$H$1101,3,0),"")</f>
        <v/>
      </c>
      <c r="AK59" s="142" t="str">
        <f>_xlfn.IFNA(VLOOKUP($AH59,Programma!$F$3:$I$1101,4,0),"")</f>
        <v/>
      </c>
      <c r="AL59" s="142" t="str">
        <f>_xlfn.IFNA(VLOOKUP($AH59,Programma!$F$3:$J$1101,5,0),"")</f>
        <v/>
      </c>
      <c r="AM59" s="142" t="str">
        <f>_xlfn.IFNA(VLOOKUP($AH59,Programma!$F$3:$K$1101,6,0),"")</f>
        <v/>
      </c>
      <c r="AN59" s="142" t="str">
        <f>_xlfn.IFNA(VLOOKUP($AH59,Programma!$F$3:$L$1101,7,0),"")</f>
        <v/>
      </c>
      <c r="AO59" s="142" t="str">
        <f>_xlfn.IFNA(VLOOKUP($AH59,Programma!$F$3:$M$1101,8,0),"")</f>
        <v/>
      </c>
      <c r="AP59" s="142" t="str">
        <f>_xlfn.IFNA(VLOOKUP($AH59,Programma!$F$3:$N$1101,9,0),"")</f>
        <v/>
      </c>
      <c r="AQ59" s="142" t="str">
        <f>_xlfn.IFNA(VLOOKUP($AH59,Programma!$F$3:$O$1101,10,0),"")</f>
        <v/>
      </c>
      <c r="AR59" s="142" t="str">
        <f>_xlfn.IFNA(VLOOKUP($AH59,Programma!$F$3:$P$1101,11,0),"")</f>
        <v/>
      </c>
      <c r="AS59" s="142" t="str">
        <f>_xlfn.IFNA(VLOOKUP($AH59,Programma!$F$3:$Q$1101,12,0),"")</f>
        <v/>
      </c>
      <c r="AT59" s="142" t="str">
        <f>_xlfn.IFNA(VLOOKUP($AH59,Programma!$F$3:$R$1101,13,0),"")</f>
        <v/>
      </c>
      <c r="AU59" s="142" t="str">
        <f>_xlfn.IFNA(VLOOKUP($AH59,Programma!$F$3:$S$1101,14,0),"")</f>
        <v/>
      </c>
      <c r="AV59" s="142" t="str">
        <f>_xlfn.IFNA(VLOOKUP($AH59,Programma!$F$3:$T$1101,15,0),"")</f>
        <v/>
      </c>
      <c r="AW59" s="142" t="str">
        <f>_xlfn.IFNA(VLOOKUP($AH59,Programma!$F$3:$U$1101,16,0),"")</f>
        <v/>
      </c>
      <c r="AX59" s="142" t="str">
        <f>_xlfn.IFNA(VLOOKUP($AH59,Programma!$F$3:$V$1101,17,0),"")</f>
        <v/>
      </c>
      <c r="AY59" s="142" t="str">
        <f>_xlfn.IFNA(VLOOKUP($AH59,Programma!$F$3:$W$1101,18,0),"")</f>
        <v/>
      </c>
      <c r="AZ59" s="142" t="str">
        <f>_xlfn.IFNA(VLOOKUP($AH59,Programma!$F$3:$X$1101,19,0),"")</f>
        <v/>
      </c>
      <c r="BA59" s="142" t="str">
        <f>_xlfn.IFNA(VLOOKUP($AH59,Programma!$F$3:$Y$1101,20,0),"")</f>
        <v/>
      </c>
      <c r="BB59" s="138"/>
      <c r="BC59" s="137" t="str">
        <f>IF(Ruimtestaat[[#This Row],[Frequentie weekend]]="","",_xlfn.CONCAT(Ruimtestaat[[#This Row],[Ruimte code]],"-",Ruimtestaat[[#This Row],[Frequentie weekend]]," ",Ruimtestaat[[#This Row],[Vloer code]]))</f>
        <v/>
      </c>
      <c r="BD59" s="142" t="str">
        <f>_xlfn.IFNA(VLOOKUP($BC59,Programma!$F$3:$G$1101,2,0),"")</f>
        <v/>
      </c>
      <c r="BE59" s="142" t="str">
        <f>_xlfn.IFNA(VLOOKUP($BC59,Programma!$F$3:$H$1101,3,0),"")</f>
        <v/>
      </c>
      <c r="BF59" s="142" t="str">
        <f>_xlfn.IFNA(VLOOKUP($BC59,Programma!$F$3:$I$1101,4,0),"")</f>
        <v/>
      </c>
      <c r="BG59" s="142" t="str">
        <f>_xlfn.IFNA(VLOOKUP($BC59,Programma!$F$3:$J$1101,5,0),"")</f>
        <v/>
      </c>
      <c r="BH59" s="142" t="str">
        <f>_xlfn.IFNA(VLOOKUP($BC59,Programma!$F$3:$K$1101,6,0),"")</f>
        <v/>
      </c>
      <c r="BI59" s="142" t="str">
        <f>_xlfn.IFNA(VLOOKUP($BC59,Programma!$F$3:$L$1101,7,0),"")</f>
        <v/>
      </c>
      <c r="BJ59" s="142" t="str">
        <f>_xlfn.IFNA(VLOOKUP($BC59,Programma!$F$3:$M$1101,8,0),"")</f>
        <v/>
      </c>
      <c r="BK59" s="142" t="str">
        <f>_xlfn.IFNA(VLOOKUP($BC59,Programma!$F$3:$N$1101,9,0),"")</f>
        <v/>
      </c>
      <c r="BL59" s="142" t="str">
        <f>_xlfn.IFNA(VLOOKUP($BC59,Programma!$F$3:$O$1101,10,0),"")</f>
        <v/>
      </c>
      <c r="BM59" s="142" t="str">
        <f>_xlfn.IFNA(VLOOKUP($BC59,Programma!$F$3:$P$1101,11,0),"")</f>
        <v/>
      </c>
      <c r="BN59" s="142" t="str">
        <f>_xlfn.IFNA(VLOOKUP($BC59,Programma!$F$3:$Q$1101,12,0),"")</f>
        <v/>
      </c>
      <c r="BO59" s="142" t="str">
        <f>_xlfn.IFNA(VLOOKUP($BC59,Programma!$F$3:$R$1101,13,0),"")</f>
        <v/>
      </c>
      <c r="BP59" s="142" t="str">
        <f>_xlfn.IFNA(VLOOKUP($BC59,Programma!$F$3:$S$1101,14,0),"")</f>
        <v/>
      </c>
      <c r="BQ59" s="142" t="str">
        <f>_xlfn.IFNA(VLOOKUP($BC59,Programma!$F$3:$T$1101,15,0),"")</f>
        <v/>
      </c>
      <c r="BR59" s="142" t="str">
        <f>_xlfn.IFNA(VLOOKUP($BC59,Programma!$F$3:$U$1101,16,0),"")</f>
        <v/>
      </c>
      <c r="BS59" s="142" t="str">
        <f>_xlfn.IFNA(VLOOKUP($BC59,Programma!$F$3:$V$1101,17,0),"")</f>
        <v/>
      </c>
      <c r="BT59" s="142" t="str">
        <f>_xlfn.IFNA(VLOOKUP($BC59,Programma!$F$3:$W$1101,18,0),"")</f>
        <v/>
      </c>
      <c r="BU59" s="142" t="str">
        <f>_xlfn.IFNA(VLOOKUP($BC59,Programma!$F$3:$X$1101,19,0),"")</f>
        <v/>
      </c>
      <c r="BV59" s="142" t="str">
        <f>_xlfn.IFNA(VLOOKUP($BC59,Programma!$F$3:$Y$1101,20,0),"")</f>
        <v/>
      </c>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8"/>
      <c r="EG59" s="28"/>
      <c r="EH59" s="28"/>
      <c r="EI59" s="28"/>
      <c r="EJ59" s="28"/>
      <c r="EK59" s="28"/>
      <c r="EL59" s="28"/>
      <c r="EM59" s="28"/>
      <c r="EN59" s="28"/>
      <c r="EO59" s="28"/>
      <c r="EP59" s="28"/>
      <c r="EQ59" s="28"/>
      <c r="ER59" s="28"/>
      <c r="ES59" s="28"/>
      <c r="ET59" s="28"/>
      <c r="EU59" s="28"/>
      <c r="EV59" s="28"/>
      <c r="EW59" s="28"/>
      <c r="EX59" s="28"/>
      <c r="EY59" s="28"/>
      <c r="EZ59" s="28"/>
      <c r="FA59" s="28"/>
      <c r="FB59" s="28"/>
      <c r="FC59" s="28"/>
      <c r="FD59" s="28"/>
      <c r="FE59" s="28"/>
      <c r="FF59" s="28"/>
      <c r="FG59" s="28"/>
      <c r="FH59" s="28"/>
      <c r="FI59" s="28"/>
      <c r="FJ59" s="28"/>
      <c r="FK59" s="28"/>
      <c r="FL59" s="28"/>
      <c r="FM59" s="28"/>
      <c r="FN59" s="28"/>
      <c r="FO59" s="28"/>
      <c r="FP59" s="28"/>
      <c r="FQ59" s="28"/>
      <c r="FR59" s="28"/>
      <c r="FS59" s="28"/>
      <c r="FT59" s="28"/>
      <c r="FU59" s="28"/>
      <c r="FV59" s="28"/>
      <c r="FW59" s="28"/>
      <c r="FX59" s="28"/>
      <c r="FY59" s="28"/>
      <c r="FZ59" s="28"/>
      <c r="GA59" s="28"/>
      <c r="GB59" s="28"/>
      <c r="GC59" s="28"/>
      <c r="GD59" s="28"/>
      <c r="GE59" s="28"/>
      <c r="GF59" s="28"/>
      <c r="GG59" s="28"/>
      <c r="GH59" s="28"/>
      <c r="GI59" s="28"/>
      <c r="GJ59" s="28"/>
      <c r="GK59" s="28"/>
      <c r="GL59" s="28"/>
      <c r="GM59" s="28"/>
      <c r="GN59" s="28"/>
      <c r="GO59" s="28"/>
      <c r="GP59" s="28"/>
      <c r="GQ59" s="28"/>
      <c r="GR59" s="28"/>
      <c r="GS59" s="28"/>
      <c r="GT59" s="28"/>
      <c r="GU59" s="28"/>
      <c r="GV59" s="28"/>
      <c r="GW59" s="28"/>
      <c r="GX59" s="28"/>
      <c r="GY59" s="28"/>
      <c r="GZ59" s="28"/>
      <c r="HA59" s="28"/>
      <c r="HB59" s="28"/>
      <c r="HC59" s="28"/>
      <c r="HD59" s="28"/>
      <c r="HE59" s="28"/>
      <c r="HF59" s="28"/>
      <c r="HG59" s="28"/>
      <c r="HH59" s="28"/>
      <c r="HI59" s="28"/>
      <c r="HJ59" s="28"/>
      <c r="HK59" s="28"/>
    </row>
    <row r="60" spans="1:219" ht="15" customHeight="1">
      <c r="A60" s="100">
        <v>1</v>
      </c>
      <c r="B60" s="132" t="str">
        <f>VLOOKUP(Ruimtestaat[[#This Row],[Code]],Locaties[[Code]:[Locatie]],2,FALSE)</f>
        <v>Mirtehuis</v>
      </c>
      <c r="C60" s="132" t="str">
        <f>VLOOKUP(Ruimtestaat[[#This Row],[Code]],Locaties[[#All],[Code]:[Adres]],4,FALSE)</f>
        <v>Weseperweg 6</v>
      </c>
      <c r="D60" s="132" t="str">
        <f>VLOOKUP(Ruimtestaat[[#This Row],[Code]],Locaties[[#All],[Code]:[Postcode]],5,FALSE)</f>
        <v>8111 PK</v>
      </c>
      <c r="E60" s="132" t="str">
        <f>VLOOKUP(Ruimtestaat[[#This Row],[Code]],Locaties[#All],6,FALSE)</f>
        <v>Heeten</v>
      </c>
      <c r="F60" s="100"/>
      <c r="G60" s="100" t="s">
        <v>1675</v>
      </c>
      <c r="H60" s="344"/>
      <c r="I60" s="345" t="s">
        <v>1650</v>
      </c>
      <c r="J60" s="49">
        <v>6</v>
      </c>
      <c r="K60" s="140" t="str">
        <f>VLOOKUP(Ruimtestaat[[#This Row],[Ruimte code]],Ruimtegroepen[[#All],[Code]:[Ruimte omschrijving]],2,FALSE)</f>
        <v>Gangen/hallen</v>
      </c>
      <c r="L60" s="100" t="s">
        <v>100</v>
      </c>
      <c r="M60" s="345" t="s">
        <v>1636</v>
      </c>
      <c r="N60" s="133">
        <v>18</v>
      </c>
      <c r="O60" s="139"/>
      <c r="P60" s="134" t="str">
        <f>VLOOKUP(Ruimtestaat[[#This Row],[Ruimte code]],Ruimtegroepen[],4,FALSE)</f>
        <v>Ve</v>
      </c>
      <c r="Q60" s="100">
        <v>51</v>
      </c>
      <c r="R60" s="100" t="s">
        <v>2</v>
      </c>
      <c r="S60" s="100">
        <f>IF(Q60&gt;0,IF(RIGHT(Ruimtestaat[[#This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60" s="100">
        <f>IF(S60&gt;0,VLOOKUP($J60,Ruimtegroepen[],3,FALSE)*VLOOKUP($L60,Vloersoorten[],3,FALSE)*VLOOKUP($R60,Frequenties[],3,FALSE)*VLOOKUP($A60,Locaties[],3,FALSE),0)</f>
        <v>0</v>
      </c>
      <c r="U60" s="100">
        <f>Ruimtestaat[[#This Row],[Uitvoeringen werkdagen]]*Ruimtestaat[[#This Row],[Oppervlak (netto)]]</f>
        <v>4590</v>
      </c>
      <c r="V60" s="135">
        <f>IF(T60&gt;0,Ruimtestaat[[#This Row],[Prest. (m2 /jaar) werkdagen]]/Ruimtestaat[[#This Row],[Norm (m2/uur) werkdagen]],0)</f>
        <v>0</v>
      </c>
      <c r="W60" s="136">
        <f>Ruimtestaat[[#This Row],[uren / jaar werkdagen]]*Tariefsopbouw!$E$35</f>
        <v>0</v>
      </c>
      <c r="X60" s="100"/>
      <c r="Y60" s="100">
        <f>IF(Ruimtestaat[[#This Row],[Frequentie weekend]]&gt;0,VALUE(LEFT(X60,1))*Q60,0)</f>
        <v>0</v>
      </c>
      <c r="Z60" s="99">
        <f>IF($Y60&gt;0,VLOOKUP($J60,Ruimtegroepen[],3,FALSE)*VLOOKUP($L60,Vloersoorten[],3,FALSE)*VLOOKUP($X60,Frequenties[],3,FALSE)*VLOOKUP(Ruimtestaat[[#This Row],[Code]],Locaties[],3,FALSE),0)</f>
        <v>0</v>
      </c>
      <c r="AA60" s="99">
        <f>Ruimtestaat[[#This Row],[Uitvoeringen weekend]]*Ruimtestaat[[#This Row],[Oppervlak (netto)]]</f>
        <v>0</v>
      </c>
      <c r="AB60" s="99">
        <f>IF(Z60&gt;0,Ruimtestaat[[#This Row],[Prest. (m2 /jaar) weekend]]/Ruimtestaat[[#This Row],[Norm (m2/uur) weekend]],0)</f>
        <v>0</v>
      </c>
      <c r="AC60" s="136">
        <f>Ruimtestaat[[#This Row],[uren / jaar weekend]]*Tariefsopbouw!$D$40</f>
        <v>0</v>
      </c>
      <c r="AD60" s="135">
        <f>Ruimtestaat[[#This Row],[Prest. (m2 /jaar) weekend]]+Ruimtestaat[[#This Row],[Prest. (m2 /jaar) werkdagen]]</f>
        <v>4590</v>
      </c>
      <c r="AE60" s="135">
        <f>Ruimtestaat[[#This Row],[uren / jaar weekend]]+Ruimtestaat[[#This Row],[uren / jaar werkdagen]]</f>
        <v>0</v>
      </c>
      <c r="AF60" s="130">
        <f>Ruimtestaat[[#This Row],[kosten / jaar weekend]]+Ruimtestaat[[#This Row],[kosten / jaar werkdagen]]</f>
        <v>0</v>
      </c>
      <c r="AG60" s="130"/>
      <c r="AH60" s="137" t="str">
        <f>IF(Ruimtestaat[[#This Row],[Frequentie werkdagen]]="","",_xlfn.CONCAT(Ruimtestaat[[#This Row],[Ruimte code]],"-",Ruimtestaat[[#This Row],[Frequentie werkdagen]]," ",Ruimtestaat[[#This Row],[Vloer code]]))</f>
        <v>6-5w L</v>
      </c>
      <c r="AI60" s="142" t="str">
        <f>_xlfn.IFNA(VLOOKUP($AH60,Programma!$F$3:$G$1101,2,0),"")</f>
        <v>_</v>
      </c>
      <c r="AJ60" s="142" t="str">
        <f>_xlfn.IFNA(VLOOKUP($AH60,Programma!$F$3:$H$1101,3,0),"")</f>
        <v>_</v>
      </c>
      <c r="AK60" s="142" t="str">
        <f>_xlfn.IFNA(VLOOKUP($AH60,Programma!$F$3:$I$1101,4,0),"")</f>
        <v>_</v>
      </c>
      <c r="AL60" s="142" t="str">
        <f>_xlfn.IFNA(VLOOKUP($AH60,Programma!$F$3:$J$1101,5,0),"")</f>
        <v>5w</v>
      </c>
      <c r="AM60" s="142" t="str">
        <f>_xlfn.IFNA(VLOOKUP($AH60,Programma!$F$3:$K$1101,6,0),"")</f>
        <v>_</v>
      </c>
      <c r="AN60" s="142" t="str">
        <f>_xlfn.IFNA(VLOOKUP($AH60,Programma!$F$3:$L$1101,7,0),"")</f>
        <v>_</v>
      </c>
      <c r="AO60" s="142" t="str">
        <f>_xlfn.IFNA(VLOOKUP($AH60,Programma!$F$3:$M$1101,8,0),"")</f>
        <v>_</v>
      </c>
      <c r="AP60" s="142" t="str">
        <f>_xlfn.IFNA(VLOOKUP($AH60,Programma!$F$3:$N$1101,9,0),"")</f>
        <v>_</v>
      </c>
      <c r="AQ60" s="142" t="str">
        <f>_xlfn.IFNA(VLOOKUP($AH60,Programma!$F$3:$O$1101,10,0),"")</f>
        <v>5w</v>
      </c>
      <c r="AR60" s="142" t="str">
        <f>_xlfn.IFNA(VLOOKUP($AH60,Programma!$F$3:$P$1101,11,0),"")</f>
        <v>5w</v>
      </c>
      <c r="AS60" s="142" t="str">
        <f>_xlfn.IFNA(VLOOKUP($AH60,Programma!$F$3:$Q$1101,12,0),"")</f>
        <v>1w</v>
      </c>
      <c r="AT60" s="142" t="str">
        <f>_xlfn.IFNA(VLOOKUP($AH60,Programma!$F$3:$R$1101,13,0),"")</f>
        <v>1w</v>
      </c>
      <c r="AU60" s="142" t="str">
        <f>_xlfn.IFNA(VLOOKUP($AH60,Programma!$F$3:$S$1101,14,0),"")</f>
        <v>1m</v>
      </c>
      <c r="AV60" s="142" t="str">
        <f>_xlfn.IFNA(VLOOKUP($AH60,Programma!$F$3:$T$1101,15,0),"")</f>
        <v>2j</v>
      </c>
      <c r="AW60" s="142" t="str">
        <f>_xlfn.IFNA(VLOOKUP($AH60,Programma!$F$3:$U$1101,16,0),"")</f>
        <v>1j</v>
      </c>
      <c r="AX60" s="142" t="str">
        <f>_xlfn.IFNA(VLOOKUP($AH60,Programma!$F$3:$V$1101,17,0),"")</f>
        <v>_</v>
      </c>
      <c r="AY60" s="142" t="str">
        <f>_xlfn.IFNA(VLOOKUP($AH60,Programma!$F$3:$W$1101,18,0),"")</f>
        <v>_</v>
      </c>
      <c r="AZ60" s="142" t="str">
        <f>_xlfn.IFNA(VLOOKUP($AH60,Programma!$F$3:$X$1101,19,0),"")</f>
        <v>_</v>
      </c>
      <c r="BA60" s="142" t="str">
        <f>_xlfn.IFNA(VLOOKUP($AH60,Programma!$F$3:$Y$1101,20,0),"")</f>
        <v>_</v>
      </c>
      <c r="BB60" s="138"/>
      <c r="BC60" s="137" t="str">
        <f>IF(Ruimtestaat[[#This Row],[Frequentie weekend]]="","",_xlfn.CONCAT(Ruimtestaat[[#This Row],[Ruimte code]],"-",Ruimtestaat[[#This Row],[Frequentie weekend]]," ",Ruimtestaat[[#This Row],[Vloer code]]))</f>
        <v/>
      </c>
      <c r="BD60" s="142" t="str">
        <f>_xlfn.IFNA(VLOOKUP($BC60,Programma!$F$3:$G$1101,2,0),"")</f>
        <v/>
      </c>
      <c r="BE60" s="142" t="str">
        <f>_xlfn.IFNA(VLOOKUP($BC60,Programma!$F$3:$H$1101,3,0),"")</f>
        <v/>
      </c>
      <c r="BF60" s="142" t="str">
        <f>_xlfn.IFNA(VLOOKUP($BC60,Programma!$F$3:$I$1101,4,0),"")</f>
        <v/>
      </c>
      <c r="BG60" s="142" t="str">
        <f>_xlfn.IFNA(VLOOKUP($BC60,Programma!$F$3:$J$1101,5,0),"")</f>
        <v/>
      </c>
      <c r="BH60" s="142" t="str">
        <f>_xlfn.IFNA(VLOOKUP($BC60,Programma!$F$3:$K$1101,6,0),"")</f>
        <v/>
      </c>
      <c r="BI60" s="142" t="str">
        <f>_xlfn.IFNA(VLOOKUP($BC60,Programma!$F$3:$L$1101,7,0),"")</f>
        <v/>
      </c>
      <c r="BJ60" s="142" t="str">
        <f>_xlfn.IFNA(VLOOKUP($BC60,Programma!$F$3:$M$1101,8,0),"")</f>
        <v/>
      </c>
      <c r="BK60" s="142" t="str">
        <f>_xlfn.IFNA(VLOOKUP($BC60,Programma!$F$3:$N$1101,9,0),"")</f>
        <v/>
      </c>
      <c r="BL60" s="142" t="str">
        <f>_xlfn.IFNA(VLOOKUP($BC60,Programma!$F$3:$O$1101,10,0),"")</f>
        <v/>
      </c>
      <c r="BM60" s="142" t="str">
        <f>_xlfn.IFNA(VLOOKUP($BC60,Programma!$F$3:$P$1101,11,0),"")</f>
        <v/>
      </c>
      <c r="BN60" s="142" t="str">
        <f>_xlfn.IFNA(VLOOKUP($BC60,Programma!$F$3:$Q$1101,12,0),"")</f>
        <v/>
      </c>
      <c r="BO60" s="142" t="str">
        <f>_xlfn.IFNA(VLOOKUP($BC60,Programma!$F$3:$R$1101,13,0),"")</f>
        <v/>
      </c>
      <c r="BP60" s="142" t="str">
        <f>_xlfn.IFNA(VLOOKUP($BC60,Programma!$F$3:$S$1101,14,0),"")</f>
        <v/>
      </c>
      <c r="BQ60" s="142" t="str">
        <f>_xlfn.IFNA(VLOOKUP($BC60,Programma!$F$3:$T$1101,15,0),"")</f>
        <v/>
      </c>
      <c r="BR60" s="142" t="str">
        <f>_xlfn.IFNA(VLOOKUP($BC60,Programma!$F$3:$U$1101,16,0),"")</f>
        <v/>
      </c>
      <c r="BS60" s="142" t="str">
        <f>_xlfn.IFNA(VLOOKUP($BC60,Programma!$F$3:$V$1101,17,0),"")</f>
        <v/>
      </c>
      <c r="BT60" s="142" t="str">
        <f>_xlfn.IFNA(VLOOKUP($BC60,Programma!$F$3:$W$1101,18,0),"")</f>
        <v/>
      </c>
      <c r="BU60" s="142" t="str">
        <f>_xlfn.IFNA(VLOOKUP($BC60,Programma!$F$3:$X$1101,19,0),"")</f>
        <v/>
      </c>
      <c r="BV60" s="142" t="str">
        <f>_xlfn.IFNA(VLOOKUP($BC60,Programma!$F$3:$Y$1101,20,0),"")</f>
        <v/>
      </c>
      <c r="BW60" s="28"/>
      <c r="BX60" s="28"/>
      <c r="BY60" s="28"/>
      <c r="BZ60" s="28"/>
      <c r="CA60" s="28"/>
      <c r="CB60" s="28"/>
      <c r="CC60" s="28"/>
      <c r="CD60" s="28"/>
      <c r="CE60" s="28"/>
      <c r="CF60" s="28"/>
      <c r="CG60" s="28"/>
      <c r="CH60" s="28"/>
      <c r="CI60" s="28"/>
      <c r="CJ60" s="28"/>
      <c r="CK60" s="28"/>
      <c r="CL60" s="28"/>
      <c r="CM60" s="28"/>
      <c r="CN60" s="28"/>
      <c r="CO60" s="28"/>
      <c r="CP60" s="28"/>
      <c r="CQ60" s="28"/>
      <c r="CR60" s="28"/>
      <c r="CS60" s="28"/>
      <c r="CT60" s="28"/>
      <c r="CU60" s="28"/>
      <c r="CV60" s="28"/>
      <c r="CW60" s="28"/>
      <c r="CX60" s="28"/>
      <c r="CY60" s="28"/>
      <c r="CZ60" s="28"/>
      <c r="DA60" s="28"/>
      <c r="DB60" s="28"/>
      <c r="DC60" s="28"/>
      <c r="DD60" s="28"/>
      <c r="DE60" s="28"/>
      <c r="DF60" s="28"/>
      <c r="DG60" s="28"/>
      <c r="DH60" s="28"/>
      <c r="DI60" s="28"/>
      <c r="DJ60" s="28"/>
      <c r="DK60" s="28"/>
      <c r="DL60" s="28"/>
      <c r="DM60" s="28"/>
      <c r="DN60" s="28"/>
      <c r="DO60" s="28"/>
      <c r="DP60" s="28"/>
      <c r="DQ60" s="28"/>
      <c r="DR60" s="28"/>
      <c r="DS60" s="28"/>
      <c r="DT60" s="28"/>
      <c r="DU60" s="28"/>
      <c r="DV60" s="28"/>
      <c r="DW60" s="28"/>
      <c r="DX60" s="28"/>
      <c r="DY60" s="28"/>
      <c r="DZ60" s="28"/>
      <c r="EA60" s="28"/>
      <c r="EB60" s="28"/>
      <c r="EC60" s="28"/>
      <c r="ED60" s="28"/>
      <c r="EE60" s="28"/>
      <c r="EF60" s="28"/>
      <c r="EG60" s="28"/>
      <c r="EH60" s="28"/>
      <c r="EI60" s="28"/>
      <c r="EJ60" s="28"/>
      <c r="EK60" s="28"/>
      <c r="EL60" s="28"/>
      <c r="EM60" s="28"/>
      <c r="EN60" s="28"/>
      <c r="EO60" s="28"/>
      <c r="EP60" s="28"/>
      <c r="EQ60" s="28"/>
      <c r="ER60" s="28"/>
      <c r="ES60" s="28"/>
      <c r="ET60" s="28"/>
      <c r="EU60" s="28"/>
      <c r="EV60" s="28"/>
      <c r="EW60" s="28"/>
      <c r="EX60" s="28"/>
      <c r="EY60" s="28"/>
      <c r="EZ60" s="28"/>
      <c r="FA60" s="28"/>
      <c r="FB60" s="28"/>
      <c r="FC60" s="28"/>
      <c r="FD60" s="28"/>
      <c r="FE60" s="28"/>
      <c r="FF60" s="28"/>
      <c r="FG60" s="28"/>
      <c r="FH60" s="28"/>
      <c r="FI60" s="28"/>
      <c r="FJ60" s="28"/>
      <c r="FK60" s="28"/>
      <c r="FL60" s="28"/>
      <c r="FM60" s="28"/>
      <c r="FN60" s="28"/>
      <c r="FO60" s="28"/>
      <c r="FP60" s="28"/>
      <c r="FQ60" s="28"/>
      <c r="FR60" s="28"/>
      <c r="FS60" s="28"/>
      <c r="FT60" s="28"/>
      <c r="FU60" s="28"/>
      <c r="FV60" s="28"/>
      <c r="FW60" s="28"/>
      <c r="FX60" s="28"/>
      <c r="FY60" s="28"/>
      <c r="FZ60" s="28"/>
      <c r="GA60" s="28"/>
      <c r="GB60" s="28"/>
      <c r="GC60" s="28"/>
      <c r="GD60" s="28"/>
      <c r="GE60" s="28"/>
      <c r="GF60" s="28"/>
      <c r="GG60" s="28"/>
      <c r="GH60" s="28"/>
      <c r="GI60" s="28"/>
      <c r="GJ60" s="28"/>
      <c r="GK60" s="28"/>
      <c r="GL60" s="28"/>
      <c r="GM60" s="28"/>
      <c r="GN60" s="28"/>
      <c r="GO60" s="28"/>
      <c r="GP60" s="28"/>
      <c r="GQ60" s="28"/>
      <c r="GR60" s="28"/>
      <c r="GS60" s="28"/>
      <c r="GT60" s="28"/>
      <c r="GU60" s="28"/>
      <c r="GV60" s="28"/>
      <c r="GW60" s="28"/>
      <c r="GX60" s="28"/>
      <c r="GY60" s="28"/>
      <c r="GZ60" s="28"/>
      <c r="HA60" s="28"/>
      <c r="HB60" s="28"/>
      <c r="HC60" s="28"/>
      <c r="HD60" s="28"/>
      <c r="HE60" s="28"/>
      <c r="HF60" s="28"/>
      <c r="HG60" s="28"/>
      <c r="HH60" s="28"/>
      <c r="HI60" s="28"/>
      <c r="HJ60" s="28"/>
      <c r="HK60" s="28"/>
    </row>
    <row r="61" spans="1:219" ht="15" customHeight="1">
      <c r="A61" s="100">
        <v>1</v>
      </c>
      <c r="B61" s="132" t="str">
        <f>VLOOKUP(Ruimtestaat[[#This Row],[Code]],Locaties[[Code]:[Locatie]],2,FALSE)</f>
        <v>Mirtehuis</v>
      </c>
      <c r="C61" s="132" t="str">
        <f>VLOOKUP(Ruimtestaat[[#This Row],[Code]],Locaties[[#All],[Code]:[Adres]],4,FALSE)</f>
        <v>Weseperweg 6</v>
      </c>
      <c r="D61" s="132" t="str">
        <f>VLOOKUP(Ruimtestaat[[#This Row],[Code]],Locaties[[#All],[Code]:[Postcode]],5,FALSE)</f>
        <v>8111 PK</v>
      </c>
      <c r="E61" s="132" t="str">
        <f>VLOOKUP(Ruimtestaat[[#This Row],[Code]],Locaties[#All],6,FALSE)</f>
        <v>Heeten</v>
      </c>
      <c r="F61" s="100"/>
      <c r="G61" s="100" t="s">
        <v>1675</v>
      </c>
      <c r="H61" s="344"/>
      <c r="I61" s="345" t="s">
        <v>1650</v>
      </c>
      <c r="J61" s="49">
        <v>20</v>
      </c>
      <c r="K61" s="140" t="str">
        <f>VLOOKUP(Ruimtestaat[[#This Row],[Ruimte code]],Ruimtegroepen[[#All],[Code]:[Ruimte omschrijving]],2,FALSE)</f>
        <v>Niet in Onderhoud</v>
      </c>
      <c r="L61" s="100" t="s">
        <v>100</v>
      </c>
      <c r="M61" s="345" t="s">
        <v>1636</v>
      </c>
      <c r="N61" s="133"/>
      <c r="O61" s="100"/>
      <c r="P61" s="134">
        <f>VLOOKUP(Ruimtestaat[[#This Row],[Ruimte code]],Ruimtegroepen[],4,FALSE)</f>
        <v>0</v>
      </c>
      <c r="Q61" s="100"/>
      <c r="R61" s="100"/>
      <c r="S61" s="100">
        <f>IF(Q61&gt;0,IF(RIGHT(Ruimtestaat[[#This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1" s="100">
        <f>IF(S61&gt;0,VLOOKUP($J61,Ruimtegroepen[],3,FALSE)*VLOOKUP($L61,Vloersoorten[],3,FALSE)*VLOOKUP($R61,Frequenties[],3,FALSE)*VLOOKUP($A61,Locaties[],3,FALSE),0)</f>
        <v>0</v>
      </c>
      <c r="U61" s="100">
        <f>Ruimtestaat[[#This Row],[Uitvoeringen werkdagen]]*Ruimtestaat[[#This Row],[Oppervlak (netto)]]</f>
        <v>0</v>
      </c>
      <c r="V61" s="135">
        <f>IF(T61&gt;0,Ruimtestaat[[#This Row],[Prest. (m2 /jaar) werkdagen]]/Ruimtestaat[[#This Row],[Norm (m2/uur) werkdagen]],0)</f>
        <v>0</v>
      </c>
      <c r="W61" s="136">
        <f>Ruimtestaat[[#This Row],[uren / jaar werkdagen]]*Tariefsopbouw!$E$35</f>
        <v>0</v>
      </c>
      <c r="X61" s="100"/>
      <c r="Y61" s="100">
        <f>IF(Ruimtestaat[[#This Row],[Frequentie weekend]]&gt;0,VALUE(LEFT(X61,1))*Q61,0)</f>
        <v>0</v>
      </c>
      <c r="Z61" s="99">
        <f>IF($Y61&gt;0,VLOOKUP($J61,Ruimtegroepen[],3,FALSE)*VLOOKUP($L61,Vloersoorten[],3,FALSE)*VLOOKUP($X61,Frequenties[],3,FALSE)*VLOOKUP(Ruimtestaat[[#This Row],[Code]],Locaties[],3,FALSE),0)</f>
        <v>0</v>
      </c>
      <c r="AA61" s="99">
        <f>Ruimtestaat[[#This Row],[Uitvoeringen weekend]]*Ruimtestaat[[#This Row],[Oppervlak (netto)]]</f>
        <v>0</v>
      </c>
      <c r="AB61" s="99">
        <f>IF(Z61&gt;0,Ruimtestaat[[#This Row],[Prest. (m2 /jaar) weekend]]/Ruimtestaat[[#This Row],[Norm (m2/uur) weekend]],0)</f>
        <v>0</v>
      </c>
      <c r="AC61" s="136">
        <f>Ruimtestaat[[#This Row],[uren / jaar weekend]]*Tariefsopbouw!$D$40</f>
        <v>0</v>
      </c>
      <c r="AD61" s="135">
        <f>Ruimtestaat[[#This Row],[Prest. (m2 /jaar) weekend]]+Ruimtestaat[[#This Row],[Prest. (m2 /jaar) werkdagen]]</f>
        <v>0</v>
      </c>
      <c r="AE61" s="135">
        <f>Ruimtestaat[[#This Row],[uren / jaar weekend]]+Ruimtestaat[[#This Row],[uren / jaar werkdagen]]</f>
        <v>0</v>
      </c>
      <c r="AF61" s="130">
        <f>Ruimtestaat[[#This Row],[kosten / jaar weekend]]+Ruimtestaat[[#This Row],[kosten / jaar werkdagen]]</f>
        <v>0</v>
      </c>
      <c r="AG61" s="130"/>
      <c r="AH61" s="137" t="str">
        <f>IF(Ruimtestaat[[#This Row],[Frequentie werkdagen]]="","",_xlfn.CONCAT(Ruimtestaat[[#This Row],[Ruimte code]],"-",Ruimtestaat[[#This Row],[Frequentie werkdagen]]," ",Ruimtestaat[[#This Row],[Vloer code]]))</f>
        <v/>
      </c>
      <c r="AI61" s="142" t="str">
        <f>_xlfn.IFNA(VLOOKUP($AH61,Programma!$F$3:$G$1101,2,0),"")</f>
        <v/>
      </c>
      <c r="AJ61" s="142" t="str">
        <f>_xlfn.IFNA(VLOOKUP($AH61,Programma!$F$3:$H$1101,3,0),"")</f>
        <v/>
      </c>
      <c r="AK61" s="142" t="str">
        <f>_xlfn.IFNA(VLOOKUP($AH61,Programma!$F$3:$I$1101,4,0),"")</f>
        <v/>
      </c>
      <c r="AL61" s="142" t="str">
        <f>_xlfn.IFNA(VLOOKUP($AH61,Programma!$F$3:$J$1101,5,0),"")</f>
        <v/>
      </c>
      <c r="AM61" s="142" t="str">
        <f>_xlfn.IFNA(VLOOKUP($AH61,Programma!$F$3:$K$1101,6,0),"")</f>
        <v/>
      </c>
      <c r="AN61" s="142" t="str">
        <f>_xlfn.IFNA(VLOOKUP($AH61,Programma!$F$3:$L$1101,7,0),"")</f>
        <v/>
      </c>
      <c r="AO61" s="142" t="str">
        <f>_xlfn.IFNA(VLOOKUP($AH61,Programma!$F$3:$M$1101,8,0),"")</f>
        <v/>
      </c>
      <c r="AP61" s="142" t="str">
        <f>_xlfn.IFNA(VLOOKUP($AH61,Programma!$F$3:$N$1101,9,0),"")</f>
        <v/>
      </c>
      <c r="AQ61" s="142" t="str">
        <f>_xlfn.IFNA(VLOOKUP($AH61,Programma!$F$3:$O$1101,10,0),"")</f>
        <v/>
      </c>
      <c r="AR61" s="142" t="str">
        <f>_xlfn.IFNA(VLOOKUP($AH61,Programma!$F$3:$P$1101,11,0),"")</f>
        <v/>
      </c>
      <c r="AS61" s="142" t="str">
        <f>_xlfn.IFNA(VLOOKUP($AH61,Programma!$F$3:$Q$1101,12,0),"")</f>
        <v/>
      </c>
      <c r="AT61" s="142" t="str">
        <f>_xlfn.IFNA(VLOOKUP($AH61,Programma!$F$3:$R$1101,13,0),"")</f>
        <v/>
      </c>
      <c r="AU61" s="142" t="str">
        <f>_xlfn.IFNA(VLOOKUP($AH61,Programma!$F$3:$S$1101,14,0),"")</f>
        <v/>
      </c>
      <c r="AV61" s="142" t="str">
        <f>_xlfn.IFNA(VLOOKUP($AH61,Programma!$F$3:$T$1101,15,0),"")</f>
        <v/>
      </c>
      <c r="AW61" s="142" t="str">
        <f>_xlfn.IFNA(VLOOKUP($AH61,Programma!$F$3:$U$1101,16,0),"")</f>
        <v/>
      </c>
      <c r="AX61" s="142" t="str">
        <f>_xlfn.IFNA(VLOOKUP($AH61,Programma!$F$3:$V$1101,17,0),"")</f>
        <v/>
      </c>
      <c r="AY61" s="142" t="str">
        <f>_xlfn.IFNA(VLOOKUP($AH61,Programma!$F$3:$W$1101,18,0),"")</f>
        <v/>
      </c>
      <c r="AZ61" s="142" t="str">
        <f>_xlfn.IFNA(VLOOKUP($AH61,Programma!$F$3:$X$1101,19,0),"")</f>
        <v/>
      </c>
      <c r="BA61" s="142" t="str">
        <f>_xlfn.IFNA(VLOOKUP($AH61,Programma!$F$3:$Y$1101,20,0),"")</f>
        <v/>
      </c>
      <c r="BB61" s="138"/>
      <c r="BC61" s="137" t="str">
        <f>IF(Ruimtestaat[[#This Row],[Frequentie weekend]]="","",_xlfn.CONCAT(Ruimtestaat[[#This Row],[Ruimte code]],"-",Ruimtestaat[[#This Row],[Frequentie weekend]]," ",Ruimtestaat[[#This Row],[Vloer code]]))</f>
        <v/>
      </c>
      <c r="BD61" s="142" t="str">
        <f>_xlfn.IFNA(VLOOKUP($BC61,Programma!$F$3:$G$1101,2,0),"")</f>
        <v/>
      </c>
      <c r="BE61" s="142" t="str">
        <f>_xlfn.IFNA(VLOOKUP($BC61,Programma!$F$3:$H$1101,3,0),"")</f>
        <v/>
      </c>
      <c r="BF61" s="142" t="str">
        <f>_xlfn.IFNA(VLOOKUP($BC61,Programma!$F$3:$I$1101,4,0),"")</f>
        <v/>
      </c>
      <c r="BG61" s="142" t="str">
        <f>_xlfn.IFNA(VLOOKUP($BC61,Programma!$F$3:$J$1101,5,0),"")</f>
        <v/>
      </c>
      <c r="BH61" s="142" t="str">
        <f>_xlfn.IFNA(VLOOKUP($BC61,Programma!$F$3:$K$1101,6,0),"")</f>
        <v/>
      </c>
      <c r="BI61" s="142" t="str">
        <f>_xlfn.IFNA(VLOOKUP($BC61,Programma!$F$3:$L$1101,7,0),"")</f>
        <v/>
      </c>
      <c r="BJ61" s="142" t="str">
        <f>_xlfn.IFNA(VLOOKUP($BC61,Programma!$F$3:$M$1101,8,0),"")</f>
        <v/>
      </c>
      <c r="BK61" s="142" t="str">
        <f>_xlfn.IFNA(VLOOKUP($BC61,Programma!$F$3:$N$1101,9,0),"")</f>
        <v/>
      </c>
      <c r="BL61" s="142" t="str">
        <f>_xlfn.IFNA(VLOOKUP($BC61,Programma!$F$3:$O$1101,10,0),"")</f>
        <v/>
      </c>
      <c r="BM61" s="142" t="str">
        <f>_xlfn.IFNA(VLOOKUP($BC61,Programma!$F$3:$P$1101,11,0),"")</f>
        <v/>
      </c>
      <c r="BN61" s="142" t="str">
        <f>_xlfn.IFNA(VLOOKUP($BC61,Programma!$F$3:$Q$1101,12,0),"")</f>
        <v/>
      </c>
      <c r="BO61" s="142" t="str">
        <f>_xlfn.IFNA(VLOOKUP($BC61,Programma!$F$3:$R$1101,13,0),"")</f>
        <v/>
      </c>
      <c r="BP61" s="142" t="str">
        <f>_xlfn.IFNA(VLOOKUP($BC61,Programma!$F$3:$S$1101,14,0),"")</f>
        <v/>
      </c>
      <c r="BQ61" s="142" t="str">
        <f>_xlfn.IFNA(VLOOKUP($BC61,Programma!$F$3:$T$1101,15,0),"")</f>
        <v/>
      </c>
      <c r="BR61" s="142" t="str">
        <f>_xlfn.IFNA(VLOOKUP($BC61,Programma!$F$3:$U$1101,16,0),"")</f>
        <v/>
      </c>
      <c r="BS61" s="142" t="str">
        <f>_xlfn.IFNA(VLOOKUP($BC61,Programma!$F$3:$V$1101,17,0),"")</f>
        <v/>
      </c>
      <c r="BT61" s="142" t="str">
        <f>_xlfn.IFNA(VLOOKUP($BC61,Programma!$F$3:$W$1101,18,0),"")</f>
        <v/>
      </c>
      <c r="BU61" s="142" t="str">
        <f>_xlfn.IFNA(VLOOKUP($BC61,Programma!$F$3:$X$1101,19,0),"")</f>
        <v/>
      </c>
      <c r="BV61" s="142" t="str">
        <f>_xlfn.IFNA(VLOOKUP($BC61,Programma!$F$3:$Y$1101,20,0),"")</f>
        <v/>
      </c>
      <c r="BW61" s="28"/>
      <c r="BX61" s="28"/>
      <c r="BY61" s="28"/>
      <c r="BZ61" s="28"/>
      <c r="CA61" s="28"/>
      <c r="CB61" s="28"/>
      <c r="CC61" s="28"/>
      <c r="CD61" s="28"/>
      <c r="CE61" s="28"/>
      <c r="CF61" s="28"/>
      <c r="CG61" s="28"/>
      <c r="CH61" s="28"/>
      <c r="CI61" s="28"/>
      <c r="CJ61" s="28"/>
      <c r="CK61" s="28"/>
      <c r="CL61" s="28"/>
      <c r="CM61" s="28"/>
      <c r="CN61" s="28"/>
      <c r="CO61" s="28"/>
      <c r="CP61" s="28"/>
      <c r="CQ61" s="28"/>
      <c r="CR61" s="28"/>
      <c r="CS61" s="28"/>
      <c r="CT61" s="28"/>
      <c r="CU61" s="28"/>
      <c r="CV61" s="28"/>
      <c r="CW61" s="28"/>
      <c r="CX61" s="28"/>
      <c r="CY61" s="28"/>
      <c r="CZ61" s="28"/>
      <c r="DA61" s="28"/>
      <c r="DB61" s="28"/>
      <c r="DC61" s="28"/>
      <c r="DD61" s="28"/>
      <c r="DE61" s="28"/>
      <c r="DF61" s="28"/>
      <c r="DG61" s="28"/>
      <c r="DH61" s="28"/>
      <c r="DI61" s="28"/>
      <c r="DJ61" s="28"/>
      <c r="DK61" s="28"/>
      <c r="DL61" s="28"/>
      <c r="DM61" s="28"/>
      <c r="DN61" s="28"/>
      <c r="DO61" s="28"/>
      <c r="DP61" s="28"/>
      <c r="DQ61" s="28"/>
      <c r="DR61" s="28"/>
      <c r="DS61" s="28"/>
      <c r="DT61" s="28"/>
      <c r="DU61" s="28"/>
      <c r="DV61" s="28"/>
      <c r="DW61" s="28"/>
      <c r="DX61" s="28"/>
      <c r="DY61" s="28"/>
      <c r="DZ61" s="28"/>
      <c r="EA61" s="28"/>
      <c r="EB61" s="28"/>
      <c r="EC61" s="28"/>
      <c r="ED61" s="28"/>
      <c r="EE61" s="28"/>
      <c r="EF61" s="28"/>
      <c r="EG61" s="28"/>
      <c r="EH61" s="28"/>
      <c r="EI61" s="28"/>
      <c r="EJ61" s="28"/>
      <c r="EK61" s="28"/>
      <c r="EL61" s="28"/>
      <c r="EM61" s="28"/>
      <c r="EN61" s="28"/>
      <c r="EO61" s="28"/>
      <c r="EP61" s="28"/>
      <c r="EQ61" s="28"/>
      <c r="ER61" s="28"/>
      <c r="ES61" s="28"/>
      <c r="ET61" s="28"/>
      <c r="EU61" s="28"/>
      <c r="EV61" s="28"/>
      <c r="EW61" s="28"/>
      <c r="EX61" s="28"/>
      <c r="EY61" s="28"/>
      <c r="EZ61" s="28"/>
      <c r="FA61" s="28"/>
      <c r="FB61" s="28"/>
      <c r="FC61" s="28"/>
      <c r="FD61" s="28"/>
      <c r="FE61" s="28"/>
      <c r="FF61" s="28"/>
      <c r="FG61" s="28"/>
      <c r="FH61" s="28"/>
      <c r="FI61" s="28"/>
      <c r="FJ61" s="28"/>
      <c r="FK61" s="28"/>
      <c r="FL61" s="28"/>
      <c r="FM61" s="28"/>
      <c r="FN61" s="28"/>
      <c r="FO61" s="28"/>
      <c r="FP61" s="28"/>
      <c r="FQ61" s="28"/>
      <c r="FR61" s="28"/>
      <c r="FS61" s="28"/>
      <c r="FT61" s="28"/>
      <c r="FU61" s="28"/>
      <c r="FV61" s="28"/>
      <c r="FW61" s="28"/>
      <c r="FX61" s="28"/>
      <c r="FY61" s="28"/>
      <c r="FZ61" s="28"/>
      <c r="GA61" s="28"/>
      <c r="GB61" s="28"/>
      <c r="GC61" s="28"/>
      <c r="GD61" s="28"/>
      <c r="GE61" s="28"/>
      <c r="GF61" s="28"/>
      <c r="GG61" s="28"/>
      <c r="GH61" s="28"/>
      <c r="GI61" s="28"/>
      <c r="GJ61" s="28"/>
      <c r="GK61" s="28"/>
      <c r="GL61" s="28"/>
      <c r="GM61" s="28"/>
      <c r="GN61" s="28"/>
      <c r="GO61" s="28"/>
      <c r="GP61" s="28"/>
      <c r="GQ61" s="28"/>
      <c r="GR61" s="28"/>
      <c r="GS61" s="28"/>
      <c r="GT61" s="28"/>
      <c r="GU61" s="28"/>
      <c r="GV61" s="28"/>
      <c r="GW61" s="28"/>
      <c r="GX61" s="28"/>
      <c r="GY61" s="28"/>
      <c r="GZ61" s="28"/>
      <c r="HA61" s="28"/>
      <c r="HB61" s="28"/>
      <c r="HC61" s="28"/>
      <c r="HD61" s="28"/>
      <c r="HE61" s="28"/>
      <c r="HF61" s="28"/>
      <c r="HG61" s="28"/>
      <c r="HH61" s="28"/>
      <c r="HI61" s="28"/>
      <c r="HJ61" s="28"/>
      <c r="HK61" s="28"/>
    </row>
    <row r="62" spans="1:219" ht="15" customHeight="1">
      <c r="A62" s="100">
        <v>1</v>
      </c>
      <c r="B62" s="132" t="str">
        <f>VLOOKUP(Ruimtestaat[[#This Row],[Code]],Locaties[[Code]:[Locatie]],2,FALSE)</f>
        <v>Mirtehuis</v>
      </c>
      <c r="C62" s="132" t="str">
        <f>VLOOKUP(Ruimtestaat[[#This Row],[Code]],Locaties[[#All],[Code]:[Adres]],4,FALSE)</f>
        <v>Weseperweg 6</v>
      </c>
      <c r="D62" s="132" t="str">
        <f>VLOOKUP(Ruimtestaat[[#This Row],[Code]],Locaties[[#All],[Code]:[Postcode]],5,FALSE)</f>
        <v>8111 PK</v>
      </c>
      <c r="E62" s="132" t="str">
        <f>VLOOKUP(Ruimtestaat[[#This Row],[Code]],Locaties[#All],6,FALSE)</f>
        <v>Heeten</v>
      </c>
      <c r="F62" s="100"/>
      <c r="G62" s="100" t="s">
        <v>1675</v>
      </c>
      <c r="H62" s="344"/>
      <c r="I62" s="345" t="s">
        <v>1656</v>
      </c>
      <c r="J62" s="49">
        <v>20</v>
      </c>
      <c r="K62" s="140" t="str">
        <f>VLOOKUP(Ruimtestaat[[#This Row],[Ruimte code]],Ruimtegroepen[[#All],[Code]:[Ruimte omschrijving]],2,FALSE)</f>
        <v>Niet in Onderhoud</v>
      </c>
      <c r="L62" s="100" t="s">
        <v>100</v>
      </c>
      <c r="M62" s="345" t="s">
        <v>1636</v>
      </c>
      <c r="N62" s="133"/>
      <c r="O62" s="139"/>
      <c r="P62" s="134">
        <f>VLOOKUP(Ruimtestaat[[#This Row],[Ruimte code]],Ruimtegroepen[],4,FALSE)</f>
        <v>0</v>
      </c>
      <c r="Q62" s="100"/>
      <c r="R62" s="100"/>
      <c r="S62" s="100">
        <f>IF(Q62&gt;0,IF(RIGHT(Ruimtestaat[[#This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2" s="100">
        <f>IF(S62&gt;0,VLOOKUP($J62,Ruimtegroepen[],3,FALSE)*VLOOKUP($L62,Vloersoorten[],3,FALSE)*VLOOKUP($R62,Frequenties[],3,FALSE)*VLOOKUP($A62,Locaties[],3,FALSE),0)</f>
        <v>0</v>
      </c>
      <c r="U62" s="100">
        <f>Ruimtestaat[[#This Row],[Uitvoeringen werkdagen]]*Ruimtestaat[[#This Row],[Oppervlak (netto)]]</f>
        <v>0</v>
      </c>
      <c r="V62" s="135">
        <f>IF(T62&gt;0,Ruimtestaat[[#This Row],[Prest. (m2 /jaar) werkdagen]]/Ruimtestaat[[#This Row],[Norm (m2/uur) werkdagen]],0)</f>
        <v>0</v>
      </c>
      <c r="W62" s="136">
        <f>Ruimtestaat[[#This Row],[uren / jaar werkdagen]]*Tariefsopbouw!$E$35</f>
        <v>0</v>
      </c>
      <c r="X62" s="100"/>
      <c r="Y62" s="100">
        <f>IF(Ruimtestaat[[#This Row],[Frequentie weekend]]&gt;0,VALUE(LEFT(X62,1))*Q62,0)</f>
        <v>0</v>
      </c>
      <c r="Z62" s="99">
        <f>IF($Y62&gt;0,VLOOKUP($J62,Ruimtegroepen[],3,FALSE)*VLOOKUP($L62,Vloersoorten[],3,FALSE)*VLOOKUP($X62,Frequenties[],3,FALSE)*VLOOKUP(Ruimtestaat[[#This Row],[Code]],Locaties[],3,FALSE),0)</f>
        <v>0</v>
      </c>
      <c r="AA62" s="99">
        <f>Ruimtestaat[[#This Row],[Uitvoeringen weekend]]*Ruimtestaat[[#This Row],[Oppervlak (netto)]]</f>
        <v>0</v>
      </c>
      <c r="AB62" s="99">
        <f>IF(Z62&gt;0,Ruimtestaat[[#This Row],[Prest. (m2 /jaar) weekend]]/Ruimtestaat[[#This Row],[Norm (m2/uur) weekend]],0)</f>
        <v>0</v>
      </c>
      <c r="AC62" s="136">
        <f>Ruimtestaat[[#This Row],[uren / jaar weekend]]*Tariefsopbouw!$D$40</f>
        <v>0</v>
      </c>
      <c r="AD62" s="135">
        <f>Ruimtestaat[[#This Row],[Prest. (m2 /jaar) weekend]]+Ruimtestaat[[#This Row],[Prest. (m2 /jaar) werkdagen]]</f>
        <v>0</v>
      </c>
      <c r="AE62" s="135">
        <f>Ruimtestaat[[#This Row],[uren / jaar weekend]]+Ruimtestaat[[#This Row],[uren / jaar werkdagen]]</f>
        <v>0</v>
      </c>
      <c r="AF62" s="130">
        <f>Ruimtestaat[[#This Row],[kosten / jaar weekend]]+Ruimtestaat[[#This Row],[kosten / jaar werkdagen]]</f>
        <v>0</v>
      </c>
      <c r="AG62" s="130"/>
      <c r="AH62" s="137" t="str">
        <f>IF(Ruimtestaat[[#This Row],[Frequentie werkdagen]]="","",_xlfn.CONCAT(Ruimtestaat[[#This Row],[Ruimte code]],"-",Ruimtestaat[[#This Row],[Frequentie werkdagen]]," ",Ruimtestaat[[#This Row],[Vloer code]]))</f>
        <v/>
      </c>
      <c r="AI62" s="142" t="str">
        <f>_xlfn.IFNA(VLOOKUP($AH62,Programma!$F$3:$G$1101,2,0),"")</f>
        <v/>
      </c>
      <c r="AJ62" s="142" t="str">
        <f>_xlfn.IFNA(VLOOKUP($AH62,Programma!$F$3:$H$1101,3,0),"")</f>
        <v/>
      </c>
      <c r="AK62" s="142" t="str">
        <f>_xlfn.IFNA(VLOOKUP($AH62,Programma!$F$3:$I$1101,4,0),"")</f>
        <v/>
      </c>
      <c r="AL62" s="142" t="str">
        <f>_xlfn.IFNA(VLOOKUP($AH62,Programma!$F$3:$J$1101,5,0),"")</f>
        <v/>
      </c>
      <c r="AM62" s="142" t="str">
        <f>_xlfn.IFNA(VLOOKUP($AH62,Programma!$F$3:$K$1101,6,0),"")</f>
        <v/>
      </c>
      <c r="AN62" s="142" t="str">
        <f>_xlfn.IFNA(VLOOKUP($AH62,Programma!$F$3:$L$1101,7,0),"")</f>
        <v/>
      </c>
      <c r="AO62" s="142" t="str">
        <f>_xlfn.IFNA(VLOOKUP($AH62,Programma!$F$3:$M$1101,8,0),"")</f>
        <v/>
      </c>
      <c r="AP62" s="142" t="str">
        <f>_xlfn.IFNA(VLOOKUP($AH62,Programma!$F$3:$N$1101,9,0),"")</f>
        <v/>
      </c>
      <c r="AQ62" s="142" t="str">
        <f>_xlfn.IFNA(VLOOKUP($AH62,Programma!$F$3:$O$1101,10,0),"")</f>
        <v/>
      </c>
      <c r="AR62" s="142" t="str">
        <f>_xlfn.IFNA(VLOOKUP($AH62,Programma!$F$3:$P$1101,11,0),"")</f>
        <v/>
      </c>
      <c r="AS62" s="142" t="str">
        <f>_xlfn.IFNA(VLOOKUP($AH62,Programma!$F$3:$Q$1101,12,0),"")</f>
        <v/>
      </c>
      <c r="AT62" s="142" t="str">
        <f>_xlfn.IFNA(VLOOKUP($AH62,Programma!$F$3:$R$1101,13,0),"")</f>
        <v/>
      </c>
      <c r="AU62" s="142" t="str">
        <f>_xlfn.IFNA(VLOOKUP($AH62,Programma!$F$3:$S$1101,14,0),"")</f>
        <v/>
      </c>
      <c r="AV62" s="142" t="str">
        <f>_xlfn.IFNA(VLOOKUP($AH62,Programma!$F$3:$T$1101,15,0),"")</f>
        <v/>
      </c>
      <c r="AW62" s="142" t="str">
        <f>_xlfn.IFNA(VLOOKUP($AH62,Programma!$F$3:$U$1101,16,0),"")</f>
        <v/>
      </c>
      <c r="AX62" s="142" t="str">
        <f>_xlfn.IFNA(VLOOKUP($AH62,Programma!$F$3:$V$1101,17,0),"")</f>
        <v/>
      </c>
      <c r="AY62" s="142" t="str">
        <f>_xlfn.IFNA(VLOOKUP($AH62,Programma!$F$3:$W$1101,18,0),"")</f>
        <v/>
      </c>
      <c r="AZ62" s="142" t="str">
        <f>_xlfn.IFNA(VLOOKUP($AH62,Programma!$F$3:$X$1101,19,0),"")</f>
        <v/>
      </c>
      <c r="BA62" s="142" t="str">
        <f>_xlfn.IFNA(VLOOKUP($AH62,Programma!$F$3:$Y$1101,20,0),"")</f>
        <v/>
      </c>
      <c r="BB62" s="138"/>
      <c r="BC62" s="137" t="str">
        <f>IF(Ruimtestaat[[#This Row],[Frequentie weekend]]="","",_xlfn.CONCAT(Ruimtestaat[[#This Row],[Ruimte code]],"-",Ruimtestaat[[#This Row],[Frequentie weekend]]," ",Ruimtestaat[[#This Row],[Vloer code]]))</f>
        <v/>
      </c>
      <c r="BD62" s="142" t="str">
        <f>_xlfn.IFNA(VLOOKUP($BC62,Programma!$F$3:$G$1101,2,0),"")</f>
        <v/>
      </c>
      <c r="BE62" s="142" t="str">
        <f>_xlfn.IFNA(VLOOKUP($BC62,Programma!$F$3:$H$1101,3,0),"")</f>
        <v/>
      </c>
      <c r="BF62" s="142" t="str">
        <f>_xlfn.IFNA(VLOOKUP($BC62,Programma!$F$3:$I$1101,4,0),"")</f>
        <v/>
      </c>
      <c r="BG62" s="142" t="str">
        <f>_xlfn.IFNA(VLOOKUP($BC62,Programma!$F$3:$J$1101,5,0),"")</f>
        <v/>
      </c>
      <c r="BH62" s="142" t="str">
        <f>_xlfn.IFNA(VLOOKUP($BC62,Programma!$F$3:$K$1101,6,0),"")</f>
        <v/>
      </c>
      <c r="BI62" s="142" t="str">
        <f>_xlfn.IFNA(VLOOKUP($BC62,Programma!$F$3:$L$1101,7,0),"")</f>
        <v/>
      </c>
      <c r="BJ62" s="142" t="str">
        <f>_xlfn.IFNA(VLOOKUP($BC62,Programma!$F$3:$M$1101,8,0),"")</f>
        <v/>
      </c>
      <c r="BK62" s="142" t="str">
        <f>_xlfn.IFNA(VLOOKUP($BC62,Programma!$F$3:$N$1101,9,0),"")</f>
        <v/>
      </c>
      <c r="BL62" s="142" t="str">
        <f>_xlfn.IFNA(VLOOKUP($BC62,Programma!$F$3:$O$1101,10,0),"")</f>
        <v/>
      </c>
      <c r="BM62" s="142" t="str">
        <f>_xlfn.IFNA(VLOOKUP($BC62,Programma!$F$3:$P$1101,11,0),"")</f>
        <v/>
      </c>
      <c r="BN62" s="142" t="str">
        <f>_xlfn.IFNA(VLOOKUP($BC62,Programma!$F$3:$Q$1101,12,0),"")</f>
        <v/>
      </c>
      <c r="BO62" s="142" t="str">
        <f>_xlfn.IFNA(VLOOKUP($BC62,Programma!$F$3:$R$1101,13,0),"")</f>
        <v/>
      </c>
      <c r="BP62" s="142" t="str">
        <f>_xlfn.IFNA(VLOOKUP($BC62,Programma!$F$3:$S$1101,14,0),"")</f>
        <v/>
      </c>
      <c r="BQ62" s="142" t="str">
        <f>_xlfn.IFNA(VLOOKUP($BC62,Programma!$F$3:$T$1101,15,0),"")</f>
        <v/>
      </c>
      <c r="BR62" s="142" t="str">
        <f>_xlfn.IFNA(VLOOKUP($BC62,Programma!$F$3:$U$1101,16,0),"")</f>
        <v/>
      </c>
      <c r="BS62" s="142" t="str">
        <f>_xlfn.IFNA(VLOOKUP($BC62,Programma!$F$3:$V$1101,17,0),"")</f>
        <v/>
      </c>
      <c r="BT62" s="142" t="str">
        <f>_xlfn.IFNA(VLOOKUP($BC62,Programma!$F$3:$W$1101,18,0),"")</f>
        <v/>
      </c>
      <c r="BU62" s="142" t="str">
        <f>_xlfn.IFNA(VLOOKUP($BC62,Programma!$F$3:$X$1101,19,0),"")</f>
        <v/>
      </c>
      <c r="BV62" s="142" t="str">
        <f>_xlfn.IFNA(VLOOKUP($BC62,Programma!$F$3:$Y$1101,20,0),"")</f>
        <v/>
      </c>
      <c r="BW62" s="28"/>
      <c r="BX62" s="28"/>
      <c r="BY62" s="28"/>
      <c r="BZ62" s="28"/>
      <c r="CA62" s="28"/>
      <c r="CB62" s="28"/>
      <c r="CC62" s="28"/>
      <c r="CD62" s="28"/>
      <c r="CE62" s="28"/>
      <c r="CF62" s="28"/>
      <c r="CG62" s="28"/>
      <c r="CH62" s="28"/>
      <c r="CI62" s="28"/>
      <c r="CJ62" s="28"/>
      <c r="CK62" s="28"/>
      <c r="CL62" s="28"/>
      <c r="CM62" s="28"/>
      <c r="CN62" s="28"/>
      <c r="CO62" s="28"/>
      <c r="CP62" s="28"/>
      <c r="CQ62" s="28"/>
      <c r="CR62" s="28"/>
      <c r="CS62" s="28"/>
      <c r="CT62" s="28"/>
      <c r="CU62" s="28"/>
      <c r="CV62" s="28"/>
      <c r="CW62" s="28"/>
      <c r="CX62" s="28"/>
      <c r="CY62" s="28"/>
      <c r="CZ62" s="28"/>
      <c r="DA62" s="28"/>
      <c r="DB62" s="28"/>
      <c r="DC62" s="28"/>
      <c r="DD62" s="28"/>
      <c r="DE62" s="28"/>
      <c r="DF62" s="28"/>
      <c r="DG62" s="28"/>
      <c r="DH62" s="28"/>
      <c r="DI62" s="28"/>
      <c r="DJ62" s="28"/>
      <c r="DK62" s="28"/>
      <c r="DL62" s="28"/>
      <c r="DM62" s="28"/>
      <c r="DN62" s="28"/>
      <c r="DO62" s="28"/>
      <c r="DP62" s="28"/>
      <c r="DQ62" s="28"/>
      <c r="DR62" s="28"/>
      <c r="DS62" s="28"/>
      <c r="DT62" s="28"/>
      <c r="DU62" s="28"/>
      <c r="DV62" s="28"/>
      <c r="DW62" s="28"/>
      <c r="DX62" s="28"/>
      <c r="DY62" s="28"/>
      <c r="DZ62" s="28"/>
      <c r="EA62" s="28"/>
      <c r="EB62" s="28"/>
      <c r="EC62" s="28"/>
      <c r="ED62" s="28"/>
      <c r="EE62" s="28"/>
      <c r="EF62" s="28"/>
      <c r="EG62" s="28"/>
      <c r="EH62" s="28"/>
      <c r="EI62" s="28"/>
      <c r="EJ62" s="28"/>
      <c r="EK62" s="28"/>
      <c r="EL62" s="28"/>
      <c r="EM62" s="28"/>
      <c r="EN62" s="28"/>
      <c r="EO62" s="28"/>
      <c r="EP62" s="28"/>
      <c r="EQ62" s="28"/>
      <c r="ER62" s="28"/>
      <c r="ES62" s="28"/>
      <c r="ET62" s="28"/>
      <c r="EU62" s="28"/>
      <c r="EV62" s="28"/>
      <c r="EW62" s="28"/>
      <c r="EX62" s="28"/>
      <c r="EY62" s="28"/>
      <c r="EZ62" s="28"/>
      <c r="FA62" s="28"/>
      <c r="FB62" s="28"/>
      <c r="FC62" s="28"/>
      <c r="FD62" s="28"/>
      <c r="FE62" s="28"/>
      <c r="FF62" s="28"/>
      <c r="FG62" s="28"/>
      <c r="FH62" s="28"/>
      <c r="FI62" s="28"/>
      <c r="FJ62" s="28"/>
      <c r="FK62" s="28"/>
      <c r="FL62" s="28"/>
      <c r="FM62" s="28"/>
      <c r="FN62" s="28"/>
      <c r="FO62" s="28"/>
      <c r="FP62" s="28"/>
      <c r="FQ62" s="28"/>
      <c r="FR62" s="28"/>
      <c r="FS62" s="28"/>
      <c r="FT62" s="28"/>
      <c r="FU62" s="28"/>
      <c r="FV62" s="28"/>
      <c r="FW62" s="28"/>
      <c r="FX62" s="28"/>
      <c r="FY62" s="28"/>
      <c r="FZ62" s="28"/>
      <c r="GA62" s="28"/>
      <c r="GB62" s="28"/>
      <c r="GC62" s="28"/>
      <c r="GD62" s="28"/>
      <c r="GE62" s="28"/>
      <c r="GF62" s="28"/>
      <c r="GG62" s="28"/>
      <c r="GH62" s="28"/>
      <c r="GI62" s="28"/>
      <c r="GJ62" s="28"/>
      <c r="GK62" s="28"/>
      <c r="GL62" s="28"/>
      <c r="GM62" s="28"/>
      <c r="GN62" s="28"/>
      <c r="GO62" s="28"/>
      <c r="GP62" s="28"/>
      <c r="GQ62" s="28"/>
      <c r="GR62" s="28"/>
      <c r="GS62" s="28"/>
      <c r="GT62" s="28"/>
      <c r="GU62" s="28"/>
      <c r="GV62" s="28"/>
      <c r="GW62" s="28"/>
      <c r="GX62" s="28"/>
      <c r="GY62" s="28"/>
      <c r="GZ62" s="28"/>
      <c r="HA62" s="28"/>
      <c r="HB62" s="28"/>
      <c r="HC62" s="28"/>
      <c r="HD62" s="28"/>
      <c r="HE62" s="28"/>
      <c r="HF62" s="28"/>
      <c r="HG62" s="28"/>
      <c r="HH62" s="28"/>
      <c r="HI62" s="28"/>
      <c r="HJ62" s="28"/>
      <c r="HK62" s="28"/>
    </row>
    <row r="63" spans="1:219" ht="15" customHeight="1">
      <c r="A63" s="100">
        <v>1</v>
      </c>
      <c r="B63" s="132" t="str">
        <f>VLOOKUP(Ruimtestaat[[#This Row],[Code]],Locaties[[Code]:[Locatie]],2,FALSE)</f>
        <v>Mirtehuis</v>
      </c>
      <c r="C63" s="132" t="str">
        <f>VLOOKUP(Ruimtestaat[[#This Row],[Code]],Locaties[[#All],[Code]:[Adres]],4,FALSE)</f>
        <v>Weseperweg 6</v>
      </c>
      <c r="D63" s="132" t="str">
        <f>VLOOKUP(Ruimtestaat[[#This Row],[Code]],Locaties[[#All],[Code]:[Postcode]],5,FALSE)</f>
        <v>8111 PK</v>
      </c>
      <c r="E63" s="132" t="str">
        <f>VLOOKUP(Ruimtestaat[[#This Row],[Code]],Locaties[#All],6,FALSE)</f>
        <v>Heeten</v>
      </c>
      <c r="F63" s="100"/>
      <c r="G63" s="100" t="s">
        <v>1675</v>
      </c>
      <c r="H63" s="344"/>
      <c r="I63" s="345" t="s">
        <v>1641</v>
      </c>
      <c r="J63" s="49">
        <v>20</v>
      </c>
      <c r="K63" s="140" t="str">
        <f>VLOOKUP(Ruimtestaat[[#This Row],[Ruimte code]],Ruimtegroepen[[#All],[Code]:[Ruimte omschrijving]],2,FALSE)</f>
        <v>Niet in Onderhoud</v>
      </c>
      <c r="L63" s="100" t="s">
        <v>101</v>
      </c>
      <c r="M63" s="345" t="s">
        <v>1642</v>
      </c>
      <c r="N63" s="133"/>
      <c r="O63" s="139"/>
      <c r="P63" s="134">
        <f>VLOOKUP(Ruimtestaat[[#This Row],[Ruimte code]],Ruimtegroepen[],4,FALSE)</f>
        <v>0</v>
      </c>
      <c r="Q63" s="100"/>
      <c r="R63" s="100"/>
      <c r="S63" s="100">
        <f>IF(Q63&gt;0,IF(RIGHT(Ruimtestaat[[#This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3" s="100">
        <f>IF(S63&gt;0,VLOOKUP($J63,Ruimtegroepen[],3,FALSE)*VLOOKUP($L63,Vloersoorten[],3,FALSE)*VLOOKUP($R63,Frequenties[],3,FALSE)*VLOOKUP($A63,Locaties[],3,FALSE),0)</f>
        <v>0</v>
      </c>
      <c r="U63" s="100">
        <f>Ruimtestaat[[#This Row],[Uitvoeringen werkdagen]]*Ruimtestaat[[#This Row],[Oppervlak (netto)]]</f>
        <v>0</v>
      </c>
      <c r="V63" s="135">
        <f>IF(T63&gt;0,Ruimtestaat[[#This Row],[Prest. (m2 /jaar) werkdagen]]/Ruimtestaat[[#This Row],[Norm (m2/uur) werkdagen]],0)</f>
        <v>0</v>
      </c>
      <c r="W63" s="136">
        <f>Ruimtestaat[[#This Row],[uren / jaar werkdagen]]*Tariefsopbouw!$E$35</f>
        <v>0</v>
      </c>
      <c r="X63" s="100"/>
      <c r="Y63" s="100">
        <f>IF(Ruimtestaat[[#This Row],[Frequentie weekend]]&gt;0,VALUE(LEFT(X63,1))*Q63,0)</f>
        <v>0</v>
      </c>
      <c r="Z63" s="99">
        <f>IF($Y63&gt;0,VLOOKUP($J63,Ruimtegroepen[],3,FALSE)*VLOOKUP($L63,Vloersoorten[],3,FALSE)*VLOOKUP($X63,Frequenties[],3,FALSE)*VLOOKUP(Ruimtestaat[[#This Row],[Code]],Locaties[],3,FALSE),0)</f>
        <v>0</v>
      </c>
      <c r="AA63" s="99">
        <f>Ruimtestaat[[#This Row],[Uitvoeringen weekend]]*Ruimtestaat[[#This Row],[Oppervlak (netto)]]</f>
        <v>0</v>
      </c>
      <c r="AB63" s="99">
        <f>IF(Z63&gt;0,Ruimtestaat[[#This Row],[Prest. (m2 /jaar) weekend]]/Ruimtestaat[[#This Row],[Norm (m2/uur) weekend]],0)</f>
        <v>0</v>
      </c>
      <c r="AC63" s="136">
        <f>Ruimtestaat[[#This Row],[uren / jaar weekend]]*Tariefsopbouw!$D$40</f>
        <v>0</v>
      </c>
      <c r="AD63" s="135">
        <f>Ruimtestaat[[#This Row],[Prest. (m2 /jaar) weekend]]+Ruimtestaat[[#This Row],[Prest. (m2 /jaar) werkdagen]]</f>
        <v>0</v>
      </c>
      <c r="AE63" s="135">
        <f>Ruimtestaat[[#This Row],[uren / jaar weekend]]+Ruimtestaat[[#This Row],[uren / jaar werkdagen]]</f>
        <v>0</v>
      </c>
      <c r="AF63" s="130">
        <f>Ruimtestaat[[#This Row],[kosten / jaar weekend]]+Ruimtestaat[[#This Row],[kosten / jaar werkdagen]]</f>
        <v>0</v>
      </c>
      <c r="AG63" s="130"/>
      <c r="AH63" s="137" t="str">
        <f>IF(Ruimtestaat[[#This Row],[Frequentie werkdagen]]="","",_xlfn.CONCAT(Ruimtestaat[[#This Row],[Ruimte code]],"-",Ruimtestaat[[#This Row],[Frequentie werkdagen]]," ",Ruimtestaat[[#This Row],[Vloer code]]))</f>
        <v/>
      </c>
      <c r="AI63" s="142" t="str">
        <f>_xlfn.IFNA(VLOOKUP($AH63,Programma!$F$3:$G$1101,2,0),"")</f>
        <v/>
      </c>
      <c r="AJ63" s="142" t="str">
        <f>_xlfn.IFNA(VLOOKUP($AH63,Programma!$F$3:$H$1101,3,0),"")</f>
        <v/>
      </c>
      <c r="AK63" s="142" t="str">
        <f>_xlfn.IFNA(VLOOKUP($AH63,Programma!$F$3:$I$1101,4,0),"")</f>
        <v/>
      </c>
      <c r="AL63" s="142" t="str">
        <f>_xlfn.IFNA(VLOOKUP($AH63,Programma!$F$3:$J$1101,5,0),"")</f>
        <v/>
      </c>
      <c r="AM63" s="142" t="str">
        <f>_xlfn.IFNA(VLOOKUP($AH63,Programma!$F$3:$K$1101,6,0),"")</f>
        <v/>
      </c>
      <c r="AN63" s="142" t="str">
        <f>_xlfn.IFNA(VLOOKUP($AH63,Programma!$F$3:$L$1101,7,0),"")</f>
        <v/>
      </c>
      <c r="AO63" s="142" t="str">
        <f>_xlfn.IFNA(VLOOKUP($AH63,Programma!$F$3:$M$1101,8,0),"")</f>
        <v/>
      </c>
      <c r="AP63" s="142" t="str">
        <f>_xlfn.IFNA(VLOOKUP($AH63,Programma!$F$3:$N$1101,9,0),"")</f>
        <v/>
      </c>
      <c r="AQ63" s="142" t="str">
        <f>_xlfn.IFNA(VLOOKUP($AH63,Programma!$F$3:$O$1101,10,0),"")</f>
        <v/>
      </c>
      <c r="AR63" s="142" t="str">
        <f>_xlfn.IFNA(VLOOKUP($AH63,Programma!$F$3:$P$1101,11,0),"")</f>
        <v/>
      </c>
      <c r="AS63" s="142" t="str">
        <f>_xlfn.IFNA(VLOOKUP($AH63,Programma!$F$3:$Q$1101,12,0),"")</f>
        <v/>
      </c>
      <c r="AT63" s="142" t="str">
        <f>_xlfn.IFNA(VLOOKUP($AH63,Programma!$F$3:$R$1101,13,0),"")</f>
        <v/>
      </c>
      <c r="AU63" s="142" t="str">
        <f>_xlfn.IFNA(VLOOKUP($AH63,Programma!$F$3:$S$1101,14,0),"")</f>
        <v/>
      </c>
      <c r="AV63" s="142" t="str">
        <f>_xlfn.IFNA(VLOOKUP($AH63,Programma!$F$3:$T$1101,15,0),"")</f>
        <v/>
      </c>
      <c r="AW63" s="142" t="str">
        <f>_xlfn.IFNA(VLOOKUP($AH63,Programma!$F$3:$U$1101,16,0),"")</f>
        <v/>
      </c>
      <c r="AX63" s="142" t="str">
        <f>_xlfn.IFNA(VLOOKUP($AH63,Programma!$F$3:$V$1101,17,0),"")</f>
        <v/>
      </c>
      <c r="AY63" s="142" t="str">
        <f>_xlfn.IFNA(VLOOKUP($AH63,Programma!$F$3:$W$1101,18,0),"")</f>
        <v/>
      </c>
      <c r="AZ63" s="142" t="str">
        <f>_xlfn.IFNA(VLOOKUP($AH63,Programma!$F$3:$X$1101,19,0),"")</f>
        <v/>
      </c>
      <c r="BA63" s="142" t="str">
        <f>_xlfn.IFNA(VLOOKUP($AH63,Programma!$F$3:$Y$1101,20,0),"")</f>
        <v/>
      </c>
      <c r="BB63" s="138"/>
      <c r="BC63" s="137" t="str">
        <f>IF(Ruimtestaat[[#This Row],[Frequentie weekend]]="","",_xlfn.CONCAT(Ruimtestaat[[#This Row],[Ruimte code]],"-",Ruimtestaat[[#This Row],[Frequentie weekend]]," ",Ruimtestaat[[#This Row],[Vloer code]]))</f>
        <v/>
      </c>
      <c r="BD63" s="142" t="str">
        <f>_xlfn.IFNA(VLOOKUP($BC63,Programma!$F$3:$G$1101,2,0),"")</f>
        <v/>
      </c>
      <c r="BE63" s="142" t="str">
        <f>_xlfn.IFNA(VLOOKUP($BC63,Programma!$F$3:$H$1101,3,0),"")</f>
        <v/>
      </c>
      <c r="BF63" s="142" t="str">
        <f>_xlfn.IFNA(VLOOKUP($BC63,Programma!$F$3:$I$1101,4,0),"")</f>
        <v/>
      </c>
      <c r="BG63" s="142" t="str">
        <f>_xlfn.IFNA(VLOOKUP($BC63,Programma!$F$3:$J$1101,5,0),"")</f>
        <v/>
      </c>
      <c r="BH63" s="142" t="str">
        <f>_xlfn.IFNA(VLOOKUP($BC63,Programma!$F$3:$K$1101,6,0),"")</f>
        <v/>
      </c>
      <c r="BI63" s="142" t="str">
        <f>_xlfn.IFNA(VLOOKUP($BC63,Programma!$F$3:$L$1101,7,0),"")</f>
        <v/>
      </c>
      <c r="BJ63" s="142" t="str">
        <f>_xlfn.IFNA(VLOOKUP($BC63,Programma!$F$3:$M$1101,8,0),"")</f>
        <v/>
      </c>
      <c r="BK63" s="142" t="str">
        <f>_xlfn.IFNA(VLOOKUP($BC63,Programma!$F$3:$N$1101,9,0),"")</f>
        <v/>
      </c>
      <c r="BL63" s="142" t="str">
        <f>_xlfn.IFNA(VLOOKUP($BC63,Programma!$F$3:$O$1101,10,0),"")</f>
        <v/>
      </c>
      <c r="BM63" s="142" t="str">
        <f>_xlfn.IFNA(VLOOKUP($BC63,Programma!$F$3:$P$1101,11,0),"")</f>
        <v/>
      </c>
      <c r="BN63" s="142" t="str">
        <f>_xlfn.IFNA(VLOOKUP($BC63,Programma!$F$3:$Q$1101,12,0),"")</f>
        <v/>
      </c>
      <c r="BO63" s="142" t="str">
        <f>_xlfn.IFNA(VLOOKUP($BC63,Programma!$F$3:$R$1101,13,0),"")</f>
        <v/>
      </c>
      <c r="BP63" s="142" t="str">
        <f>_xlfn.IFNA(VLOOKUP($BC63,Programma!$F$3:$S$1101,14,0),"")</f>
        <v/>
      </c>
      <c r="BQ63" s="142" t="str">
        <f>_xlfn.IFNA(VLOOKUP($BC63,Programma!$F$3:$T$1101,15,0),"")</f>
        <v/>
      </c>
      <c r="BR63" s="142" t="str">
        <f>_xlfn.IFNA(VLOOKUP($BC63,Programma!$F$3:$U$1101,16,0),"")</f>
        <v/>
      </c>
      <c r="BS63" s="142" t="str">
        <f>_xlfn.IFNA(VLOOKUP($BC63,Programma!$F$3:$V$1101,17,0),"")</f>
        <v/>
      </c>
      <c r="BT63" s="142" t="str">
        <f>_xlfn.IFNA(VLOOKUP($BC63,Programma!$F$3:$W$1101,18,0),"")</f>
        <v/>
      </c>
      <c r="BU63" s="142" t="str">
        <f>_xlfn.IFNA(VLOOKUP($BC63,Programma!$F$3:$X$1101,19,0),"")</f>
        <v/>
      </c>
      <c r="BV63" s="142" t="str">
        <f>_xlfn.IFNA(VLOOKUP($BC63,Programma!$F$3:$Y$1101,20,0),"")</f>
        <v/>
      </c>
      <c r="BW63" s="28"/>
      <c r="BX63" s="28"/>
      <c r="BY63" s="28"/>
      <c r="BZ63" s="28"/>
      <c r="CA63" s="28"/>
      <c r="CB63" s="28"/>
      <c r="CC63" s="28"/>
      <c r="CD63" s="28"/>
      <c r="CE63" s="28"/>
      <c r="CF63" s="28"/>
      <c r="CG63" s="28"/>
      <c r="CH63" s="28"/>
      <c r="CI63" s="28"/>
      <c r="CJ63" s="28"/>
      <c r="CK63" s="28"/>
      <c r="CL63" s="28"/>
      <c r="CM63" s="28"/>
      <c r="CN63" s="28"/>
      <c r="CO63" s="28"/>
      <c r="CP63" s="28"/>
      <c r="CQ63" s="28"/>
      <c r="CR63" s="28"/>
      <c r="CS63" s="28"/>
      <c r="CT63" s="28"/>
      <c r="CU63" s="28"/>
      <c r="CV63" s="28"/>
      <c r="CW63" s="28"/>
      <c r="CX63" s="28"/>
      <c r="CY63" s="28"/>
      <c r="CZ63" s="28"/>
      <c r="DA63" s="28"/>
      <c r="DB63" s="28"/>
      <c r="DC63" s="28"/>
      <c r="DD63" s="28"/>
      <c r="DE63" s="28"/>
      <c r="DF63" s="28"/>
      <c r="DG63" s="28"/>
      <c r="DH63" s="28"/>
      <c r="DI63" s="28"/>
      <c r="DJ63" s="28"/>
      <c r="DK63" s="28"/>
      <c r="DL63" s="28"/>
      <c r="DM63" s="28"/>
      <c r="DN63" s="28"/>
      <c r="DO63" s="28"/>
      <c r="DP63" s="28"/>
      <c r="DQ63" s="28"/>
      <c r="DR63" s="28"/>
      <c r="DS63" s="28"/>
      <c r="DT63" s="28"/>
      <c r="DU63" s="28"/>
      <c r="DV63" s="28"/>
      <c r="DW63" s="28"/>
      <c r="DX63" s="28"/>
      <c r="DY63" s="28"/>
      <c r="DZ63" s="28"/>
      <c r="EA63" s="28"/>
      <c r="EB63" s="28"/>
      <c r="EC63" s="28"/>
      <c r="ED63" s="28"/>
      <c r="EE63" s="28"/>
      <c r="EF63" s="28"/>
      <c r="EG63" s="28"/>
      <c r="EH63" s="28"/>
      <c r="EI63" s="28"/>
      <c r="EJ63" s="28"/>
      <c r="EK63" s="28"/>
      <c r="EL63" s="28"/>
      <c r="EM63" s="28"/>
      <c r="EN63" s="28"/>
      <c r="EO63" s="28"/>
      <c r="EP63" s="28"/>
      <c r="EQ63" s="28"/>
      <c r="ER63" s="28"/>
      <c r="ES63" s="28"/>
      <c r="ET63" s="28"/>
      <c r="EU63" s="28"/>
      <c r="EV63" s="28"/>
      <c r="EW63" s="28"/>
      <c r="EX63" s="28"/>
      <c r="EY63" s="28"/>
      <c r="EZ63" s="28"/>
      <c r="FA63" s="28"/>
      <c r="FB63" s="28"/>
      <c r="FC63" s="28"/>
      <c r="FD63" s="28"/>
      <c r="FE63" s="28"/>
      <c r="FF63" s="28"/>
      <c r="FG63" s="28"/>
      <c r="FH63" s="28"/>
      <c r="FI63" s="28"/>
      <c r="FJ63" s="28"/>
      <c r="FK63" s="28"/>
      <c r="FL63" s="28"/>
      <c r="FM63" s="28"/>
      <c r="FN63" s="28"/>
      <c r="FO63" s="28"/>
      <c r="FP63" s="28"/>
      <c r="FQ63" s="28"/>
      <c r="FR63" s="28"/>
      <c r="FS63" s="28"/>
      <c r="FT63" s="28"/>
      <c r="FU63" s="28"/>
      <c r="FV63" s="28"/>
      <c r="FW63" s="28"/>
      <c r="FX63" s="28"/>
      <c r="FY63" s="28"/>
      <c r="FZ63" s="28"/>
      <c r="GA63" s="28"/>
      <c r="GB63" s="28"/>
      <c r="GC63" s="28"/>
      <c r="GD63" s="28"/>
      <c r="GE63" s="28"/>
      <c r="GF63" s="28"/>
      <c r="GG63" s="28"/>
      <c r="GH63" s="28"/>
      <c r="GI63" s="28"/>
      <c r="GJ63" s="28"/>
      <c r="GK63" s="28"/>
      <c r="GL63" s="28"/>
      <c r="GM63" s="28"/>
      <c r="GN63" s="28"/>
      <c r="GO63" s="28"/>
      <c r="GP63" s="28"/>
      <c r="GQ63" s="28"/>
      <c r="GR63" s="28"/>
      <c r="GS63" s="28"/>
      <c r="GT63" s="28"/>
      <c r="GU63" s="28"/>
      <c r="GV63" s="28"/>
      <c r="GW63" s="28"/>
      <c r="GX63" s="28"/>
      <c r="GY63" s="28"/>
      <c r="GZ63" s="28"/>
      <c r="HA63" s="28"/>
      <c r="HB63" s="28"/>
      <c r="HC63" s="28"/>
      <c r="HD63" s="28"/>
      <c r="HE63" s="28"/>
      <c r="HF63" s="28"/>
      <c r="HG63" s="28"/>
      <c r="HH63" s="28"/>
      <c r="HI63" s="28"/>
      <c r="HJ63" s="28"/>
      <c r="HK63" s="28"/>
    </row>
    <row r="64" spans="1:219" ht="15" customHeight="1">
      <c r="A64" s="100">
        <v>1</v>
      </c>
      <c r="B64" s="132" t="str">
        <f>VLOOKUP(Ruimtestaat[[#This Row],[Code]],Locaties[[Code]:[Locatie]],2,FALSE)</f>
        <v>Mirtehuis</v>
      </c>
      <c r="C64" s="132" t="str">
        <f>VLOOKUP(Ruimtestaat[[#This Row],[Code]],Locaties[[#All],[Code]:[Adres]],4,FALSE)</f>
        <v>Weseperweg 6</v>
      </c>
      <c r="D64" s="132" t="str">
        <f>VLOOKUP(Ruimtestaat[[#This Row],[Code]],Locaties[[#All],[Code]:[Postcode]],5,FALSE)</f>
        <v>8111 PK</v>
      </c>
      <c r="E64" s="132" t="str">
        <f>VLOOKUP(Ruimtestaat[[#This Row],[Code]],Locaties[#All],6,FALSE)</f>
        <v>Heeten</v>
      </c>
      <c r="F64" s="100"/>
      <c r="G64" s="100" t="s">
        <v>1675</v>
      </c>
      <c r="H64" s="344"/>
      <c r="I64" s="345" t="s">
        <v>1635</v>
      </c>
      <c r="J64" s="49">
        <v>20</v>
      </c>
      <c r="K64" s="140" t="str">
        <f>VLOOKUP(Ruimtestaat[[#This Row],[Ruimte code]],Ruimtegroepen[[#All],[Code]:[Ruimte omschrijving]],2,FALSE)</f>
        <v>Niet in Onderhoud</v>
      </c>
      <c r="L64" s="100" t="s">
        <v>100</v>
      </c>
      <c r="M64" s="345" t="s">
        <v>1636</v>
      </c>
      <c r="N64" s="133"/>
      <c r="O64" s="100"/>
      <c r="P64" s="134">
        <f>VLOOKUP(Ruimtestaat[[#This Row],[Ruimte code]],Ruimtegroepen[],4,FALSE)</f>
        <v>0</v>
      </c>
      <c r="Q64" s="100"/>
      <c r="R64" s="100"/>
      <c r="S64" s="100">
        <f>IF(Q64&gt;0,IF(RIGHT(Ruimtestaat[[#This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4" s="100">
        <f>IF(S64&gt;0,VLOOKUP($J64,Ruimtegroepen[],3,FALSE)*VLOOKUP($L64,Vloersoorten[],3,FALSE)*VLOOKUP($R64,Frequenties[],3,FALSE)*VLOOKUP($A64,Locaties[],3,FALSE),0)</f>
        <v>0</v>
      </c>
      <c r="U64" s="100">
        <f>Ruimtestaat[[#This Row],[Uitvoeringen werkdagen]]*Ruimtestaat[[#This Row],[Oppervlak (netto)]]</f>
        <v>0</v>
      </c>
      <c r="V64" s="135">
        <f>IF(T64&gt;0,Ruimtestaat[[#This Row],[Prest. (m2 /jaar) werkdagen]]/Ruimtestaat[[#This Row],[Norm (m2/uur) werkdagen]],0)</f>
        <v>0</v>
      </c>
      <c r="W64" s="136">
        <f>Ruimtestaat[[#This Row],[uren / jaar werkdagen]]*Tariefsopbouw!$E$35</f>
        <v>0</v>
      </c>
      <c r="X64" s="100"/>
      <c r="Y64" s="100">
        <f>IF(Ruimtestaat[[#This Row],[Frequentie weekend]]&gt;0,VALUE(LEFT(X64,1))*Q64,0)</f>
        <v>0</v>
      </c>
      <c r="Z64" s="99">
        <f>IF($Y64&gt;0,VLOOKUP($J64,Ruimtegroepen[],3,FALSE)*VLOOKUP($L64,Vloersoorten[],3,FALSE)*VLOOKUP($X64,Frequenties[],3,FALSE)*VLOOKUP(Ruimtestaat[[#This Row],[Code]],Locaties[],3,FALSE),0)</f>
        <v>0</v>
      </c>
      <c r="AA64" s="99">
        <f>Ruimtestaat[[#This Row],[Uitvoeringen weekend]]*Ruimtestaat[[#This Row],[Oppervlak (netto)]]</f>
        <v>0</v>
      </c>
      <c r="AB64" s="99">
        <f>IF(Z64&gt;0,Ruimtestaat[[#This Row],[Prest. (m2 /jaar) weekend]]/Ruimtestaat[[#This Row],[Norm (m2/uur) weekend]],0)</f>
        <v>0</v>
      </c>
      <c r="AC64" s="136">
        <f>Ruimtestaat[[#This Row],[uren / jaar weekend]]*Tariefsopbouw!$D$40</f>
        <v>0</v>
      </c>
      <c r="AD64" s="135">
        <f>Ruimtestaat[[#This Row],[Prest. (m2 /jaar) weekend]]+Ruimtestaat[[#This Row],[Prest. (m2 /jaar) werkdagen]]</f>
        <v>0</v>
      </c>
      <c r="AE64" s="135">
        <f>Ruimtestaat[[#This Row],[uren / jaar weekend]]+Ruimtestaat[[#This Row],[uren / jaar werkdagen]]</f>
        <v>0</v>
      </c>
      <c r="AF64" s="130">
        <f>Ruimtestaat[[#This Row],[kosten / jaar weekend]]+Ruimtestaat[[#This Row],[kosten / jaar werkdagen]]</f>
        <v>0</v>
      </c>
      <c r="AG64" s="130"/>
      <c r="AH64" s="137" t="str">
        <f>IF(Ruimtestaat[[#This Row],[Frequentie werkdagen]]="","",_xlfn.CONCAT(Ruimtestaat[[#This Row],[Ruimte code]],"-",Ruimtestaat[[#This Row],[Frequentie werkdagen]]," ",Ruimtestaat[[#This Row],[Vloer code]]))</f>
        <v/>
      </c>
      <c r="AI64" s="142" t="str">
        <f>_xlfn.IFNA(VLOOKUP($AH64,Programma!$F$3:$G$1101,2,0),"")</f>
        <v/>
      </c>
      <c r="AJ64" s="142" t="str">
        <f>_xlfn.IFNA(VLOOKUP($AH64,Programma!$F$3:$H$1101,3,0),"")</f>
        <v/>
      </c>
      <c r="AK64" s="142" t="str">
        <f>_xlfn.IFNA(VLOOKUP($AH64,Programma!$F$3:$I$1101,4,0),"")</f>
        <v/>
      </c>
      <c r="AL64" s="142" t="str">
        <f>_xlfn.IFNA(VLOOKUP($AH64,Programma!$F$3:$J$1101,5,0),"")</f>
        <v/>
      </c>
      <c r="AM64" s="142" t="str">
        <f>_xlfn.IFNA(VLOOKUP($AH64,Programma!$F$3:$K$1101,6,0),"")</f>
        <v/>
      </c>
      <c r="AN64" s="142" t="str">
        <f>_xlfn.IFNA(VLOOKUP($AH64,Programma!$F$3:$L$1101,7,0),"")</f>
        <v/>
      </c>
      <c r="AO64" s="142" t="str">
        <f>_xlfn.IFNA(VLOOKUP($AH64,Programma!$F$3:$M$1101,8,0),"")</f>
        <v/>
      </c>
      <c r="AP64" s="142" t="str">
        <f>_xlfn.IFNA(VLOOKUP($AH64,Programma!$F$3:$N$1101,9,0),"")</f>
        <v/>
      </c>
      <c r="AQ64" s="142" t="str">
        <f>_xlfn.IFNA(VLOOKUP($AH64,Programma!$F$3:$O$1101,10,0),"")</f>
        <v/>
      </c>
      <c r="AR64" s="142" t="str">
        <f>_xlfn.IFNA(VLOOKUP($AH64,Programma!$F$3:$P$1101,11,0),"")</f>
        <v/>
      </c>
      <c r="AS64" s="142" t="str">
        <f>_xlfn.IFNA(VLOOKUP($AH64,Programma!$F$3:$Q$1101,12,0),"")</f>
        <v/>
      </c>
      <c r="AT64" s="142" t="str">
        <f>_xlfn.IFNA(VLOOKUP($AH64,Programma!$F$3:$R$1101,13,0),"")</f>
        <v/>
      </c>
      <c r="AU64" s="142" t="str">
        <f>_xlfn.IFNA(VLOOKUP($AH64,Programma!$F$3:$S$1101,14,0),"")</f>
        <v/>
      </c>
      <c r="AV64" s="142" t="str">
        <f>_xlfn.IFNA(VLOOKUP($AH64,Programma!$F$3:$T$1101,15,0),"")</f>
        <v/>
      </c>
      <c r="AW64" s="142" t="str">
        <f>_xlfn.IFNA(VLOOKUP($AH64,Programma!$F$3:$U$1101,16,0),"")</f>
        <v/>
      </c>
      <c r="AX64" s="142" t="str">
        <f>_xlfn.IFNA(VLOOKUP($AH64,Programma!$F$3:$V$1101,17,0),"")</f>
        <v/>
      </c>
      <c r="AY64" s="142" t="str">
        <f>_xlfn.IFNA(VLOOKUP($AH64,Programma!$F$3:$W$1101,18,0),"")</f>
        <v/>
      </c>
      <c r="AZ64" s="142" t="str">
        <f>_xlfn.IFNA(VLOOKUP($AH64,Programma!$F$3:$X$1101,19,0),"")</f>
        <v/>
      </c>
      <c r="BA64" s="142" t="str">
        <f>_xlfn.IFNA(VLOOKUP($AH64,Programma!$F$3:$Y$1101,20,0),"")</f>
        <v/>
      </c>
      <c r="BB64" s="138"/>
      <c r="BC64" s="137" t="str">
        <f>IF(Ruimtestaat[[#This Row],[Frequentie weekend]]="","",_xlfn.CONCAT(Ruimtestaat[[#This Row],[Ruimte code]],"-",Ruimtestaat[[#This Row],[Frequentie weekend]]," ",Ruimtestaat[[#This Row],[Vloer code]]))</f>
        <v/>
      </c>
      <c r="BD64" s="142" t="str">
        <f>_xlfn.IFNA(VLOOKUP($BC64,Programma!$F$3:$G$1101,2,0),"")</f>
        <v/>
      </c>
      <c r="BE64" s="142" t="str">
        <f>_xlfn.IFNA(VLOOKUP($BC64,Programma!$F$3:$H$1101,3,0),"")</f>
        <v/>
      </c>
      <c r="BF64" s="142" t="str">
        <f>_xlfn.IFNA(VLOOKUP($BC64,Programma!$F$3:$I$1101,4,0),"")</f>
        <v/>
      </c>
      <c r="BG64" s="142" t="str">
        <f>_xlfn.IFNA(VLOOKUP($BC64,Programma!$F$3:$J$1101,5,0),"")</f>
        <v/>
      </c>
      <c r="BH64" s="142" t="str">
        <f>_xlfn.IFNA(VLOOKUP($BC64,Programma!$F$3:$K$1101,6,0),"")</f>
        <v/>
      </c>
      <c r="BI64" s="142" t="str">
        <f>_xlfn.IFNA(VLOOKUP($BC64,Programma!$F$3:$L$1101,7,0),"")</f>
        <v/>
      </c>
      <c r="BJ64" s="142" t="str">
        <f>_xlfn.IFNA(VLOOKUP($BC64,Programma!$F$3:$M$1101,8,0),"")</f>
        <v/>
      </c>
      <c r="BK64" s="142" t="str">
        <f>_xlfn.IFNA(VLOOKUP($BC64,Programma!$F$3:$N$1101,9,0),"")</f>
        <v/>
      </c>
      <c r="BL64" s="142" t="str">
        <f>_xlfn.IFNA(VLOOKUP($BC64,Programma!$F$3:$O$1101,10,0),"")</f>
        <v/>
      </c>
      <c r="BM64" s="142" t="str">
        <f>_xlfn.IFNA(VLOOKUP($BC64,Programma!$F$3:$P$1101,11,0),"")</f>
        <v/>
      </c>
      <c r="BN64" s="142" t="str">
        <f>_xlfn.IFNA(VLOOKUP($BC64,Programma!$F$3:$Q$1101,12,0),"")</f>
        <v/>
      </c>
      <c r="BO64" s="142" t="str">
        <f>_xlfn.IFNA(VLOOKUP($BC64,Programma!$F$3:$R$1101,13,0),"")</f>
        <v/>
      </c>
      <c r="BP64" s="142" t="str">
        <f>_xlfn.IFNA(VLOOKUP($BC64,Programma!$F$3:$S$1101,14,0),"")</f>
        <v/>
      </c>
      <c r="BQ64" s="142" t="str">
        <f>_xlfn.IFNA(VLOOKUP($BC64,Programma!$F$3:$T$1101,15,0),"")</f>
        <v/>
      </c>
      <c r="BR64" s="142" t="str">
        <f>_xlfn.IFNA(VLOOKUP($BC64,Programma!$F$3:$U$1101,16,0),"")</f>
        <v/>
      </c>
      <c r="BS64" s="142" t="str">
        <f>_xlfn.IFNA(VLOOKUP($BC64,Programma!$F$3:$V$1101,17,0),"")</f>
        <v/>
      </c>
      <c r="BT64" s="142" t="str">
        <f>_xlfn.IFNA(VLOOKUP($BC64,Programma!$F$3:$W$1101,18,0),"")</f>
        <v/>
      </c>
      <c r="BU64" s="142" t="str">
        <f>_xlfn.IFNA(VLOOKUP($BC64,Programma!$F$3:$X$1101,19,0),"")</f>
        <v/>
      </c>
      <c r="BV64" s="142" t="str">
        <f>_xlfn.IFNA(VLOOKUP($BC64,Programma!$F$3:$Y$1101,20,0),"")</f>
        <v/>
      </c>
      <c r="BW64" s="28"/>
      <c r="BX64" s="28"/>
      <c r="BY64" s="28"/>
      <c r="BZ64" s="28"/>
      <c r="CA64" s="28"/>
      <c r="CB64" s="28"/>
      <c r="CC64" s="28"/>
      <c r="CD64" s="28"/>
      <c r="CE64" s="28"/>
      <c r="CF64" s="28"/>
      <c r="CG64" s="28"/>
      <c r="CH64" s="28"/>
      <c r="CI64" s="28"/>
      <c r="CJ64" s="28"/>
      <c r="CK64" s="28"/>
      <c r="CL64" s="28"/>
      <c r="CM64" s="28"/>
      <c r="CN64" s="28"/>
      <c r="CO64" s="28"/>
      <c r="CP64" s="28"/>
      <c r="CQ64" s="28"/>
      <c r="CR64" s="28"/>
      <c r="CS64" s="28"/>
      <c r="CT64" s="28"/>
      <c r="CU64" s="28"/>
      <c r="CV64" s="28"/>
      <c r="CW64" s="28"/>
      <c r="CX64" s="28"/>
      <c r="CY64" s="28"/>
      <c r="CZ64" s="28"/>
      <c r="DA64" s="28"/>
      <c r="DB64" s="28"/>
      <c r="DC64" s="28"/>
      <c r="DD64" s="28"/>
      <c r="DE64" s="28"/>
      <c r="DF64" s="28"/>
      <c r="DG64" s="28"/>
      <c r="DH64" s="28"/>
      <c r="DI64" s="28"/>
      <c r="DJ64" s="28"/>
      <c r="DK64" s="28"/>
      <c r="DL64" s="28"/>
      <c r="DM64" s="28"/>
      <c r="DN64" s="28"/>
      <c r="DO64" s="28"/>
      <c r="DP64" s="28"/>
      <c r="DQ64" s="28"/>
      <c r="DR64" s="28"/>
      <c r="DS64" s="28"/>
      <c r="DT64" s="28"/>
      <c r="DU64" s="28"/>
      <c r="DV64" s="28"/>
      <c r="DW64" s="28"/>
      <c r="DX64" s="28"/>
      <c r="DY64" s="28"/>
      <c r="DZ64" s="28"/>
      <c r="EA64" s="28"/>
      <c r="EB64" s="28"/>
      <c r="EC64" s="28"/>
      <c r="ED64" s="28"/>
      <c r="EE64" s="28"/>
      <c r="EF64" s="28"/>
      <c r="EG64" s="28"/>
      <c r="EH64" s="28"/>
      <c r="EI64" s="28"/>
      <c r="EJ64" s="28"/>
      <c r="EK64" s="28"/>
      <c r="EL64" s="28"/>
      <c r="EM64" s="28"/>
      <c r="EN64" s="28"/>
      <c r="EO64" s="28"/>
      <c r="EP64" s="28"/>
      <c r="EQ64" s="28"/>
      <c r="ER64" s="28"/>
      <c r="ES64" s="28"/>
      <c r="ET64" s="28"/>
      <c r="EU64" s="28"/>
      <c r="EV64" s="28"/>
      <c r="EW64" s="28"/>
      <c r="EX64" s="28"/>
      <c r="EY64" s="28"/>
      <c r="EZ64" s="28"/>
      <c r="FA64" s="28"/>
      <c r="FB64" s="28"/>
      <c r="FC64" s="28"/>
      <c r="FD64" s="28"/>
      <c r="FE64" s="28"/>
      <c r="FF64" s="28"/>
      <c r="FG64" s="28"/>
      <c r="FH64" s="28"/>
      <c r="FI64" s="28"/>
      <c r="FJ64" s="28"/>
      <c r="FK64" s="28"/>
      <c r="FL64" s="28"/>
      <c r="FM64" s="28"/>
      <c r="FN64" s="28"/>
      <c r="FO64" s="28"/>
      <c r="FP64" s="28"/>
      <c r="FQ64" s="28"/>
      <c r="FR64" s="28"/>
      <c r="FS64" s="28"/>
      <c r="FT64" s="28"/>
      <c r="FU64" s="28"/>
      <c r="FV64" s="28"/>
      <c r="FW64" s="28"/>
      <c r="FX64" s="28"/>
      <c r="FY64" s="28"/>
      <c r="FZ64" s="28"/>
      <c r="GA64" s="28"/>
      <c r="GB64" s="28"/>
      <c r="GC64" s="28"/>
      <c r="GD64" s="28"/>
      <c r="GE64" s="28"/>
      <c r="GF64" s="28"/>
      <c r="GG64" s="28"/>
      <c r="GH64" s="28"/>
      <c r="GI64" s="28"/>
      <c r="GJ64" s="28"/>
      <c r="GK64" s="28"/>
      <c r="GL64" s="28"/>
      <c r="GM64" s="28"/>
      <c r="GN64" s="28"/>
      <c r="GO64" s="28"/>
      <c r="GP64" s="28"/>
      <c r="GQ64" s="28"/>
      <c r="GR64" s="28"/>
      <c r="GS64" s="28"/>
      <c r="GT64" s="28"/>
      <c r="GU64" s="28"/>
      <c r="GV64" s="28"/>
      <c r="GW64" s="28"/>
      <c r="GX64" s="28"/>
      <c r="GY64" s="28"/>
      <c r="GZ64" s="28"/>
      <c r="HA64" s="28"/>
      <c r="HB64" s="28"/>
      <c r="HC64" s="28"/>
      <c r="HD64" s="28"/>
      <c r="HE64" s="28"/>
      <c r="HF64" s="28"/>
      <c r="HG64" s="28"/>
      <c r="HH64" s="28"/>
      <c r="HI64" s="28"/>
      <c r="HJ64" s="28"/>
      <c r="HK64" s="28"/>
    </row>
    <row r="65" spans="1:219" ht="15" customHeight="1">
      <c r="A65" s="100">
        <v>1</v>
      </c>
      <c r="B65" s="132" t="str">
        <f>VLOOKUP(Ruimtestaat[[#This Row],[Code]],Locaties[[Code]:[Locatie]],2,FALSE)</f>
        <v>Mirtehuis</v>
      </c>
      <c r="C65" s="132" t="str">
        <f>VLOOKUP(Ruimtestaat[[#This Row],[Code]],Locaties[[#All],[Code]:[Adres]],4,FALSE)</f>
        <v>Weseperweg 6</v>
      </c>
      <c r="D65" s="132" t="str">
        <f>VLOOKUP(Ruimtestaat[[#This Row],[Code]],Locaties[[#All],[Code]:[Postcode]],5,FALSE)</f>
        <v>8111 PK</v>
      </c>
      <c r="E65" s="132" t="str">
        <f>VLOOKUP(Ruimtestaat[[#This Row],[Code]],Locaties[#All],6,FALSE)</f>
        <v>Heeten</v>
      </c>
      <c r="F65" s="100"/>
      <c r="G65" s="100" t="s">
        <v>1675</v>
      </c>
      <c r="H65" s="344"/>
      <c r="I65" s="345" t="s">
        <v>1650</v>
      </c>
      <c r="J65" s="49">
        <v>20</v>
      </c>
      <c r="K65" s="140" t="str">
        <f>VLOOKUP(Ruimtestaat[[#This Row],[Ruimte code]],Ruimtegroepen[[#All],[Code]:[Ruimte omschrijving]],2,FALSE)</f>
        <v>Niet in Onderhoud</v>
      </c>
      <c r="L65" s="100" t="s">
        <v>100</v>
      </c>
      <c r="M65" s="345" t="s">
        <v>1636</v>
      </c>
      <c r="N65" s="133"/>
      <c r="O65" s="139"/>
      <c r="P65" s="134">
        <f>VLOOKUP(Ruimtestaat[[#This Row],[Ruimte code]],Ruimtegroepen[],4,FALSE)</f>
        <v>0</v>
      </c>
      <c r="Q65" s="100"/>
      <c r="R65" s="100"/>
      <c r="S65" s="100">
        <f>IF(Q65&gt;0,IF(RIGHT(Ruimtestaat[[#This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5" s="100">
        <f>IF(S65&gt;0,VLOOKUP($J65,Ruimtegroepen[],3,FALSE)*VLOOKUP($L65,Vloersoorten[],3,FALSE)*VLOOKUP($R65,Frequenties[],3,FALSE)*VLOOKUP($A65,Locaties[],3,FALSE),0)</f>
        <v>0</v>
      </c>
      <c r="U65" s="100">
        <f>Ruimtestaat[[#This Row],[Uitvoeringen werkdagen]]*Ruimtestaat[[#This Row],[Oppervlak (netto)]]</f>
        <v>0</v>
      </c>
      <c r="V65" s="135">
        <f>IF(T65&gt;0,Ruimtestaat[[#This Row],[Prest. (m2 /jaar) werkdagen]]/Ruimtestaat[[#This Row],[Norm (m2/uur) werkdagen]],0)</f>
        <v>0</v>
      </c>
      <c r="W65" s="136">
        <f>Ruimtestaat[[#This Row],[uren / jaar werkdagen]]*Tariefsopbouw!$E$35</f>
        <v>0</v>
      </c>
      <c r="X65" s="100"/>
      <c r="Y65" s="100">
        <f>IF(Ruimtestaat[[#This Row],[Frequentie weekend]]&gt;0,VALUE(LEFT(X65,1))*Q65,0)</f>
        <v>0</v>
      </c>
      <c r="Z65" s="99">
        <f>IF($Y65&gt;0,VLOOKUP($J65,Ruimtegroepen[],3,FALSE)*VLOOKUP($L65,Vloersoorten[],3,FALSE)*VLOOKUP($X65,Frequenties[],3,FALSE)*VLOOKUP(Ruimtestaat[[#This Row],[Code]],Locaties[],3,FALSE),0)</f>
        <v>0</v>
      </c>
      <c r="AA65" s="99">
        <f>Ruimtestaat[[#This Row],[Uitvoeringen weekend]]*Ruimtestaat[[#This Row],[Oppervlak (netto)]]</f>
        <v>0</v>
      </c>
      <c r="AB65" s="99">
        <f>IF(Z65&gt;0,Ruimtestaat[[#This Row],[Prest. (m2 /jaar) weekend]]/Ruimtestaat[[#This Row],[Norm (m2/uur) weekend]],0)</f>
        <v>0</v>
      </c>
      <c r="AC65" s="136">
        <f>Ruimtestaat[[#This Row],[uren / jaar weekend]]*Tariefsopbouw!$D$40</f>
        <v>0</v>
      </c>
      <c r="AD65" s="135">
        <f>Ruimtestaat[[#This Row],[Prest. (m2 /jaar) weekend]]+Ruimtestaat[[#This Row],[Prest. (m2 /jaar) werkdagen]]</f>
        <v>0</v>
      </c>
      <c r="AE65" s="135">
        <f>Ruimtestaat[[#This Row],[uren / jaar weekend]]+Ruimtestaat[[#This Row],[uren / jaar werkdagen]]</f>
        <v>0</v>
      </c>
      <c r="AF65" s="130">
        <f>Ruimtestaat[[#This Row],[kosten / jaar weekend]]+Ruimtestaat[[#This Row],[kosten / jaar werkdagen]]</f>
        <v>0</v>
      </c>
      <c r="AG65" s="130"/>
      <c r="AH65" s="137" t="str">
        <f>IF(Ruimtestaat[[#This Row],[Frequentie werkdagen]]="","",_xlfn.CONCAT(Ruimtestaat[[#This Row],[Ruimte code]],"-",Ruimtestaat[[#This Row],[Frequentie werkdagen]]," ",Ruimtestaat[[#This Row],[Vloer code]]))</f>
        <v/>
      </c>
      <c r="AI65" s="142" t="str">
        <f>_xlfn.IFNA(VLOOKUP($AH65,Programma!$F$3:$G$1101,2,0),"")</f>
        <v/>
      </c>
      <c r="AJ65" s="142" t="str">
        <f>_xlfn.IFNA(VLOOKUP($AH65,Programma!$F$3:$H$1101,3,0),"")</f>
        <v/>
      </c>
      <c r="AK65" s="142" t="str">
        <f>_xlfn.IFNA(VLOOKUP($AH65,Programma!$F$3:$I$1101,4,0),"")</f>
        <v/>
      </c>
      <c r="AL65" s="142" t="str">
        <f>_xlfn.IFNA(VLOOKUP($AH65,Programma!$F$3:$J$1101,5,0),"")</f>
        <v/>
      </c>
      <c r="AM65" s="142" t="str">
        <f>_xlfn.IFNA(VLOOKUP($AH65,Programma!$F$3:$K$1101,6,0),"")</f>
        <v/>
      </c>
      <c r="AN65" s="142" t="str">
        <f>_xlfn.IFNA(VLOOKUP($AH65,Programma!$F$3:$L$1101,7,0),"")</f>
        <v/>
      </c>
      <c r="AO65" s="142" t="str">
        <f>_xlfn.IFNA(VLOOKUP($AH65,Programma!$F$3:$M$1101,8,0),"")</f>
        <v/>
      </c>
      <c r="AP65" s="142" t="str">
        <f>_xlfn.IFNA(VLOOKUP($AH65,Programma!$F$3:$N$1101,9,0),"")</f>
        <v/>
      </c>
      <c r="AQ65" s="142" t="str">
        <f>_xlfn.IFNA(VLOOKUP($AH65,Programma!$F$3:$O$1101,10,0),"")</f>
        <v/>
      </c>
      <c r="AR65" s="142" t="str">
        <f>_xlfn.IFNA(VLOOKUP($AH65,Programma!$F$3:$P$1101,11,0),"")</f>
        <v/>
      </c>
      <c r="AS65" s="142" t="str">
        <f>_xlfn.IFNA(VLOOKUP($AH65,Programma!$F$3:$Q$1101,12,0),"")</f>
        <v/>
      </c>
      <c r="AT65" s="142" t="str">
        <f>_xlfn.IFNA(VLOOKUP($AH65,Programma!$F$3:$R$1101,13,0),"")</f>
        <v/>
      </c>
      <c r="AU65" s="142" t="str">
        <f>_xlfn.IFNA(VLOOKUP($AH65,Programma!$F$3:$S$1101,14,0),"")</f>
        <v/>
      </c>
      <c r="AV65" s="142" t="str">
        <f>_xlfn.IFNA(VLOOKUP($AH65,Programma!$F$3:$T$1101,15,0),"")</f>
        <v/>
      </c>
      <c r="AW65" s="142" t="str">
        <f>_xlfn.IFNA(VLOOKUP($AH65,Programma!$F$3:$U$1101,16,0),"")</f>
        <v/>
      </c>
      <c r="AX65" s="142" t="str">
        <f>_xlfn.IFNA(VLOOKUP($AH65,Programma!$F$3:$V$1101,17,0),"")</f>
        <v/>
      </c>
      <c r="AY65" s="142" t="str">
        <f>_xlfn.IFNA(VLOOKUP($AH65,Programma!$F$3:$W$1101,18,0),"")</f>
        <v/>
      </c>
      <c r="AZ65" s="142" t="str">
        <f>_xlfn.IFNA(VLOOKUP($AH65,Programma!$F$3:$X$1101,19,0),"")</f>
        <v/>
      </c>
      <c r="BA65" s="142" t="str">
        <f>_xlfn.IFNA(VLOOKUP($AH65,Programma!$F$3:$Y$1101,20,0),"")</f>
        <v/>
      </c>
      <c r="BB65" s="138"/>
      <c r="BC65" s="137" t="str">
        <f>IF(Ruimtestaat[[#This Row],[Frequentie weekend]]="","",_xlfn.CONCAT(Ruimtestaat[[#This Row],[Ruimte code]],"-",Ruimtestaat[[#This Row],[Frequentie weekend]]," ",Ruimtestaat[[#This Row],[Vloer code]]))</f>
        <v/>
      </c>
      <c r="BD65" s="142" t="str">
        <f>_xlfn.IFNA(VLOOKUP($BC65,Programma!$F$3:$G$1101,2,0),"")</f>
        <v/>
      </c>
      <c r="BE65" s="142" t="str">
        <f>_xlfn.IFNA(VLOOKUP($BC65,Programma!$F$3:$H$1101,3,0),"")</f>
        <v/>
      </c>
      <c r="BF65" s="142" t="str">
        <f>_xlfn.IFNA(VLOOKUP($BC65,Programma!$F$3:$I$1101,4,0),"")</f>
        <v/>
      </c>
      <c r="BG65" s="142" t="str">
        <f>_xlfn.IFNA(VLOOKUP($BC65,Programma!$F$3:$J$1101,5,0),"")</f>
        <v/>
      </c>
      <c r="BH65" s="142" t="str">
        <f>_xlfn.IFNA(VLOOKUP($BC65,Programma!$F$3:$K$1101,6,0),"")</f>
        <v/>
      </c>
      <c r="BI65" s="142" t="str">
        <f>_xlfn.IFNA(VLOOKUP($BC65,Programma!$F$3:$L$1101,7,0),"")</f>
        <v/>
      </c>
      <c r="BJ65" s="142" t="str">
        <f>_xlfn.IFNA(VLOOKUP($BC65,Programma!$F$3:$M$1101,8,0),"")</f>
        <v/>
      </c>
      <c r="BK65" s="142" t="str">
        <f>_xlfn.IFNA(VLOOKUP($BC65,Programma!$F$3:$N$1101,9,0),"")</f>
        <v/>
      </c>
      <c r="BL65" s="142" t="str">
        <f>_xlfn.IFNA(VLOOKUP($BC65,Programma!$F$3:$O$1101,10,0),"")</f>
        <v/>
      </c>
      <c r="BM65" s="142" t="str">
        <f>_xlfn.IFNA(VLOOKUP($BC65,Programma!$F$3:$P$1101,11,0),"")</f>
        <v/>
      </c>
      <c r="BN65" s="142" t="str">
        <f>_xlfn.IFNA(VLOOKUP($BC65,Programma!$F$3:$Q$1101,12,0),"")</f>
        <v/>
      </c>
      <c r="BO65" s="142" t="str">
        <f>_xlfn.IFNA(VLOOKUP($BC65,Programma!$F$3:$R$1101,13,0),"")</f>
        <v/>
      </c>
      <c r="BP65" s="142" t="str">
        <f>_xlfn.IFNA(VLOOKUP($BC65,Programma!$F$3:$S$1101,14,0),"")</f>
        <v/>
      </c>
      <c r="BQ65" s="142" t="str">
        <f>_xlfn.IFNA(VLOOKUP($BC65,Programma!$F$3:$T$1101,15,0),"")</f>
        <v/>
      </c>
      <c r="BR65" s="142" t="str">
        <f>_xlfn.IFNA(VLOOKUP($BC65,Programma!$F$3:$U$1101,16,0),"")</f>
        <v/>
      </c>
      <c r="BS65" s="142" t="str">
        <f>_xlfn.IFNA(VLOOKUP($BC65,Programma!$F$3:$V$1101,17,0),"")</f>
        <v/>
      </c>
      <c r="BT65" s="142" t="str">
        <f>_xlfn.IFNA(VLOOKUP($BC65,Programma!$F$3:$W$1101,18,0),"")</f>
        <v/>
      </c>
      <c r="BU65" s="142" t="str">
        <f>_xlfn.IFNA(VLOOKUP($BC65,Programma!$F$3:$X$1101,19,0),"")</f>
        <v/>
      </c>
      <c r="BV65" s="142" t="str">
        <f>_xlfn.IFNA(VLOOKUP($BC65,Programma!$F$3:$Y$1101,20,0),"")</f>
        <v/>
      </c>
      <c r="BW65" s="28"/>
      <c r="BX65" s="28"/>
      <c r="BY65" s="28"/>
      <c r="BZ65" s="28"/>
      <c r="CA65" s="28"/>
      <c r="CB65" s="28"/>
      <c r="CC65" s="28"/>
      <c r="CD65" s="28"/>
      <c r="CE65" s="28"/>
      <c r="CF65" s="28"/>
      <c r="CG65" s="28"/>
      <c r="CH65" s="28"/>
      <c r="CI65" s="28"/>
      <c r="CJ65" s="28"/>
      <c r="CK65" s="28"/>
      <c r="CL65" s="28"/>
      <c r="CM65" s="28"/>
      <c r="CN65" s="28"/>
      <c r="CO65" s="28"/>
      <c r="CP65" s="28"/>
      <c r="CQ65" s="28"/>
      <c r="CR65" s="28"/>
      <c r="CS65" s="28"/>
      <c r="CT65" s="28"/>
      <c r="CU65" s="28"/>
      <c r="CV65" s="28"/>
      <c r="CW65" s="28"/>
      <c r="CX65" s="28"/>
      <c r="CY65" s="28"/>
      <c r="CZ65" s="28"/>
      <c r="DA65" s="28"/>
      <c r="DB65" s="28"/>
      <c r="DC65" s="28"/>
      <c r="DD65" s="28"/>
      <c r="DE65" s="28"/>
      <c r="DF65" s="28"/>
      <c r="DG65" s="28"/>
      <c r="DH65" s="28"/>
      <c r="DI65" s="28"/>
      <c r="DJ65" s="28"/>
      <c r="DK65" s="28"/>
      <c r="DL65" s="28"/>
      <c r="DM65" s="28"/>
      <c r="DN65" s="28"/>
      <c r="DO65" s="28"/>
      <c r="DP65" s="28"/>
      <c r="DQ65" s="28"/>
      <c r="DR65" s="28"/>
      <c r="DS65" s="28"/>
      <c r="DT65" s="28"/>
      <c r="DU65" s="28"/>
      <c r="DV65" s="28"/>
      <c r="DW65" s="28"/>
      <c r="DX65" s="28"/>
      <c r="DY65" s="28"/>
      <c r="DZ65" s="28"/>
      <c r="EA65" s="28"/>
      <c r="EB65" s="28"/>
      <c r="EC65" s="28"/>
      <c r="ED65" s="28"/>
      <c r="EE65" s="28"/>
      <c r="EF65" s="28"/>
      <c r="EG65" s="28"/>
      <c r="EH65" s="28"/>
      <c r="EI65" s="28"/>
      <c r="EJ65" s="28"/>
      <c r="EK65" s="28"/>
      <c r="EL65" s="28"/>
      <c r="EM65" s="28"/>
      <c r="EN65" s="28"/>
      <c r="EO65" s="28"/>
      <c r="EP65" s="28"/>
      <c r="EQ65" s="28"/>
      <c r="ER65" s="28"/>
      <c r="ES65" s="28"/>
      <c r="ET65" s="28"/>
      <c r="EU65" s="28"/>
      <c r="EV65" s="28"/>
      <c r="EW65" s="28"/>
      <c r="EX65" s="28"/>
      <c r="EY65" s="28"/>
      <c r="EZ65" s="28"/>
      <c r="FA65" s="28"/>
      <c r="FB65" s="28"/>
      <c r="FC65" s="28"/>
      <c r="FD65" s="28"/>
      <c r="FE65" s="28"/>
      <c r="FF65" s="28"/>
      <c r="FG65" s="28"/>
      <c r="FH65" s="28"/>
      <c r="FI65" s="28"/>
      <c r="FJ65" s="28"/>
      <c r="FK65" s="28"/>
      <c r="FL65" s="28"/>
      <c r="FM65" s="28"/>
      <c r="FN65" s="28"/>
      <c r="FO65" s="28"/>
      <c r="FP65" s="28"/>
      <c r="FQ65" s="28"/>
      <c r="FR65" s="28"/>
      <c r="FS65" s="28"/>
      <c r="FT65" s="28"/>
      <c r="FU65" s="28"/>
      <c r="FV65" s="28"/>
      <c r="FW65" s="28"/>
      <c r="FX65" s="28"/>
      <c r="FY65" s="28"/>
      <c r="FZ65" s="28"/>
      <c r="GA65" s="28"/>
      <c r="GB65" s="28"/>
      <c r="GC65" s="28"/>
      <c r="GD65" s="28"/>
      <c r="GE65" s="28"/>
      <c r="GF65" s="28"/>
      <c r="GG65" s="28"/>
      <c r="GH65" s="28"/>
      <c r="GI65" s="28"/>
      <c r="GJ65" s="28"/>
      <c r="GK65" s="28"/>
      <c r="GL65" s="28"/>
      <c r="GM65" s="28"/>
      <c r="GN65" s="28"/>
      <c r="GO65" s="28"/>
      <c r="GP65" s="28"/>
      <c r="GQ65" s="28"/>
      <c r="GR65" s="28"/>
      <c r="GS65" s="28"/>
      <c r="GT65" s="28"/>
      <c r="GU65" s="28"/>
      <c r="GV65" s="28"/>
      <c r="GW65" s="28"/>
      <c r="GX65" s="28"/>
      <c r="GY65" s="28"/>
      <c r="GZ65" s="28"/>
      <c r="HA65" s="28"/>
      <c r="HB65" s="28"/>
      <c r="HC65" s="28"/>
      <c r="HD65" s="28"/>
      <c r="HE65" s="28"/>
      <c r="HF65" s="28"/>
      <c r="HG65" s="28"/>
      <c r="HH65" s="28"/>
      <c r="HI65" s="28"/>
      <c r="HJ65" s="28"/>
      <c r="HK65" s="28"/>
    </row>
    <row r="66" spans="1:219" ht="15" customHeight="1">
      <c r="A66" s="100">
        <v>1</v>
      </c>
      <c r="B66" s="132" t="str">
        <f>VLOOKUP(Ruimtestaat[[#This Row],[Code]],Locaties[[Code]:[Locatie]],2,FALSE)</f>
        <v>Mirtehuis</v>
      </c>
      <c r="C66" s="132" t="str">
        <f>VLOOKUP(Ruimtestaat[[#This Row],[Code]],Locaties[[#All],[Code]:[Adres]],4,FALSE)</f>
        <v>Weseperweg 6</v>
      </c>
      <c r="D66" s="132" t="str">
        <f>VLOOKUP(Ruimtestaat[[#This Row],[Code]],Locaties[[#All],[Code]:[Postcode]],5,FALSE)</f>
        <v>8111 PK</v>
      </c>
      <c r="E66" s="132" t="str">
        <f>VLOOKUP(Ruimtestaat[[#This Row],[Code]],Locaties[#All],6,FALSE)</f>
        <v>Heeten</v>
      </c>
      <c r="F66" s="100"/>
      <c r="G66" s="100" t="s">
        <v>1675</v>
      </c>
      <c r="H66" s="344"/>
      <c r="I66" s="345" t="s">
        <v>1656</v>
      </c>
      <c r="J66" s="49">
        <v>20</v>
      </c>
      <c r="K66" s="140" t="str">
        <f>VLOOKUP(Ruimtestaat[[#This Row],[Ruimte code]],Ruimtegroepen[[#All],[Code]:[Ruimte omschrijving]],2,FALSE)</f>
        <v>Niet in Onderhoud</v>
      </c>
      <c r="L66" s="100" t="s">
        <v>100</v>
      </c>
      <c r="M66" s="345" t="s">
        <v>1636</v>
      </c>
      <c r="N66" s="133"/>
      <c r="O66" s="139"/>
      <c r="P66" s="134">
        <f>VLOOKUP(Ruimtestaat[[#This Row],[Ruimte code]],Ruimtegroepen[],4,FALSE)</f>
        <v>0</v>
      </c>
      <c r="Q66" s="100"/>
      <c r="R66" s="100"/>
      <c r="S66" s="100">
        <f>IF(Q66&gt;0,IF(RIGHT(Ruimtestaat[[#This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6" s="100">
        <f>IF(S66&gt;0,VLOOKUP($J66,Ruimtegroepen[],3,FALSE)*VLOOKUP($L66,Vloersoorten[],3,FALSE)*VLOOKUP($R66,Frequenties[],3,FALSE)*VLOOKUP($A66,Locaties[],3,FALSE),0)</f>
        <v>0</v>
      </c>
      <c r="U66" s="100">
        <f>Ruimtestaat[[#This Row],[Uitvoeringen werkdagen]]*Ruimtestaat[[#This Row],[Oppervlak (netto)]]</f>
        <v>0</v>
      </c>
      <c r="V66" s="135">
        <f>IF(T66&gt;0,Ruimtestaat[[#This Row],[Prest. (m2 /jaar) werkdagen]]/Ruimtestaat[[#This Row],[Norm (m2/uur) werkdagen]],0)</f>
        <v>0</v>
      </c>
      <c r="W66" s="136">
        <f>Ruimtestaat[[#This Row],[uren / jaar werkdagen]]*Tariefsopbouw!$E$35</f>
        <v>0</v>
      </c>
      <c r="X66" s="100"/>
      <c r="Y66" s="100">
        <f>IF(Ruimtestaat[[#This Row],[Frequentie weekend]]&gt;0,VALUE(LEFT(X66,1))*Q66,0)</f>
        <v>0</v>
      </c>
      <c r="Z66" s="99">
        <f>IF($Y66&gt;0,VLOOKUP($J66,Ruimtegroepen[],3,FALSE)*VLOOKUP($L66,Vloersoorten[],3,FALSE)*VLOOKUP($X66,Frequenties[],3,FALSE)*VLOOKUP(Ruimtestaat[[#This Row],[Code]],Locaties[],3,FALSE),0)</f>
        <v>0</v>
      </c>
      <c r="AA66" s="99">
        <f>Ruimtestaat[[#This Row],[Uitvoeringen weekend]]*Ruimtestaat[[#This Row],[Oppervlak (netto)]]</f>
        <v>0</v>
      </c>
      <c r="AB66" s="99">
        <f>IF(Z66&gt;0,Ruimtestaat[[#This Row],[Prest. (m2 /jaar) weekend]]/Ruimtestaat[[#This Row],[Norm (m2/uur) weekend]],0)</f>
        <v>0</v>
      </c>
      <c r="AC66" s="136">
        <f>Ruimtestaat[[#This Row],[uren / jaar weekend]]*Tariefsopbouw!$D$40</f>
        <v>0</v>
      </c>
      <c r="AD66" s="135">
        <f>Ruimtestaat[[#This Row],[Prest. (m2 /jaar) weekend]]+Ruimtestaat[[#This Row],[Prest. (m2 /jaar) werkdagen]]</f>
        <v>0</v>
      </c>
      <c r="AE66" s="135">
        <f>Ruimtestaat[[#This Row],[uren / jaar weekend]]+Ruimtestaat[[#This Row],[uren / jaar werkdagen]]</f>
        <v>0</v>
      </c>
      <c r="AF66" s="130">
        <f>Ruimtestaat[[#This Row],[kosten / jaar weekend]]+Ruimtestaat[[#This Row],[kosten / jaar werkdagen]]</f>
        <v>0</v>
      </c>
      <c r="AG66" s="130"/>
      <c r="AH66" s="137" t="str">
        <f>IF(Ruimtestaat[[#This Row],[Frequentie werkdagen]]="","",_xlfn.CONCAT(Ruimtestaat[[#This Row],[Ruimte code]],"-",Ruimtestaat[[#This Row],[Frequentie werkdagen]]," ",Ruimtestaat[[#This Row],[Vloer code]]))</f>
        <v/>
      </c>
      <c r="AI66" s="142" t="str">
        <f>_xlfn.IFNA(VLOOKUP($AH66,Programma!$F$3:$G$1101,2,0),"")</f>
        <v/>
      </c>
      <c r="AJ66" s="142" t="str">
        <f>_xlfn.IFNA(VLOOKUP($AH66,Programma!$F$3:$H$1101,3,0),"")</f>
        <v/>
      </c>
      <c r="AK66" s="142" t="str">
        <f>_xlfn.IFNA(VLOOKUP($AH66,Programma!$F$3:$I$1101,4,0),"")</f>
        <v/>
      </c>
      <c r="AL66" s="142" t="str">
        <f>_xlfn.IFNA(VLOOKUP($AH66,Programma!$F$3:$J$1101,5,0),"")</f>
        <v/>
      </c>
      <c r="AM66" s="142" t="str">
        <f>_xlfn.IFNA(VLOOKUP($AH66,Programma!$F$3:$K$1101,6,0),"")</f>
        <v/>
      </c>
      <c r="AN66" s="142" t="str">
        <f>_xlfn.IFNA(VLOOKUP($AH66,Programma!$F$3:$L$1101,7,0),"")</f>
        <v/>
      </c>
      <c r="AO66" s="142" t="str">
        <f>_xlfn.IFNA(VLOOKUP($AH66,Programma!$F$3:$M$1101,8,0),"")</f>
        <v/>
      </c>
      <c r="AP66" s="142" t="str">
        <f>_xlfn.IFNA(VLOOKUP($AH66,Programma!$F$3:$N$1101,9,0),"")</f>
        <v/>
      </c>
      <c r="AQ66" s="142" t="str">
        <f>_xlfn.IFNA(VLOOKUP($AH66,Programma!$F$3:$O$1101,10,0),"")</f>
        <v/>
      </c>
      <c r="AR66" s="142" t="str">
        <f>_xlfn.IFNA(VLOOKUP($AH66,Programma!$F$3:$P$1101,11,0),"")</f>
        <v/>
      </c>
      <c r="AS66" s="142" t="str">
        <f>_xlfn.IFNA(VLOOKUP($AH66,Programma!$F$3:$Q$1101,12,0),"")</f>
        <v/>
      </c>
      <c r="AT66" s="142" t="str">
        <f>_xlfn.IFNA(VLOOKUP($AH66,Programma!$F$3:$R$1101,13,0),"")</f>
        <v/>
      </c>
      <c r="AU66" s="142" t="str">
        <f>_xlfn.IFNA(VLOOKUP($AH66,Programma!$F$3:$S$1101,14,0),"")</f>
        <v/>
      </c>
      <c r="AV66" s="142" t="str">
        <f>_xlfn.IFNA(VLOOKUP($AH66,Programma!$F$3:$T$1101,15,0),"")</f>
        <v/>
      </c>
      <c r="AW66" s="142" t="str">
        <f>_xlfn.IFNA(VLOOKUP($AH66,Programma!$F$3:$U$1101,16,0),"")</f>
        <v/>
      </c>
      <c r="AX66" s="142" t="str">
        <f>_xlfn.IFNA(VLOOKUP($AH66,Programma!$F$3:$V$1101,17,0),"")</f>
        <v/>
      </c>
      <c r="AY66" s="142" t="str">
        <f>_xlfn.IFNA(VLOOKUP($AH66,Programma!$F$3:$W$1101,18,0),"")</f>
        <v/>
      </c>
      <c r="AZ66" s="142" t="str">
        <f>_xlfn.IFNA(VLOOKUP($AH66,Programma!$F$3:$X$1101,19,0),"")</f>
        <v/>
      </c>
      <c r="BA66" s="142" t="str">
        <f>_xlfn.IFNA(VLOOKUP($AH66,Programma!$F$3:$Y$1101,20,0),"")</f>
        <v/>
      </c>
      <c r="BB66" s="138"/>
      <c r="BC66" s="137" t="str">
        <f>IF(Ruimtestaat[[#This Row],[Frequentie weekend]]="","",_xlfn.CONCAT(Ruimtestaat[[#This Row],[Ruimte code]],"-",Ruimtestaat[[#This Row],[Frequentie weekend]]," ",Ruimtestaat[[#This Row],[Vloer code]]))</f>
        <v/>
      </c>
      <c r="BD66" s="142" t="str">
        <f>_xlfn.IFNA(VLOOKUP($BC66,Programma!$F$3:$G$1101,2,0),"")</f>
        <v/>
      </c>
      <c r="BE66" s="142" t="str">
        <f>_xlfn.IFNA(VLOOKUP($BC66,Programma!$F$3:$H$1101,3,0),"")</f>
        <v/>
      </c>
      <c r="BF66" s="142" t="str">
        <f>_xlfn.IFNA(VLOOKUP($BC66,Programma!$F$3:$I$1101,4,0),"")</f>
        <v/>
      </c>
      <c r="BG66" s="142" t="str">
        <f>_xlfn.IFNA(VLOOKUP($BC66,Programma!$F$3:$J$1101,5,0),"")</f>
        <v/>
      </c>
      <c r="BH66" s="142" t="str">
        <f>_xlfn.IFNA(VLOOKUP($BC66,Programma!$F$3:$K$1101,6,0),"")</f>
        <v/>
      </c>
      <c r="BI66" s="142" t="str">
        <f>_xlfn.IFNA(VLOOKUP($BC66,Programma!$F$3:$L$1101,7,0),"")</f>
        <v/>
      </c>
      <c r="BJ66" s="142" t="str">
        <f>_xlfn.IFNA(VLOOKUP($BC66,Programma!$F$3:$M$1101,8,0),"")</f>
        <v/>
      </c>
      <c r="BK66" s="142" t="str">
        <f>_xlfn.IFNA(VLOOKUP($BC66,Programma!$F$3:$N$1101,9,0),"")</f>
        <v/>
      </c>
      <c r="BL66" s="142" t="str">
        <f>_xlfn.IFNA(VLOOKUP($BC66,Programma!$F$3:$O$1101,10,0),"")</f>
        <v/>
      </c>
      <c r="BM66" s="142" t="str">
        <f>_xlfn.IFNA(VLOOKUP($BC66,Programma!$F$3:$P$1101,11,0),"")</f>
        <v/>
      </c>
      <c r="BN66" s="142" t="str">
        <f>_xlfn.IFNA(VLOOKUP($BC66,Programma!$F$3:$Q$1101,12,0),"")</f>
        <v/>
      </c>
      <c r="BO66" s="142" t="str">
        <f>_xlfn.IFNA(VLOOKUP($BC66,Programma!$F$3:$R$1101,13,0),"")</f>
        <v/>
      </c>
      <c r="BP66" s="142" t="str">
        <f>_xlfn.IFNA(VLOOKUP($BC66,Programma!$F$3:$S$1101,14,0),"")</f>
        <v/>
      </c>
      <c r="BQ66" s="142" t="str">
        <f>_xlfn.IFNA(VLOOKUP($BC66,Programma!$F$3:$T$1101,15,0),"")</f>
        <v/>
      </c>
      <c r="BR66" s="142" t="str">
        <f>_xlfn.IFNA(VLOOKUP($BC66,Programma!$F$3:$U$1101,16,0),"")</f>
        <v/>
      </c>
      <c r="BS66" s="142" t="str">
        <f>_xlfn.IFNA(VLOOKUP($BC66,Programma!$F$3:$V$1101,17,0),"")</f>
        <v/>
      </c>
      <c r="BT66" s="142" t="str">
        <f>_xlfn.IFNA(VLOOKUP($BC66,Programma!$F$3:$W$1101,18,0),"")</f>
        <v/>
      </c>
      <c r="BU66" s="142" t="str">
        <f>_xlfn.IFNA(VLOOKUP($BC66,Programma!$F$3:$X$1101,19,0),"")</f>
        <v/>
      </c>
      <c r="BV66" s="142" t="str">
        <f>_xlfn.IFNA(VLOOKUP($BC66,Programma!$F$3:$Y$1101,20,0),"")</f>
        <v/>
      </c>
      <c r="BW66" s="28"/>
      <c r="BX66" s="28"/>
      <c r="BY66" s="28"/>
      <c r="BZ66" s="28"/>
      <c r="CA66" s="28"/>
      <c r="CB66" s="28"/>
      <c r="CC66" s="28"/>
      <c r="CD66" s="28"/>
      <c r="CE66" s="28"/>
      <c r="CF66" s="28"/>
      <c r="CG66" s="28"/>
      <c r="CH66" s="28"/>
      <c r="CI66" s="28"/>
      <c r="CJ66" s="28"/>
      <c r="CK66" s="28"/>
      <c r="CL66" s="28"/>
      <c r="CM66" s="28"/>
      <c r="CN66" s="28"/>
      <c r="CO66" s="28"/>
      <c r="CP66" s="28"/>
      <c r="CQ66" s="28"/>
      <c r="CR66" s="28"/>
      <c r="CS66" s="28"/>
      <c r="CT66" s="28"/>
      <c r="CU66" s="28"/>
      <c r="CV66" s="28"/>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8"/>
      <c r="EZ66" s="28"/>
      <c r="FA66" s="28"/>
      <c r="FB66" s="28"/>
      <c r="FC66" s="28"/>
      <c r="FD66" s="28"/>
      <c r="FE66" s="28"/>
      <c r="FF66" s="28"/>
      <c r="FG66" s="28"/>
      <c r="FH66" s="28"/>
      <c r="FI66" s="28"/>
      <c r="FJ66" s="28"/>
      <c r="FK66" s="28"/>
      <c r="FL66" s="28"/>
      <c r="FM66" s="28"/>
      <c r="FN66" s="28"/>
      <c r="FO66" s="28"/>
      <c r="FP66" s="28"/>
      <c r="FQ66" s="28"/>
      <c r="FR66" s="28"/>
      <c r="FS66" s="28"/>
      <c r="FT66" s="28"/>
      <c r="FU66" s="28"/>
      <c r="FV66" s="28"/>
      <c r="FW66" s="28"/>
      <c r="FX66" s="28"/>
      <c r="FY66" s="28"/>
      <c r="FZ66" s="28"/>
      <c r="GA66" s="28"/>
      <c r="GB66" s="28"/>
      <c r="GC66" s="28"/>
      <c r="GD66" s="28"/>
      <c r="GE66" s="28"/>
      <c r="GF66" s="28"/>
      <c r="GG66" s="28"/>
      <c r="GH66" s="28"/>
      <c r="GI66" s="28"/>
      <c r="GJ66" s="28"/>
      <c r="GK66" s="28"/>
      <c r="GL66" s="28"/>
      <c r="GM66" s="28"/>
      <c r="GN66" s="28"/>
      <c r="GO66" s="28"/>
      <c r="GP66" s="28"/>
      <c r="GQ66" s="28"/>
      <c r="GR66" s="28"/>
      <c r="GS66" s="28"/>
      <c r="GT66" s="28"/>
      <c r="GU66" s="28"/>
      <c r="GV66" s="28"/>
      <c r="GW66" s="28"/>
      <c r="GX66" s="28"/>
      <c r="GY66" s="28"/>
      <c r="GZ66" s="28"/>
      <c r="HA66" s="28"/>
      <c r="HB66" s="28"/>
      <c r="HC66" s="28"/>
      <c r="HD66" s="28"/>
      <c r="HE66" s="28"/>
      <c r="HF66" s="28"/>
      <c r="HG66" s="28"/>
      <c r="HH66" s="28"/>
      <c r="HI66" s="28"/>
      <c r="HJ66" s="28"/>
      <c r="HK66" s="28"/>
    </row>
    <row r="67" spans="1:219" ht="15" customHeight="1">
      <c r="A67" s="100">
        <v>1</v>
      </c>
      <c r="B67" s="132" t="str">
        <f>VLOOKUP(Ruimtestaat[[#This Row],[Code]],Locaties[[Code]:[Locatie]],2,FALSE)</f>
        <v>Mirtehuis</v>
      </c>
      <c r="C67" s="132" t="str">
        <f>VLOOKUP(Ruimtestaat[[#This Row],[Code]],Locaties[[#All],[Code]:[Adres]],4,FALSE)</f>
        <v>Weseperweg 6</v>
      </c>
      <c r="D67" s="132" t="str">
        <f>VLOOKUP(Ruimtestaat[[#This Row],[Code]],Locaties[[#All],[Code]:[Postcode]],5,FALSE)</f>
        <v>8111 PK</v>
      </c>
      <c r="E67" s="132" t="str">
        <f>VLOOKUP(Ruimtestaat[[#This Row],[Code]],Locaties[#All],6,FALSE)</f>
        <v>Heeten</v>
      </c>
      <c r="F67" s="100"/>
      <c r="G67" s="100" t="s">
        <v>1675</v>
      </c>
      <c r="H67" s="344"/>
      <c r="I67" s="345" t="s">
        <v>1641</v>
      </c>
      <c r="J67" s="49">
        <v>20</v>
      </c>
      <c r="K67" s="140" t="str">
        <f>VLOOKUP(Ruimtestaat[[#This Row],[Ruimte code]],Ruimtegroepen[[#All],[Code]:[Ruimte omschrijving]],2,FALSE)</f>
        <v>Niet in Onderhoud</v>
      </c>
      <c r="L67" s="100" t="s">
        <v>101</v>
      </c>
      <c r="M67" s="345" t="s">
        <v>1642</v>
      </c>
      <c r="N67" s="133"/>
      <c r="O67" s="100"/>
      <c r="P67" s="134">
        <f>VLOOKUP(Ruimtestaat[[#This Row],[Ruimte code]],Ruimtegroepen[],4,FALSE)</f>
        <v>0</v>
      </c>
      <c r="Q67" s="100"/>
      <c r="R67" s="100"/>
      <c r="S67" s="100">
        <f>IF(Q67&gt;0,IF(RIGHT(Ruimtestaat[[#This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7" s="100">
        <f>IF(S67&gt;0,VLOOKUP($J67,Ruimtegroepen[],3,FALSE)*VLOOKUP($L67,Vloersoorten[],3,FALSE)*VLOOKUP($R67,Frequenties[],3,FALSE)*VLOOKUP($A67,Locaties[],3,FALSE),0)</f>
        <v>0</v>
      </c>
      <c r="U67" s="100">
        <f>Ruimtestaat[[#This Row],[Uitvoeringen werkdagen]]*Ruimtestaat[[#This Row],[Oppervlak (netto)]]</f>
        <v>0</v>
      </c>
      <c r="V67" s="135">
        <f>IF(T67&gt;0,Ruimtestaat[[#This Row],[Prest. (m2 /jaar) werkdagen]]/Ruimtestaat[[#This Row],[Norm (m2/uur) werkdagen]],0)</f>
        <v>0</v>
      </c>
      <c r="W67" s="136">
        <f>Ruimtestaat[[#This Row],[uren / jaar werkdagen]]*Tariefsopbouw!$E$35</f>
        <v>0</v>
      </c>
      <c r="X67" s="100"/>
      <c r="Y67" s="100">
        <f>IF(Ruimtestaat[[#This Row],[Frequentie weekend]]&gt;0,VALUE(LEFT(X67,1))*Q67,0)</f>
        <v>0</v>
      </c>
      <c r="Z67" s="99">
        <f>IF($Y67&gt;0,VLOOKUP($J67,Ruimtegroepen[],3,FALSE)*VLOOKUP($L67,Vloersoorten[],3,FALSE)*VLOOKUP($X67,Frequenties[],3,FALSE)*VLOOKUP(Ruimtestaat[[#This Row],[Code]],Locaties[],3,FALSE),0)</f>
        <v>0</v>
      </c>
      <c r="AA67" s="99">
        <f>Ruimtestaat[[#This Row],[Uitvoeringen weekend]]*Ruimtestaat[[#This Row],[Oppervlak (netto)]]</f>
        <v>0</v>
      </c>
      <c r="AB67" s="99">
        <f>IF(Z67&gt;0,Ruimtestaat[[#This Row],[Prest. (m2 /jaar) weekend]]/Ruimtestaat[[#This Row],[Norm (m2/uur) weekend]],0)</f>
        <v>0</v>
      </c>
      <c r="AC67" s="136">
        <f>Ruimtestaat[[#This Row],[uren / jaar weekend]]*Tariefsopbouw!$D$40</f>
        <v>0</v>
      </c>
      <c r="AD67" s="135">
        <f>Ruimtestaat[[#This Row],[Prest. (m2 /jaar) weekend]]+Ruimtestaat[[#This Row],[Prest. (m2 /jaar) werkdagen]]</f>
        <v>0</v>
      </c>
      <c r="AE67" s="135">
        <f>Ruimtestaat[[#This Row],[uren / jaar weekend]]+Ruimtestaat[[#This Row],[uren / jaar werkdagen]]</f>
        <v>0</v>
      </c>
      <c r="AF67" s="130">
        <f>Ruimtestaat[[#This Row],[kosten / jaar weekend]]+Ruimtestaat[[#This Row],[kosten / jaar werkdagen]]</f>
        <v>0</v>
      </c>
      <c r="AG67" s="130"/>
      <c r="AH67" s="137" t="str">
        <f>IF(Ruimtestaat[[#This Row],[Frequentie werkdagen]]="","",_xlfn.CONCAT(Ruimtestaat[[#This Row],[Ruimte code]],"-",Ruimtestaat[[#This Row],[Frequentie werkdagen]]," ",Ruimtestaat[[#This Row],[Vloer code]]))</f>
        <v/>
      </c>
      <c r="AI67" s="142" t="str">
        <f>_xlfn.IFNA(VLOOKUP($AH67,Programma!$F$3:$G$1101,2,0),"")</f>
        <v/>
      </c>
      <c r="AJ67" s="142" t="str">
        <f>_xlfn.IFNA(VLOOKUP($AH67,Programma!$F$3:$H$1101,3,0),"")</f>
        <v/>
      </c>
      <c r="AK67" s="142" t="str">
        <f>_xlfn.IFNA(VLOOKUP($AH67,Programma!$F$3:$I$1101,4,0),"")</f>
        <v/>
      </c>
      <c r="AL67" s="142" t="str">
        <f>_xlfn.IFNA(VLOOKUP($AH67,Programma!$F$3:$J$1101,5,0),"")</f>
        <v/>
      </c>
      <c r="AM67" s="142" t="str">
        <f>_xlfn.IFNA(VLOOKUP($AH67,Programma!$F$3:$K$1101,6,0),"")</f>
        <v/>
      </c>
      <c r="AN67" s="142" t="str">
        <f>_xlfn.IFNA(VLOOKUP($AH67,Programma!$F$3:$L$1101,7,0),"")</f>
        <v/>
      </c>
      <c r="AO67" s="142" t="str">
        <f>_xlfn.IFNA(VLOOKUP($AH67,Programma!$F$3:$M$1101,8,0),"")</f>
        <v/>
      </c>
      <c r="AP67" s="142" t="str">
        <f>_xlfn.IFNA(VLOOKUP($AH67,Programma!$F$3:$N$1101,9,0),"")</f>
        <v/>
      </c>
      <c r="AQ67" s="142" t="str">
        <f>_xlfn.IFNA(VLOOKUP($AH67,Programma!$F$3:$O$1101,10,0),"")</f>
        <v/>
      </c>
      <c r="AR67" s="142" t="str">
        <f>_xlfn.IFNA(VLOOKUP($AH67,Programma!$F$3:$P$1101,11,0),"")</f>
        <v/>
      </c>
      <c r="AS67" s="142" t="str">
        <f>_xlfn.IFNA(VLOOKUP($AH67,Programma!$F$3:$Q$1101,12,0),"")</f>
        <v/>
      </c>
      <c r="AT67" s="142" t="str">
        <f>_xlfn.IFNA(VLOOKUP($AH67,Programma!$F$3:$R$1101,13,0),"")</f>
        <v/>
      </c>
      <c r="AU67" s="142" t="str">
        <f>_xlfn.IFNA(VLOOKUP($AH67,Programma!$F$3:$S$1101,14,0),"")</f>
        <v/>
      </c>
      <c r="AV67" s="142" t="str">
        <f>_xlfn.IFNA(VLOOKUP($AH67,Programma!$F$3:$T$1101,15,0),"")</f>
        <v/>
      </c>
      <c r="AW67" s="142" t="str">
        <f>_xlfn.IFNA(VLOOKUP($AH67,Programma!$F$3:$U$1101,16,0),"")</f>
        <v/>
      </c>
      <c r="AX67" s="142" t="str">
        <f>_xlfn.IFNA(VLOOKUP($AH67,Programma!$F$3:$V$1101,17,0),"")</f>
        <v/>
      </c>
      <c r="AY67" s="142" t="str">
        <f>_xlfn.IFNA(VLOOKUP($AH67,Programma!$F$3:$W$1101,18,0),"")</f>
        <v/>
      </c>
      <c r="AZ67" s="142" t="str">
        <f>_xlfn.IFNA(VLOOKUP($AH67,Programma!$F$3:$X$1101,19,0),"")</f>
        <v/>
      </c>
      <c r="BA67" s="142" t="str">
        <f>_xlfn.IFNA(VLOOKUP($AH67,Programma!$F$3:$Y$1101,20,0),"")</f>
        <v/>
      </c>
      <c r="BB67" s="138"/>
      <c r="BC67" s="137" t="str">
        <f>IF(Ruimtestaat[[#This Row],[Frequentie weekend]]="","",_xlfn.CONCAT(Ruimtestaat[[#This Row],[Ruimte code]],"-",Ruimtestaat[[#This Row],[Frequentie weekend]]," ",Ruimtestaat[[#This Row],[Vloer code]]))</f>
        <v/>
      </c>
      <c r="BD67" s="142" t="str">
        <f>_xlfn.IFNA(VLOOKUP($BC67,Programma!$F$3:$G$1101,2,0),"")</f>
        <v/>
      </c>
      <c r="BE67" s="142" t="str">
        <f>_xlfn.IFNA(VLOOKUP($BC67,Programma!$F$3:$H$1101,3,0),"")</f>
        <v/>
      </c>
      <c r="BF67" s="142" t="str">
        <f>_xlfn.IFNA(VLOOKUP($BC67,Programma!$F$3:$I$1101,4,0),"")</f>
        <v/>
      </c>
      <c r="BG67" s="142" t="str">
        <f>_xlfn.IFNA(VLOOKUP($BC67,Programma!$F$3:$J$1101,5,0),"")</f>
        <v/>
      </c>
      <c r="BH67" s="142" t="str">
        <f>_xlfn.IFNA(VLOOKUP($BC67,Programma!$F$3:$K$1101,6,0),"")</f>
        <v/>
      </c>
      <c r="BI67" s="142" t="str">
        <f>_xlfn.IFNA(VLOOKUP($BC67,Programma!$F$3:$L$1101,7,0),"")</f>
        <v/>
      </c>
      <c r="BJ67" s="142" t="str">
        <f>_xlfn.IFNA(VLOOKUP($BC67,Programma!$F$3:$M$1101,8,0),"")</f>
        <v/>
      </c>
      <c r="BK67" s="142" t="str">
        <f>_xlfn.IFNA(VLOOKUP($BC67,Programma!$F$3:$N$1101,9,0),"")</f>
        <v/>
      </c>
      <c r="BL67" s="142" t="str">
        <f>_xlfn.IFNA(VLOOKUP($BC67,Programma!$F$3:$O$1101,10,0),"")</f>
        <v/>
      </c>
      <c r="BM67" s="142" t="str">
        <f>_xlfn.IFNA(VLOOKUP($BC67,Programma!$F$3:$P$1101,11,0),"")</f>
        <v/>
      </c>
      <c r="BN67" s="142" t="str">
        <f>_xlfn.IFNA(VLOOKUP($BC67,Programma!$F$3:$Q$1101,12,0),"")</f>
        <v/>
      </c>
      <c r="BO67" s="142" t="str">
        <f>_xlfn.IFNA(VLOOKUP($BC67,Programma!$F$3:$R$1101,13,0),"")</f>
        <v/>
      </c>
      <c r="BP67" s="142" t="str">
        <f>_xlfn.IFNA(VLOOKUP($BC67,Programma!$F$3:$S$1101,14,0),"")</f>
        <v/>
      </c>
      <c r="BQ67" s="142" t="str">
        <f>_xlfn.IFNA(VLOOKUP($BC67,Programma!$F$3:$T$1101,15,0),"")</f>
        <v/>
      </c>
      <c r="BR67" s="142" t="str">
        <f>_xlfn.IFNA(VLOOKUP($BC67,Programma!$F$3:$U$1101,16,0),"")</f>
        <v/>
      </c>
      <c r="BS67" s="142" t="str">
        <f>_xlfn.IFNA(VLOOKUP($BC67,Programma!$F$3:$V$1101,17,0),"")</f>
        <v/>
      </c>
      <c r="BT67" s="142" t="str">
        <f>_xlfn.IFNA(VLOOKUP($BC67,Programma!$F$3:$W$1101,18,0),"")</f>
        <v/>
      </c>
      <c r="BU67" s="142" t="str">
        <f>_xlfn.IFNA(VLOOKUP($BC67,Programma!$F$3:$X$1101,19,0),"")</f>
        <v/>
      </c>
      <c r="BV67" s="142" t="str">
        <f>_xlfn.IFNA(VLOOKUP($BC67,Programma!$F$3:$Y$1101,20,0),"")</f>
        <v/>
      </c>
      <c r="BW67" s="28"/>
      <c r="BX67" s="28"/>
      <c r="BY67" s="28"/>
      <c r="BZ67" s="28"/>
      <c r="CA67" s="28"/>
      <c r="CB67" s="28"/>
      <c r="CC67" s="28"/>
      <c r="CD67" s="28"/>
      <c r="CE67" s="28"/>
      <c r="CF67" s="28"/>
      <c r="CG67" s="28"/>
      <c r="CH67" s="28"/>
      <c r="CI67" s="28"/>
      <c r="CJ67" s="28"/>
      <c r="CK67" s="28"/>
      <c r="CL67" s="28"/>
      <c r="CM67" s="28"/>
      <c r="CN67" s="28"/>
      <c r="CO67" s="28"/>
      <c r="CP67" s="28"/>
      <c r="CQ67" s="28"/>
      <c r="CR67" s="28"/>
      <c r="CS67" s="28"/>
      <c r="CT67" s="28"/>
      <c r="CU67" s="28"/>
      <c r="CV67" s="28"/>
      <c r="CW67" s="28"/>
      <c r="CX67" s="28"/>
      <c r="CY67" s="28"/>
      <c r="CZ67" s="28"/>
      <c r="DA67" s="28"/>
      <c r="DB67" s="28"/>
      <c r="DC67" s="28"/>
      <c r="DD67" s="28"/>
      <c r="DE67" s="28"/>
      <c r="DF67" s="28"/>
      <c r="DG67" s="28"/>
      <c r="DH67" s="28"/>
      <c r="DI67" s="28"/>
      <c r="DJ67" s="28"/>
      <c r="DK67" s="28"/>
      <c r="DL67" s="28"/>
      <c r="DM67" s="28"/>
      <c r="DN67" s="28"/>
      <c r="DO67" s="28"/>
      <c r="DP67" s="28"/>
      <c r="DQ67" s="28"/>
      <c r="DR67" s="28"/>
      <c r="DS67" s="28"/>
      <c r="DT67" s="28"/>
      <c r="DU67" s="28"/>
      <c r="DV67" s="28"/>
      <c r="DW67" s="28"/>
      <c r="DX67" s="28"/>
      <c r="DY67" s="28"/>
      <c r="DZ67" s="28"/>
      <c r="EA67" s="28"/>
      <c r="EB67" s="28"/>
      <c r="EC67" s="28"/>
      <c r="ED67" s="28"/>
      <c r="EE67" s="28"/>
      <c r="EF67" s="28"/>
      <c r="EG67" s="28"/>
      <c r="EH67" s="28"/>
      <c r="EI67" s="28"/>
      <c r="EJ67" s="28"/>
      <c r="EK67" s="28"/>
      <c r="EL67" s="28"/>
      <c r="EM67" s="28"/>
      <c r="EN67" s="28"/>
      <c r="EO67" s="28"/>
      <c r="EP67" s="28"/>
      <c r="EQ67" s="28"/>
      <c r="ER67" s="28"/>
      <c r="ES67" s="28"/>
      <c r="ET67" s="28"/>
      <c r="EU67" s="28"/>
      <c r="EV67" s="28"/>
      <c r="EW67" s="28"/>
      <c r="EX67" s="28"/>
      <c r="EY67" s="28"/>
      <c r="EZ67" s="28"/>
      <c r="FA67" s="28"/>
      <c r="FB67" s="28"/>
      <c r="FC67" s="28"/>
      <c r="FD67" s="28"/>
      <c r="FE67" s="28"/>
      <c r="FF67" s="28"/>
      <c r="FG67" s="28"/>
      <c r="FH67" s="28"/>
      <c r="FI67" s="28"/>
      <c r="FJ67" s="28"/>
      <c r="FK67" s="28"/>
      <c r="FL67" s="28"/>
      <c r="FM67" s="28"/>
      <c r="FN67" s="28"/>
      <c r="FO67" s="28"/>
      <c r="FP67" s="28"/>
      <c r="FQ67" s="28"/>
      <c r="FR67" s="28"/>
      <c r="FS67" s="28"/>
      <c r="FT67" s="28"/>
      <c r="FU67" s="28"/>
      <c r="FV67" s="28"/>
      <c r="FW67" s="28"/>
      <c r="FX67" s="28"/>
      <c r="FY67" s="28"/>
      <c r="FZ67" s="28"/>
      <c r="GA67" s="28"/>
      <c r="GB67" s="28"/>
      <c r="GC67" s="28"/>
      <c r="GD67" s="28"/>
      <c r="GE67" s="28"/>
      <c r="GF67" s="28"/>
      <c r="GG67" s="28"/>
      <c r="GH67" s="28"/>
      <c r="GI67" s="28"/>
      <c r="GJ67" s="28"/>
      <c r="GK67" s="28"/>
      <c r="GL67" s="28"/>
      <c r="GM67" s="28"/>
      <c r="GN67" s="28"/>
      <c r="GO67" s="28"/>
      <c r="GP67" s="28"/>
      <c r="GQ67" s="28"/>
      <c r="GR67" s="28"/>
      <c r="GS67" s="28"/>
      <c r="GT67" s="28"/>
      <c r="GU67" s="28"/>
      <c r="GV67" s="28"/>
      <c r="GW67" s="28"/>
      <c r="GX67" s="28"/>
      <c r="GY67" s="28"/>
      <c r="GZ67" s="28"/>
      <c r="HA67" s="28"/>
      <c r="HB67" s="28"/>
      <c r="HC67" s="28"/>
      <c r="HD67" s="28"/>
      <c r="HE67" s="28"/>
      <c r="HF67" s="28"/>
      <c r="HG67" s="28"/>
      <c r="HH67" s="28"/>
      <c r="HI67" s="28"/>
      <c r="HJ67" s="28"/>
      <c r="HK67" s="28"/>
    </row>
    <row r="68" spans="1:219" ht="15" customHeight="1">
      <c r="A68" s="100">
        <v>1</v>
      </c>
      <c r="B68" s="132" t="str">
        <f>VLOOKUP(Ruimtestaat[[#This Row],[Code]],Locaties[[Code]:[Locatie]],2,FALSE)</f>
        <v>Mirtehuis</v>
      </c>
      <c r="C68" s="132" t="str">
        <f>VLOOKUP(Ruimtestaat[[#This Row],[Code]],Locaties[[#All],[Code]:[Adres]],4,FALSE)</f>
        <v>Weseperweg 6</v>
      </c>
      <c r="D68" s="132" t="str">
        <f>VLOOKUP(Ruimtestaat[[#This Row],[Code]],Locaties[[#All],[Code]:[Postcode]],5,FALSE)</f>
        <v>8111 PK</v>
      </c>
      <c r="E68" s="132" t="str">
        <f>VLOOKUP(Ruimtestaat[[#This Row],[Code]],Locaties[#All],6,FALSE)</f>
        <v>Heeten</v>
      </c>
      <c r="F68" s="100"/>
      <c r="G68" s="100" t="s">
        <v>1675</v>
      </c>
      <c r="H68" s="344"/>
      <c r="I68" s="345" t="s">
        <v>1635</v>
      </c>
      <c r="J68" s="49">
        <v>20</v>
      </c>
      <c r="K68" s="140" t="str">
        <f>VLOOKUP(Ruimtestaat[[#This Row],[Ruimte code]],Ruimtegroepen[[#All],[Code]:[Ruimte omschrijving]],2,FALSE)</f>
        <v>Niet in Onderhoud</v>
      </c>
      <c r="L68" s="100" t="s">
        <v>100</v>
      </c>
      <c r="M68" s="345" t="s">
        <v>1636</v>
      </c>
      <c r="N68" s="133"/>
      <c r="O68" s="139"/>
      <c r="P68" s="134">
        <f>VLOOKUP(Ruimtestaat[[#This Row],[Ruimte code]],Ruimtegroepen[],4,FALSE)</f>
        <v>0</v>
      </c>
      <c r="Q68" s="100"/>
      <c r="R68" s="100"/>
      <c r="S68" s="100">
        <f>IF(Q68&gt;0,IF(RIGHT(Ruimtestaat[[#This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8" s="100">
        <f>IF(S68&gt;0,VLOOKUP($J68,Ruimtegroepen[],3,FALSE)*VLOOKUP($L68,Vloersoorten[],3,FALSE)*VLOOKUP($R68,Frequenties[],3,FALSE)*VLOOKUP($A68,Locaties[],3,FALSE),0)</f>
        <v>0</v>
      </c>
      <c r="U68" s="100">
        <f>Ruimtestaat[[#This Row],[Uitvoeringen werkdagen]]*Ruimtestaat[[#This Row],[Oppervlak (netto)]]</f>
        <v>0</v>
      </c>
      <c r="V68" s="135">
        <f>IF(T68&gt;0,Ruimtestaat[[#This Row],[Prest. (m2 /jaar) werkdagen]]/Ruimtestaat[[#This Row],[Norm (m2/uur) werkdagen]],0)</f>
        <v>0</v>
      </c>
      <c r="W68" s="136">
        <f>Ruimtestaat[[#This Row],[uren / jaar werkdagen]]*Tariefsopbouw!$E$35</f>
        <v>0</v>
      </c>
      <c r="X68" s="100"/>
      <c r="Y68" s="100">
        <f>IF(Ruimtestaat[[#This Row],[Frequentie weekend]]&gt;0,VALUE(LEFT(X68,1))*Q68,0)</f>
        <v>0</v>
      </c>
      <c r="Z68" s="99">
        <f>IF($Y68&gt;0,VLOOKUP($J68,Ruimtegroepen[],3,FALSE)*VLOOKUP($L68,Vloersoorten[],3,FALSE)*VLOOKUP($X68,Frequenties[],3,FALSE)*VLOOKUP(Ruimtestaat[[#This Row],[Code]],Locaties[],3,FALSE),0)</f>
        <v>0</v>
      </c>
      <c r="AA68" s="99">
        <f>Ruimtestaat[[#This Row],[Uitvoeringen weekend]]*Ruimtestaat[[#This Row],[Oppervlak (netto)]]</f>
        <v>0</v>
      </c>
      <c r="AB68" s="99">
        <f>IF(Z68&gt;0,Ruimtestaat[[#This Row],[Prest. (m2 /jaar) weekend]]/Ruimtestaat[[#This Row],[Norm (m2/uur) weekend]],0)</f>
        <v>0</v>
      </c>
      <c r="AC68" s="136">
        <f>Ruimtestaat[[#This Row],[uren / jaar weekend]]*Tariefsopbouw!$D$40</f>
        <v>0</v>
      </c>
      <c r="AD68" s="135">
        <f>Ruimtestaat[[#This Row],[Prest. (m2 /jaar) weekend]]+Ruimtestaat[[#This Row],[Prest. (m2 /jaar) werkdagen]]</f>
        <v>0</v>
      </c>
      <c r="AE68" s="135">
        <f>Ruimtestaat[[#This Row],[uren / jaar weekend]]+Ruimtestaat[[#This Row],[uren / jaar werkdagen]]</f>
        <v>0</v>
      </c>
      <c r="AF68" s="130">
        <f>Ruimtestaat[[#This Row],[kosten / jaar weekend]]+Ruimtestaat[[#This Row],[kosten / jaar werkdagen]]</f>
        <v>0</v>
      </c>
      <c r="AG68" s="130"/>
      <c r="AH68" s="137" t="str">
        <f>IF(Ruimtestaat[[#This Row],[Frequentie werkdagen]]="","",_xlfn.CONCAT(Ruimtestaat[[#This Row],[Ruimte code]],"-",Ruimtestaat[[#This Row],[Frequentie werkdagen]]," ",Ruimtestaat[[#This Row],[Vloer code]]))</f>
        <v/>
      </c>
      <c r="AI68" s="142" t="str">
        <f>_xlfn.IFNA(VLOOKUP($AH68,Programma!$F$3:$G$1101,2,0),"")</f>
        <v/>
      </c>
      <c r="AJ68" s="142" t="str">
        <f>_xlfn.IFNA(VLOOKUP($AH68,Programma!$F$3:$H$1101,3,0),"")</f>
        <v/>
      </c>
      <c r="AK68" s="142" t="str">
        <f>_xlfn.IFNA(VLOOKUP($AH68,Programma!$F$3:$I$1101,4,0),"")</f>
        <v/>
      </c>
      <c r="AL68" s="142" t="str">
        <f>_xlfn.IFNA(VLOOKUP($AH68,Programma!$F$3:$J$1101,5,0),"")</f>
        <v/>
      </c>
      <c r="AM68" s="142" t="str">
        <f>_xlfn.IFNA(VLOOKUP($AH68,Programma!$F$3:$K$1101,6,0),"")</f>
        <v/>
      </c>
      <c r="AN68" s="142" t="str">
        <f>_xlfn.IFNA(VLOOKUP($AH68,Programma!$F$3:$L$1101,7,0),"")</f>
        <v/>
      </c>
      <c r="AO68" s="142" t="str">
        <f>_xlfn.IFNA(VLOOKUP($AH68,Programma!$F$3:$M$1101,8,0),"")</f>
        <v/>
      </c>
      <c r="AP68" s="142" t="str">
        <f>_xlfn.IFNA(VLOOKUP($AH68,Programma!$F$3:$N$1101,9,0),"")</f>
        <v/>
      </c>
      <c r="AQ68" s="142" t="str">
        <f>_xlfn.IFNA(VLOOKUP($AH68,Programma!$F$3:$O$1101,10,0),"")</f>
        <v/>
      </c>
      <c r="AR68" s="142" t="str">
        <f>_xlfn.IFNA(VLOOKUP($AH68,Programma!$F$3:$P$1101,11,0),"")</f>
        <v/>
      </c>
      <c r="AS68" s="142" t="str">
        <f>_xlfn.IFNA(VLOOKUP($AH68,Programma!$F$3:$Q$1101,12,0),"")</f>
        <v/>
      </c>
      <c r="AT68" s="142" t="str">
        <f>_xlfn.IFNA(VLOOKUP($AH68,Programma!$F$3:$R$1101,13,0),"")</f>
        <v/>
      </c>
      <c r="AU68" s="142" t="str">
        <f>_xlfn.IFNA(VLOOKUP($AH68,Programma!$F$3:$S$1101,14,0),"")</f>
        <v/>
      </c>
      <c r="AV68" s="142" t="str">
        <f>_xlfn.IFNA(VLOOKUP($AH68,Programma!$F$3:$T$1101,15,0),"")</f>
        <v/>
      </c>
      <c r="AW68" s="142" t="str">
        <f>_xlfn.IFNA(VLOOKUP($AH68,Programma!$F$3:$U$1101,16,0),"")</f>
        <v/>
      </c>
      <c r="AX68" s="142" t="str">
        <f>_xlfn.IFNA(VLOOKUP($AH68,Programma!$F$3:$V$1101,17,0),"")</f>
        <v/>
      </c>
      <c r="AY68" s="142" t="str">
        <f>_xlfn.IFNA(VLOOKUP($AH68,Programma!$F$3:$W$1101,18,0),"")</f>
        <v/>
      </c>
      <c r="AZ68" s="142" t="str">
        <f>_xlfn.IFNA(VLOOKUP($AH68,Programma!$F$3:$X$1101,19,0),"")</f>
        <v/>
      </c>
      <c r="BA68" s="142" t="str">
        <f>_xlfn.IFNA(VLOOKUP($AH68,Programma!$F$3:$Y$1101,20,0),"")</f>
        <v/>
      </c>
      <c r="BB68" s="138"/>
      <c r="BC68" s="137" t="str">
        <f>IF(Ruimtestaat[[#This Row],[Frequentie weekend]]="","",_xlfn.CONCAT(Ruimtestaat[[#This Row],[Ruimte code]],"-",Ruimtestaat[[#This Row],[Frequentie weekend]]," ",Ruimtestaat[[#This Row],[Vloer code]]))</f>
        <v/>
      </c>
      <c r="BD68" s="142" t="str">
        <f>_xlfn.IFNA(VLOOKUP($BC68,Programma!$F$3:$G$1101,2,0),"")</f>
        <v/>
      </c>
      <c r="BE68" s="142" t="str">
        <f>_xlfn.IFNA(VLOOKUP($BC68,Programma!$F$3:$H$1101,3,0),"")</f>
        <v/>
      </c>
      <c r="BF68" s="142" t="str">
        <f>_xlfn.IFNA(VLOOKUP($BC68,Programma!$F$3:$I$1101,4,0),"")</f>
        <v/>
      </c>
      <c r="BG68" s="142" t="str">
        <f>_xlfn.IFNA(VLOOKUP($BC68,Programma!$F$3:$J$1101,5,0),"")</f>
        <v/>
      </c>
      <c r="BH68" s="142" t="str">
        <f>_xlfn.IFNA(VLOOKUP($BC68,Programma!$F$3:$K$1101,6,0),"")</f>
        <v/>
      </c>
      <c r="BI68" s="142" t="str">
        <f>_xlfn.IFNA(VLOOKUP($BC68,Programma!$F$3:$L$1101,7,0),"")</f>
        <v/>
      </c>
      <c r="BJ68" s="142" t="str">
        <f>_xlfn.IFNA(VLOOKUP($BC68,Programma!$F$3:$M$1101,8,0),"")</f>
        <v/>
      </c>
      <c r="BK68" s="142" t="str">
        <f>_xlfn.IFNA(VLOOKUP($BC68,Programma!$F$3:$N$1101,9,0),"")</f>
        <v/>
      </c>
      <c r="BL68" s="142" t="str">
        <f>_xlfn.IFNA(VLOOKUP($BC68,Programma!$F$3:$O$1101,10,0),"")</f>
        <v/>
      </c>
      <c r="BM68" s="142" t="str">
        <f>_xlfn.IFNA(VLOOKUP($BC68,Programma!$F$3:$P$1101,11,0),"")</f>
        <v/>
      </c>
      <c r="BN68" s="142" t="str">
        <f>_xlfn.IFNA(VLOOKUP($BC68,Programma!$F$3:$Q$1101,12,0),"")</f>
        <v/>
      </c>
      <c r="BO68" s="142" t="str">
        <f>_xlfn.IFNA(VLOOKUP($BC68,Programma!$F$3:$R$1101,13,0),"")</f>
        <v/>
      </c>
      <c r="BP68" s="142" t="str">
        <f>_xlfn.IFNA(VLOOKUP($BC68,Programma!$F$3:$S$1101,14,0),"")</f>
        <v/>
      </c>
      <c r="BQ68" s="142" t="str">
        <f>_xlfn.IFNA(VLOOKUP($BC68,Programma!$F$3:$T$1101,15,0),"")</f>
        <v/>
      </c>
      <c r="BR68" s="142" t="str">
        <f>_xlfn.IFNA(VLOOKUP($BC68,Programma!$F$3:$U$1101,16,0),"")</f>
        <v/>
      </c>
      <c r="BS68" s="142" t="str">
        <f>_xlfn.IFNA(VLOOKUP($BC68,Programma!$F$3:$V$1101,17,0),"")</f>
        <v/>
      </c>
      <c r="BT68" s="142" t="str">
        <f>_xlfn.IFNA(VLOOKUP($BC68,Programma!$F$3:$W$1101,18,0),"")</f>
        <v/>
      </c>
      <c r="BU68" s="142" t="str">
        <f>_xlfn.IFNA(VLOOKUP($BC68,Programma!$F$3:$X$1101,19,0),"")</f>
        <v/>
      </c>
      <c r="BV68" s="142" t="str">
        <f>_xlfn.IFNA(VLOOKUP($BC68,Programma!$F$3:$Y$1101,20,0),"")</f>
        <v/>
      </c>
      <c r="BW68" s="28"/>
      <c r="BX68" s="28"/>
      <c r="BY68" s="28"/>
      <c r="BZ68" s="28"/>
      <c r="CA68" s="28"/>
      <c r="CB68" s="28"/>
      <c r="CC68" s="28"/>
      <c r="CD68" s="28"/>
      <c r="CE68" s="28"/>
      <c r="CF68" s="28"/>
      <c r="CG68" s="28"/>
      <c r="CH68" s="28"/>
      <c r="CI68" s="28"/>
      <c r="CJ68" s="28"/>
      <c r="CK68" s="28"/>
      <c r="CL68" s="28"/>
      <c r="CM68" s="28"/>
      <c r="CN68" s="28"/>
      <c r="CO68" s="28"/>
      <c r="CP68" s="28"/>
      <c r="CQ68" s="28"/>
      <c r="CR68" s="28"/>
      <c r="CS68" s="28"/>
      <c r="CT68" s="28"/>
      <c r="CU68" s="28"/>
      <c r="CV68" s="28"/>
      <c r="CW68" s="28"/>
      <c r="CX68" s="28"/>
      <c r="CY68" s="28"/>
      <c r="CZ68" s="28"/>
      <c r="DA68" s="28"/>
      <c r="DB68" s="28"/>
      <c r="DC68" s="28"/>
      <c r="DD68" s="28"/>
      <c r="DE68" s="28"/>
      <c r="DF68" s="28"/>
      <c r="DG68" s="28"/>
      <c r="DH68" s="28"/>
      <c r="DI68" s="28"/>
      <c r="DJ68" s="28"/>
      <c r="DK68" s="28"/>
      <c r="DL68" s="28"/>
      <c r="DM68" s="28"/>
      <c r="DN68" s="28"/>
      <c r="DO68" s="28"/>
      <c r="DP68" s="28"/>
      <c r="DQ68" s="28"/>
      <c r="DR68" s="28"/>
      <c r="DS68" s="28"/>
      <c r="DT68" s="28"/>
      <c r="DU68" s="28"/>
      <c r="DV68" s="28"/>
      <c r="DW68" s="28"/>
      <c r="DX68" s="28"/>
      <c r="DY68" s="28"/>
      <c r="DZ68" s="28"/>
      <c r="EA68" s="28"/>
      <c r="EB68" s="28"/>
      <c r="EC68" s="28"/>
      <c r="ED68" s="28"/>
      <c r="EE68" s="28"/>
      <c r="EF68" s="28"/>
      <c r="EG68" s="28"/>
      <c r="EH68" s="28"/>
      <c r="EI68" s="28"/>
      <c r="EJ68" s="28"/>
      <c r="EK68" s="28"/>
      <c r="EL68" s="28"/>
      <c r="EM68" s="28"/>
      <c r="EN68" s="28"/>
      <c r="EO68" s="28"/>
      <c r="EP68" s="28"/>
      <c r="EQ68" s="28"/>
      <c r="ER68" s="28"/>
      <c r="ES68" s="28"/>
      <c r="ET68" s="28"/>
      <c r="EU68" s="28"/>
      <c r="EV68" s="28"/>
      <c r="EW68" s="28"/>
      <c r="EX68" s="28"/>
      <c r="EY68" s="28"/>
      <c r="EZ68" s="28"/>
      <c r="FA68" s="28"/>
      <c r="FB68" s="28"/>
      <c r="FC68" s="28"/>
      <c r="FD68" s="28"/>
      <c r="FE68" s="28"/>
      <c r="FF68" s="28"/>
      <c r="FG68" s="28"/>
      <c r="FH68" s="28"/>
      <c r="FI68" s="28"/>
      <c r="FJ68" s="28"/>
      <c r="FK68" s="28"/>
      <c r="FL68" s="28"/>
      <c r="FM68" s="28"/>
      <c r="FN68" s="28"/>
      <c r="FO68" s="28"/>
      <c r="FP68" s="28"/>
      <c r="FQ68" s="28"/>
      <c r="FR68" s="28"/>
      <c r="FS68" s="28"/>
      <c r="FT68" s="28"/>
      <c r="FU68" s="28"/>
      <c r="FV68" s="28"/>
      <c r="FW68" s="28"/>
      <c r="FX68" s="28"/>
      <c r="FY68" s="28"/>
      <c r="FZ68" s="28"/>
      <c r="GA68" s="28"/>
      <c r="GB68" s="28"/>
      <c r="GC68" s="28"/>
      <c r="GD68" s="28"/>
      <c r="GE68" s="28"/>
      <c r="GF68" s="28"/>
      <c r="GG68" s="28"/>
      <c r="GH68" s="28"/>
      <c r="GI68" s="28"/>
      <c r="GJ68" s="28"/>
      <c r="GK68" s="28"/>
      <c r="GL68" s="28"/>
      <c r="GM68" s="28"/>
      <c r="GN68" s="28"/>
      <c r="GO68" s="28"/>
      <c r="GP68" s="28"/>
      <c r="GQ68" s="28"/>
      <c r="GR68" s="28"/>
      <c r="GS68" s="28"/>
      <c r="GT68" s="28"/>
      <c r="GU68" s="28"/>
      <c r="GV68" s="28"/>
      <c r="GW68" s="28"/>
      <c r="GX68" s="28"/>
      <c r="GY68" s="28"/>
      <c r="GZ68" s="28"/>
      <c r="HA68" s="28"/>
      <c r="HB68" s="28"/>
      <c r="HC68" s="28"/>
      <c r="HD68" s="28"/>
      <c r="HE68" s="28"/>
      <c r="HF68" s="28"/>
      <c r="HG68" s="28"/>
      <c r="HH68" s="28"/>
      <c r="HI68" s="28"/>
      <c r="HJ68" s="28"/>
      <c r="HK68" s="28"/>
    </row>
    <row r="69" spans="1:219" ht="15" customHeight="1">
      <c r="A69" s="100">
        <v>1</v>
      </c>
      <c r="B69" s="132" t="str">
        <f>VLOOKUP(Ruimtestaat[[#This Row],[Code]],Locaties[[Code]:[Locatie]],2,FALSE)</f>
        <v>Mirtehuis</v>
      </c>
      <c r="C69" s="132" t="str">
        <f>VLOOKUP(Ruimtestaat[[#This Row],[Code]],Locaties[[#All],[Code]:[Adres]],4,FALSE)</f>
        <v>Weseperweg 6</v>
      </c>
      <c r="D69" s="132" t="str">
        <f>VLOOKUP(Ruimtestaat[[#This Row],[Code]],Locaties[[#All],[Code]:[Postcode]],5,FALSE)</f>
        <v>8111 PK</v>
      </c>
      <c r="E69" s="132" t="str">
        <f>VLOOKUP(Ruimtestaat[[#This Row],[Code]],Locaties[#All],6,FALSE)</f>
        <v>Heeten</v>
      </c>
      <c r="F69" s="100"/>
      <c r="G69" s="100" t="s">
        <v>1675</v>
      </c>
      <c r="H69" s="344"/>
      <c r="I69" s="345" t="s">
        <v>1650</v>
      </c>
      <c r="J69" s="49">
        <v>6</v>
      </c>
      <c r="K69" s="140" t="str">
        <f>VLOOKUP(Ruimtestaat[[#This Row],[Ruimte code]],Ruimtegroepen[[#All],[Code]:[Ruimte omschrijving]],2,FALSE)</f>
        <v>Gangen/hallen</v>
      </c>
      <c r="L69" s="100" t="s">
        <v>100</v>
      </c>
      <c r="M69" s="345" t="s">
        <v>1636</v>
      </c>
      <c r="N69" s="133">
        <v>32.4</v>
      </c>
      <c r="O69" s="139"/>
      <c r="P69" s="134" t="str">
        <f>VLOOKUP(Ruimtestaat[[#This Row],[Ruimte code]],Ruimtegroepen[],4,FALSE)</f>
        <v>Ve</v>
      </c>
      <c r="Q69" s="100">
        <v>51</v>
      </c>
      <c r="R69" s="100" t="s">
        <v>2</v>
      </c>
      <c r="S69" s="100">
        <f>IF(Q69&gt;0,IF(RIGHT(Ruimtestaat[[#This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69" s="100">
        <f>IF(S69&gt;0,VLOOKUP($J69,Ruimtegroepen[],3,FALSE)*VLOOKUP($L69,Vloersoorten[],3,FALSE)*VLOOKUP($R69,Frequenties[],3,FALSE)*VLOOKUP($A69,Locaties[],3,FALSE),0)</f>
        <v>0</v>
      </c>
      <c r="U69" s="100">
        <f>Ruimtestaat[[#This Row],[Uitvoeringen werkdagen]]*Ruimtestaat[[#This Row],[Oppervlak (netto)]]</f>
        <v>8262</v>
      </c>
      <c r="V69" s="135">
        <f>IF(T69&gt;0,Ruimtestaat[[#This Row],[Prest. (m2 /jaar) werkdagen]]/Ruimtestaat[[#This Row],[Norm (m2/uur) werkdagen]],0)</f>
        <v>0</v>
      </c>
      <c r="W69" s="136">
        <f>Ruimtestaat[[#This Row],[uren / jaar werkdagen]]*Tariefsopbouw!$E$35</f>
        <v>0</v>
      </c>
      <c r="X69" s="100"/>
      <c r="Y69" s="100">
        <f>IF(Ruimtestaat[[#This Row],[Frequentie weekend]]&gt;0,VALUE(LEFT(X69,1))*Q69,0)</f>
        <v>0</v>
      </c>
      <c r="Z69" s="99">
        <f>IF($Y69&gt;0,VLOOKUP($J69,Ruimtegroepen[],3,FALSE)*VLOOKUP($L69,Vloersoorten[],3,FALSE)*VLOOKUP($X69,Frequenties[],3,FALSE)*VLOOKUP(Ruimtestaat[[#This Row],[Code]],Locaties[],3,FALSE),0)</f>
        <v>0</v>
      </c>
      <c r="AA69" s="99">
        <f>Ruimtestaat[[#This Row],[Uitvoeringen weekend]]*Ruimtestaat[[#This Row],[Oppervlak (netto)]]</f>
        <v>0</v>
      </c>
      <c r="AB69" s="99">
        <f>IF(Z69&gt;0,Ruimtestaat[[#This Row],[Prest. (m2 /jaar) weekend]]/Ruimtestaat[[#This Row],[Norm (m2/uur) weekend]],0)</f>
        <v>0</v>
      </c>
      <c r="AC69" s="136">
        <f>Ruimtestaat[[#This Row],[uren / jaar weekend]]*Tariefsopbouw!$D$40</f>
        <v>0</v>
      </c>
      <c r="AD69" s="135">
        <f>Ruimtestaat[[#This Row],[Prest. (m2 /jaar) weekend]]+Ruimtestaat[[#This Row],[Prest. (m2 /jaar) werkdagen]]</f>
        <v>8262</v>
      </c>
      <c r="AE69" s="135">
        <f>Ruimtestaat[[#This Row],[uren / jaar weekend]]+Ruimtestaat[[#This Row],[uren / jaar werkdagen]]</f>
        <v>0</v>
      </c>
      <c r="AF69" s="130">
        <f>Ruimtestaat[[#This Row],[kosten / jaar weekend]]+Ruimtestaat[[#This Row],[kosten / jaar werkdagen]]</f>
        <v>0</v>
      </c>
      <c r="AG69" s="130"/>
      <c r="AH69" s="137" t="str">
        <f>IF(Ruimtestaat[[#This Row],[Frequentie werkdagen]]="","",_xlfn.CONCAT(Ruimtestaat[[#This Row],[Ruimte code]],"-",Ruimtestaat[[#This Row],[Frequentie werkdagen]]," ",Ruimtestaat[[#This Row],[Vloer code]]))</f>
        <v>6-5w L</v>
      </c>
      <c r="AI69" s="142" t="str">
        <f>_xlfn.IFNA(VLOOKUP($AH69,Programma!$F$3:$G$1101,2,0),"")</f>
        <v>_</v>
      </c>
      <c r="AJ69" s="142" t="str">
        <f>_xlfn.IFNA(VLOOKUP($AH69,Programma!$F$3:$H$1101,3,0),"")</f>
        <v>_</v>
      </c>
      <c r="AK69" s="142" t="str">
        <f>_xlfn.IFNA(VLOOKUP($AH69,Programma!$F$3:$I$1101,4,0),"")</f>
        <v>_</v>
      </c>
      <c r="AL69" s="142" t="str">
        <f>_xlfn.IFNA(VLOOKUP($AH69,Programma!$F$3:$J$1101,5,0),"")</f>
        <v>5w</v>
      </c>
      <c r="AM69" s="142" t="str">
        <f>_xlfn.IFNA(VLOOKUP($AH69,Programma!$F$3:$K$1101,6,0),"")</f>
        <v>_</v>
      </c>
      <c r="AN69" s="142" t="str">
        <f>_xlfn.IFNA(VLOOKUP($AH69,Programma!$F$3:$L$1101,7,0),"")</f>
        <v>_</v>
      </c>
      <c r="AO69" s="142" t="str">
        <f>_xlfn.IFNA(VLOOKUP($AH69,Programma!$F$3:$M$1101,8,0),"")</f>
        <v>_</v>
      </c>
      <c r="AP69" s="142" t="str">
        <f>_xlfn.IFNA(VLOOKUP($AH69,Programma!$F$3:$N$1101,9,0),"")</f>
        <v>_</v>
      </c>
      <c r="AQ69" s="142" t="str">
        <f>_xlfn.IFNA(VLOOKUP($AH69,Programma!$F$3:$O$1101,10,0),"")</f>
        <v>5w</v>
      </c>
      <c r="AR69" s="142" t="str">
        <f>_xlfn.IFNA(VLOOKUP($AH69,Programma!$F$3:$P$1101,11,0),"")</f>
        <v>5w</v>
      </c>
      <c r="AS69" s="142" t="str">
        <f>_xlfn.IFNA(VLOOKUP($AH69,Programma!$F$3:$Q$1101,12,0),"")</f>
        <v>1w</v>
      </c>
      <c r="AT69" s="142" t="str">
        <f>_xlfn.IFNA(VLOOKUP($AH69,Programma!$F$3:$R$1101,13,0),"")</f>
        <v>1w</v>
      </c>
      <c r="AU69" s="142" t="str">
        <f>_xlfn.IFNA(VLOOKUP($AH69,Programma!$F$3:$S$1101,14,0),"")</f>
        <v>1m</v>
      </c>
      <c r="AV69" s="142" t="str">
        <f>_xlfn.IFNA(VLOOKUP($AH69,Programma!$F$3:$T$1101,15,0),"")</f>
        <v>2j</v>
      </c>
      <c r="AW69" s="142" t="str">
        <f>_xlfn.IFNA(VLOOKUP($AH69,Programma!$F$3:$U$1101,16,0),"")</f>
        <v>1j</v>
      </c>
      <c r="AX69" s="142" t="str">
        <f>_xlfn.IFNA(VLOOKUP($AH69,Programma!$F$3:$V$1101,17,0),"")</f>
        <v>_</v>
      </c>
      <c r="AY69" s="142" t="str">
        <f>_xlfn.IFNA(VLOOKUP($AH69,Programma!$F$3:$W$1101,18,0),"")</f>
        <v>_</v>
      </c>
      <c r="AZ69" s="142" t="str">
        <f>_xlfn.IFNA(VLOOKUP($AH69,Programma!$F$3:$X$1101,19,0),"")</f>
        <v>_</v>
      </c>
      <c r="BA69" s="142" t="str">
        <f>_xlfn.IFNA(VLOOKUP($AH69,Programma!$F$3:$Y$1101,20,0),"")</f>
        <v>_</v>
      </c>
      <c r="BB69" s="138"/>
      <c r="BC69" s="137" t="str">
        <f>IF(Ruimtestaat[[#This Row],[Frequentie weekend]]="","",_xlfn.CONCAT(Ruimtestaat[[#This Row],[Ruimte code]],"-",Ruimtestaat[[#This Row],[Frequentie weekend]]," ",Ruimtestaat[[#This Row],[Vloer code]]))</f>
        <v/>
      </c>
      <c r="BD69" s="142" t="str">
        <f>_xlfn.IFNA(VLOOKUP($BC69,Programma!$F$3:$G$1101,2,0),"")</f>
        <v/>
      </c>
      <c r="BE69" s="142" t="str">
        <f>_xlfn.IFNA(VLOOKUP($BC69,Programma!$F$3:$H$1101,3,0),"")</f>
        <v/>
      </c>
      <c r="BF69" s="142" t="str">
        <f>_xlfn.IFNA(VLOOKUP($BC69,Programma!$F$3:$I$1101,4,0),"")</f>
        <v/>
      </c>
      <c r="BG69" s="142" t="str">
        <f>_xlfn.IFNA(VLOOKUP($BC69,Programma!$F$3:$J$1101,5,0),"")</f>
        <v/>
      </c>
      <c r="BH69" s="142" t="str">
        <f>_xlfn.IFNA(VLOOKUP($BC69,Programma!$F$3:$K$1101,6,0),"")</f>
        <v/>
      </c>
      <c r="BI69" s="142" t="str">
        <f>_xlfn.IFNA(VLOOKUP($BC69,Programma!$F$3:$L$1101,7,0),"")</f>
        <v/>
      </c>
      <c r="BJ69" s="142" t="str">
        <f>_xlfn.IFNA(VLOOKUP($BC69,Programma!$F$3:$M$1101,8,0),"")</f>
        <v/>
      </c>
      <c r="BK69" s="142" t="str">
        <f>_xlfn.IFNA(VLOOKUP($BC69,Programma!$F$3:$N$1101,9,0),"")</f>
        <v/>
      </c>
      <c r="BL69" s="142" t="str">
        <f>_xlfn.IFNA(VLOOKUP($BC69,Programma!$F$3:$O$1101,10,0),"")</f>
        <v/>
      </c>
      <c r="BM69" s="142" t="str">
        <f>_xlfn.IFNA(VLOOKUP($BC69,Programma!$F$3:$P$1101,11,0),"")</f>
        <v/>
      </c>
      <c r="BN69" s="142" t="str">
        <f>_xlfn.IFNA(VLOOKUP($BC69,Programma!$F$3:$Q$1101,12,0),"")</f>
        <v/>
      </c>
      <c r="BO69" s="142" t="str">
        <f>_xlfn.IFNA(VLOOKUP($BC69,Programma!$F$3:$R$1101,13,0),"")</f>
        <v/>
      </c>
      <c r="BP69" s="142" t="str">
        <f>_xlfn.IFNA(VLOOKUP($BC69,Programma!$F$3:$S$1101,14,0),"")</f>
        <v/>
      </c>
      <c r="BQ69" s="142" t="str">
        <f>_xlfn.IFNA(VLOOKUP($BC69,Programma!$F$3:$T$1101,15,0),"")</f>
        <v/>
      </c>
      <c r="BR69" s="142" t="str">
        <f>_xlfn.IFNA(VLOOKUP($BC69,Programma!$F$3:$U$1101,16,0),"")</f>
        <v/>
      </c>
      <c r="BS69" s="142" t="str">
        <f>_xlfn.IFNA(VLOOKUP($BC69,Programma!$F$3:$V$1101,17,0),"")</f>
        <v/>
      </c>
      <c r="BT69" s="142" t="str">
        <f>_xlfn.IFNA(VLOOKUP($BC69,Programma!$F$3:$W$1101,18,0),"")</f>
        <v/>
      </c>
      <c r="BU69" s="142" t="str">
        <f>_xlfn.IFNA(VLOOKUP($BC69,Programma!$F$3:$X$1101,19,0),"")</f>
        <v/>
      </c>
      <c r="BV69" s="142" t="str">
        <f>_xlfn.IFNA(VLOOKUP($BC69,Programma!$F$3:$Y$1101,20,0),"")</f>
        <v/>
      </c>
      <c r="BW69" s="28"/>
      <c r="BX69" s="28"/>
      <c r="BY69" s="28"/>
      <c r="BZ69" s="28"/>
      <c r="CA69" s="28"/>
      <c r="CB69" s="28"/>
      <c r="CC69" s="28"/>
      <c r="CD69" s="28"/>
      <c r="CE69" s="28"/>
      <c r="CF69" s="28"/>
      <c r="CG69" s="28"/>
      <c r="CH69" s="28"/>
      <c r="CI69" s="28"/>
      <c r="CJ69" s="28"/>
      <c r="CK69" s="28"/>
      <c r="CL69" s="28"/>
      <c r="CM69" s="28"/>
      <c r="CN69" s="28"/>
      <c r="CO69" s="28"/>
      <c r="CP69" s="28"/>
      <c r="CQ69" s="28"/>
      <c r="CR69" s="28"/>
      <c r="CS69" s="28"/>
      <c r="CT69" s="28"/>
      <c r="CU69" s="28"/>
      <c r="CV69" s="28"/>
      <c r="CW69" s="28"/>
      <c r="CX69" s="28"/>
      <c r="CY69" s="28"/>
      <c r="CZ69" s="28"/>
      <c r="DA69" s="28"/>
      <c r="DB69" s="28"/>
      <c r="DC69" s="28"/>
      <c r="DD69" s="28"/>
      <c r="DE69" s="28"/>
      <c r="DF69" s="28"/>
      <c r="DG69" s="28"/>
      <c r="DH69" s="28"/>
      <c r="DI69" s="28"/>
      <c r="DJ69" s="28"/>
      <c r="DK69" s="28"/>
      <c r="DL69" s="28"/>
      <c r="DM69" s="28"/>
      <c r="DN69" s="28"/>
      <c r="DO69" s="28"/>
      <c r="DP69" s="28"/>
      <c r="DQ69" s="28"/>
      <c r="DR69" s="28"/>
      <c r="DS69" s="28"/>
      <c r="DT69" s="28"/>
      <c r="DU69" s="28"/>
      <c r="DV69" s="28"/>
      <c r="DW69" s="28"/>
      <c r="DX69" s="28"/>
      <c r="DY69" s="28"/>
      <c r="DZ69" s="28"/>
      <c r="EA69" s="28"/>
      <c r="EB69" s="28"/>
      <c r="EC69" s="28"/>
      <c r="ED69" s="28"/>
      <c r="EE69" s="28"/>
      <c r="EF69" s="28"/>
      <c r="EG69" s="28"/>
      <c r="EH69" s="28"/>
      <c r="EI69" s="28"/>
      <c r="EJ69" s="28"/>
      <c r="EK69" s="28"/>
      <c r="EL69" s="28"/>
      <c r="EM69" s="28"/>
      <c r="EN69" s="28"/>
      <c r="EO69" s="28"/>
      <c r="EP69" s="28"/>
      <c r="EQ69" s="28"/>
      <c r="ER69" s="28"/>
      <c r="ES69" s="28"/>
      <c r="ET69" s="28"/>
      <c r="EU69" s="28"/>
      <c r="EV69" s="28"/>
      <c r="EW69" s="28"/>
      <c r="EX69" s="28"/>
      <c r="EY69" s="28"/>
      <c r="EZ69" s="28"/>
      <c r="FA69" s="28"/>
      <c r="FB69" s="28"/>
      <c r="FC69" s="28"/>
      <c r="FD69" s="28"/>
      <c r="FE69" s="28"/>
      <c r="FF69" s="28"/>
      <c r="FG69" s="28"/>
      <c r="FH69" s="28"/>
      <c r="FI69" s="28"/>
      <c r="FJ69" s="28"/>
      <c r="FK69" s="28"/>
      <c r="FL69" s="28"/>
      <c r="FM69" s="28"/>
      <c r="FN69" s="28"/>
      <c r="FO69" s="28"/>
      <c r="FP69" s="28"/>
      <c r="FQ69" s="28"/>
      <c r="FR69" s="28"/>
      <c r="FS69" s="28"/>
      <c r="FT69" s="28"/>
      <c r="FU69" s="28"/>
      <c r="FV69" s="28"/>
      <c r="FW69" s="28"/>
      <c r="FX69" s="28"/>
      <c r="FY69" s="28"/>
      <c r="FZ69" s="28"/>
      <c r="GA69" s="28"/>
      <c r="GB69" s="28"/>
      <c r="GC69" s="28"/>
      <c r="GD69" s="28"/>
      <c r="GE69" s="28"/>
      <c r="GF69" s="28"/>
      <c r="GG69" s="28"/>
      <c r="GH69" s="28"/>
      <c r="GI69" s="28"/>
      <c r="GJ69" s="28"/>
      <c r="GK69" s="28"/>
      <c r="GL69" s="28"/>
      <c r="GM69" s="28"/>
      <c r="GN69" s="28"/>
      <c r="GO69" s="28"/>
      <c r="GP69" s="28"/>
      <c r="GQ69" s="28"/>
      <c r="GR69" s="28"/>
      <c r="GS69" s="28"/>
      <c r="GT69" s="28"/>
      <c r="GU69" s="28"/>
      <c r="GV69" s="28"/>
      <c r="GW69" s="28"/>
      <c r="GX69" s="28"/>
      <c r="GY69" s="28"/>
      <c r="GZ69" s="28"/>
      <c r="HA69" s="28"/>
      <c r="HB69" s="28"/>
      <c r="HC69" s="28"/>
      <c r="HD69" s="28"/>
      <c r="HE69" s="28"/>
      <c r="HF69" s="28"/>
      <c r="HG69" s="28"/>
      <c r="HH69" s="28"/>
      <c r="HI69" s="28"/>
      <c r="HJ69" s="28"/>
      <c r="HK69" s="28"/>
    </row>
    <row r="70" spans="1:219" ht="15" customHeight="1">
      <c r="A70" s="100">
        <v>1</v>
      </c>
      <c r="B70" s="132" t="str">
        <f>VLOOKUP(Ruimtestaat[[#This Row],[Code]],Locaties[[Code]:[Locatie]],2,FALSE)</f>
        <v>Mirtehuis</v>
      </c>
      <c r="C70" s="132" t="str">
        <f>VLOOKUP(Ruimtestaat[[#This Row],[Code]],Locaties[[#All],[Code]:[Adres]],4,FALSE)</f>
        <v>Weseperweg 6</v>
      </c>
      <c r="D70" s="132" t="str">
        <f>VLOOKUP(Ruimtestaat[[#This Row],[Code]],Locaties[[#All],[Code]:[Postcode]],5,FALSE)</f>
        <v>8111 PK</v>
      </c>
      <c r="E70" s="132" t="str">
        <f>VLOOKUP(Ruimtestaat[[#This Row],[Code]],Locaties[#All],6,FALSE)</f>
        <v>Heeten</v>
      </c>
      <c r="F70" s="100"/>
      <c r="G70" s="100" t="s">
        <v>1675</v>
      </c>
      <c r="H70" s="344"/>
      <c r="I70" s="345" t="s">
        <v>1666</v>
      </c>
      <c r="J70" s="49">
        <v>20</v>
      </c>
      <c r="K70" s="140" t="str">
        <f>VLOOKUP(Ruimtestaat[[#This Row],[Ruimte code]],Ruimtegroepen[[#All],[Code]:[Ruimte omschrijving]],2,FALSE)</f>
        <v>Niet in Onderhoud</v>
      </c>
      <c r="L70" s="100" t="s">
        <v>101</v>
      </c>
      <c r="M70" s="345" t="s">
        <v>1667</v>
      </c>
      <c r="N70" s="133"/>
      <c r="O70" s="100"/>
      <c r="P70" s="134">
        <f>VLOOKUP(Ruimtestaat[[#This Row],[Ruimte code]],Ruimtegroepen[],4,FALSE)</f>
        <v>0</v>
      </c>
      <c r="Q70" s="100"/>
      <c r="R70" s="100"/>
      <c r="S70" s="100">
        <f>IF(Q70&gt;0,IF(RIGHT(Ruimtestaat[[#This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0" s="100">
        <f>IF(S70&gt;0,VLOOKUP($J70,Ruimtegroepen[],3,FALSE)*VLOOKUP($L70,Vloersoorten[],3,FALSE)*VLOOKUP($R70,Frequenties[],3,FALSE)*VLOOKUP($A70,Locaties[],3,FALSE),0)</f>
        <v>0</v>
      </c>
      <c r="U70" s="100">
        <f>Ruimtestaat[[#This Row],[Uitvoeringen werkdagen]]*Ruimtestaat[[#This Row],[Oppervlak (netto)]]</f>
        <v>0</v>
      </c>
      <c r="V70" s="135">
        <f>IF(T70&gt;0,Ruimtestaat[[#This Row],[Prest. (m2 /jaar) werkdagen]]/Ruimtestaat[[#This Row],[Norm (m2/uur) werkdagen]],0)</f>
        <v>0</v>
      </c>
      <c r="W70" s="136">
        <f>Ruimtestaat[[#This Row],[uren / jaar werkdagen]]*Tariefsopbouw!$E$35</f>
        <v>0</v>
      </c>
      <c r="X70" s="100"/>
      <c r="Y70" s="100">
        <f>IF(Ruimtestaat[[#This Row],[Frequentie weekend]]&gt;0,VALUE(LEFT(X70,1))*Q70,0)</f>
        <v>0</v>
      </c>
      <c r="Z70" s="99">
        <f>IF($Y70&gt;0,VLOOKUP($J70,Ruimtegroepen[],3,FALSE)*VLOOKUP($L70,Vloersoorten[],3,FALSE)*VLOOKUP($X70,Frequenties[],3,FALSE)*VLOOKUP(Ruimtestaat[[#This Row],[Code]],Locaties[],3,FALSE),0)</f>
        <v>0</v>
      </c>
      <c r="AA70" s="99">
        <f>Ruimtestaat[[#This Row],[Uitvoeringen weekend]]*Ruimtestaat[[#This Row],[Oppervlak (netto)]]</f>
        <v>0</v>
      </c>
      <c r="AB70" s="99">
        <f>IF(Z70&gt;0,Ruimtestaat[[#This Row],[Prest. (m2 /jaar) weekend]]/Ruimtestaat[[#This Row],[Norm (m2/uur) weekend]],0)</f>
        <v>0</v>
      </c>
      <c r="AC70" s="136">
        <f>Ruimtestaat[[#This Row],[uren / jaar weekend]]*Tariefsopbouw!$D$40</f>
        <v>0</v>
      </c>
      <c r="AD70" s="135">
        <f>Ruimtestaat[[#This Row],[Prest. (m2 /jaar) weekend]]+Ruimtestaat[[#This Row],[Prest. (m2 /jaar) werkdagen]]</f>
        <v>0</v>
      </c>
      <c r="AE70" s="135">
        <f>Ruimtestaat[[#This Row],[uren / jaar weekend]]+Ruimtestaat[[#This Row],[uren / jaar werkdagen]]</f>
        <v>0</v>
      </c>
      <c r="AF70" s="130">
        <f>Ruimtestaat[[#This Row],[kosten / jaar weekend]]+Ruimtestaat[[#This Row],[kosten / jaar werkdagen]]</f>
        <v>0</v>
      </c>
      <c r="AG70" s="130"/>
      <c r="AH70" s="137" t="str">
        <f>IF(Ruimtestaat[[#This Row],[Frequentie werkdagen]]="","",_xlfn.CONCAT(Ruimtestaat[[#This Row],[Ruimte code]],"-",Ruimtestaat[[#This Row],[Frequentie werkdagen]]," ",Ruimtestaat[[#This Row],[Vloer code]]))</f>
        <v/>
      </c>
      <c r="AI70" s="142" t="str">
        <f>_xlfn.IFNA(VLOOKUP($AH70,Programma!$F$3:$G$1101,2,0),"")</f>
        <v/>
      </c>
      <c r="AJ70" s="142" t="str">
        <f>_xlfn.IFNA(VLOOKUP($AH70,Programma!$F$3:$H$1101,3,0),"")</f>
        <v/>
      </c>
      <c r="AK70" s="142" t="str">
        <f>_xlfn.IFNA(VLOOKUP($AH70,Programma!$F$3:$I$1101,4,0),"")</f>
        <v/>
      </c>
      <c r="AL70" s="142" t="str">
        <f>_xlfn.IFNA(VLOOKUP($AH70,Programma!$F$3:$J$1101,5,0),"")</f>
        <v/>
      </c>
      <c r="AM70" s="142" t="str">
        <f>_xlfn.IFNA(VLOOKUP($AH70,Programma!$F$3:$K$1101,6,0),"")</f>
        <v/>
      </c>
      <c r="AN70" s="142" t="str">
        <f>_xlfn.IFNA(VLOOKUP($AH70,Programma!$F$3:$L$1101,7,0),"")</f>
        <v/>
      </c>
      <c r="AO70" s="142" t="str">
        <f>_xlfn.IFNA(VLOOKUP($AH70,Programma!$F$3:$M$1101,8,0),"")</f>
        <v/>
      </c>
      <c r="AP70" s="142" t="str">
        <f>_xlfn.IFNA(VLOOKUP($AH70,Programma!$F$3:$N$1101,9,0),"")</f>
        <v/>
      </c>
      <c r="AQ70" s="142" t="str">
        <f>_xlfn.IFNA(VLOOKUP($AH70,Programma!$F$3:$O$1101,10,0),"")</f>
        <v/>
      </c>
      <c r="AR70" s="142" t="str">
        <f>_xlfn.IFNA(VLOOKUP($AH70,Programma!$F$3:$P$1101,11,0),"")</f>
        <v/>
      </c>
      <c r="AS70" s="142" t="str">
        <f>_xlfn.IFNA(VLOOKUP($AH70,Programma!$F$3:$Q$1101,12,0),"")</f>
        <v/>
      </c>
      <c r="AT70" s="142" t="str">
        <f>_xlfn.IFNA(VLOOKUP($AH70,Programma!$F$3:$R$1101,13,0),"")</f>
        <v/>
      </c>
      <c r="AU70" s="142" t="str">
        <f>_xlfn.IFNA(VLOOKUP($AH70,Programma!$F$3:$S$1101,14,0),"")</f>
        <v/>
      </c>
      <c r="AV70" s="142" t="str">
        <f>_xlfn.IFNA(VLOOKUP($AH70,Programma!$F$3:$T$1101,15,0),"")</f>
        <v/>
      </c>
      <c r="AW70" s="142" t="str">
        <f>_xlfn.IFNA(VLOOKUP($AH70,Programma!$F$3:$U$1101,16,0),"")</f>
        <v/>
      </c>
      <c r="AX70" s="142" t="str">
        <f>_xlfn.IFNA(VLOOKUP($AH70,Programma!$F$3:$V$1101,17,0),"")</f>
        <v/>
      </c>
      <c r="AY70" s="142" t="str">
        <f>_xlfn.IFNA(VLOOKUP($AH70,Programma!$F$3:$W$1101,18,0),"")</f>
        <v/>
      </c>
      <c r="AZ70" s="142" t="str">
        <f>_xlfn.IFNA(VLOOKUP($AH70,Programma!$F$3:$X$1101,19,0),"")</f>
        <v/>
      </c>
      <c r="BA70" s="142" t="str">
        <f>_xlfn.IFNA(VLOOKUP($AH70,Programma!$F$3:$Y$1101,20,0),"")</f>
        <v/>
      </c>
      <c r="BB70" s="138"/>
      <c r="BC70" s="137" t="str">
        <f>IF(Ruimtestaat[[#This Row],[Frequentie weekend]]="","",_xlfn.CONCAT(Ruimtestaat[[#This Row],[Ruimte code]],"-",Ruimtestaat[[#This Row],[Frequentie weekend]]," ",Ruimtestaat[[#This Row],[Vloer code]]))</f>
        <v/>
      </c>
      <c r="BD70" s="142" t="str">
        <f>_xlfn.IFNA(VLOOKUP($BC70,Programma!$F$3:$G$1101,2,0),"")</f>
        <v/>
      </c>
      <c r="BE70" s="142" t="str">
        <f>_xlfn.IFNA(VLOOKUP($BC70,Programma!$F$3:$H$1101,3,0),"")</f>
        <v/>
      </c>
      <c r="BF70" s="142" t="str">
        <f>_xlfn.IFNA(VLOOKUP($BC70,Programma!$F$3:$I$1101,4,0),"")</f>
        <v/>
      </c>
      <c r="BG70" s="142" t="str">
        <f>_xlfn.IFNA(VLOOKUP($BC70,Programma!$F$3:$J$1101,5,0),"")</f>
        <v/>
      </c>
      <c r="BH70" s="142" t="str">
        <f>_xlfn.IFNA(VLOOKUP($BC70,Programma!$F$3:$K$1101,6,0),"")</f>
        <v/>
      </c>
      <c r="BI70" s="142" t="str">
        <f>_xlfn.IFNA(VLOOKUP($BC70,Programma!$F$3:$L$1101,7,0),"")</f>
        <v/>
      </c>
      <c r="BJ70" s="142" t="str">
        <f>_xlfn.IFNA(VLOOKUP($BC70,Programma!$F$3:$M$1101,8,0),"")</f>
        <v/>
      </c>
      <c r="BK70" s="142" t="str">
        <f>_xlfn.IFNA(VLOOKUP($BC70,Programma!$F$3:$N$1101,9,0),"")</f>
        <v/>
      </c>
      <c r="BL70" s="142" t="str">
        <f>_xlfn.IFNA(VLOOKUP($BC70,Programma!$F$3:$O$1101,10,0),"")</f>
        <v/>
      </c>
      <c r="BM70" s="142" t="str">
        <f>_xlfn.IFNA(VLOOKUP($BC70,Programma!$F$3:$P$1101,11,0),"")</f>
        <v/>
      </c>
      <c r="BN70" s="142" t="str">
        <f>_xlfn.IFNA(VLOOKUP($BC70,Programma!$F$3:$Q$1101,12,0),"")</f>
        <v/>
      </c>
      <c r="BO70" s="142" t="str">
        <f>_xlfn.IFNA(VLOOKUP($BC70,Programma!$F$3:$R$1101,13,0),"")</f>
        <v/>
      </c>
      <c r="BP70" s="142" t="str">
        <f>_xlfn.IFNA(VLOOKUP($BC70,Programma!$F$3:$S$1101,14,0),"")</f>
        <v/>
      </c>
      <c r="BQ70" s="142" t="str">
        <f>_xlfn.IFNA(VLOOKUP($BC70,Programma!$F$3:$T$1101,15,0),"")</f>
        <v/>
      </c>
      <c r="BR70" s="142" t="str">
        <f>_xlfn.IFNA(VLOOKUP($BC70,Programma!$F$3:$U$1101,16,0),"")</f>
        <v/>
      </c>
      <c r="BS70" s="142" t="str">
        <f>_xlfn.IFNA(VLOOKUP($BC70,Programma!$F$3:$V$1101,17,0),"")</f>
        <v/>
      </c>
      <c r="BT70" s="142" t="str">
        <f>_xlfn.IFNA(VLOOKUP($BC70,Programma!$F$3:$W$1101,18,0),"")</f>
        <v/>
      </c>
      <c r="BU70" s="142" t="str">
        <f>_xlfn.IFNA(VLOOKUP($BC70,Programma!$F$3:$X$1101,19,0),"")</f>
        <v/>
      </c>
      <c r="BV70" s="142" t="str">
        <f>_xlfn.IFNA(VLOOKUP($BC70,Programma!$F$3:$Y$1101,20,0),"")</f>
        <v/>
      </c>
      <c r="BW70" s="28"/>
      <c r="BX70" s="28"/>
      <c r="BY70" s="28"/>
      <c r="BZ70" s="28"/>
      <c r="CA70" s="28"/>
      <c r="CB70" s="28"/>
      <c r="CC70" s="28"/>
      <c r="CD70" s="28"/>
      <c r="CE70" s="28"/>
      <c r="CF70" s="28"/>
      <c r="CG70" s="28"/>
      <c r="CH70" s="28"/>
      <c r="CI70" s="28"/>
      <c r="CJ70" s="28"/>
      <c r="CK70" s="28"/>
      <c r="CL70" s="28"/>
      <c r="CM70" s="28"/>
      <c r="CN70" s="28"/>
      <c r="CO70" s="28"/>
      <c r="CP70" s="28"/>
      <c r="CQ70" s="28"/>
      <c r="CR70" s="28"/>
      <c r="CS70" s="28"/>
      <c r="CT70" s="28"/>
      <c r="CU70" s="28"/>
      <c r="CV70" s="28"/>
      <c r="CW70" s="28"/>
      <c r="CX70" s="28"/>
      <c r="CY70" s="28"/>
      <c r="CZ70" s="28"/>
      <c r="DA70" s="28"/>
      <c r="DB70" s="28"/>
      <c r="DC70" s="28"/>
      <c r="DD70" s="28"/>
      <c r="DE70" s="28"/>
      <c r="DF70" s="28"/>
      <c r="DG70" s="28"/>
      <c r="DH70" s="28"/>
      <c r="DI70" s="28"/>
      <c r="DJ70" s="28"/>
      <c r="DK70" s="28"/>
      <c r="DL70" s="28"/>
      <c r="DM70" s="28"/>
      <c r="DN70" s="28"/>
      <c r="DO70" s="28"/>
      <c r="DP70" s="28"/>
      <c r="DQ70" s="28"/>
      <c r="DR70" s="28"/>
      <c r="DS70" s="28"/>
      <c r="DT70" s="28"/>
      <c r="DU70" s="28"/>
      <c r="DV70" s="28"/>
      <c r="DW70" s="28"/>
      <c r="DX70" s="28"/>
      <c r="DY70" s="28"/>
      <c r="DZ70" s="28"/>
      <c r="EA70" s="28"/>
      <c r="EB70" s="28"/>
      <c r="EC70" s="28"/>
      <c r="ED70" s="28"/>
      <c r="EE70" s="28"/>
      <c r="EF70" s="28"/>
      <c r="EG70" s="28"/>
      <c r="EH70" s="28"/>
      <c r="EI70" s="28"/>
      <c r="EJ70" s="28"/>
      <c r="EK70" s="28"/>
      <c r="EL70" s="28"/>
      <c r="EM70" s="28"/>
      <c r="EN70" s="28"/>
      <c r="EO70" s="28"/>
      <c r="EP70" s="28"/>
      <c r="EQ70" s="28"/>
      <c r="ER70" s="28"/>
      <c r="ES70" s="28"/>
      <c r="ET70" s="28"/>
      <c r="EU70" s="28"/>
      <c r="EV70" s="28"/>
      <c r="EW70" s="28"/>
      <c r="EX70" s="28"/>
      <c r="EY70" s="28"/>
      <c r="EZ70" s="28"/>
      <c r="FA70" s="28"/>
      <c r="FB70" s="28"/>
      <c r="FC70" s="28"/>
      <c r="FD70" s="28"/>
      <c r="FE70" s="28"/>
      <c r="FF70" s="28"/>
      <c r="FG70" s="28"/>
      <c r="FH70" s="28"/>
      <c r="FI70" s="28"/>
      <c r="FJ70" s="28"/>
      <c r="FK70" s="28"/>
      <c r="FL70" s="28"/>
      <c r="FM70" s="28"/>
      <c r="FN70" s="28"/>
      <c r="FO70" s="28"/>
      <c r="FP70" s="28"/>
      <c r="FQ70" s="28"/>
      <c r="FR70" s="28"/>
      <c r="FS70" s="28"/>
      <c r="FT70" s="28"/>
      <c r="FU70" s="28"/>
      <c r="FV70" s="28"/>
      <c r="FW70" s="28"/>
      <c r="FX70" s="28"/>
      <c r="FY70" s="28"/>
      <c r="FZ70" s="28"/>
      <c r="GA70" s="28"/>
      <c r="GB70" s="28"/>
      <c r="GC70" s="28"/>
      <c r="GD70" s="28"/>
      <c r="GE70" s="28"/>
      <c r="GF70" s="28"/>
      <c r="GG70" s="28"/>
      <c r="GH70" s="28"/>
      <c r="GI70" s="28"/>
      <c r="GJ70" s="28"/>
      <c r="GK70" s="28"/>
      <c r="GL70" s="28"/>
      <c r="GM70" s="28"/>
      <c r="GN70" s="28"/>
      <c r="GO70" s="28"/>
      <c r="GP70" s="28"/>
      <c r="GQ70" s="28"/>
      <c r="GR70" s="28"/>
      <c r="GS70" s="28"/>
      <c r="GT70" s="28"/>
      <c r="GU70" s="28"/>
      <c r="GV70" s="28"/>
      <c r="GW70" s="28"/>
      <c r="GX70" s="28"/>
      <c r="GY70" s="28"/>
      <c r="GZ70" s="28"/>
      <c r="HA70" s="28"/>
      <c r="HB70" s="28"/>
      <c r="HC70" s="28"/>
      <c r="HD70" s="28"/>
      <c r="HE70" s="28"/>
      <c r="HF70" s="28"/>
      <c r="HG70" s="28"/>
      <c r="HH70" s="28"/>
      <c r="HI70" s="28"/>
      <c r="HJ70" s="28"/>
      <c r="HK70" s="28"/>
    </row>
    <row r="71" spans="1:219" ht="15" customHeight="1">
      <c r="A71" s="100">
        <v>1</v>
      </c>
      <c r="B71" s="132" t="str">
        <f>VLOOKUP(Ruimtestaat[[#This Row],[Code]],Locaties[[Code]:[Locatie]],2,FALSE)</f>
        <v>Mirtehuis</v>
      </c>
      <c r="C71" s="132" t="str">
        <f>VLOOKUP(Ruimtestaat[[#This Row],[Code]],Locaties[[#All],[Code]:[Adres]],4,FALSE)</f>
        <v>Weseperweg 6</v>
      </c>
      <c r="D71" s="132" t="str">
        <f>VLOOKUP(Ruimtestaat[[#This Row],[Code]],Locaties[[#All],[Code]:[Postcode]],5,FALSE)</f>
        <v>8111 PK</v>
      </c>
      <c r="E71" s="132" t="str">
        <f>VLOOKUP(Ruimtestaat[[#This Row],[Code]],Locaties[#All],6,FALSE)</f>
        <v>Heeten</v>
      </c>
      <c r="F71" s="100"/>
      <c r="G71" s="100" t="s">
        <v>1675</v>
      </c>
      <c r="H71" s="344"/>
      <c r="I71" s="345" t="s">
        <v>1668</v>
      </c>
      <c r="J71" s="49">
        <v>5</v>
      </c>
      <c r="K71" s="140" t="str">
        <f>VLOOKUP(Ruimtestaat[[#This Row],[Ruimte code]],Ruimtegroepen[[#All],[Code]:[Ruimte omschrijving]],2,FALSE)</f>
        <v>Sanitair</v>
      </c>
      <c r="L71" s="100" t="s">
        <v>101</v>
      </c>
      <c r="M71" s="345" t="s">
        <v>1642</v>
      </c>
      <c r="N71" s="133">
        <v>3.2</v>
      </c>
      <c r="O71" s="139"/>
      <c r="P71" s="134" t="str">
        <f>VLOOKUP(Ruimtestaat[[#This Row],[Ruimte code]],Ruimtegroepen[],4,FALSE)</f>
        <v>Sa</v>
      </c>
      <c r="Q71" s="100">
        <v>51</v>
      </c>
      <c r="R71" s="100" t="s">
        <v>2</v>
      </c>
      <c r="S71" s="100">
        <f>IF(Q71&gt;0,IF(RIGHT(Ruimtestaat[[#This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71" s="100">
        <f>IF(S71&gt;0,VLOOKUP($J71,Ruimtegroepen[],3,FALSE)*VLOOKUP($L71,Vloersoorten[],3,FALSE)*VLOOKUP($R71,Frequenties[],3,FALSE)*VLOOKUP($A71,Locaties[],3,FALSE),0)</f>
        <v>0</v>
      </c>
      <c r="U71" s="100">
        <f>Ruimtestaat[[#This Row],[Uitvoeringen werkdagen]]*Ruimtestaat[[#This Row],[Oppervlak (netto)]]</f>
        <v>816</v>
      </c>
      <c r="V71" s="135">
        <f>IF(T71&gt;0,Ruimtestaat[[#This Row],[Prest. (m2 /jaar) werkdagen]]/Ruimtestaat[[#This Row],[Norm (m2/uur) werkdagen]],0)</f>
        <v>0</v>
      </c>
      <c r="W71" s="136">
        <f>Ruimtestaat[[#This Row],[uren / jaar werkdagen]]*Tariefsopbouw!$E$35</f>
        <v>0</v>
      </c>
      <c r="X71" s="100"/>
      <c r="Y71" s="100">
        <f>IF(Ruimtestaat[[#This Row],[Frequentie weekend]]&gt;0,VALUE(LEFT(X71,1))*Q71,0)</f>
        <v>0</v>
      </c>
      <c r="Z71" s="99">
        <f>IF($Y71&gt;0,VLOOKUP($J71,Ruimtegroepen[],3,FALSE)*VLOOKUP($L71,Vloersoorten[],3,FALSE)*VLOOKUP($X71,Frequenties[],3,FALSE)*VLOOKUP(Ruimtestaat[[#This Row],[Code]],Locaties[],3,FALSE),0)</f>
        <v>0</v>
      </c>
      <c r="AA71" s="99">
        <f>Ruimtestaat[[#This Row],[Uitvoeringen weekend]]*Ruimtestaat[[#This Row],[Oppervlak (netto)]]</f>
        <v>0</v>
      </c>
      <c r="AB71" s="99">
        <f>IF(Z71&gt;0,Ruimtestaat[[#This Row],[Prest. (m2 /jaar) weekend]]/Ruimtestaat[[#This Row],[Norm (m2/uur) weekend]],0)</f>
        <v>0</v>
      </c>
      <c r="AC71" s="136">
        <f>Ruimtestaat[[#This Row],[uren / jaar weekend]]*Tariefsopbouw!$D$40</f>
        <v>0</v>
      </c>
      <c r="AD71" s="135">
        <f>Ruimtestaat[[#This Row],[Prest. (m2 /jaar) weekend]]+Ruimtestaat[[#This Row],[Prest. (m2 /jaar) werkdagen]]</f>
        <v>816</v>
      </c>
      <c r="AE71" s="135">
        <f>Ruimtestaat[[#This Row],[uren / jaar weekend]]+Ruimtestaat[[#This Row],[uren / jaar werkdagen]]</f>
        <v>0</v>
      </c>
      <c r="AF71" s="130">
        <f>Ruimtestaat[[#This Row],[kosten / jaar weekend]]+Ruimtestaat[[#This Row],[kosten / jaar werkdagen]]</f>
        <v>0</v>
      </c>
      <c r="AG71" s="130"/>
      <c r="AH71" s="137" t="str">
        <f>IF(Ruimtestaat[[#This Row],[Frequentie werkdagen]]="","",_xlfn.CONCAT(Ruimtestaat[[#This Row],[Ruimte code]],"-",Ruimtestaat[[#This Row],[Frequentie werkdagen]]," ",Ruimtestaat[[#This Row],[Vloer code]]))</f>
        <v>5-5w S</v>
      </c>
      <c r="AI71" s="142" t="str">
        <f>_xlfn.IFNA(VLOOKUP($AH71,Programma!$F$3:$G$1101,2,0),"")</f>
        <v>_</v>
      </c>
      <c r="AJ71" s="142" t="str">
        <f>_xlfn.IFNA(VLOOKUP($AH71,Programma!$F$3:$H$1101,3,0),"")</f>
        <v>_</v>
      </c>
      <c r="AK71" s="142" t="str">
        <f>_xlfn.IFNA(VLOOKUP($AH71,Programma!$F$3:$I$1101,4,0),"")</f>
        <v>_</v>
      </c>
      <c r="AL71" s="142" t="str">
        <f>_xlfn.IFNA(VLOOKUP($AH71,Programma!$F$3:$J$1101,5,0),"")</f>
        <v>4w</v>
      </c>
      <c r="AM71" s="142" t="str">
        <f>_xlfn.IFNA(VLOOKUP($AH71,Programma!$F$3:$K$1101,6,0),"")</f>
        <v>1w</v>
      </c>
      <c r="AN71" s="142" t="str">
        <f>_xlfn.IFNA(VLOOKUP($AH71,Programma!$F$3:$L$1101,7,0),"")</f>
        <v>_</v>
      </c>
      <c r="AO71" s="142" t="str">
        <f>_xlfn.IFNA(VLOOKUP($AH71,Programma!$F$3:$M$1101,8,0),"")</f>
        <v>_</v>
      </c>
      <c r="AP71" s="142" t="str">
        <f>_xlfn.IFNA(VLOOKUP($AH71,Programma!$F$3:$N$1101,9,0),"")</f>
        <v>_</v>
      </c>
      <c r="AQ71" s="142" t="str">
        <f>_xlfn.IFNA(VLOOKUP($AH71,Programma!$F$3:$O$1101,10,0),"")</f>
        <v>_</v>
      </c>
      <c r="AR71" s="142" t="str">
        <f>_xlfn.IFNA(VLOOKUP($AH71,Programma!$F$3:$P$1101,11,0),"")</f>
        <v>_</v>
      </c>
      <c r="AS71" s="142" t="str">
        <f>_xlfn.IFNA(VLOOKUP($AH71,Programma!$F$3:$Q$1101,12,0),"")</f>
        <v>_</v>
      </c>
      <c r="AT71" s="142" t="str">
        <f>_xlfn.IFNA(VLOOKUP($AH71,Programma!$F$3:$R$1101,13,0),"")</f>
        <v>_</v>
      </c>
      <c r="AU71" s="142" t="str">
        <f>_xlfn.IFNA(VLOOKUP($AH71,Programma!$F$3:$S$1101,14,0),"")</f>
        <v>_</v>
      </c>
      <c r="AV71" s="142" t="str">
        <f>_xlfn.IFNA(VLOOKUP($AH71,Programma!$F$3:$T$1101,15,0),"")</f>
        <v>_</v>
      </c>
      <c r="AW71" s="142" t="str">
        <f>_xlfn.IFNA(VLOOKUP($AH71,Programma!$F$3:$U$1101,16,0),"")</f>
        <v>_</v>
      </c>
      <c r="AX71" s="142" t="str">
        <f>_xlfn.IFNA(VLOOKUP($AH71,Programma!$F$3:$V$1101,17,0),"")</f>
        <v>_</v>
      </c>
      <c r="AY71" s="142" t="str">
        <f>_xlfn.IFNA(VLOOKUP($AH71,Programma!$F$3:$W$1101,18,0),"")</f>
        <v>4w</v>
      </c>
      <c r="AZ71" s="142" t="str">
        <f>_xlfn.IFNA(VLOOKUP($AH71,Programma!$F$3:$X$1101,19,0),"")</f>
        <v>1w</v>
      </c>
      <c r="BA71" s="142" t="str">
        <f>_xlfn.IFNA(VLOOKUP($AH71,Programma!$F$3:$Y$1101,20,0),"")</f>
        <v>_</v>
      </c>
      <c r="BB71" s="138"/>
      <c r="BC71" s="137" t="str">
        <f>IF(Ruimtestaat[[#This Row],[Frequentie weekend]]="","",_xlfn.CONCAT(Ruimtestaat[[#This Row],[Ruimte code]],"-",Ruimtestaat[[#This Row],[Frequentie weekend]]," ",Ruimtestaat[[#This Row],[Vloer code]]))</f>
        <v/>
      </c>
      <c r="BD71" s="142" t="str">
        <f>_xlfn.IFNA(VLOOKUP($BC71,Programma!$F$3:$G$1101,2,0),"")</f>
        <v/>
      </c>
      <c r="BE71" s="142" t="str">
        <f>_xlfn.IFNA(VLOOKUP($BC71,Programma!$F$3:$H$1101,3,0),"")</f>
        <v/>
      </c>
      <c r="BF71" s="142" t="str">
        <f>_xlfn.IFNA(VLOOKUP($BC71,Programma!$F$3:$I$1101,4,0),"")</f>
        <v/>
      </c>
      <c r="BG71" s="142" t="str">
        <f>_xlfn.IFNA(VLOOKUP($BC71,Programma!$F$3:$J$1101,5,0),"")</f>
        <v/>
      </c>
      <c r="BH71" s="142" t="str">
        <f>_xlfn.IFNA(VLOOKUP($BC71,Programma!$F$3:$K$1101,6,0),"")</f>
        <v/>
      </c>
      <c r="BI71" s="142" t="str">
        <f>_xlfn.IFNA(VLOOKUP($BC71,Programma!$F$3:$L$1101,7,0),"")</f>
        <v/>
      </c>
      <c r="BJ71" s="142" t="str">
        <f>_xlfn.IFNA(VLOOKUP($BC71,Programma!$F$3:$M$1101,8,0),"")</f>
        <v/>
      </c>
      <c r="BK71" s="142" t="str">
        <f>_xlfn.IFNA(VLOOKUP($BC71,Programma!$F$3:$N$1101,9,0),"")</f>
        <v/>
      </c>
      <c r="BL71" s="142" t="str">
        <f>_xlfn.IFNA(VLOOKUP($BC71,Programma!$F$3:$O$1101,10,0),"")</f>
        <v/>
      </c>
      <c r="BM71" s="142" t="str">
        <f>_xlfn.IFNA(VLOOKUP($BC71,Programma!$F$3:$P$1101,11,0),"")</f>
        <v/>
      </c>
      <c r="BN71" s="142" t="str">
        <f>_xlfn.IFNA(VLOOKUP($BC71,Programma!$F$3:$Q$1101,12,0),"")</f>
        <v/>
      </c>
      <c r="BO71" s="142" t="str">
        <f>_xlfn.IFNA(VLOOKUP($BC71,Programma!$F$3:$R$1101,13,0),"")</f>
        <v/>
      </c>
      <c r="BP71" s="142" t="str">
        <f>_xlfn.IFNA(VLOOKUP($BC71,Programma!$F$3:$S$1101,14,0),"")</f>
        <v/>
      </c>
      <c r="BQ71" s="142" t="str">
        <f>_xlfn.IFNA(VLOOKUP($BC71,Programma!$F$3:$T$1101,15,0),"")</f>
        <v/>
      </c>
      <c r="BR71" s="142" t="str">
        <f>_xlfn.IFNA(VLOOKUP($BC71,Programma!$F$3:$U$1101,16,0),"")</f>
        <v/>
      </c>
      <c r="BS71" s="142" t="str">
        <f>_xlfn.IFNA(VLOOKUP($BC71,Programma!$F$3:$V$1101,17,0),"")</f>
        <v/>
      </c>
      <c r="BT71" s="142" t="str">
        <f>_xlfn.IFNA(VLOOKUP($BC71,Programma!$F$3:$W$1101,18,0),"")</f>
        <v/>
      </c>
      <c r="BU71" s="142" t="str">
        <f>_xlfn.IFNA(VLOOKUP($BC71,Programma!$F$3:$X$1101,19,0),"")</f>
        <v/>
      </c>
      <c r="BV71" s="142" t="str">
        <f>_xlfn.IFNA(VLOOKUP($BC71,Programma!$F$3:$Y$1101,20,0),"")</f>
        <v/>
      </c>
      <c r="BW71" s="28"/>
      <c r="BX71" s="28"/>
      <c r="BY71" s="28"/>
      <c r="BZ71" s="28"/>
      <c r="CA71" s="28"/>
      <c r="CB71" s="28"/>
      <c r="CC71" s="28"/>
      <c r="CD71" s="28"/>
      <c r="CE71" s="28"/>
      <c r="CF71" s="28"/>
      <c r="CG71" s="28"/>
      <c r="CH71" s="28"/>
      <c r="CI71" s="28"/>
      <c r="CJ71" s="28"/>
      <c r="CK71" s="28"/>
      <c r="CL71" s="28"/>
      <c r="CM71" s="28"/>
      <c r="CN71" s="28"/>
      <c r="CO71" s="28"/>
      <c r="CP71" s="28"/>
      <c r="CQ71" s="28"/>
      <c r="CR71" s="28"/>
      <c r="CS71" s="28"/>
      <c r="CT71" s="28"/>
      <c r="CU71" s="28"/>
      <c r="CV71" s="28"/>
      <c r="CW71" s="28"/>
      <c r="CX71" s="28"/>
      <c r="CY71" s="28"/>
      <c r="CZ71" s="28"/>
      <c r="DA71" s="28"/>
      <c r="DB71" s="28"/>
      <c r="DC71" s="28"/>
      <c r="DD71" s="28"/>
      <c r="DE71" s="28"/>
      <c r="DF71" s="28"/>
      <c r="DG71" s="28"/>
      <c r="DH71" s="28"/>
      <c r="DI71" s="28"/>
      <c r="DJ71" s="28"/>
      <c r="DK71" s="28"/>
      <c r="DL71" s="28"/>
      <c r="DM71" s="28"/>
      <c r="DN71" s="28"/>
      <c r="DO71" s="28"/>
      <c r="DP71" s="28"/>
      <c r="DQ71" s="28"/>
      <c r="DR71" s="28"/>
      <c r="DS71" s="28"/>
      <c r="DT71" s="28"/>
      <c r="DU71" s="28"/>
      <c r="DV71" s="28"/>
      <c r="DW71" s="28"/>
      <c r="DX71" s="28"/>
      <c r="DY71" s="28"/>
      <c r="DZ71" s="28"/>
      <c r="EA71" s="28"/>
      <c r="EB71" s="28"/>
      <c r="EC71" s="28"/>
      <c r="ED71" s="28"/>
      <c r="EE71" s="28"/>
      <c r="EF71" s="28"/>
      <c r="EG71" s="28"/>
      <c r="EH71" s="28"/>
      <c r="EI71" s="28"/>
      <c r="EJ71" s="28"/>
      <c r="EK71" s="28"/>
      <c r="EL71" s="28"/>
      <c r="EM71" s="28"/>
      <c r="EN71" s="28"/>
      <c r="EO71" s="28"/>
      <c r="EP71" s="28"/>
      <c r="EQ71" s="28"/>
      <c r="ER71" s="28"/>
      <c r="ES71" s="28"/>
      <c r="ET71" s="28"/>
      <c r="EU71" s="28"/>
      <c r="EV71" s="28"/>
      <c r="EW71" s="28"/>
      <c r="EX71" s="28"/>
      <c r="EY71" s="28"/>
      <c r="EZ71" s="28"/>
      <c r="FA71" s="28"/>
      <c r="FB71" s="28"/>
      <c r="FC71" s="28"/>
      <c r="FD71" s="28"/>
      <c r="FE71" s="28"/>
      <c r="FF71" s="28"/>
      <c r="FG71" s="28"/>
      <c r="FH71" s="28"/>
      <c r="FI71" s="28"/>
      <c r="FJ71" s="28"/>
      <c r="FK71" s="28"/>
      <c r="FL71" s="28"/>
      <c r="FM71" s="28"/>
      <c r="FN71" s="28"/>
      <c r="FO71" s="28"/>
      <c r="FP71" s="28"/>
      <c r="FQ71" s="28"/>
      <c r="FR71" s="28"/>
      <c r="FS71" s="28"/>
      <c r="FT71" s="28"/>
      <c r="FU71" s="28"/>
      <c r="FV71" s="28"/>
      <c r="FW71" s="28"/>
      <c r="FX71" s="28"/>
      <c r="FY71" s="28"/>
      <c r="FZ71" s="28"/>
      <c r="GA71" s="28"/>
      <c r="GB71" s="28"/>
      <c r="GC71" s="28"/>
      <c r="GD71" s="28"/>
      <c r="GE71" s="28"/>
      <c r="GF71" s="28"/>
      <c r="GG71" s="28"/>
      <c r="GH71" s="28"/>
      <c r="GI71" s="28"/>
      <c r="GJ71" s="28"/>
      <c r="GK71" s="28"/>
      <c r="GL71" s="28"/>
      <c r="GM71" s="28"/>
      <c r="GN71" s="28"/>
      <c r="GO71" s="28"/>
      <c r="GP71" s="28"/>
      <c r="GQ71" s="28"/>
      <c r="GR71" s="28"/>
      <c r="GS71" s="28"/>
      <c r="GT71" s="28"/>
      <c r="GU71" s="28"/>
      <c r="GV71" s="28"/>
      <c r="GW71" s="28"/>
      <c r="GX71" s="28"/>
      <c r="GY71" s="28"/>
      <c r="GZ71" s="28"/>
      <c r="HA71" s="28"/>
      <c r="HB71" s="28"/>
      <c r="HC71" s="28"/>
      <c r="HD71" s="28"/>
      <c r="HE71" s="28"/>
      <c r="HF71" s="28"/>
      <c r="HG71" s="28"/>
      <c r="HH71" s="28"/>
      <c r="HI71" s="28"/>
      <c r="HJ71" s="28"/>
      <c r="HK71" s="28"/>
    </row>
    <row r="72" spans="1:219" ht="15" customHeight="1">
      <c r="A72" s="100">
        <v>1</v>
      </c>
      <c r="B72" s="132" t="str">
        <f>VLOOKUP(Ruimtestaat[[#This Row],[Code]],Locaties[[Code]:[Locatie]],2,FALSE)</f>
        <v>Mirtehuis</v>
      </c>
      <c r="C72" s="132" t="str">
        <f>VLOOKUP(Ruimtestaat[[#This Row],[Code]],Locaties[[#All],[Code]:[Adres]],4,FALSE)</f>
        <v>Weseperweg 6</v>
      </c>
      <c r="D72" s="132" t="str">
        <f>VLOOKUP(Ruimtestaat[[#This Row],[Code]],Locaties[[#All],[Code]:[Postcode]],5,FALSE)</f>
        <v>8111 PK</v>
      </c>
      <c r="E72" s="132" t="str">
        <f>VLOOKUP(Ruimtestaat[[#This Row],[Code]],Locaties[#All],6,FALSE)</f>
        <v>Heeten</v>
      </c>
      <c r="F72" s="100"/>
      <c r="G72" s="100" t="s">
        <v>1675</v>
      </c>
      <c r="H72" s="344"/>
      <c r="I72" s="345" t="s">
        <v>1666</v>
      </c>
      <c r="J72" s="49">
        <v>20</v>
      </c>
      <c r="K72" s="140" t="str">
        <f>VLOOKUP(Ruimtestaat[[#This Row],[Ruimte code]],Ruimtegroepen[[#All],[Code]:[Ruimte omschrijving]],2,FALSE)</f>
        <v>Niet in Onderhoud</v>
      </c>
      <c r="L72" s="100" t="s">
        <v>101</v>
      </c>
      <c r="M72" s="345" t="s">
        <v>1667</v>
      </c>
      <c r="N72" s="133"/>
      <c r="O72" s="139"/>
      <c r="P72" s="134">
        <f>VLOOKUP(Ruimtestaat[[#This Row],[Ruimte code]],Ruimtegroepen[],4,FALSE)</f>
        <v>0</v>
      </c>
      <c r="Q72" s="100"/>
      <c r="R72" s="100"/>
      <c r="S72" s="100">
        <f>IF(Q72&gt;0,IF(RIGHT(Ruimtestaat[[#This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2" s="100">
        <f>IF(S72&gt;0,VLOOKUP($J72,Ruimtegroepen[],3,FALSE)*VLOOKUP($L72,Vloersoorten[],3,FALSE)*VLOOKUP($R72,Frequenties[],3,FALSE)*VLOOKUP($A72,Locaties[],3,FALSE),0)</f>
        <v>0</v>
      </c>
      <c r="U72" s="100">
        <f>Ruimtestaat[[#This Row],[Uitvoeringen werkdagen]]*Ruimtestaat[[#This Row],[Oppervlak (netto)]]</f>
        <v>0</v>
      </c>
      <c r="V72" s="135">
        <f>IF(T72&gt;0,Ruimtestaat[[#This Row],[Prest. (m2 /jaar) werkdagen]]/Ruimtestaat[[#This Row],[Norm (m2/uur) werkdagen]],0)</f>
        <v>0</v>
      </c>
      <c r="W72" s="136">
        <f>Ruimtestaat[[#This Row],[uren / jaar werkdagen]]*Tariefsopbouw!$E$35</f>
        <v>0</v>
      </c>
      <c r="X72" s="100"/>
      <c r="Y72" s="100">
        <f>IF(Ruimtestaat[[#This Row],[Frequentie weekend]]&gt;0,VALUE(LEFT(X72,1))*Q72,0)</f>
        <v>0</v>
      </c>
      <c r="Z72" s="99">
        <f>IF($Y72&gt;0,VLOOKUP($J72,Ruimtegroepen[],3,FALSE)*VLOOKUP($L72,Vloersoorten[],3,FALSE)*VLOOKUP($X72,Frequenties[],3,FALSE)*VLOOKUP(Ruimtestaat[[#This Row],[Code]],Locaties[],3,FALSE),0)</f>
        <v>0</v>
      </c>
      <c r="AA72" s="99">
        <f>Ruimtestaat[[#This Row],[Uitvoeringen weekend]]*Ruimtestaat[[#This Row],[Oppervlak (netto)]]</f>
        <v>0</v>
      </c>
      <c r="AB72" s="99">
        <f>IF(Z72&gt;0,Ruimtestaat[[#This Row],[Prest. (m2 /jaar) weekend]]/Ruimtestaat[[#This Row],[Norm (m2/uur) weekend]],0)</f>
        <v>0</v>
      </c>
      <c r="AC72" s="136">
        <f>Ruimtestaat[[#This Row],[uren / jaar weekend]]*Tariefsopbouw!$D$40</f>
        <v>0</v>
      </c>
      <c r="AD72" s="135">
        <f>Ruimtestaat[[#This Row],[Prest. (m2 /jaar) weekend]]+Ruimtestaat[[#This Row],[Prest. (m2 /jaar) werkdagen]]</f>
        <v>0</v>
      </c>
      <c r="AE72" s="135">
        <f>Ruimtestaat[[#This Row],[uren / jaar weekend]]+Ruimtestaat[[#This Row],[uren / jaar werkdagen]]</f>
        <v>0</v>
      </c>
      <c r="AF72" s="130">
        <f>Ruimtestaat[[#This Row],[kosten / jaar weekend]]+Ruimtestaat[[#This Row],[kosten / jaar werkdagen]]</f>
        <v>0</v>
      </c>
      <c r="AG72" s="130"/>
      <c r="AH72" s="137" t="str">
        <f>IF(Ruimtestaat[[#This Row],[Frequentie werkdagen]]="","",_xlfn.CONCAT(Ruimtestaat[[#This Row],[Ruimte code]],"-",Ruimtestaat[[#This Row],[Frequentie werkdagen]]," ",Ruimtestaat[[#This Row],[Vloer code]]))</f>
        <v/>
      </c>
      <c r="AI72" s="142" t="str">
        <f>_xlfn.IFNA(VLOOKUP($AH72,Programma!$F$3:$G$1101,2,0),"")</f>
        <v/>
      </c>
      <c r="AJ72" s="142" t="str">
        <f>_xlfn.IFNA(VLOOKUP($AH72,Programma!$F$3:$H$1101,3,0),"")</f>
        <v/>
      </c>
      <c r="AK72" s="142" t="str">
        <f>_xlfn.IFNA(VLOOKUP($AH72,Programma!$F$3:$I$1101,4,0),"")</f>
        <v/>
      </c>
      <c r="AL72" s="142" t="str">
        <f>_xlfn.IFNA(VLOOKUP($AH72,Programma!$F$3:$J$1101,5,0),"")</f>
        <v/>
      </c>
      <c r="AM72" s="142" t="str">
        <f>_xlfn.IFNA(VLOOKUP($AH72,Programma!$F$3:$K$1101,6,0),"")</f>
        <v/>
      </c>
      <c r="AN72" s="142" t="str">
        <f>_xlfn.IFNA(VLOOKUP($AH72,Programma!$F$3:$L$1101,7,0),"")</f>
        <v/>
      </c>
      <c r="AO72" s="142" t="str">
        <f>_xlfn.IFNA(VLOOKUP($AH72,Programma!$F$3:$M$1101,8,0),"")</f>
        <v/>
      </c>
      <c r="AP72" s="142" t="str">
        <f>_xlfn.IFNA(VLOOKUP($AH72,Programma!$F$3:$N$1101,9,0),"")</f>
        <v/>
      </c>
      <c r="AQ72" s="142" t="str">
        <f>_xlfn.IFNA(VLOOKUP($AH72,Programma!$F$3:$O$1101,10,0),"")</f>
        <v/>
      </c>
      <c r="AR72" s="142" t="str">
        <f>_xlfn.IFNA(VLOOKUP($AH72,Programma!$F$3:$P$1101,11,0),"")</f>
        <v/>
      </c>
      <c r="AS72" s="142" t="str">
        <f>_xlfn.IFNA(VLOOKUP($AH72,Programma!$F$3:$Q$1101,12,0),"")</f>
        <v/>
      </c>
      <c r="AT72" s="142" t="str">
        <f>_xlfn.IFNA(VLOOKUP($AH72,Programma!$F$3:$R$1101,13,0),"")</f>
        <v/>
      </c>
      <c r="AU72" s="142" t="str">
        <f>_xlfn.IFNA(VLOOKUP($AH72,Programma!$F$3:$S$1101,14,0),"")</f>
        <v/>
      </c>
      <c r="AV72" s="142" t="str">
        <f>_xlfn.IFNA(VLOOKUP($AH72,Programma!$F$3:$T$1101,15,0),"")</f>
        <v/>
      </c>
      <c r="AW72" s="142" t="str">
        <f>_xlfn.IFNA(VLOOKUP($AH72,Programma!$F$3:$U$1101,16,0),"")</f>
        <v/>
      </c>
      <c r="AX72" s="142" t="str">
        <f>_xlfn.IFNA(VLOOKUP($AH72,Programma!$F$3:$V$1101,17,0),"")</f>
        <v/>
      </c>
      <c r="AY72" s="142" t="str">
        <f>_xlfn.IFNA(VLOOKUP($AH72,Programma!$F$3:$W$1101,18,0),"")</f>
        <v/>
      </c>
      <c r="AZ72" s="142" t="str">
        <f>_xlfn.IFNA(VLOOKUP($AH72,Programma!$F$3:$X$1101,19,0),"")</f>
        <v/>
      </c>
      <c r="BA72" s="142" t="str">
        <f>_xlfn.IFNA(VLOOKUP($AH72,Programma!$F$3:$Y$1101,20,0),"")</f>
        <v/>
      </c>
      <c r="BB72" s="138"/>
      <c r="BC72" s="137" t="str">
        <f>IF(Ruimtestaat[[#This Row],[Frequentie weekend]]="","",_xlfn.CONCAT(Ruimtestaat[[#This Row],[Ruimte code]],"-",Ruimtestaat[[#This Row],[Frequentie weekend]]," ",Ruimtestaat[[#This Row],[Vloer code]]))</f>
        <v/>
      </c>
      <c r="BD72" s="142" t="str">
        <f>_xlfn.IFNA(VLOOKUP($BC72,Programma!$F$3:$G$1101,2,0),"")</f>
        <v/>
      </c>
      <c r="BE72" s="142" t="str">
        <f>_xlfn.IFNA(VLOOKUP($BC72,Programma!$F$3:$H$1101,3,0),"")</f>
        <v/>
      </c>
      <c r="BF72" s="142" t="str">
        <f>_xlfn.IFNA(VLOOKUP($BC72,Programma!$F$3:$I$1101,4,0),"")</f>
        <v/>
      </c>
      <c r="BG72" s="142" t="str">
        <f>_xlfn.IFNA(VLOOKUP($BC72,Programma!$F$3:$J$1101,5,0),"")</f>
        <v/>
      </c>
      <c r="BH72" s="142" t="str">
        <f>_xlfn.IFNA(VLOOKUP($BC72,Programma!$F$3:$K$1101,6,0),"")</f>
        <v/>
      </c>
      <c r="BI72" s="142" t="str">
        <f>_xlfn.IFNA(VLOOKUP($BC72,Programma!$F$3:$L$1101,7,0),"")</f>
        <v/>
      </c>
      <c r="BJ72" s="142" t="str">
        <f>_xlfn.IFNA(VLOOKUP($BC72,Programma!$F$3:$M$1101,8,0),"")</f>
        <v/>
      </c>
      <c r="BK72" s="142" t="str">
        <f>_xlfn.IFNA(VLOOKUP($BC72,Programma!$F$3:$N$1101,9,0),"")</f>
        <v/>
      </c>
      <c r="BL72" s="142" t="str">
        <f>_xlfn.IFNA(VLOOKUP($BC72,Programma!$F$3:$O$1101,10,0),"")</f>
        <v/>
      </c>
      <c r="BM72" s="142" t="str">
        <f>_xlfn.IFNA(VLOOKUP($BC72,Programma!$F$3:$P$1101,11,0),"")</f>
        <v/>
      </c>
      <c r="BN72" s="142" t="str">
        <f>_xlfn.IFNA(VLOOKUP($BC72,Programma!$F$3:$Q$1101,12,0),"")</f>
        <v/>
      </c>
      <c r="BO72" s="142" t="str">
        <f>_xlfn.IFNA(VLOOKUP($BC72,Programma!$F$3:$R$1101,13,0),"")</f>
        <v/>
      </c>
      <c r="BP72" s="142" t="str">
        <f>_xlfn.IFNA(VLOOKUP($BC72,Programma!$F$3:$S$1101,14,0),"")</f>
        <v/>
      </c>
      <c r="BQ72" s="142" t="str">
        <f>_xlfn.IFNA(VLOOKUP($BC72,Programma!$F$3:$T$1101,15,0),"")</f>
        <v/>
      </c>
      <c r="BR72" s="142" t="str">
        <f>_xlfn.IFNA(VLOOKUP($BC72,Programma!$F$3:$U$1101,16,0),"")</f>
        <v/>
      </c>
      <c r="BS72" s="142" t="str">
        <f>_xlfn.IFNA(VLOOKUP($BC72,Programma!$F$3:$V$1101,17,0),"")</f>
        <v/>
      </c>
      <c r="BT72" s="142" t="str">
        <f>_xlfn.IFNA(VLOOKUP($BC72,Programma!$F$3:$W$1101,18,0),"")</f>
        <v/>
      </c>
      <c r="BU72" s="142" t="str">
        <f>_xlfn.IFNA(VLOOKUP($BC72,Programma!$F$3:$X$1101,19,0),"")</f>
        <v/>
      </c>
      <c r="BV72" s="142" t="str">
        <f>_xlfn.IFNA(VLOOKUP($BC72,Programma!$F$3:$Y$1101,20,0),"")</f>
        <v/>
      </c>
      <c r="BW72" s="28"/>
      <c r="BX72" s="28"/>
      <c r="BY72" s="28"/>
      <c r="BZ72" s="28"/>
      <c r="CA72" s="28"/>
      <c r="CB72" s="28"/>
      <c r="CC72" s="28"/>
      <c r="CD72" s="28"/>
      <c r="CE72" s="28"/>
      <c r="CF72" s="28"/>
      <c r="CG72" s="28"/>
      <c r="CH72" s="28"/>
      <c r="CI72" s="28"/>
      <c r="CJ72" s="28"/>
      <c r="CK72" s="28"/>
      <c r="CL72" s="28"/>
      <c r="CM72" s="28"/>
      <c r="CN72" s="28"/>
      <c r="CO72" s="28"/>
      <c r="CP72" s="28"/>
      <c r="CQ72" s="28"/>
      <c r="CR72" s="28"/>
      <c r="CS72" s="28"/>
      <c r="CT72" s="28"/>
      <c r="CU72" s="28"/>
      <c r="CV72" s="28"/>
      <c r="CW72" s="28"/>
      <c r="CX72" s="28"/>
      <c r="CY72" s="28"/>
      <c r="CZ72" s="28"/>
      <c r="DA72" s="28"/>
      <c r="DB72" s="28"/>
      <c r="DC72" s="28"/>
      <c r="DD72" s="28"/>
      <c r="DE72" s="28"/>
      <c r="DF72" s="28"/>
      <c r="DG72" s="28"/>
      <c r="DH72" s="28"/>
      <c r="DI72" s="28"/>
      <c r="DJ72" s="28"/>
      <c r="DK72" s="28"/>
      <c r="DL72" s="28"/>
      <c r="DM72" s="28"/>
      <c r="DN72" s="28"/>
      <c r="DO72" s="28"/>
      <c r="DP72" s="28"/>
      <c r="DQ72" s="28"/>
      <c r="DR72" s="28"/>
      <c r="DS72" s="28"/>
      <c r="DT72" s="28"/>
      <c r="DU72" s="28"/>
      <c r="DV72" s="28"/>
      <c r="DW72" s="28"/>
      <c r="DX72" s="28"/>
      <c r="DY72" s="28"/>
      <c r="DZ72" s="28"/>
      <c r="EA72" s="28"/>
      <c r="EB72" s="28"/>
      <c r="EC72" s="28"/>
      <c r="ED72" s="28"/>
      <c r="EE72" s="28"/>
      <c r="EF72" s="28"/>
      <c r="EG72" s="28"/>
      <c r="EH72" s="28"/>
      <c r="EI72" s="28"/>
      <c r="EJ72" s="28"/>
      <c r="EK72" s="28"/>
      <c r="EL72" s="28"/>
      <c r="EM72" s="28"/>
      <c r="EN72" s="28"/>
      <c r="EO72" s="28"/>
      <c r="EP72" s="28"/>
      <c r="EQ72" s="28"/>
      <c r="ER72" s="28"/>
      <c r="ES72" s="28"/>
      <c r="ET72" s="28"/>
      <c r="EU72" s="28"/>
      <c r="EV72" s="28"/>
      <c r="EW72" s="28"/>
      <c r="EX72" s="28"/>
      <c r="EY72" s="28"/>
      <c r="EZ72" s="28"/>
      <c r="FA72" s="28"/>
      <c r="FB72" s="28"/>
      <c r="FC72" s="28"/>
      <c r="FD72" s="28"/>
      <c r="FE72" s="28"/>
      <c r="FF72" s="28"/>
      <c r="FG72" s="28"/>
      <c r="FH72" s="28"/>
      <c r="FI72" s="28"/>
      <c r="FJ72" s="28"/>
      <c r="FK72" s="28"/>
      <c r="FL72" s="28"/>
      <c r="FM72" s="28"/>
      <c r="FN72" s="28"/>
      <c r="FO72" s="28"/>
      <c r="FP72" s="28"/>
      <c r="FQ72" s="28"/>
      <c r="FR72" s="28"/>
      <c r="FS72" s="28"/>
      <c r="FT72" s="28"/>
      <c r="FU72" s="28"/>
      <c r="FV72" s="28"/>
      <c r="FW72" s="28"/>
      <c r="FX72" s="28"/>
      <c r="FY72" s="28"/>
      <c r="FZ72" s="28"/>
      <c r="GA72" s="28"/>
      <c r="GB72" s="28"/>
      <c r="GC72" s="28"/>
      <c r="GD72" s="28"/>
      <c r="GE72" s="28"/>
      <c r="GF72" s="28"/>
      <c r="GG72" s="28"/>
      <c r="GH72" s="28"/>
      <c r="GI72" s="28"/>
      <c r="GJ72" s="28"/>
      <c r="GK72" s="28"/>
      <c r="GL72" s="28"/>
      <c r="GM72" s="28"/>
      <c r="GN72" s="28"/>
      <c r="GO72" s="28"/>
      <c r="GP72" s="28"/>
      <c r="GQ72" s="28"/>
      <c r="GR72" s="28"/>
      <c r="GS72" s="28"/>
      <c r="GT72" s="28"/>
      <c r="GU72" s="28"/>
      <c r="GV72" s="28"/>
      <c r="GW72" s="28"/>
      <c r="GX72" s="28"/>
      <c r="GY72" s="28"/>
      <c r="GZ72" s="28"/>
      <c r="HA72" s="28"/>
      <c r="HB72" s="28"/>
      <c r="HC72" s="28"/>
      <c r="HD72" s="28"/>
      <c r="HE72" s="28"/>
      <c r="HF72" s="28"/>
      <c r="HG72" s="28"/>
      <c r="HH72" s="28"/>
      <c r="HI72" s="28"/>
      <c r="HJ72" s="28"/>
      <c r="HK72" s="28"/>
    </row>
    <row r="73" spans="1:219" ht="15" customHeight="1">
      <c r="A73" s="100">
        <v>1</v>
      </c>
      <c r="B73" s="132" t="str">
        <f>VLOOKUP(Ruimtestaat[[#This Row],[Code]],Locaties[[Code]:[Locatie]],2,FALSE)</f>
        <v>Mirtehuis</v>
      </c>
      <c r="C73" s="132" t="str">
        <f>VLOOKUP(Ruimtestaat[[#This Row],[Code]],Locaties[[#All],[Code]:[Adres]],4,FALSE)</f>
        <v>Weseperweg 6</v>
      </c>
      <c r="D73" s="132" t="str">
        <f>VLOOKUP(Ruimtestaat[[#This Row],[Code]],Locaties[[#All],[Code]:[Postcode]],5,FALSE)</f>
        <v>8111 PK</v>
      </c>
      <c r="E73" s="132" t="str">
        <f>VLOOKUP(Ruimtestaat[[#This Row],[Code]],Locaties[#All],6,FALSE)</f>
        <v>Heeten</v>
      </c>
      <c r="F73" s="100"/>
      <c r="G73" s="100" t="s">
        <v>1675</v>
      </c>
      <c r="H73" s="344"/>
      <c r="I73" s="345" t="s">
        <v>1635</v>
      </c>
      <c r="J73" s="49">
        <v>10</v>
      </c>
      <c r="K73" s="140" t="str">
        <f>VLOOKUP(Ruimtestaat[[#This Row],[Ruimte code]],Ruimtegroepen[[#All],[Code]:[Ruimte omschrijving]],2,FALSE)</f>
        <v>Trappenhuizen/lift</v>
      </c>
      <c r="L73" s="100" t="s">
        <v>100</v>
      </c>
      <c r="M73" s="345" t="s">
        <v>1636</v>
      </c>
      <c r="N73" s="133">
        <v>2.75</v>
      </c>
      <c r="O73" s="100"/>
      <c r="P73" s="134" t="str">
        <f>VLOOKUP(Ruimtestaat[[#This Row],[Ruimte code]],Ruimtegroepen[],4,FALSE)</f>
        <v>Ve</v>
      </c>
      <c r="Q73" s="100">
        <v>51</v>
      </c>
      <c r="R73" s="100" t="s">
        <v>18</v>
      </c>
      <c r="S73" s="100">
        <f>IF(Q73&gt;0,IF(RIGHT(Ruimtestaat[[#This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153</v>
      </c>
      <c r="T73" s="100">
        <f>IF(S73&gt;0,VLOOKUP($J73,Ruimtegroepen[],3,FALSE)*VLOOKUP($L73,Vloersoorten[],3,FALSE)*VLOOKUP($R73,Frequenties[],3,FALSE)*VLOOKUP($A73,Locaties[],3,FALSE),0)</f>
        <v>0</v>
      </c>
      <c r="U73" s="100">
        <f>Ruimtestaat[[#This Row],[Uitvoeringen werkdagen]]*Ruimtestaat[[#This Row],[Oppervlak (netto)]]</f>
        <v>420.75</v>
      </c>
      <c r="V73" s="135">
        <f>IF(T73&gt;0,Ruimtestaat[[#This Row],[Prest. (m2 /jaar) werkdagen]]/Ruimtestaat[[#This Row],[Norm (m2/uur) werkdagen]],0)</f>
        <v>0</v>
      </c>
      <c r="W73" s="136">
        <f>Ruimtestaat[[#This Row],[uren / jaar werkdagen]]*Tariefsopbouw!$E$35</f>
        <v>0</v>
      </c>
      <c r="X73" s="100"/>
      <c r="Y73" s="100">
        <f>IF(Ruimtestaat[[#This Row],[Frequentie weekend]]&gt;0,VALUE(LEFT(X73,1))*Q73,0)</f>
        <v>0</v>
      </c>
      <c r="Z73" s="99">
        <f>IF($Y73&gt;0,VLOOKUP($J73,Ruimtegroepen[],3,FALSE)*VLOOKUP($L73,Vloersoorten[],3,FALSE)*VLOOKUP($X73,Frequenties[],3,FALSE)*VLOOKUP(Ruimtestaat[[#This Row],[Code]],Locaties[],3,FALSE),0)</f>
        <v>0</v>
      </c>
      <c r="AA73" s="99">
        <f>Ruimtestaat[[#This Row],[Uitvoeringen weekend]]*Ruimtestaat[[#This Row],[Oppervlak (netto)]]</f>
        <v>0</v>
      </c>
      <c r="AB73" s="99">
        <f>IF(Z73&gt;0,Ruimtestaat[[#This Row],[Prest. (m2 /jaar) weekend]]/Ruimtestaat[[#This Row],[Norm (m2/uur) weekend]],0)</f>
        <v>0</v>
      </c>
      <c r="AC73" s="136">
        <f>Ruimtestaat[[#This Row],[uren / jaar weekend]]*Tariefsopbouw!$D$40</f>
        <v>0</v>
      </c>
      <c r="AD73" s="135">
        <f>Ruimtestaat[[#This Row],[Prest. (m2 /jaar) weekend]]+Ruimtestaat[[#This Row],[Prest. (m2 /jaar) werkdagen]]</f>
        <v>420.75</v>
      </c>
      <c r="AE73" s="135">
        <f>Ruimtestaat[[#This Row],[uren / jaar weekend]]+Ruimtestaat[[#This Row],[uren / jaar werkdagen]]</f>
        <v>0</v>
      </c>
      <c r="AF73" s="130">
        <f>Ruimtestaat[[#This Row],[kosten / jaar weekend]]+Ruimtestaat[[#This Row],[kosten / jaar werkdagen]]</f>
        <v>0</v>
      </c>
      <c r="AG73" s="130"/>
      <c r="AH73" s="137" t="str">
        <f>IF(Ruimtestaat[[#This Row],[Frequentie werkdagen]]="","",_xlfn.CONCAT(Ruimtestaat[[#This Row],[Ruimte code]],"-",Ruimtestaat[[#This Row],[Frequentie werkdagen]]," ",Ruimtestaat[[#This Row],[Vloer code]]))</f>
        <v>10-3w L</v>
      </c>
      <c r="AI73" s="142" t="str">
        <f>_xlfn.IFNA(VLOOKUP($AH73,Programma!$F$3:$G$1101,2,0),"")</f>
        <v>_</v>
      </c>
      <c r="AJ73" s="142" t="str">
        <f>_xlfn.IFNA(VLOOKUP($AH73,Programma!$F$3:$H$1101,3,0),"")</f>
        <v>_</v>
      </c>
      <c r="AK73" s="142" t="str">
        <f>_xlfn.IFNA(VLOOKUP($AH73,Programma!$F$3:$I$1101,4,0),"")</f>
        <v>2w</v>
      </c>
      <c r="AL73" s="142" t="str">
        <f>_xlfn.IFNA(VLOOKUP($AH73,Programma!$F$3:$J$1101,5,0),"")</f>
        <v>1w</v>
      </c>
      <c r="AM73" s="142" t="str">
        <f>_xlfn.IFNA(VLOOKUP($AH73,Programma!$F$3:$K$1101,6,0),"")</f>
        <v>_</v>
      </c>
      <c r="AN73" s="142" t="str">
        <f>_xlfn.IFNA(VLOOKUP($AH73,Programma!$F$3:$L$1101,7,0),"")</f>
        <v>_</v>
      </c>
      <c r="AO73" s="142" t="str">
        <f>_xlfn.IFNA(VLOOKUP($AH73,Programma!$F$3:$M$1101,8,0),"")</f>
        <v>_</v>
      </c>
      <c r="AP73" s="142" t="str">
        <f>_xlfn.IFNA(VLOOKUP($AH73,Programma!$F$3:$N$1101,9,0),"")</f>
        <v>_</v>
      </c>
      <c r="AQ73" s="142" t="str">
        <f>_xlfn.IFNA(VLOOKUP($AH73,Programma!$F$3:$O$1101,10,0),"")</f>
        <v>3w</v>
      </c>
      <c r="AR73" s="142" t="str">
        <f>_xlfn.IFNA(VLOOKUP($AH73,Programma!$F$3:$P$1101,11,0),"")</f>
        <v>3w</v>
      </c>
      <c r="AS73" s="142" t="str">
        <f>_xlfn.IFNA(VLOOKUP($AH73,Programma!$F$3:$Q$1101,12,0),"")</f>
        <v>1w</v>
      </c>
      <c r="AT73" s="142" t="str">
        <f>_xlfn.IFNA(VLOOKUP($AH73,Programma!$F$3:$R$1101,13,0),"")</f>
        <v>1w</v>
      </c>
      <c r="AU73" s="142" t="str">
        <f>_xlfn.IFNA(VLOOKUP($AH73,Programma!$F$3:$S$1101,14,0),"")</f>
        <v>1m</v>
      </c>
      <c r="AV73" s="142" t="str">
        <f>_xlfn.IFNA(VLOOKUP($AH73,Programma!$F$3:$T$1101,15,0),"")</f>
        <v>2j</v>
      </c>
      <c r="AW73" s="142" t="str">
        <f>_xlfn.IFNA(VLOOKUP($AH73,Programma!$F$3:$U$1101,16,0),"")</f>
        <v>1j</v>
      </c>
      <c r="AX73" s="142" t="str">
        <f>_xlfn.IFNA(VLOOKUP($AH73,Programma!$F$3:$V$1101,17,0),"")</f>
        <v>_</v>
      </c>
      <c r="AY73" s="142" t="str">
        <f>_xlfn.IFNA(VLOOKUP($AH73,Programma!$F$3:$W$1101,18,0),"")</f>
        <v>_</v>
      </c>
      <c r="AZ73" s="142" t="str">
        <f>_xlfn.IFNA(VLOOKUP($AH73,Programma!$F$3:$X$1101,19,0),"")</f>
        <v>_</v>
      </c>
      <c r="BA73" s="142" t="str">
        <f>_xlfn.IFNA(VLOOKUP($AH73,Programma!$F$3:$Y$1101,20,0),"")</f>
        <v>_</v>
      </c>
      <c r="BB73" s="138"/>
      <c r="BC73" s="137" t="str">
        <f>IF(Ruimtestaat[[#This Row],[Frequentie weekend]]="","",_xlfn.CONCAT(Ruimtestaat[[#This Row],[Ruimte code]],"-",Ruimtestaat[[#This Row],[Frequentie weekend]]," ",Ruimtestaat[[#This Row],[Vloer code]]))</f>
        <v/>
      </c>
      <c r="BD73" s="142" t="str">
        <f>_xlfn.IFNA(VLOOKUP($BC73,Programma!$F$3:$G$1101,2,0),"")</f>
        <v/>
      </c>
      <c r="BE73" s="142" t="str">
        <f>_xlfn.IFNA(VLOOKUP($BC73,Programma!$F$3:$H$1101,3,0),"")</f>
        <v/>
      </c>
      <c r="BF73" s="142" t="str">
        <f>_xlfn.IFNA(VLOOKUP($BC73,Programma!$F$3:$I$1101,4,0),"")</f>
        <v/>
      </c>
      <c r="BG73" s="142" t="str">
        <f>_xlfn.IFNA(VLOOKUP($BC73,Programma!$F$3:$J$1101,5,0),"")</f>
        <v/>
      </c>
      <c r="BH73" s="142" t="str">
        <f>_xlfn.IFNA(VLOOKUP($BC73,Programma!$F$3:$K$1101,6,0),"")</f>
        <v/>
      </c>
      <c r="BI73" s="142" t="str">
        <f>_xlfn.IFNA(VLOOKUP($BC73,Programma!$F$3:$L$1101,7,0),"")</f>
        <v/>
      </c>
      <c r="BJ73" s="142" t="str">
        <f>_xlfn.IFNA(VLOOKUP($BC73,Programma!$F$3:$M$1101,8,0),"")</f>
        <v/>
      </c>
      <c r="BK73" s="142" t="str">
        <f>_xlfn.IFNA(VLOOKUP($BC73,Programma!$F$3:$N$1101,9,0),"")</f>
        <v/>
      </c>
      <c r="BL73" s="142" t="str">
        <f>_xlfn.IFNA(VLOOKUP($BC73,Programma!$F$3:$O$1101,10,0),"")</f>
        <v/>
      </c>
      <c r="BM73" s="142" t="str">
        <f>_xlfn.IFNA(VLOOKUP($BC73,Programma!$F$3:$P$1101,11,0),"")</f>
        <v/>
      </c>
      <c r="BN73" s="142" t="str">
        <f>_xlfn.IFNA(VLOOKUP($BC73,Programma!$F$3:$Q$1101,12,0),"")</f>
        <v/>
      </c>
      <c r="BO73" s="142" t="str">
        <f>_xlfn.IFNA(VLOOKUP($BC73,Programma!$F$3:$R$1101,13,0),"")</f>
        <v/>
      </c>
      <c r="BP73" s="142" t="str">
        <f>_xlfn.IFNA(VLOOKUP($BC73,Programma!$F$3:$S$1101,14,0),"")</f>
        <v/>
      </c>
      <c r="BQ73" s="142" t="str">
        <f>_xlfn.IFNA(VLOOKUP($BC73,Programma!$F$3:$T$1101,15,0),"")</f>
        <v/>
      </c>
      <c r="BR73" s="142" t="str">
        <f>_xlfn.IFNA(VLOOKUP($BC73,Programma!$F$3:$U$1101,16,0),"")</f>
        <v/>
      </c>
      <c r="BS73" s="142" t="str">
        <f>_xlfn.IFNA(VLOOKUP($BC73,Programma!$F$3:$V$1101,17,0),"")</f>
        <v/>
      </c>
      <c r="BT73" s="142" t="str">
        <f>_xlfn.IFNA(VLOOKUP($BC73,Programma!$F$3:$W$1101,18,0),"")</f>
        <v/>
      </c>
      <c r="BU73" s="142" t="str">
        <f>_xlfn.IFNA(VLOOKUP($BC73,Programma!$F$3:$X$1101,19,0),"")</f>
        <v/>
      </c>
      <c r="BV73" s="142" t="str">
        <f>_xlfn.IFNA(VLOOKUP($BC73,Programma!$F$3:$Y$1101,20,0),"")</f>
        <v/>
      </c>
      <c r="BW73" s="28"/>
      <c r="BX73" s="28"/>
      <c r="BY73" s="28"/>
      <c r="BZ73" s="28"/>
      <c r="CA73" s="28"/>
      <c r="CB73" s="28"/>
      <c r="CC73" s="28"/>
      <c r="CD73" s="28"/>
      <c r="CE73" s="28"/>
      <c r="CF73" s="28"/>
      <c r="CG73" s="28"/>
      <c r="CH73" s="28"/>
      <c r="CI73" s="28"/>
      <c r="CJ73" s="28"/>
      <c r="CK73" s="28"/>
      <c r="CL73" s="28"/>
      <c r="CM73" s="28"/>
      <c r="CN73" s="28"/>
      <c r="CO73" s="28"/>
      <c r="CP73" s="28"/>
      <c r="CQ73" s="28"/>
      <c r="CR73" s="28"/>
      <c r="CS73" s="28"/>
      <c r="CT73" s="28"/>
      <c r="CU73" s="28"/>
      <c r="CV73" s="28"/>
      <c r="CW73" s="28"/>
      <c r="CX73" s="28"/>
      <c r="CY73" s="28"/>
      <c r="CZ73" s="28"/>
      <c r="DA73" s="28"/>
      <c r="DB73" s="28"/>
      <c r="DC73" s="28"/>
      <c r="DD73" s="28"/>
      <c r="DE73" s="28"/>
      <c r="DF73" s="28"/>
      <c r="DG73" s="28"/>
      <c r="DH73" s="28"/>
      <c r="DI73" s="28"/>
      <c r="DJ73" s="28"/>
      <c r="DK73" s="28"/>
      <c r="DL73" s="28"/>
      <c r="DM73" s="28"/>
      <c r="DN73" s="28"/>
      <c r="DO73" s="28"/>
      <c r="DP73" s="28"/>
      <c r="DQ73" s="28"/>
      <c r="DR73" s="28"/>
      <c r="DS73" s="28"/>
      <c r="DT73" s="28"/>
      <c r="DU73" s="28"/>
      <c r="DV73" s="28"/>
      <c r="DW73" s="28"/>
      <c r="DX73" s="28"/>
      <c r="DY73" s="28"/>
      <c r="DZ73" s="28"/>
      <c r="EA73" s="28"/>
      <c r="EB73" s="28"/>
      <c r="EC73" s="28"/>
      <c r="ED73" s="28"/>
      <c r="EE73" s="28"/>
      <c r="EF73" s="28"/>
      <c r="EG73" s="28"/>
      <c r="EH73" s="28"/>
      <c r="EI73" s="28"/>
      <c r="EJ73" s="28"/>
      <c r="EK73" s="28"/>
      <c r="EL73" s="28"/>
      <c r="EM73" s="28"/>
      <c r="EN73" s="28"/>
      <c r="EO73" s="28"/>
      <c r="EP73" s="28"/>
      <c r="EQ73" s="28"/>
      <c r="ER73" s="28"/>
      <c r="ES73" s="28"/>
      <c r="ET73" s="28"/>
      <c r="EU73" s="28"/>
      <c r="EV73" s="28"/>
      <c r="EW73" s="28"/>
      <c r="EX73" s="28"/>
      <c r="EY73" s="28"/>
      <c r="EZ73" s="28"/>
      <c r="FA73" s="28"/>
      <c r="FB73" s="28"/>
      <c r="FC73" s="28"/>
      <c r="FD73" s="28"/>
      <c r="FE73" s="28"/>
      <c r="FF73" s="28"/>
      <c r="FG73" s="28"/>
      <c r="FH73" s="28"/>
      <c r="FI73" s="28"/>
      <c r="FJ73" s="28"/>
      <c r="FK73" s="28"/>
      <c r="FL73" s="28"/>
      <c r="FM73" s="28"/>
      <c r="FN73" s="28"/>
      <c r="FO73" s="28"/>
      <c r="FP73" s="28"/>
      <c r="FQ73" s="28"/>
      <c r="FR73" s="28"/>
      <c r="FS73" s="28"/>
      <c r="FT73" s="28"/>
      <c r="FU73" s="28"/>
      <c r="FV73" s="28"/>
      <c r="FW73" s="28"/>
      <c r="FX73" s="28"/>
      <c r="FY73" s="28"/>
      <c r="FZ73" s="28"/>
      <c r="GA73" s="28"/>
      <c r="GB73" s="28"/>
      <c r="GC73" s="28"/>
      <c r="GD73" s="28"/>
      <c r="GE73" s="28"/>
      <c r="GF73" s="28"/>
      <c r="GG73" s="28"/>
      <c r="GH73" s="28"/>
      <c r="GI73" s="28"/>
      <c r="GJ73" s="28"/>
      <c r="GK73" s="28"/>
      <c r="GL73" s="28"/>
      <c r="GM73" s="28"/>
      <c r="GN73" s="28"/>
      <c r="GO73" s="28"/>
      <c r="GP73" s="28"/>
      <c r="GQ73" s="28"/>
      <c r="GR73" s="28"/>
      <c r="GS73" s="28"/>
      <c r="GT73" s="28"/>
      <c r="GU73" s="28"/>
      <c r="GV73" s="28"/>
      <c r="GW73" s="28"/>
      <c r="GX73" s="28"/>
      <c r="GY73" s="28"/>
      <c r="GZ73" s="28"/>
      <c r="HA73" s="28"/>
      <c r="HB73" s="28"/>
      <c r="HC73" s="28"/>
      <c r="HD73" s="28"/>
      <c r="HE73" s="28"/>
      <c r="HF73" s="28"/>
      <c r="HG73" s="28"/>
      <c r="HH73" s="28"/>
      <c r="HI73" s="28"/>
      <c r="HJ73" s="28"/>
      <c r="HK73" s="28"/>
    </row>
    <row r="74" spans="1:219" ht="15" customHeight="1">
      <c r="A74" s="100">
        <v>1</v>
      </c>
      <c r="B74" s="132" t="str">
        <f>VLOOKUP(Ruimtestaat[[#This Row],[Code]],Locaties[[Code]:[Locatie]],2,FALSE)</f>
        <v>Mirtehuis</v>
      </c>
      <c r="C74" s="132" t="str">
        <f>VLOOKUP(Ruimtestaat[[#This Row],[Code]],Locaties[[#All],[Code]:[Adres]],4,FALSE)</f>
        <v>Weseperweg 6</v>
      </c>
      <c r="D74" s="132" t="str">
        <f>VLOOKUP(Ruimtestaat[[#This Row],[Code]],Locaties[[#All],[Code]:[Postcode]],5,FALSE)</f>
        <v>8111 PK</v>
      </c>
      <c r="E74" s="132" t="str">
        <f>VLOOKUP(Ruimtestaat[[#This Row],[Code]],Locaties[#All],6,FALSE)</f>
        <v>Heeten</v>
      </c>
      <c r="F74" s="100"/>
      <c r="G74" s="100" t="s">
        <v>1675</v>
      </c>
      <c r="H74" s="344"/>
      <c r="I74" s="345" t="s">
        <v>1650</v>
      </c>
      <c r="J74" s="49">
        <v>20</v>
      </c>
      <c r="K74" s="140" t="str">
        <f>VLOOKUP(Ruimtestaat[[#This Row],[Ruimte code]],Ruimtegroepen[[#All],[Code]:[Ruimte omschrijving]],2,FALSE)</f>
        <v>Niet in Onderhoud</v>
      </c>
      <c r="L74" s="100" t="s">
        <v>100</v>
      </c>
      <c r="M74" s="345" t="s">
        <v>1636</v>
      </c>
      <c r="N74" s="133"/>
      <c r="O74" s="139"/>
      <c r="P74" s="134">
        <f>VLOOKUP(Ruimtestaat[[#This Row],[Ruimte code]],Ruimtegroepen[],4,FALSE)</f>
        <v>0</v>
      </c>
      <c r="Q74" s="100"/>
      <c r="R74" s="100"/>
      <c r="S74" s="100">
        <f>IF(Q74&gt;0,IF(RIGHT(Ruimtestaat[[#This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4" s="100">
        <f>IF(S74&gt;0,VLOOKUP($J74,Ruimtegroepen[],3,FALSE)*VLOOKUP($L74,Vloersoorten[],3,FALSE)*VLOOKUP($R74,Frequenties[],3,FALSE)*VLOOKUP($A74,Locaties[],3,FALSE),0)</f>
        <v>0</v>
      </c>
      <c r="U74" s="100">
        <f>Ruimtestaat[[#This Row],[Uitvoeringen werkdagen]]*Ruimtestaat[[#This Row],[Oppervlak (netto)]]</f>
        <v>0</v>
      </c>
      <c r="V74" s="135">
        <f>IF(T74&gt;0,Ruimtestaat[[#This Row],[Prest. (m2 /jaar) werkdagen]]/Ruimtestaat[[#This Row],[Norm (m2/uur) werkdagen]],0)</f>
        <v>0</v>
      </c>
      <c r="W74" s="136">
        <f>Ruimtestaat[[#This Row],[uren / jaar werkdagen]]*Tariefsopbouw!$E$35</f>
        <v>0</v>
      </c>
      <c r="X74" s="100"/>
      <c r="Y74" s="100">
        <f>IF(Ruimtestaat[[#This Row],[Frequentie weekend]]&gt;0,VALUE(LEFT(X74,1))*Q74,0)</f>
        <v>0</v>
      </c>
      <c r="Z74" s="99">
        <f>IF($Y74&gt;0,VLOOKUP($J74,Ruimtegroepen[],3,FALSE)*VLOOKUP($L74,Vloersoorten[],3,FALSE)*VLOOKUP($X74,Frequenties[],3,FALSE)*VLOOKUP(Ruimtestaat[[#This Row],[Code]],Locaties[],3,FALSE),0)</f>
        <v>0</v>
      </c>
      <c r="AA74" s="99">
        <f>Ruimtestaat[[#This Row],[Uitvoeringen weekend]]*Ruimtestaat[[#This Row],[Oppervlak (netto)]]</f>
        <v>0</v>
      </c>
      <c r="AB74" s="99">
        <f>IF(Z74&gt;0,Ruimtestaat[[#This Row],[Prest. (m2 /jaar) weekend]]/Ruimtestaat[[#This Row],[Norm (m2/uur) weekend]],0)</f>
        <v>0</v>
      </c>
      <c r="AC74" s="136">
        <f>Ruimtestaat[[#This Row],[uren / jaar weekend]]*Tariefsopbouw!$D$40</f>
        <v>0</v>
      </c>
      <c r="AD74" s="135">
        <f>Ruimtestaat[[#This Row],[Prest. (m2 /jaar) weekend]]+Ruimtestaat[[#This Row],[Prest. (m2 /jaar) werkdagen]]</f>
        <v>0</v>
      </c>
      <c r="AE74" s="135">
        <f>Ruimtestaat[[#This Row],[uren / jaar weekend]]+Ruimtestaat[[#This Row],[uren / jaar werkdagen]]</f>
        <v>0</v>
      </c>
      <c r="AF74" s="130">
        <f>Ruimtestaat[[#This Row],[kosten / jaar weekend]]+Ruimtestaat[[#This Row],[kosten / jaar werkdagen]]</f>
        <v>0</v>
      </c>
      <c r="AG74" s="130"/>
      <c r="AH74" s="137" t="str">
        <f>IF(Ruimtestaat[[#This Row],[Frequentie werkdagen]]="","",_xlfn.CONCAT(Ruimtestaat[[#This Row],[Ruimte code]],"-",Ruimtestaat[[#This Row],[Frequentie werkdagen]]," ",Ruimtestaat[[#This Row],[Vloer code]]))</f>
        <v/>
      </c>
      <c r="AI74" s="142" t="str">
        <f>_xlfn.IFNA(VLOOKUP($AH74,Programma!$F$3:$G$1101,2,0),"")</f>
        <v/>
      </c>
      <c r="AJ74" s="142" t="str">
        <f>_xlfn.IFNA(VLOOKUP($AH74,Programma!$F$3:$H$1101,3,0),"")</f>
        <v/>
      </c>
      <c r="AK74" s="142" t="str">
        <f>_xlfn.IFNA(VLOOKUP($AH74,Programma!$F$3:$I$1101,4,0),"")</f>
        <v/>
      </c>
      <c r="AL74" s="142" t="str">
        <f>_xlfn.IFNA(VLOOKUP($AH74,Programma!$F$3:$J$1101,5,0),"")</f>
        <v/>
      </c>
      <c r="AM74" s="142" t="str">
        <f>_xlfn.IFNA(VLOOKUP($AH74,Programma!$F$3:$K$1101,6,0),"")</f>
        <v/>
      </c>
      <c r="AN74" s="142" t="str">
        <f>_xlfn.IFNA(VLOOKUP($AH74,Programma!$F$3:$L$1101,7,0),"")</f>
        <v/>
      </c>
      <c r="AO74" s="142" t="str">
        <f>_xlfn.IFNA(VLOOKUP($AH74,Programma!$F$3:$M$1101,8,0),"")</f>
        <v/>
      </c>
      <c r="AP74" s="142" t="str">
        <f>_xlfn.IFNA(VLOOKUP($AH74,Programma!$F$3:$N$1101,9,0),"")</f>
        <v/>
      </c>
      <c r="AQ74" s="142" t="str">
        <f>_xlfn.IFNA(VLOOKUP($AH74,Programma!$F$3:$O$1101,10,0),"")</f>
        <v/>
      </c>
      <c r="AR74" s="142" t="str">
        <f>_xlfn.IFNA(VLOOKUP($AH74,Programma!$F$3:$P$1101,11,0),"")</f>
        <v/>
      </c>
      <c r="AS74" s="142" t="str">
        <f>_xlfn.IFNA(VLOOKUP($AH74,Programma!$F$3:$Q$1101,12,0),"")</f>
        <v/>
      </c>
      <c r="AT74" s="142" t="str">
        <f>_xlfn.IFNA(VLOOKUP($AH74,Programma!$F$3:$R$1101,13,0),"")</f>
        <v/>
      </c>
      <c r="AU74" s="142" t="str">
        <f>_xlfn.IFNA(VLOOKUP($AH74,Programma!$F$3:$S$1101,14,0),"")</f>
        <v/>
      </c>
      <c r="AV74" s="142" t="str">
        <f>_xlfn.IFNA(VLOOKUP($AH74,Programma!$F$3:$T$1101,15,0),"")</f>
        <v/>
      </c>
      <c r="AW74" s="142" t="str">
        <f>_xlfn.IFNA(VLOOKUP($AH74,Programma!$F$3:$U$1101,16,0),"")</f>
        <v/>
      </c>
      <c r="AX74" s="142" t="str">
        <f>_xlfn.IFNA(VLOOKUP($AH74,Programma!$F$3:$V$1101,17,0),"")</f>
        <v/>
      </c>
      <c r="AY74" s="142" t="str">
        <f>_xlfn.IFNA(VLOOKUP($AH74,Programma!$F$3:$W$1101,18,0),"")</f>
        <v/>
      </c>
      <c r="AZ74" s="142" t="str">
        <f>_xlfn.IFNA(VLOOKUP($AH74,Programma!$F$3:$X$1101,19,0),"")</f>
        <v/>
      </c>
      <c r="BA74" s="142" t="str">
        <f>_xlfn.IFNA(VLOOKUP($AH74,Programma!$F$3:$Y$1101,20,0),"")</f>
        <v/>
      </c>
      <c r="BB74" s="138"/>
      <c r="BC74" s="137" t="str">
        <f>IF(Ruimtestaat[[#This Row],[Frequentie weekend]]="","",_xlfn.CONCAT(Ruimtestaat[[#This Row],[Ruimte code]],"-",Ruimtestaat[[#This Row],[Frequentie weekend]]," ",Ruimtestaat[[#This Row],[Vloer code]]))</f>
        <v/>
      </c>
      <c r="BD74" s="142" t="str">
        <f>_xlfn.IFNA(VLOOKUP($BC74,Programma!$F$3:$G$1101,2,0),"")</f>
        <v/>
      </c>
      <c r="BE74" s="142" t="str">
        <f>_xlfn.IFNA(VLOOKUP($BC74,Programma!$F$3:$H$1101,3,0),"")</f>
        <v/>
      </c>
      <c r="BF74" s="142" t="str">
        <f>_xlfn.IFNA(VLOOKUP($BC74,Programma!$F$3:$I$1101,4,0),"")</f>
        <v/>
      </c>
      <c r="BG74" s="142" t="str">
        <f>_xlfn.IFNA(VLOOKUP($BC74,Programma!$F$3:$J$1101,5,0),"")</f>
        <v/>
      </c>
      <c r="BH74" s="142" t="str">
        <f>_xlfn.IFNA(VLOOKUP($BC74,Programma!$F$3:$K$1101,6,0),"")</f>
        <v/>
      </c>
      <c r="BI74" s="142" t="str">
        <f>_xlfn.IFNA(VLOOKUP($BC74,Programma!$F$3:$L$1101,7,0),"")</f>
        <v/>
      </c>
      <c r="BJ74" s="142" t="str">
        <f>_xlfn.IFNA(VLOOKUP($BC74,Programma!$F$3:$M$1101,8,0),"")</f>
        <v/>
      </c>
      <c r="BK74" s="142" t="str">
        <f>_xlfn.IFNA(VLOOKUP($BC74,Programma!$F$3:$N$1101,9,0),"")</f>
        <v/>
      </c>
      <c r="BL74" s="142" t="str">
        <f>_xlfn.IFNA(VLOOKUP($BC74,Programma!$F$3:$O$1101,10,0),"")</f>
        <v/>
      </c>
      <c r="BM74" s="142" t="str">
        <f>_xlfn.IFNA(VLOOKUP($BC74,Programma!$F$3:$P$1101,11,0),"")</f>
        <v/>
      </c>
      <c r="BN74" s="142" t="str">
        <f>_xlfn.IFNA(VLOOKUP($BC74,Programma!$F$3:$Q$1101,12,0),"")</f>
        <v/>
      </c>
      <c r="BO74" s="142" t="str">
        <f>_xlfn.IFNA(VLOOKUP($BC74,Programma!$F$3:$R$1101,13,0),"")</f>
        <v/>
      </c>
      <c r="BP74" s="142" t="str">
        <f>_xlfn.IFNA(VLOOKUP($BC74,Programma!$F$3:$S$1101,14,0),"")</f>
        <v/>
      </c>
      <c r="BQ74" s="142" t="str">
        <f>_xlfn.IFNA(VLOOKUP($BC74,Programma!$F$3:$T$1101,15,0),"")</f>
        <v/>
      </c>
      <c r="BR74" s="142" t="str">
        <f>_xlfn.IFNA(VLOOKUP($BC74,Programma!$F$3:$U$1101,16,0),"")</f>
        <v/>
      </c>
      <c r="BS74" s="142" t="str">
        <f>_xlfn.IFNA(VLOOKUP($BC74,Programma!$F$3:$V$1101,17,0),"")</f>
        <v/>
      </c>
      <c r="BT74" s="142" t="str">
        <f>_xlfn.IFNA(VLOOKUP($BC74,Programma!$F$3:$W$1101,18,0),"")</f>
        <v/>
      </c>
      <c r="BU74" s="142" t="str">
        <f>_xlfn.IFNA(VLOOKUP($BC74,Programma!$F$3:$X$1101,19,0),"")</f>
        <v/>
      </c>
      <c r="BV74" s="142" t="str">
        <f>_xlfn.IFNA(VLOOKUP($BC74,Programma!$F$3:$Y$1101,20,0),"")</f>
        <v/>
      </c>
      <c r="BW74" s="28"/>
      <c r="BX74" s="28"/>
      <c r="BY74" s="28"/>
      <c r="BZ74" s="28"/>
      <c r="CA74" s="28"/>
      <c r="CB74" s="28"/>
      <c r="CC74" s="28"/>
      <c r="CD74" s="28"/>
      <c r="CE74" s="28"/>
      <c r="CF74" s="28"/>
      <c r="CG74" s="28"/>
      <c r="CH74" s="28"/>
      <c r="CI74" s="28"/>
      <c r="CJ74" s="28"/>
      <c r="CK74" s="28"/>
      <c r="CL74" s="28"/>
      <c r="CM74" s="28"/>
      <c r="CN74" s="28"/>
      <c r="CO74" s="28"/>
      <c r="CP74" s="28"/>
      <c r="CQ74" s="28"/>
      <c r="CR74" s="28"/>
      <c r="CS74" s="28"/>
      <c r="CT74" s="28"/>
      <c r="CU74" s="28"/>
      <c r="CV74" s="28"/>
      <c r="CW74" s="28"/>
      <c r="CX74" s="28"/>
      <c r="CY74" s="28"/>
      <c r="CZ74" s="28"/>
      <c r="DA74" s="28"/>
      <c r="DB74" s="28"/>
      <c r="DC74" s="28"/>
      <c r="DD74" s="28"/>
      <c r="DE74" s="28"/>
      <c r="DF74" s="28"/>
      <c r="DG74" s="28"/>
      <c r="DH74" s="28"/>
      <c r="DI74" s="28"/>
      <c r="DJ74" s="28"/>
      <c r="DK74" s="28"/>
      <c r="DL74" s="28"/>
      <c r="DM74" s="28"/>
      <c r="DN74" s="28"/>
      <c r="DO74" s="28"/>
      <c r="DP74" s="28"/>
      <c r="DQ74" s="28"/>
      <c r="DR74" s="28"/>
      <c r="DS74" s="28"/>
      <c r="DT74" s="28"/>
      <c r="DU74" s="28"/>
      <c r="DV74" s="28"/>
      <c r="DW74" s="28"/>
      <c r="DX74" s="28"/>
      <c r="DY74" s="28"/>
      <c r="DZ74" s="28"/>
      <c r="EA74" s="28"/>
      <c r="EB74" s="28"/>
      <c r="EC74" s="28"/>
      <c r="ED74" s="28"/>
      <c r="EE74" s="28"/>
      <c r="EF74" s="28"/>
      <c r="EG74" s="28"/>
      <c r="EH74" s="28"/>
      <c r="EI74" s="28"/>
      <c r="EJ74" s="28"/>
      <c r="EK74" s="28"/>
      <c r="EL74" s="28"/>
      <c r="EM74" s="28"/>
      <c r="EN74" s="28"/>
      <c r="EO74" s="28"/>
      <c r="EP74" s="28"/>
      <c r="EQ74" s="28"/>
      <c r="ER74" s="28"/>
      <c r="ES74" s="28"/>
      <c r="ET74" s="28"/>
      <c r="EU74" s="28"/>
      <c r="EV74" s="28"/>
      <c r="EW74" s="28"/>
      <c r="EX74" s="28"/>
      <c r="EY74" s="28"/>
      <c r="EZ74" s="28"/>
      <c r="FA74" s="28"/>
      <c r="FB74" s="28"/>
      <c r="FC74" s="28"/>
      <c r="FD74" s="28"/>
      <c r="FE74" s="28"/>
      <c r="FF74" s="28"/>
      <c r="FG74" s="28"/>
      <c r="FH74" s="28"/>
      <c r="FI74" s="28"/>
      <c r="FJ74" s="28"/>
      <c r="FK74" s="28"/>
      <c r="FL74" s="28"/>
      <c r="FM74" s="28"/>
      <c r="FN74" s="28"/>
      <c r="FO74" s="28"/>
      <c r="FP74" s="28"/>
      <c r="FQ74" s="28"/>
      <c r="FR74" s="28"/>
      <c r="FS74" s="28"/>
      <c r="FT74" s="28"/>
      <c r="FU74" s="28"/>
      <c r="FV74" s="28"/>
      <c r="FW74" s="28"/>
      <c r="FX74" s="28"/>
      <c r="FY74" s="28"/>
      <c r="FZ74" s="28"/>
      <c r="GA74" s="28"/>
      <c r="GB74" s="28"/>
      <c r="GC74" s="28"/>
      <c r="GD74" s="28"/>
      <c r="GE74" s="28"/>
      <c r="GF74" s="28"/>
      <c r="GG74" s="28"/>
      <c r="GH74" s="28"/>
      <c r="GI74" s="28"/>
      <c r="GJ74" s="28"/>
      <c r="GK74" s="28"/>
      <c r="GL74" s="28"/>
      <c r="GM74" s="28"/>
      <c r="GN74" s="28"/>
      <c r="GO74" s="28"/>
      <c r="GP74" s="28"/>
      <c r="GQ74" s="28"/>
      <c r="GR74" s="28"/>
      <c r="GS74" s="28"/>
      <c r="GT74" s="28"/>
      <c r="GU74" s="28"/>
      <c r="GV74" s="28"/>
      <c r="GW74" s="28"/>
      <c r="GX74" s="28"/>
      <c r="GY74" s="28"/>
      <c r="GZ74" s="28"/>
      <c r="HA74" s="28"/>
      <c r="HB74" s="28"/>
      <c r="HC74" s="28"/>
      <c r="HD74" s="28"/>
      <c r="HE74" s="28"/>
      <c r="HF74" s="28"/>
      <c r="HG74" s="28"/>
      <c r="HH74" s="28"/>
      <c r="HI74" s="28"/>
      <c r="HJ74" s="28"/>
      <c r="HK74" s="28"/>
    </row>
    <row r="75" spans="1:219" ht="15" customHeight="1">
      <c r="A75" s="100">
        <v>1</v>
      </c>
      <c r="B75" s="132" t="str">
        <f>VLOOKUP(Ruimtestaat[[#This Row],[Code]],Locaties[[Code]:[Locatie]],2,FALSE)</f>
        <v>Mirtehuis</v>
      </c>
      <c r="C75" s="132" t="str">
        <f>VLOOKUP(Ruimtestaat[[#This Row],[Code]],Locaties[[#All],[Code]:[Adres]],4,FALSE)</f>
        <v>Weseperweg 6</v>
      </c>
      <c r="D75" s="132" t="str">
        <f>VLOOKUP(Ruimtestaat[[#This Row],[Code]],Locaties[[#All],[Code]:[Postcode]],5,FALSE)</f>
        <v>8111 PK</v>
      </c>
      <c r="E75" s="132" t="str">
        <f>VLOOKUP(Ruimtestaat[[#This Row],[Code]],Locaties[#All],6,FALSE)</f>
        <v>Heeten</v>
      </c>
      <c r="F75" s="100"/>
      <c r="G75" s="100" t="s">
        <v>1675</v>
      </c>
      <c r="H75" s="344" t="s">
        <v>1669</v>
      </c>
      <c r="I75" s="345" t="s">
        <v>1656</v>
      </c>
      <c r="J75" s="49">
        <v>20</v>
      </c>
      <c r="K75" s="140" t="str">
        <f>VLOOKUP(Ruimtestaat[[#This Row],[Ruimte code]],Ruimtegroepen[[#All],[Code]:[Ruimte omschrijving]],2,FALSE)</f>
        <v>Niet in Onderhoud</v>
      </c>
      <c r="L75" s="100" t="s">
        <v>100</v>
      </c>
      <c r="M75" s="345" t="s">
        <v>1636</v>
      </c>
      <c r="N75" s="133"/>
      <c r="O75" s="139"/>
      <c r="P75" s="134">
        <f>VLOOKUP(Ruimtestaat[[#This Row],[Ruimte code]],Ruimtegroepen[],4,FALSE)</f>
        <v>0</v>
      </c>
      <c r="Q75" s="100"/>
      <c r="R75" s="100"/>
      <c r="S75" s="100">
        <f>IF(Q75&gt;0,IF(RIGHT(Ruimtestaat[[#This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5" s="100">
        <f>IF(S75&gt;0,VLOOKUP($J75,Ruimtegroepen[],3,FALSE)*VLOOKUP($L75,Vloersoorten[],3,FALSE)*VLOOKUP($R75,Frequenties[],3,FALSE)*VLOOKUP($A75,Locaties[],3,FALSE),0)</f>
        <v>0</v>
      </c>
      <c r="U75" s="100">
        <f>Ruimtestaat[[#This Row],[Uitvoeringen werkdagen]]*Ruimtestaat[[#This Row],[Oppervlak (netto)]]</f>
        <v>0</v>
      </c>
      <c r="V75" s="135">
        <f>IF(T75&gt;0,Ruimtestaat[[#This Row],[Prest. (m2 /jaar) werkdagen]]/Ruimtestaat[[#This Row],[Norm (m2/uur) werkdagen]],0)</f>
        <v>0</v>
      </c>
      <c r="W75" s="136">
        <f>Ruimtestaat[[#This Row],[uren / jaar werkdagen]]*Tariefsopbouw!$E$35</f>
        <v>0</v>
      </c>
      <c r="X75" s="100"/>
      <c r="Y75" s="100">
        <f>IF(Ruimtestaat[[#This Row],[Frequentie weekend]]&gt;0,VALUE(LEFT(X75,1))*Q75,0)</f>
        <v>0</v>
      </c>
      <c r="Z75" s="99">
        <f>IF($Y75&gt;0,VLOOKUP($J75,Ruimtegroepen[],3,FALSE)*VLOOKUP($L75,Vloersoorten[],3,FALSE)*VLOOKUP($X75,Frequenties[],3,FALSE)*VLOOKUP(Ruimtestaat[[#This Row],[Code]],Locaties[],3,FALSE),0)</f>
        <v>0</v>
      </c>
      <c r="AA75" s="99">
        <f>Ruimtestaat[[#This Row],[Uitvoeringen weekend]]*Ruimtestaat[[#This Row],[Oppervlak (netto)]]</f>
        <v>0</v>
      </c>
      <c r="AB75" s="99">
        <f>IF(Z75&gt;0,Ruimtestaat[[#This Row],[Prest. (m2 /jaar) weekend]]/Ruimtestaat[[#This Row],[Norm (m2/uur) weekend]],0)</f>
        <v>0</v>
      </c>
      <c r="AC75" s="136">
        <f>Ruimtestaat[[#This Row],[uren / jaar weekend]]*Tariefsopbouw!$D$40</f>
        <v>0</v>
      </c>
      <c r="AD75" s="135">
        <f>Ruimtestaat[[#This Row],[Prest. (m2 /jaar) weekend]]+Ruimtestaat[[#This Row],[Prest. (m2 /jaar) werkdagen]]</f>
        <v>0</v>
      </c>
      <c r="AE75" s="135">
        <f>Ruimtestaat[[#This Row],[uren / jaar weekend]]+Ruimtestaat[[#This Row],[uren / jaar werkdagen]]</f>
        <v>0</v>
      </c>
      <c r="AF75" s="130">
        <f>Ruimtestaat[[#This Row],[kosten / jaar weekend]]+Ruimtestaat[[#This Row],[kosten / jaar werkdagen]]</f>
        <v>0</v>
      </c>
      <c r="AG75" s="130"/>
      <c r="AH75" s="137" t="str">
        <f>IF(Ruimtestaat[[#This Row],[Frequentie werkdagen]]="","",_xlfn.CONCAT(Ruimtestaat[[#This Row],[Ruimte code]],"-",Ruimtestaat[[#This Row],[Frequentie werkdagen]]," ",Ruimtestaat[[#This Row],[Vloer code]]))</f>
        <v/>
      </c>
      <c r="AI75" s="142" t="str">
        <f>_xlfn.IFNA(VLOOKUP($AH75,Programma!$F$3:$G$1101,2,0),"")</f>
        <v/>
      </c>
      <c r="AJ75" s="142" t="str">
        <f>_xlfn.IFNA(VLOOKUP($AH75,Programma!$F$3:$H$1101,3,0),"")</f>
        <v/>
      </c>
      <c r="AK75" s="142" t="str">
        <f>_xlfn.IFNA(VLOOKUP($AH75,Programma!$F$3:$I$1101,4,0),"")</f>
        <v/>
      </c>
      <c r="AL75" s="142" t="str">
        <f>_xlfn.IFNA(VLOOKUP($AH75,Programma!$F$3:$J$1101,5,0),"")</f>
        <v/>
      </c>
      <c r="AM75" s="142" t="str">
        <f>_xlfn.IFNA(VLOOKUP($AH75,Programma!$F$3:$K$1101,6,0),"")</f>
        <v/>
      </c>
      <c r="AN75" s="142" t="str">
        <f>_xlfn.IFNA(VLOOKUP($AH75,Programma!$F$3:$L$1101,7,0),"")</f>
        <v/>
      </c>
      <c r="AO75" s="142" t="str">
        <f>_xlfn.IFNA(VLOOKUP($AH75,Programma!$F$3:$M$1101,8,0),"")</f>
        <v/>
      </c>
      <c r="AP75" s="142" t="str">
        <f>_xlfn.IFNA(VLOOKUP($AH75,Programma!$F$3:$N$1101,9,0),"")</f>
        <v/>
      </c>
      <c r="AQ75" s="142" t="str">
        <f>_xlfn.IFNA(VLOOKUP($AH75,Programma!$F$3:$O$1101,10,0),"")</f>
        <v/>
      </c>
      <c r="AR75" s="142" t="str">
        <f>_xlfn.IFNA(VLOOKUP($AH75,Programma!$F$3:$P$1101,11,0),"")</f>
        <v/>
      </c>
      <c r="AS75" s="142" t="str">
        <f>_xlfn.IFNA(VLOOKUP($AH75,Programma!$F$3:$Q$1101,12,0),"")</f>
        <v/>
      </c>
      <c r="AT75" s="142" t="str">
        <f>_xlfn.IFNA(VLOOKUP($AH75,Programma!$F$3:$R$1101,13,0),"")</f>
        <v/>
      </c>
      <c r="AU75" s="142" t="str">
        <f>_xlfn.IFNA(VLOOKUP($AH75,Programma!$F$3:$S$1101,14,0),"")</f>
        <v/>
      </c>
      <c r="AV75" s="142" t="str">
        <f>_xlfn.IFNA(VLOOKUP($AH75,Programma!$F$3:$T$1101,15,0),"")</f>
        <v/>
      </c>
      <c r="AW75" s="142" t="str">
        <f>_xlfn.IFNA(VLOOKUP($AH75,Programma!$F$3:$U$1101,16,0),"")</f>
        <v/>
      </c>
      <c r="AX75" s="142" t="str">
        <f>_xlfn.IFNA(VLOOKUP($AH75,Programma!$F$3:$V$1101,17,0),"")</f>
        <v/>
      </c>
      <c r="AY75" s="142" t="str">
        <f>_xlfn.IFNA(VLOOKUP($AH75,Programma!$F$3:$W$1101,18,0),"")</f>
        <v/>
      </c>
      <c r="AZ75" s="142" t="str">
        <f>_xlfn.IFNA(VLOOKUP($AH75,Programma!$F$3:$X$1101,19,0),"")</f>
        <v/>
      </c>
      <c r="BA75" s="142" t="str">
        <f>_xlfn.IFNA(VLOOKUP($AH75,Programma!$F$3:$Y$1101,20,0),"")</f>
        <v/>
      </c>
      <c r="BB75" s="138"/>
      <c r="BC75" s="137" t="str">
        <f>IF(Ruimtestaat[[#This Row],[Frequentie weekend]]="","",_xlfn.CONCAT(Ruimtestaat[[#This Row],[Ruimte code]],"-",Ruimtestaat[[#This Row],[Frequentie weekend]]," ",Ruimtestaat[[#This Row],[Vloer code]]))</f>
        <v/>
      </c>
      <c r="BD75" s="142" t="str">
        <f>_xlfn.IFNA(VLOOKUP($BC75,Programma!$F$3:$G$1101,2,0),"")</f>
        <v/>
      </c>
      <c r="BE75" s="142" t="str">
        <f>_xlfn.IFNA(VLOOKUP($BC75,Programma!$F$3:$H$1101,3,0),"")</f>
        <v/>
      </c>
      <c r="BF75" s="142" t="str">
        <f>_xlfn.IFNA(VLOOKUP($BC75,Programma!$F$3:$I$1101,4,0),"")</f>
        <v/>
      </c>
      <c r="BG75" s="142" t="str">
        <f>_xlfn.IFNA(VLOOKUP($BC75,Programma!$F$3:$J$1101,5,0),"")</f>
        <v/>
      </c>
      <c r="BH75" s="142" t="str">
        <f>_xlfn.IFNA(VLOOKUP($BC75,Programma!$F$3:$K$1101,6,0),"")</f>
        <v/>
      </c>
      <c r="BI75" s="142" t="str">
        <f>_xlfn.IFNA(VLOOKUP($BC75,Programma!$F$3:$L$1101,7,0),"")</f>
        <v/>
      </c>
      <c r="BJ75" s="142" t="str">
        <f>_xlfn.IFNA(VLOOKUP($BC75,Programma!$F$3:$M$1101,8,0),"")</f>
        <v/>
      </c>
      <c r="BK75" s="142" t="str">
        <f>_xlfn.IFNA(VLOOKUP($BC75,Programma!$F$3:$N$1101,9,0),"")</f>
        <v/>
      </c>
      <c r="BL75" s="142" t="str">
        <f>_xlfn.IFNA(VLOOKUP($BC75,Programma!$F$3:$O$1101,10,0),"")</f>
        <v/>
      </c>
      <c r="BM75" s="142" t="str">
        <f>_xlfn.IFNA(VLOOKUP($BC75,Programma!$F$3:$P$1101,11,0),"")</f>
        <v/>
      </c>
      <c r="BN75" s="142" t="str">
        <f>_xlfn.IFNA(VLOOKUP($BC75,Programma!$F$3:$Q$1101,12,0),"")</f>
        <v/>
      </c>
      <c r="BO75" s="142" t="str">
        <f>_xlfn.IFNA(VLOOKUP($BC75,Programma!$F$3:$R$1101,13,0),"")</f>
        <v/>
      </c>
      <c r="BP75" s="142" t="str">
        <f>_xlfn.IFNA(VLOOKUP($BC75,Programma!$F$3:$S$1101,14,0),"")</f>
        <v/>
      </c>
      <c r="BQ75" s="142" t="str">
        <f>_xlfn.IFNA(VLOOKUP($BC75,Programma!$F$3:$T$1101,15,0),"")</f>
        <v/>
      </c>
      <c r="BR75" s="142" t="str">
        <f>_xlfn.IFNA(VLOOKUP($BC75,Programma!$F$3:$U$1101,16,0),"")</f>
        <v/>
      </c>
      <c r="BS75" s="142" t="str">
        <f>_xlfn.IFNA(VLOOKUP($BC75,Programma!$F$3:$V$1101,17,0),"")</f>
        <v/>
      </c>
      <c r="BT75" s="142" t="str">
        <f>_xlfn.IFNA(VLOOKUP($BC75,Programma!$F$3:$W$1101,18,0),"")</f>
        <v/>
      </c>
      <c r="BU75" s="142" t="str">
        <f>_xlfn.IFNA(VLOOKUP($BC75,Programma!$F$3:$X$1101,19,0),"")</f>
        <v/>
      </c>
      <c r="BV75" s="142" t="str">
        <f>_xlfn.IFNA(VLOOKUP($BC75,Programma!$F$3:$Y$1101,20,0),"")</f>
        <v/>
      </c>
      <c r="BW75" s="28"/>
      <c r="BX75" s="28"/>
      <c r="BY75" s="28"/>
      <c r="BZ75" s="28"/>
      <c r="CA75" s="28"/>
      <c r="CB75" s="28"/>
      <c r="CC75" s="28"/>
      <c r="CD75" s="28"/>
      <c r="CE75" s="28"/>
      <c r="CF75" s="28"/>
      <c r="CG75" s="28"/>
      <c r="CH75" s="28"/>
      <c r="CI75" s="28"/>
      <c r="CJ75" s="28"/>
      <c r="CK75" s="28"/>
      <c r="CL75" s="28"/>
      <c r="CM75" s="28"/>
      <c r="CN75" s="28"/>
      <c r="CO75" s="28"/>
      <c r="CP75" s="28"/>
      <c r="CQ75" s="28"/>
      <c r="CR75" s="28"/>
      <c r="CS75" s="28"/>
      <c r="CT75" s="28"/>
      <c r="CU75" s="28"/>
      <c r="CV75" s="28"/>
      <c r="CW75" s="28"/>
      <c r="CX75" s="28"/>
      <c r="CY75" s="28"/>
      <c r="CZ75" s="28"/>
      <c r="DA75" s="28"/>
      <c r="DB75" s="28"/>
      <c r="DC75" s="28"/>
      <c r="DD75" s="28"/>
      <c r="DE75" s="28"/>
      <c r="DF75" s="28"/>
      <c r="DG75" s="28"/>
      <c r="DH75" s="28"/>
      <c r="DI75" s="28"/>
      <c r="DJ75" s="28"/>
      <c r="DK75" s="28"/>
      <c r="DL75" s="28"/>
      <c r="DM75" s="28"/>
      <c r="DN75" s="28"/>
      <c r="DO75" s="28"/>
      <c r="DP75" s="28"/>
      <c r="DQ75" s="28"/>
      <c r="DR75" s="28"/>
      <c r="DS75" s="28"/>
      <c r="DT75" s="28"/>
      <c r="DU75" s="28"/>
      <c r="DV75" s="28"/>
      <c r="DW75" s="28"/>
      <c r="DX75" s="28"/>
      <c r="DY75" s="28"/>
      <c r="DZ75" s="28"/>
      <c r="EA75" s="28"/>
      <c r="EB75" s="28"/>
      <c r="EC75" s="28"/>
      <c r="ED75" s="28"/>
      <c r="EE75" s="28"/>
      <c r="EF75" s="28"/>
      <c r="EG75" s="28"/>
      <c r="EH75" s="28"/>
      <c r="EI75" s="28"/>
      <c r="EJ75" s="28"/>
      <c r="EK75" s="28"/>
      <c r="EL75" s="28"/>
      <c r="EM75" s="28"/>
      <c r="EN75" s="28"/>
      <c r="EO75" s="28"/>
      <c r="EP75" s="28"/>
      <c r="EQ75" s="28"/>
      <c r="ER75" s="28"/>
      <c r="ES75" s="28"/>
      <c r="ET75" s="28"/>
      <c r="EU75" s="28"/>
      <c r="EV75" s="28"/>
      <c r="EW75" s="28"/>
      <c r="EX75" s="28"/>
      <c r="EY75" s="28"/>
      <c r="EZ75" s="28"/>
      <c r="FA75" s="28"/>
      <c r="FB75" s="28"/>
      <c r="FC75" s="28"/>
      <c r="FD75" s="28"/>
      <c r="FE75" s="28"/>
      <c r="FF75" s="28"/>
      <c r="FG75" s="28"/>
      <c r="FH75" s="28"/>
      <c r="FI75" s="28"/>
      <c r="FJ75" s="28"/>
      <c r="FK75" s="28"/>
      <c r="FL75" s="28"/>
      <c r="FM75" s="28"/>
      <c r="FN75" s="28"/>
      <c r="FO75" s="28"/>
      <c r="FP75" s="28"/>
      <c r="FQ75" s="28"/>
      <c r="FR75" s="28"/>
      <c r="FS75" s="28"/>
      <c r="FT75" s="28"/>
      <c r="FU75" s="28"/>
      <c r="FV75" s="28"/>
      <c r="FW75" s="28"/>
      <c r="FX75" s="28"/>
      <c r="FY75" s="28"/>
      <c r="FZ75" s="28"/>
      <c r="GA75" s="28"/>
      <c r="GB75" s="28"/>
      <c r="GC75" s="28"/>
      <c r="GD75" s="28"/>
      <c r="GE75" s="28"/>
      <c r="GF75" s="28"/>
      <c r="GG75" s="28"/>
      <c r="GH75" s="28"/>
      <c r="GI75" s="28"/>
      <c r="GJ75" s="28"/>
      <c r="GK75" s="28"/>
      <c r="GL75" s="28"/>
      <c r="GM75" s="28"/>
      <c r="GN75" s="28"/>
      <c r="GO75" s="28"/>
      <c r="GP75" s="28"/>
      <c r="GQ75" s="28"/>
      <c r="GR75" s="28"/>
      <c r="GS75" s="28"/>
      <c r="GT75" s="28"/>
      <c r="GU75" s="28"/>
      <c r="GV75" s="28"/>
      <c r="GW75" s="28"/>
      <c r="GX75" s="28"/>
      <c r="GY75" s="28"/>
      <c r="GZ75" s="28"/>
      <c r="HA75" s="28"/>
      <c r="HB75" s="28"/>
      <c r="HC75" s="28"/>
      <c r="HD75" s="28"/>
      <c r="HE75" s="28"/>
      <c r="HF75" s="28"/>
      <c r="HG75" s="28"/>
      <c r="HH75" s="28"/>
      <c r="HI75" s="28"/>
      <c r="HJ75" s="28"/>
      <c r="HK75" s="28"/>
    </row>
    <row r="76" spans="1:219" ht="15" customHeight="1">
      <c r="A76" s="100">
        <v>1</v>
      </c>
      <c r="B76" s="132" t="str">
        <f>VLOOKUP(Ruimtestaat[[#This Row],[Code]],Locaties[[Code]:[Locatie]],2,FALSE)</f>
        <v>Mirtehuis</v>
      </c>
      <c r="C76" s="132" t="str">
        <f>VLOOKUP(Ruimtestaat[[#This Row],[Code]],Locaties[[#All],[Code]:[Adres]],4,FALSE)</f>
        <v>Weseperweg 6</v>
      </c>
      <c r="D76" s="132" t="str">
        <f>VLOOKUP(Ruimtestaat[[#This Row],[Code]],Locaties[[#All],[Code]:[Postcode]],5,FALSE)</f>
        <v>8111 PK</v>
      </c>
      <c r="E76" s="132" t="str">
        <f>VLOOKUP(Ruimtestaat[[#This Row],[Code]],Locaties[#All],6,FALSE)</f>
        <v>Heeten</v>
      </c>
      <c r="F76" s="100"/>
      <c r="G76" s="100" t="s">
        <v>1675</v>
      </c>
      <c r="H76" s="344"/>
      <c r="I76" s="345" t="s">
        <v>1641</v>
      </c>
      <c r="J76" s="49">
        <v>20</v>
      </c>
      <c r="K76" s="140" t="str">
        <f>VLOOKUP(Ruimtestaat[[#This Row],[Ruimte code]],Ruimtegroepen[[#All],[Code]:[Ruimte omschrijving]],2,FALSE)</f>
        <v>Niet in Onderhoud</v>
      </c>
      <c r="L76" s="100" t="s">
        <v>101</v>
      </c>
      <c r="M76" s="345" t="s">
        <v>1642</v>
      </c>
      <c r="N76" s="133"/>
      <c r="O76" s="100"/>
      <c r="P76" s="134">
        <f>VLOOKUP(Ruimtestaat[[#This Row],[Ruimte code]],Ruimtegroepen[],4,FALSE)</f>
        <v>0</v>
      </c>
      <c r="Q76" s="100"/>
      <c r="R76" s="100"/>
      <c r="S76" s="100">
        <f>IF(Q76&gt;0,IF(RIGHT(Ruimtestaat[[#This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6" s="100">
        <f>IF(S76&gt;0,VLOOKUP($J76,Ruimtegroepen[],3,FALSE)*VLOOKUP($L76,Vloersoorten[],3,FALSE)*VLOOKUP($R76,Frequenties[],3,FALSE)*VLOOKUP($A76,Locaties[],3,FALSE),0)</f>
        <v>0</v>
      </c>
      <c r="U76" s="100">
        <f>Ruimtestaat[[#This Row],[Uitvoeringen werkdagen]]*Ruimtestaat[[#This Row],[Oppervlak (netto)]]</f>
        <v>0</v>
      </c>
      <c r="V76" s="135">
        <f>IF(T76&gt;0,Ruimtestaat[[#This Row],[Prest. (m2 /jaar) werkdagen]]/Ruimtestaat[[#This Row],[Norm (m2/uur) werkdagen]],0)</f>
        <v>0</v>
      </c>
      <c r="W76" s="136">
        <f>Ruimtestaat[[#This Row],[uren / jaar werkdagen]]*Tariefsopbouw!$E$35</f>
        <v>0</v>
      </c>
      <c r="X76" s="100"/>
      <c r="Y76" s="100">
        <f>IF(Ruimtestaat[[#This Row],[Frequentie weekend]]&gt;0,VALUE(LEFT(X76,1))*Q76,0)</f>
        <v>0</v>
      </c>
      <c r="Z76" s="99">
        <f>IF($Y76&gt;0,VLOOKUP($J76,Ruimtegroepen[],3,FALSE)*VLOOKUP($L76,Vloersoorten[],3,FALSE)*VLOOKUP($X76,Frequenties[],3,FALSE)*VLOOKUP(Ruimtestaat[[#This Row],[Code]],Locaties[],3,FALSE),0)</f>
        <v>0</v>
      </c>
      <c r="AA76" s="99">
        <f>Ruimtestaat[[#This Row],[Uitvoeringen weekend]]*Ruimtestaat[[#This Row],[Oppervlak (netto)]]</f>
        <v>0</v>
      </c>
      <c r="AB76" s="99">
        <f>IF(Z76&gt;0,Ruimtestaat[[#This Row],[Prest. (m2 /jaar) weekend]]/Ruimtestaat[[#This Row],[Norm (m2/uur) weekend]],0)</f>
        <v>0</v>
      </c>
      <c r="AC76" s="136">
        <f>Ruimtestaat[[#This Row],[uren / jaar weekend]]*Tariefsopbouw!$D$40</f>
        <v>0</v>
      </c>
      <c r="AD76" s="135">
        <f>Ruimtestaat[[#This Row],[Prest. (m2 /jaar) weekend]]+Ruimtestaat[[#This Row],[Prest. (m2 /jaar) werkdagen]]</f>
        <v>0</v>
      </c>
      <c r="AE76" s="135">
        <f>Ruimtestaat[[#This Row],[uren / jaar weekend]]+Ruimtestaat[[#This Row],[uren / jaar werkdagen]]</f>
        <v>0</v>
      </c>
      <c r="AF76" s="130">
        <f>Ruimtestaat[[#This Row],[kosten / jaar weekend]]+Ruimtestaat[[#This Row],[kosten / jaar werkdagen]]</f>
        <v>0</v>
      </c>
      <c r="AG76" s="130"/>
      <c r="AH76" s="137" t="str">
        <f>IF(Ruimtestaat[[#This Row],[Frequentie werkdagen]]="","",_xlfn.CONCAT(Ruimtestaat[[#This Row],[Ruimte code]],"-",Ruimtestaat[[#This Row],[Frequentie werkdagen]]," ",Ruimtestaat[[#This Row],[Vloer code]]))</f>
        <v/>
      </c>
      <c r="AI76" s="142" t="str">
        <f>_xlfn.IFNA(VLOOKUP($AH76,Programma!$F$3:$G$1101,2,0),"")</f>
        <v/>
      </c>
      <c r="AJ76" s="142" t="str">
        <f>_xlfn.IFNA(VLOOKUP($AH76,Programma!$F$3:$H$1101,3,0),"")</f>
        <v/>
      </c>
      <c r="AK76" s="142" t="str">
        <f>_xlfn.IFNA(VLOOKUP($AH76,Programma!$F$3:$I$1101,4,0),"")</f>
        <v/>
      </c>
      <c r="AL76" s="142" t="str">
        <f>_xlfn.IFNA(VLOOKUP($AH76,Programma!$F$3:$J$1101,5,0),"")</f>
        <v/>
      </c>
      <c r="AM76" s="142" t="str">
        <f>_xlfn.IFNA(VLOOKUP($AH76,Programma!$F$3:$K$1101,6,0),"")</f>
        <v/>
      </c>
      <c r="AN76" s="142" t="str">
        <f>_xlfn.IFNA(VLOOKUP($AH76,Programma!$F$3:$L$1101,7,0),"")</f>
        <v/>
      </c>
      <c r="AO76" s="142" t="str">
        <f>_xlfn.IFNA(VLOOKUP($AH76,Programma!$F$3:$M$1101,8,0),"")</f>
        <v/>
      </c>
      <c r="AP76" s="142" t="str">
        <f>_xlfn.IFNA(VLOOKUP($AH76,Programma!$F$3:$N$1101,9,0),"")</f>
        <v/>
      </c>
      <c r="AQ76" s="142" t="str">
        <f>_xlfn.IFNA(VLOOKUP($AH76,Programma!$F$3:$O$1101,10,0),"")</f>
        <v/>
      </c>
      <c r="AR76" s="142" t="str">
        <f>_xlfn.IFNA(VLOOKUP($AH76,Programma!$F$3:$P$1101,11,0),"")</f>
        <v/>
      </c>
      <c r="AS76" s="142" t="str">
        <f>_xlfn.IFNA(VLOOKUP($AH76,Programma!$F$3:$Q$1101,12,0),"")</f>
        <v/>
      </c>
      <c r="AT76" s="142" t="str">
        <f>_xlfn.IFNA(VLOOKUP($AH76,Programma!$F$3:$R$1101,13,0),"")</f>
        <v/>
      </c>
      <c r="AU76" s="142" t="str">
        <f>_xlfn.IFNA(VLOOKUP($AH76,Programma!$F$3:$S$1101,14,0),"")</f>
        <v/>
      </c>
      <c r="AV76" s="142" t="str">
        <f>_xlfn.IFNA(VLOOKUP($AH76,Programma!$F$3:$T$1101,15,0),"")</f>
        <v/>
      </c>
      <c r="AW76" s="142" t="str">
        <f>_xlfn.IFNA(VLOOKUP($AH76,Programma!$F$3:$U$1101,16,0),"")</f>
        <v/>
      </c>
      <c r="AX76" s="142" t="str">
        <f>_xlfn.IFNA(VLOOKUP($AH76,Programma!$F$3:$V$1101,17,0),"")</f>
        <v/>
      </c>
      <c r="AY76" s="142" t="str">
        <f>_xlfn.IFNA(VLOOKUP($AH76,Programma!$F$3:$W$1101,18,0),"")</f>
        <v/>
      </c>
      <c r="AZ76" s="142" t="str">
        <f>_xlfn.IFNA(VLOOKUP($AH76,Programma!$F$3:$X$1101,19,0),"")</f>
        <v/>
      </c>
      <c r="BA76" s="142" t="str">
        <f>_xlfn.IFNA(VLOOKUP($AH76,Programma!$F$3:$Y$1101,20,0),"")</f>
        <v/>
      </c>
      <c r="BB76" s="138"/>
      <c r="BC76" s="137" t="str">
        <f>IF(Ruimtestaat[[#This Row],[Frequentie weekend]]="","",_xlfn.CONCAT(Ruimtestaat[[#This Row],[Ruimte code]],"-",Ruimtestaat[[#This Row],[Frequentie weekend]]," ",Ruimtestaat[[#This Row],[Vloer code]]))</f>
        <v/>
      </c>
      <c r="BD76" s="142" t="str">
        <f>_xlfn.IFNA(VLOOKUP($BC76,Programma!$F$3:$G$1101,2,0),"")</f>
        <v/>
      </c>
      <c r="BE76" s="142" t="str">
        <f>_xlfn.IFNA(VLOOKUP($BC76,Programma!$F$3:$H$1101,3,0),"")</f>
        <v/>
      </c>
      <c r="BF76" s="142" t="str">
        <f>_xlfn.IFNA(VLOOKUP($BC76,Programma!$F$3:$I$1101,4,0),"")</f>
        <v/>
      </c>
      <c r="BG76" s="142" t="str">
        <f>_xlfn.IFNA(VLOOKUP($BC76,Programma!$F$3:$J$1101,5,0),"")</f>
        <v/>
      </c>
      <c r="BH76" s="142" t="str">
        <f>_xlfn.IFNA(VLOOKUP($BC76,Programma!$F$3:$K$1101,6,0),"")</f>
        <v/>
      </c>
      <c r="BI76" s="142" t="str">
        <f>_xlfn.IFNA(VLOOKUP($BC76,Programma!$F$3:$L$1101,7,0),"")</f>
        <v/>
      </c>
      <c r="BJ76" s="142" t="str">
        <f>_xlfn.IFNA(VLOOKUP($BC76,Programma!$F$3:$M$1101,8,0),"")</f>
        <v/>
      </c>
      <c r="BK76" s="142" t="str">
        <f>_xlfn.IFNA(VLOOKUP($BC76,Programma!$F$3:$N$1101,9,0),"")</f>
        <v/>
      </c>
      <c r="BL76" s="142" t="str">
        <f>_xlfn.IFNA(VLOOKUP($BC76,Programma!$F$3:$O$1101,10,0),"")</f>
        <v/>
      </c>
      <c r="BM76" s="142" t="str">
        <f>_xlfn.IFNA(VLOOKUP($BC76,Programma!$F$3:$P$1101,11,0),"")</f>
        <v/>
      </c>
      <c r="BN76" s="142" t="str">
        <f>_xlfn.IFNA(VLOOKUP($BC76,Programma!$F$3:$Q$1101,12,0),"")</f>
        <v/>
      </c>
      <c r="BO76" s="142" t="str">
        <f>_xlfn.IFNA(VLOOKUP($BC76,Programma!$F$3:$R$1101,13,0),"")</f>
        <v/>
      </c>
      <c r="BP76" s="142" t="str">
        <f>_xlfn.IFNA(VLOOKUP($BC76,Programma!$F$3:$S$1101,14,0),"")</f>
        <v/>
      </c>
      <c r="BQ76" s="142" t="str">
        <f>_xlfn.IFNA(VLOOKUP($BC76,Programma!$F$3:$T$1101,15,0),"")</f>
        <v/>
      </c>
      <c r="BR76" s="142" t="str">
        <f>_xlfn.IFNA(VLOOKUP($BC76,Programma!$F$3:$U$1101,16,0),"")</f>
        <v/>
      </c>
      <c r="BS76" s="142" t="str">
        <f>_xlfn.IFNA(VLOOKUP($BC76,Programma!$F$3:$V$1101,17,0),"")</f>
        <v/>
      </c>
      <c r="BT76" s="142" t="str">
        <f>_xlfn.IFNA(VLOOKUP($BC76,Programma!$F$3:$W$1101,18,0),"")</f>
        <v/>
      </c>
      <c r="BU76" s="142" t="str">
        <f>_xlfn.IFNA(VLOOKUP($BC76,Programma!$F$3:$X$1101,19,0),"")</f>
        <v/>
      </c>
      <c r="BV76" s="142" t="str">
        <f>_xlfn.IFNA(VLOOKUP($BC76,Programma!$F$3:$Y$1101,20,0),"")</f>
        <v/>
      </c>
      <c r="BW76" s="28"/>
      <c r="BX76" s="28"/>
      <c r="BY76" s="28"/>
      <c r="BZ76" s="28"/>
      <c r="CA76" s="28"/>
      <c r="CB76" s="28"/>
      <c r="CC76" s="28"/>
      <c r="CD76" s="28"/>
      <c r="CE76" s="28"/>
      <c r="CF76" s="28"/>
      <c r="CG76" s="28"/>
      <c r="CH76" s="28"/>
      <c r="CI76" s="28"/>
      <c r="CJ76" s="28"/>
      <c r="CK76" s="28"/>
      <c r="CL76" s="28"/>
      <c r="CM76" s="28"/>
      <c r="CN76" s="28"/>
      <c r="CO76" s="28"/>
      <c r="CP76" s="28"/>
      <c r="CQ76" s="28"/>
      <c r="CR76" s="28"/>
      <c r="CS76" s="28"/>
      <c r="CT76" s="28"/>
      <c r="CU76" s="28"/>
      <c r="CV76" s="28"/>
      <c r="CW76" s="28"/>
      <c r="CX76" s="28"/>
      <c r="CY76" s="28"/>
      <c r="CZ76" s="28"/>
      <c r="DA76" s="28"/>
      <c r="DB76" s="28"/>
      <c r="DC76" s="28"/>
      <c r="DD76" s="28"/>
      <c r="DE76" s="28"/>
      <c r="DF76" s="28"/>
      <c r="DG76" s="28"/>
      <c r="DH76" s="28"/>
      <c r="DI76" s="28"/>
      <c r="DJ76" s="28"/>
      <c r="DK76" s="28"/>
      <c r="DL76" s="28"/>
      <c r="DM76" s="28"/>
      <c r="DN76" s="28"/>
      <c r="DO76" s="28"/>
      <c r="DP76" s="28"/>
      <c r="DQ76" s="28"/>
      <c r="DR76" s="28"/>
      <c r="DS76" s="28"/>
      <c r="DT76" s="28"/>
      <c r="DU76" s="28"/>
      <c r="DV76" s="28"/>
      <c r="DW76" s="28"/>
      <c r="DX76" s="28"/>
      <c r="DY76" s="28"/>
      <c r="DZ76" s="28"/>
      <c r="EA76" s="28"/>
      <c r="EB76" s="28"/>
      <c r="EC76" s="28"/>
      <c r="ED76" s="28"/>
      <c r="EE76" s="28"/>
      <c r="EF76" s="28"/>
      <c r="EG76" s="28"/>
      <c r="EH76" s="28"/>
      <c r="EI76" s="28"/>
      <c r="EJ76" s="28"/>
      <c r="EK76" s="28"/>
      <c r="EL76" s="28"/>
      <c r="EM76" s="28"/>
      <c r="EN76" s="28"/>
      <c r="EO76" s="28"/>
      <c r="EP76" s="28"/>
      <c r="EQ76" s="28"/>
      <c r="ER76" s="28"/>
      <c r="ES76" s="28"/>
      <c r="ET76" s="28"/>
      <c r="EU76" s="28"/>
      <c r="EV76" s="28"/>
      <c r="EW76" s="28"/>
      <c r="EX76" s="28"/>
      <c r="EY76" s="28"/>
      <c r="EZ76" s="28"/>
      <c r="FA76" s="28"/>
      <c r="FB76" s="28"/>
      <c r="FC76" s="28"/>
      <c r="FD76" s="28"/>
      <c r="FE76" s="28"/>
      <c r="FF76" s="28"/>
      <c r="FG76" s="28"/>
      <c r="FH76" s="28"/>
      <c r="FI76" s="28"/>
      <c r="FJ76" s="28"/>
      <c r="FK76" s="28"/>
      <c r="FL76" s="28"/>
      <c r="FM76" s="28"/>
      <c r="FN76" s="28"/>
      <c r="FO76" s="28"/>
      <c r="FP76" s="28"/>
      <c r="FQ76" s="28"/>
      <c r="FR76" s="28"/>
      <c r="FS76" s="28"/>
      <c r="FT76" s="28"/>
      <c r="FU76" s="28"/>
      <c r="FV76" s="28"/>
      <c r="FW76" s="28"/>
      <c r="FX76" s="28"/>
      <c r="FY76" s="28"/>
      <c r="FZ76" s="28"/>
      <c r="GA76" s="28"/>
      <c r="GB76" s="28"/>
      <c r="GC76" s="28"/>
      <c r="GD76" s="28"/>
      <c r="GE76" s="28"/>
      <c r="GF76" s="28"/>
      <c r="GG76" s="28"/>
      <c r="GH76" s="28"/>
      <c r="GI76" s="28"/>
      <c r="GJ76" s="28"/>
      <c r="GK76" s="28"/>
      <c r="GL76" s="28"/>
      <c r="GM76" s="28"/>
      <c r="GN76" s="28"/>
      <c r="GO76" s="28"/>
      <c r="GP76" s="28"/>
      <c r="GQ76" s="28"/>
      <c r="GR76" s="28"/>
      <c r="GS76" s="28"/>
      <c r="GT76" s="28"/>
      <c r="GU76" s="28"/>
      <c r="GV76" s="28"/>
      <c r="GW76" s="28"/>
      <c r="GX76" s="28"/>
      <c r="GY76" s="28"/>
      <c r="GZ76" s="28"/>
      <c r="HA76" s="28"/>
      <c r="HB76" s="28"/>
      <c r="HC76" s="28"/>
      <c r="HD76" s="28"/>
      <c r="HE76" s="28"/>
      <c r="HF76" s="28"/>
      <c r="HG76" s="28"/>
      <c r="HH76" s="28"/>
      <c r="HI76" s="28"/>
      <c r="HJ76" s="28"/>
      <c r="HK76" s="28"/>
    </row>
    <row r="77" spans="1:219" ht="15" customHeight="1">
      <c r="A77" s="100">
        <v>1</v>
      </c>
      <c r="B77" s="132" t="str">
        <f>VLOOKUP(Ruimtestaat[[#This Row],[Code]],Locaties[[Code]:[Locatie]],2,FALSE)</f>
        <v>Mirtehuis</v>
      </c>
      <c r="C77" s="132" t="str">
        <f>VLOOKUP(Ruimtestaat[[#This Row],[Code]],Locaties[[#All],[Code]:[Adres]],4,FALSE)</f>
        <v>Weseperweg 6</v>
      </c>
      <c r="D77" s="132" t="str">
        <f>VLOOKUP(Ruimtestaat[[#This Row],[Code]],Locaties[[#All],[Code]:[Postcode]],5,FALSE)</f>
        <v>8111 PK</v>
      </c>
      <c r="E77" s="132" t="str">
        <f>VLOOKUP(Ruimtestaat[[#This Row],[Code]],Locaties[#All],6,FALSE)</f>
        <v>Heeten</v>
      </c>
      <c r="F77" s="100"/>
      <c r="G77" s="100" t="s">
        <v>1675</v>
      </c>
      <c r="H77" s="344"/>
      <c r="I77" s="345" t="s">
        <v>1635</v>
      </c>
      <c r="J77" s="49">
        <v>20</v>
      </c>
      <c r="K77" s="140" t="str">
        <f>VLOOKUP(Ruimtestaat[[#This Row],[Ruimte code]],Ruimtegroepen[[#All],[Code]:[Ruimte omschrijving]],2,FALSE)</f>
        <v>Niet in Onderhoud</v>
      </c>
      <c r="L77" s="100" t="s">
        <v>100</v>
      </c>
      <c r="M77" s="345" t="s">
        <v>1636</v>
      </c>
      <c r="N77" s="133"/>
      <c r="O77" s="139"/>
      <c r="P77" s="134">
        <f>VLOOKUP(Ruimtestaat[[#This Row],[Ruimte code]],Ruimtegroepen[],4,FALSE)</f>
        <v>0</v>
      </c>
      <c r="Q77" s="100"/>
      <c r="R77" s="100"/>
      <c r="S77" s="100">
        <f>IF(Q77&gt;0,IF(RIGHT(Ruimtestaat[[#This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7" s="100">
        <f>IF(S77&gt;0,VLOOKUP($J77,Ruimtegroepen[],3,FALSE)*VLOOKUP($L77,Vloersoorten[],3,FALSE)*VLOOKUP($R77,Frequenties[],3,FALSE)*VLOOKUP($A77,Locaties[],3,FALSE),0)</f>
        <v>0</v>
      </c>
      <c r="U77" s="100">
        <f>Ruimtestaat[[#This Row],[Uitvoeringen werkdagen]]*Ruimtestaat[[#This Row],[Oppervlak (netto)]]</f>
        <v>0</v>
      </c>
      <c r="V77" s="135">
        <f>IF(T77&gt;0,Ruimtestaat[[#This Row],[Prest. (m2 /jaar) werkdagen]]/Ruimtestaat[[#This Row],[Norm (m2/uur) werkdagen]],0)</f>
        <v>0</v>
      </c>
      <c r="W77" s="136">
        <f>Ruimtestaat[[#This Row],[uren / jaar werkdagen]]*Tariefsopbouw!$E$35</f>
        <v>0</v>
      </c>
      <c r="X77" s="100"/>
      <c r="Y77" s="100">
        <f>IF(Ruimtestaat[[#This Row],[Frequentie weekend]]&gt;0,VALUE(LEFT(X77,1))*Q77,0)</f>
        <v>0</v>
      </c>
      <c r="Z77" s="99">
        <f>IF($Y77&gt;0,VLOOKUP($J77,Ruimtegroepen[],3,FALSE)*VLOOKUP($L77,Vloersoorten[],3,FALSE)*VLOOKUP($X77,Frequenties[],3,FALSE)*VLOOKUP(Ruimtestaat[[#This Row],[Code]],Locaties[],3,FALSE),0)</f>
        <v>0</v>
      </c>
      <c r="AA77" s="99">
        <f>Ruimtestaat[[#This Row],[Uitvoeringen weekend]]*Ruimtestaat[[#This Row],[Oppervlak (netto)]]</f>
        <v>0</v>
      </c>
      <c r="AB77" s="99">
        <f>IF(Z77&gt;0,Ruimtestaat[[#This Row],[Prest. (m2 /jaar) weekend]]/Ruimtestaat[[#This Row],[Norm (m2/uur) weekend]],0)</f>
        <v>0</v>
      </c>
      <c r="AC77" s="136">
        <f>Ruimtestaat[[#This Row],[uren / jaar weekend]]*Tariefsopbouw!$D$40</f>
        <v>0</v>
      </c>
      <c r="AD77" s="135">
        <f>Ruimtestaat[[#This Row],[Prest. (m2 /jaar) weekend]]+Ruimtestaat[[#This Row],[Prest. (m2 /jaar) werkdagen]]</f>
        <v>0</v>
      </c>
      <c r="AE77" s="135">
        <f>Ruimtestaat[[#This Row],[uren / jaar weekend]]+Ruimtestaat[[#This Row],[uren / jaar werkdagen]]</f>
        <v>0</v>
      </c>
      <c r="AF77" s="130">
        <f>Ruimtestaat[[#This Row],[kosten / jaar weekend]]+Ruimtestaat[[#This Row],[kosten / jaar werkdagen]]</f>
        <v>0</v>
      </c>
      <c r="AG77" s="130"/>
      <c r="AH77" s="137" t="str">
        <f>IF(Ruimtestaat[[#This Row],[Frequentie werkdagen]]="","",_xlfn.CONCAT(Ruimtestaat[[#This Row],[Ruimte code]],"-",Ruimtestaat[[#This Row],[Frequentie werkdagen]]," ",Ruimtestaat[[#This Row],[Vloer code]]))</f>
        <v/>
      </c>
      <c r="AI77" s="142" t="str">
        <f>_xlfn.IFNA(VLOOKUP($AH77,Programma!$F$3:$G$1101,2,0),"")</f>
        <v/>
      </c>
      <c r="AJ77" s="142" t="str">
        <f>_xlfn.IFNA(VLOOKUP($AH77,Programma!$F$3:$H$1101,3,0),"")</f>
        <v/>
      </c>
      <c r="AK77" s="142" t="str">
        <f>_xlfn.IFNA(VLOOKUP($AH77,Programma!$F$3:$I$1101,4,0),"")</f>
        <v/>
      </c>
      <c r="AL77" s="142" t="str">
        <f>_xlfn.IFNA(VLOOKUP($AH77,Programma!$F$3:$J$1101,5,0),"")</f>
        <v/>
      </c>
      <c r="AM77" s="142" t="str">
        <f>_xlfn.IFNA(VLOOKUP($AH77,Programma!$F$3:$K$1101,6,0),"")</f>
        <v/>
      </c>
      <c r="AN77" s="142" t="str">
        <f>_xlfn.IFNA(VLOOKUP($AH77,Programma!$F$3:$L$1101,7,0),"")</f>
        <v/>
      </c>
      <c r="AO77" s="142" t="str">
        <f>_xlfn.IFNA(VLOOKUP($AH77,Programma!$F$3:$M$1101,8,0),"")</f>
        <v/>
      </c>
      <c r="AP77" s="142" t="str">
        <f>_xlfn.IFNA(VLOOKUP($AH77,Programma!$F$3:$N$1101,9,0),"")</f>
        <v/>
      </c>
      <c r="AQ77" s="142" t="str">
        <f>_xlfn.IFNA(VLOOKUP($AH77,Programma!$F$3:$O$1101,10,0),"")</f>
        <v/>
      </c>
      <c r="AR77" s="142" t="str">
        <f>_xlfn.IFNA(VLOOKUP($AH77,Programma!$F$3:$P$1101,11,0),"")</f>
        <v/>
      </c>
      <c r="AS77" s="142" t="str">
        <f>_xlfn.IFNA(VLOOKUP($AH77,Programma!$F$3:$Q$1101,12,0),"")</f>
        <v/>
      </c>
      <c r="AT77" s="142" t="str">
        <f>_xlfn.IFNA(VLOOKUP($AH77,Programma!$F$3:$R$1101,13,0),"")</f>
        <v/>
      </c>
      <c r="AU77" s="142" t="str">
        <f>_xlfn.IFNA(VLOOKUP($AH77,Programma!$F$3:$S$1101,14,0),"")</f>
        <v/>
      </c>
      <c r="AV77" s="142" t="str">
        <f>_xlfn.IFNA(VLOOKUP($AH77,Programma!$F$3:$T$1101,15,0),"")</f>
        <v/>
      </c>
      <c r="AW77" s="142" t="str">
        <f>_xlfn.IFNA(VLOOKUP($AH77,Programma!$F$3:$U$1101,16,0),"")</f>
        <v/>
      </c>
      <c r="AX77" s="142" t="str">
        <f>_xlfn.IFNA(VLOOKUP($AH77,Programma!$F$3:$V$1101,17,0),"")</f>
        <v/>
      </c>
      <c r="AY77" s="142" t="str">
        <f>_xlfn.IFNA(VLOOKUP($AH77,Programma!$F$3:$W$1101,18,0),"")</f>
        <v/>
      </c>
      <c r="AZ77" s="142" t="str">
        <f>_xlfn.IFNA(VLOOKUP($AH77,Programma!$F$3:$X$1101,19,0),"")</f>
        <v/>
      </c>
      <c r="BA77" s="142" t="str">
        <f>_xlfn.IFNA(VLOOKUP($AH77,Programma!$F$3:$Y$1101,20,0),"")</f>
        <v/>
      </c>
      <c r="BB77" s="138"/>
      <c r="BC77" s="137" t="str">
        <f>IF(Ruimtestaat[[#This Row],[Frequentie weekend]]="","",_xlfn.CONCAT(Ruimtestaat[[#This Row],[Ruimte code]],"-",Ruimtestaat[[#This Row],[Frequentie weekend]]," ",Ruimtestaat[[#This Row],[Vloer code]]))</f>
        <v/>
      </c>
      <c r="BD77" s="142" t="str">
        <f>_xlfn.IFNA(VLOOKUP($BC77,Programma!$F$3:$G$1101,2,0),"")</f>
        <v/>
      </c>
      <c r="BE77" s="142" t="str">
        <f>_xlfn.IFNA(VLOOKUP($BC77,Programma!$F$3:$H$1101,3,0),"")</f>
        <v/>
      </c>
      <c r="BF77" s="142" t="str">
        <f>_xlfn.IFNA(VLOOKUP($BC77,Programma!$F$3:$I$1101,4,0),"")</f>
        <v/>
      </c>
      <c r="BG77" s="142" t="str">
        <f>_xlfn.IFNA(VLOOKUP($BC77,Programma!$F$3:$J$1101,5,0),"")</f>
        <v/>
      </c>
      <c r="BH77" s="142" t="str">
        <f>_xlfn.IFNA(VLOOKUP($BC77,Programma!$F$3:$K$1101,6,0),"")</f>
        <v/>
      </c>
      <c r="BI77" s="142" t="str">
        <f>_xlfn.IFNA(VLOOKUP($BC77,Programma!$F$3:$L$1101,7,0),"")</f>
        <v/>
      </c>
      <c r="BJ77" s="142" t="str">
        <f>_xlfn.IFNA(VLOOKUP($BC77,Programma!$F$3:$M$1101,8,0),"")</f>
        <v/>
      </c>
      <c r="BK77" s="142" t="str">
        <f>_xlfn.IFNA(VLOOKUP($BC77,Programma!$F$3:$N$1101,9,0),"")</f>
        <v/>
      </c>
      <c r="BL77" s="142" t="str">
        <f>_xlfn.IFNA(VLOOKUP($BC77,Programma!$F$3:$O$1101,10,0),"")</f>
        <v/>
      </c>
      <c r="BM77" s="142" t="str">
        <f>_xlfn.IFNA(VLOOKUP($BC77,Programma!$F$3:$P$1101,11,0),"")</f>
        <v/>
      </c>
      <c r="BN77" s="142" t="str">
        <f>_xlfn.IFNA(VLOOKUP($BC77,Programma!$F$3:$Q$1101,12,0),"")</f>
        <v/>
      </c>
      <c r="BO77" s="142" t="str">
        <f>_xlfn.IFNA(VLOOKUP($BC77,Programma!$F$3:$R$1101,13,0),"")</f>
        <v/>
      </c>
      <c r="BP77" s="142" t="str">
        <f>_xlfn.IFNA(VLOOKUP($BC77,Programma!$F$3:$S$1101,14,0),"")</f>
        <v/>
      </c>
      <c r="BQ77" s="142" t="str">
        <f>_xlfn.IFNA(VLOOKUP($BC77,Programma!$F$3:$T$1101,15,0),"")</f>
        <v/>
      </c>
      <c r="BR77" s="142" t="str">
        <f>_xlfn.IFNA(VLOOKUP($BC77,Programma!$F$3:$U$1101,16,0),"")</f>
        <v/>
      </c>
      <c r="BS77" s="142" t="str">
        <f>_xlfn.IFNA(VLOOKUP($BC77,Programma!$F$3:$V$1101,17,0),"")</f>
        <v/>
      </c>
      <c r="BT77" s="142" t="str">
        <f>_xlfn.IFNA(VLOOKUP($BC77,Programma!$F$3:$W$1101,18,0),"")</f>
        <v/>
      </c>
      <c r="BU77" s="142" t="str">
        <f>_xlfn.IFNA(VLOOKUP($BC77,Programma!$F$3:$X$1101,19,0),"")</f>
        <v/>
      </c>
      <c r="BV77" s="142" t="str">
        <f>_xlfn.IFNA(VLOOKUP($BC77,Programma!$F$3:$Y$1101,20,0),"")</f>
        <v/>
      </c>
      <c r="BW77" s="28"/>
      <c r="BX77" s="28"/>
      <c r="BY77" s="28"/>
      <c r="BZ77" s="28"/>
      <c r="CA77" s="28"/>
      <c r="CB77" s="28"/>
      <c r="CC77" s="28"/>
      <c r="CD77" s="28"/>
      <c r="CE77" s="28"/>
      <c r="CF77" s="28"/>
      <c r="CG77" s="28"/>
      <c r="CH77" s="28"/>
      <c r="CI77" s="28"/>
      <c r="CJ77" s="28"/>
      <c r="CK77" s="28"/>
      <c r="CL77" s="28"/>
      <c r="CM77" s="28"/>
      <c r="CN77" s="28"/>
      <c r="CO77" s="28"/>
      <c r="CP77" s="28"/>
      <c r="CQ77" s="28"/>
      <c r="CR77" s="28"/>
      <c r="CS77" s="28"/>
      <c r="CT77" s="28"/>
      <c r="CU77" s="28"/>
      <c r="CV77" s="28"/>
      <c r="CW77" s="28"/>
      <c r="CX77" s="28"/>
      <c r="CY77" s="28"/>
      <c r="CZ77" s="28"/>
      <c r="DA77" s="28"/>
      <c r="DB77" s="28"/>
      <c r="DC77" s="28"/>
      <c r="DD77" s="28"/>
      <c r="DE77" s="28"/>
      <c r="DF77" s="28"/>
      <c r="DG77" s="28"/>
      <c r="DH77" s="28"/>
      <c r="DI77" s="28"/>
      <c r="DJ77" s="28"/>
      <c r="DK77" s="28"/>
      <c r="DL77" s="28"/>
      <c r="DM77" s="28"/>
      <c r="DN77" s="28"/>
      <c r="DO77" s="28"/>
      <c r="DP77" s="28"/>
      <c r="DQ77" s="28"/>
      <c r="DR77" s="28"/>
      <c r="DS77" s="28"/>
      <c r="DT77" s="28"/>
      <c r="DU77" s="28"/>
      <c r="DV77" s="28"/>
      <c r="DW77" s="28"/>
      <c r="DX77" s="28"/>
      <c r="DY77" s="28"/>
      <c r="DZ77" s="28"/>
      <c r="EA77" s="28"/>
      <c r="EB77" s="28"/>
      <c r="EC77" s="28"/>
      <c r="ED77" s="28"/>
      <c r="EE77" s="28"/>
      <c r="EF77" s="28"/>
      <c r="EG77" s="28"/>
      <c r="EH77" s="28"/>
      <c r="EI77" s="28"/>
      <c r="EJ77" s="28"/>
      <c r="EK77" s="28"/>
      <c r="EL77" s="28"/>
      <c r="EM77" s="28"/>
      <c r="EN77" s="28"/>
      <c r="EO77" s="28"/>
      <c r="EP77" s="28"/>
      <c r="EQ77" s="28"/>
      <c r="ER77" s="28"/>
      <c r="ES77" s="28"/>
      <c r="ET77" s="28"/>
      <c r="EU77" s="28"/>
      <c r="EV77" s="28"/>
      <c r="EW77" s="28"/>
      <c r="EX77" s="28"/>
      <c r="EY77" s="28"/>
      <c r="EZ77" s="28"/>
      <c r="FA77" s="28"/>
      <c r="FB77" s="28"/>
      <c r="FC77" s="28"/>
      <c r="FD77" s="28"/>
      <c r="FE77" s="28"/>
      <c r="FF77" s="28"/>
      <c r="FG77" s="28"/>
      <c r="FH77" s="28"/>
      <c r="FI77" s="28"/>
      <c r="FJ77" s="28"/>
      <c r="FK77" s="28"/>
      <c r="FL77" s="28"/>
      <c r="FM77" s="28"/>
      <c r="FN77" s="28"/>
      <c r="FO77" s="28"/>
      <c r="FP77" s="28"/>
      <c r="FQ77" s="28"/>
      <c r="FR77" s="28"/>
      <c r="FS77" s="28"/>
      <c r="FT77" s="28"/>
      <c r="FU77" s="28"/>
      <c r="FV77" s="28"/>
      <c r="FW77" s="28"/>
      <c r="FX77" s="28"/>
      <c r="FY77" s="28"/>
      <c r="FZ77" s="28"/>
      <c r="GA77" s="28"/>
      <c r="GB77" s="28"/>
      <c r="GC77" s="28"/>
      <c r="GD77" s="28"/>
      <c r="GE77" s="28"/>
      <c r="GF77" s="28"/>
      <c r="GG77" s="28"/>
      <c r="GH77" s="28"/>
      <c r="GI77" s="28"/>
      <c r="GJ77" s="28"/>
      <c r="GK77" s="28"/>
      <c r="GL77" s="28"/>
      <c r="GM77" s="28"/>
      <c r="GN77" s="28"/>
      <c r="GO77" s="28"/>
      <c r="GP77" s="28"/>
      <c r="GQ77" s="28"/>
      <c r="GR77" s="28"/>
      <c r="GS77" s="28"/>
      <c r="GT77" s="28"/>
      <c r="GU77" s="28"/>
      <c r="GV77" s="28"/>
      <c r="GW77" s="28"/>
      <c r="GX77" s="28"/>
      <c r="GY77" s="28"/>
      <c r="GZ77" s="28"/>
      <c r="HA77" s="28"/>
      <c r="HB77" s="28"/>
      <c r="HC77" s="28"/>
      <c r="HD77" s="28"/>
      <c r="HE77" s="28"/>
      <c r="HF77" s="28"/>
      <c r="HG77" s="28"/>
      <c r="HH77" s="28"/>
      <c r="HI77" s="28"/>
      <c r="HJ77" s="28"/>
      <c r="HK77" s="28"/>
    </row>
    <row r="78" spans="1:219" ht="15" customHeight="1">
      <c r="A78" s="100">
        <v>1</v>
      </c>
      <c r="B78" s="132" t="str">
        <f>VLOOKUP(Ruimtestaat[[#This Row],[Code]],Locaties[[Code]:[Locatie]],2,FALSE)</f>
        <v>Mirtehuis</v>
      </c>
      <c r="C78" s="132" t="str">
        <f>VLOOKUP(Ruimtestaat[[#This Row],[Code]],Locaties[[#All],[Code]:[Adres]],4,FALSE)</f>
        <v>Weseperweg 6</v>
      </c>
      <c r="D78" s="132" t="str">
        <f>VLOOKUP(Ruimtestaat[[#This Row],[Code]],Locaties[[#All],[Code]:[Postcode]],5,FALSE)</f>
        <v>8111 PK</v>
      </c>
      <c r="E78" s="132" t="str">
        <f>VLOOKUP(Ruimtestaat[[#This Row],[Code]],Locaties[#All],6,FALSE)</f>
        <v>Heeten</v>
      </c>
      <c r="F78" s="100"/>
      <c r="G78" s="100" t="s">
        <v>1675</v>
      </c>
      <c r="H78" s="344"/>
      <c r="I78" s="345" t="s">
        <v>1650</v>
      </c>
      <c r="J78" s="49">
        <v>20</v>
      </c>
      <c r="K78" s="140" t="str">
        <f>VLOOKUP(Ruimtestaat[[#This Row],[Ruimte code]],Ruimtegroepen[[#All],[Code]:[Ruimte omschrijving]],2,FALSE)</f>
        <v>Niet in Onderhoud</v>
      </c>
      <c r="L78" s="100" t="s">
        <v>100</v>
      </c>
      <c r="M78" s="345" t="s">
        <v>1636</v>
      </c>
      <c r="N78" s="133"/>
      <c r="O78" s="139"/>
      <c r="P78" s="134">
        <f>VLOOKUP(Ruimtestaat[[#This Row],[Ruimte code]],Ruimtegroepen[],4,FALSE)</f>
        <v>0</v>
      </c>
      <c r="Q78" s="100"/>
      <c r="R78" s="100"/>
      <c r="S78" s="100">
        <f>IF(Q78&gt;0,IF(RIGHT(Ruimtestaat[[#This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8" s="100">
        <f>IF(S78&gt;0,VLOOKUP($J78,Ruimtegroepen[],3,FALSE)*VLOOKUP($L78,Vloersoorten[],3,FALSE)*VLOOKUP($R78,Frequenties[],3,FALSE)*VLOOKUP($A78,Locaties[],3,FALSE),0)</f>
        <v>0</v>
      </c>
      <c r="U78" s="100">
        <f>Ruimtestaat[[#This Row],[Uitvoeringen werkdagen]]*Ruimtestaat[[#This Row],[Oppervlak (netto)]]</f>
        <v>0</v>
      </c>
      <c r="V78" s="135">
        <f>IF(T78&gt;0,Ruimtestaat[[#This Row],[Prest. (m2 /jaar) werkdagen]]/Ruimtestaat[[#This Row],[Norm (m2/uur) werkdagen]],0)</f>
        <v>0</v>
      </c>
      <c r="W78" s="136">
        <f>Ruimtestaat[[#This Row],[uren / jaar werkdagen]]*Tariefsopbouw!$E$35</f>
        <v>0</v>
      </c>
      <c r="X78" s="100"/>
      <c r="Y78" s="100">
        <f>IF(Ruimtestaat[[#This Row],[Frequentie weekend]]&gt;0,VALUE(LEFT(X78,1))*Q78,0)</f>
        <v>0</v>
      </c>
      <c r="Z78" s="99">
        <f>IF($Y78&gt;0,VLOOKUP($J78,Ruimtegroepen[],3,FALSE)*VLOOKUP($L78,Vloersoorten[],3,FALSE)*VLOOKUP($X78,Frequenties[],3,FALSE)*VLOOKUP(Ruimtestaat[[#This Row],[Code]],Locaties[],3,FALSE),0)</f>
        <v>0</v>
      </c>
      <c r="AA78" s="99">
        <f>Ruimtestaat[[#This Row],[Uitvoeringen weekend]]*Ruimtestaat[[#This Row],[Oppervlak (netto)]]</f>
        <v>0</v>
      </c>
      <c r="AB78" s="99">
        <f>IF(Z78&gt;0,Ruimtestaat[[#This Row],[Prest. (m2 /jaar) weekend]]/Ruimtestaat[[#This Row],[Norm (m2/uur) weekend]],0)</f>
        <v>0</v>
      </c>
      <c r="AC78" s="136">
        <f>Ruimtestaat[[#This Row],[uren / jaar weekend]]*Tariefsopbouw!$D$40</f>
        <v>0</v>
      </c>
      <c r="AD78" s="135">
        <f>Ruimtestaat[[#This Row],[Prest. (m2 /jaar) weekend]]+Ruimtestaat[[#This Row],[Prest. (m2 /jaar) werkdagen]]</f>
        <v>0</v>
      </c>
      <c r="AE78" s="135">
        <f>Ruimtestaat[[#This Row],[uren / jaar weekend]]+Ruimtestaat[[#This Row],[uren / jaar werkdagen]]</f>
        <v>0</v>
      </c>
      <c r="AF78" s="130">
        <f>Ruimtestaat[[#This Row],[kosten / jaar weekend]]+Ruimtestaat[[#This Row],[kosten / jaar werkdagen]]</f>
        <v>0</v>
      </c>
      <c r="AG78" s="130"/>
      <c r="AH78" s="137" t="str">
        <f>IF(Ruimtestaat[[#This Row],[Frequentie werkdagen]]="","",_xlfn.CONCAT(Ruimtestaat[[#This Row],[Ruimte code]],"-",Ruimtestaat[[#This Row],[Frequentie werkdagen]]," ",Ruimtestaat[[#This Row],[Vloer code]]))</f>
        <v/>
      </c>
      <c r="AI78" s="142" t="str">
        <f>_xlfn.IFNA(VLOOKUP($AH78,Programma!$F$3:$G$1101,2,0),"")</f>
        <v/>
      </c>
      <c r="AJ78" s="142" t="str">
        <f>_xlfn.IFNA(VLOOKUP($AH78,Programma!$F$3:$H$1101,3,0),"")</f>
        <v/>
      </c>
      <c r="AK78" s="142" t="str">
        <f>_xlfn.IFNA(VLOOKUP($AH78,Programma!$F$3:$I$1101,4,0),"")</f>
        <v/>
      </c>
      <c r="AL78" s="142" t="str">
        <f>_xlfn.IFNA(VLOOKUP($AH78,Programma!$F$3:$J$1101,5,0),"")</f>
        <v/>
      </c>
      <c r="AM78" s="142" t="str">
        <f>_xlfn.IFNA(VLOOKUP($AH78,Programma!$F$3:$K$1101,6,0),"")</f>
        <v/>
      </c>
      <c r="AN78" s="142" t="str">
        <f>_xlfn.IFNA(VLOOKUP($AH78,Programma!$F$3:$L$1101,7,0),"")</f>
        <v/>
      </c>
      <c r="AO78" s="142" t="str">
        <f>_xlfn.IFNA(VLOOKUP($AH78,Programma!$F$3:$M$1101,8,0),"")</f>
        <v/>
      </c>
      <c r="AP78" s="142" t="str">
        <f>_xlfn.IFNA(VLOOKUP($AH78,Programma!$F$3:$N$1101,9,0),"")</f>
        <v/>
      </c>
      <c r="AQ78" s="142" t="str">
        <f>_xlfn.IFNA(VLOOKUP($AH78,Programma!$F$3:$O$1101,10,0),"")</f>
        <v/>
      </c>
      <c r="AR78" s="142" t="str">
        <f>_xlfn.IFNA(VLOOKUP($AH78,Programma!$F$3:$P$1101,11,0),"")</f>
        <v/>
      </c>
      <c r="AS78" s="142" t="str">
        <f>_xlfn.IFNA(VLOOKUP($AH78,Programma!$F$3:$Q$1101,12,0),"")</f>
        <v/>
      </c>
      <c r="AT78" s="142" t="str">
        <f>_xlfn.IFNA(VLOOKUP($AH78,Programma!$F$3:$R$1101,13,0),"")</f>
        <v/>
      </c>
      <c r="AU78" s="142" t="str">
        <f>_xlfn.IFNA(VLOOKUP($AH78,Programma!$F$3:$S$1101,14,0),"")</f>
        <v/>
      </c>
      <c r="AV78" s="142" t="str">
        <f>_xlfn.IFNA(VLOOKUP($AH78,Programma!$F$3:$T$1101,15,0),"")</f>
        <v/>
      </c>
      <c r="AW78" s="142" t="str">
        <f>_xlfn.IFNA(VLOOKUP($AH78,Programma!$F$3:$U$1101,16,0),"")</f>
        <v/>
      </c>
      <c r="AX78" s="142" t="str">
        <f>_xlfn.IFNA(VLOOKUP($AH78,Programma!$F$3:$V$1101,17,0),"")</f>
        <v/>
      </c>
      <c r="AY78" s="142" t="str">
        <f>_xlfn.IFNA(VLOOKUP($AH78,Programma!$F$3:$W$1101,18,0),"")</f>
        <v/>
      </c>
      <c r="AZ78" s="142" t="str">
        <f>_xlfn.IFNA(VLOOKUP($AH78,Programma!$F$3:$X$1101,19,0),"")</f>
        <v/>
      </c>
      <c r="BA78" s="142" t="str">
        <f>_xlfn.IFNA(VLOOKUP($AH78,Programma!$F$3:$Y$1101,20,0),"")</f>
        <v/>
      </c>
      <c r="BB78" s="138"/>
      <c r="BC78" s="137" t="str">
        <f>IF(Ruimtestaat[[#This Row],[Frequentie weekend]]="","",_xlfn.CONCAT(Ruimtestaat[[#This Row],[Ruimte code]],"-",Ruimtestaat[[#This Row],[Frequentie weekend]]," ",Ruimtestaat[[#This Row],[Vloer code]]))</f>
        <v/>
      </c>
      <c r="BD78" s="142" t="str">
        <f>_xlfn.IFNA(VLOOKUP($BC78,Programma!$F$3:$G$1101,2,0),"")</f>
        <v/>
      </c>
      <c r="BE78" s="142" t="str">
        <f>_xlfn.IFNA(VLOOKUP($BC78,Programma!$F$3:$H$1101,3,0),"")</f>
        <v/>
      </c>
      <c r="BF78" s="142" t="str">
        <f>_xlfn.IFNA(VLOOKUP($BC78,Programma!$F$3:$I$1101,4,0),"")</f>
        <v/>
      </c>
      <c r="BG78" s="142" t="str">
        <f>_xlfn.IFNA(VLOOKUP($BC78,Programma!$F$3:$J$1101,5,0),"")</f>
        <v/>
      </c>
      <c r="BH78" s="142" t="str">
        <f>_xlfn.IFNA(VLOOKUP($BC78,Programma!$F$3:$K$1101,6,0),"")</f>
        <v/>
      </c>
      <c r="BI78" s="142" t="str">
        <f>_xlfn.IFNA(VLOOKUP($BC78,Programma!$F$3:$L$1101,7,0),"")</f>
        <v/>
      </c>
      <c r="BJ78" s="142" t="str">
        <f>_xlfn.IFNA(VLOOKUP($BC78,Programma!$F$3:$M$1101,8,0),"")</f>
        <v/>
      </c>
      <c r="BK78" s="142" t="str">
        <f>_xlfn.IFNA(VLOOKUP($BC78,Programma!$F$3:$N$1101,9,0),"")</f>
        <v/>
      </c>
      <c r="BL78" s="142" t="str">
        <f>_xlfn.IFNA(VLOOKUP($BC78,Programma!$F$3:$O$1101,10,0),"")</f>
        <v/>
      </c>
      <c r="BM78" s="142" t="str">
        <f>_xlfn.IFNA(VLOOKUP($BC78,Programma!$F$3:$P$1101,11,0),"")</f>
        <v/>
      </c>
      <c r="BN78" s="142" t="str">
        <f>_xlfn.IFNA(VLOOKUP($BC78,Programma!$F$3:$Q$1101,12,0),"")</f>
        <v/>
      </c>
      <c r="BO78" s="142" t="str">
        <f>_xlfn.IFNA(VLOOKUP($BC78,Programma!$F$3:$R$1101,13,0),"")</f>
        <v/>
      </c>
      <c r="BP78" s="142" t="str">
        <f>_xlfn.IFNA(VLOOKUP($BC78,Programma!$F$3:$S$1101,14,0),"")</f>
        <v/>
      </c>
      <c r="BQ78" s="142" t="str">
        <f>_xlfn.IFNA(VLOOKUP($BC78,Programma!$F$3:$T$1101,15,0),"")</f>
        <v/>
      </c>
      <c r="BR78" s="142" t="str">
        <f>_xlfn.IFNA(VLOOKUP($BC78,Programma!$F$3:$U$1101,16,0),"")</f>
        <v/>
      </c>
      <c r="BS78" s="142" t="str">
        <f>_xlfn.IFNA(VLOOKUP($BC78,Programma!$F$3:$V$1101,17,0),"")</f>
        <v/>
      </c>
      <c r="BT78" s="142" t="str">
        <f>_xlfn.IFNA(VLOOKUP($BC78,Programma!$F$3:$W$1101,18,0),"")</f>
        <v/>
      </c>
      <c r="BU78" s="142" t="str">
        <f>_xlfn.IFNA(VLOOKUP($BC78,Programma!$F$3:$X$1101,19,0),"")</f>
        <v/>
      </c>
      <c r="BV78" s="142" t="str">
        <f>_xlfn.IFNA(VLOOKUP($BC78,Programma!$F$3:$Y$1101,20,0),"")</f>
        <v/>
      </c>
      <c r="BW78" s="28"/>
      <c r="BX78" s="28"/>
      <c r="BY78" s="28"/>
      <c r="BZ78" s="28"/>
      <c r="CA78" s="28"/>
      <c r="CB78" s="28"/>
      <c r="CC78" s="28"/>
      <c r="CD78" s="28"/>
      <c r="CE78" s="28"/>
      <c r="CF78" s="28"/>
      <c r="CG78" s="28"/>
      <c r="CH78" s="28"/>
      <c r="CI78" s="28"/>
      <c r="CJ78" s="28"/>
      <c r="CK78" s="28"/>
      <c r="CL78" s="28"/>
      <c r="CM78" s="28"/>
      <c r="CN78" s="28"/>
      <c r="CO78" s="28"/>
      <c r="CP78" s="28"/>
      <c r="CQ78" s="28"/>
      <c r="CR78" s="28"/>
      <c r="CS78" s="28"/>
      <c r="CT78" s="28"/>
      <c r="CU78" s="28"/>
      <c r="CV78" s="28"/>
      <c r="CW78" s="28"/>
      <c r="CX78" s="28"/>
      <c r="CY78" s="28"/>
      <c r="CZ78" s="28"/>
      <c r="DA78" s="28"/>
      <c r="DB78" s="28"/>
      <c r="DC78" s="28"/>
      <c r="DD78" s="28"/>
      <c r="DE78" s="28"/>
      <c r="DF78" s="28"/>
      <c r="DG78" s="28"/>
      <c r="DH78" s="28"/>
      <c r="DI78" s="28"/>
      <c r="DJ78" s="28"/>
      <c r="DK78" s="28"/>
      <c r="DL78" s="28"/>
      <c r="DM78" s="28"/>
      <c r="DN78" s="28"/>
      <c r="DO78" s="28"/>
      <c r="DP78" s="28"/>
      <c r="DQ78" s="28"/>
      <c r="DR78" s="28"/>
      <c r="DS78" s="28"/>
      <c r="DT78" s="28"/>
      <c r="DU78" s="28"/>
      <c r="DV78" s="28"/>
      <c r="DW78" s="28"/>
      <c r="DX78" s="28"/>
      <c r="DY78" s="28"/>
      <c r="DZ78" s="28"/>
      <c r="EA78" s="28"/>
      <c r="EB78" s="28"/>
      <c r="EC78" s="28"/>
      <c r="ED78" s="28"/>
      <c r="EE78" s="28"/>
      <c r="EF78" s="28"/>
      <c r="EG78" s="28"/>
      <c r="EH78" s="28"/>
      <c r="EI78" s="28"/>
      <c r="EJ78" s="28"/>
      <c r="EK78" s="28"/>
      <c r="EL78" s="28"/>
      <c r="EM78" s="28"/>
      <c r="EN78" s="28"/>
      <c r="EO78" s="28"/>
      <c r="EP78" s="28"/>
      <c r="EQ78" s="28"/>
      <c r="ER78" s="28"/>
      <c r="ES78" s="28"/>
      <c r="ET78" s="28"/>
      <c r="EU78" s="28"/>
      <c r="EV78" s="28"/>
      <c r="EW78" s="28"/>
      <c r="EX78" s="28"/>
      <c r="EY78" s="28"/>
      <c r="EZ78" s="28"/>
      <c r="FA78" s="28"/>
      <c r="FB78" s="28"/>
      <c r="FC78" s="28"/>
      <c r="FD78" s="28"/>
      <c r="FE78" s="28"/>
      <c r="FF78" s="28"/>
      <c r="FG78" s="28"/>
      <c r="FH78" s="28"/>
      <c r="FI78" s="28"/>
      <c r="FJ78" s="28"/>
      <c r="FK78" s="28"/>
      <c r="FL78" s="28"/>
      <c r="FM78" s="28"/>
      <c r="FN78" s="28"/>
      <c r="FO78" s="28"/>
      <c r="FP78" s="28"/>
      <c r="FQ78" s="28"/>
      <c r="FR78" s="28"/>
      <c r="FS78" s="28"/>
      <c r="FT78" s="28"/>
      <c r="FU78" s="28"/>
      <c r="FV78" s="28"/>
      <c r="FW78" s="28"/>
      <c r="FX78" s="28"/>
      <c r="FY78" s="28"/>
      <c r="FZ78" s="28"/>
      <c r="GA78" s="28"/>
      <c r="GB78" s="28"/>
      <c r="GC78" s="28"/>
      <c r="GD78" s="28"/>
      <c r="GE78" s="28"/>
      <c r="GF78" s="28"/>
      <c r="GG78" s="28"/>
      <c r="GH78" s="28"/>
      <c r="GI78" s="28"/>
      <c r="GJ78" s="28"/>
      <c r="GK78" s="28"/>
      <c r="GL78" s="28"/>
      <c r="GM78" s="28"/>
      <c r="GN78" s="28"/>
      <c r="GO78" s="28"/>
      <c r="GP78" s="28"/>
      <c r="GQ78" s="28"/>
      <c r="GR78" s="28"/>
      <c r="GS78" s="28"/>
      <c r="GT78" s="28"/>
      <c r="GU78" s="28"/>
      <c r="GV78" s="28"/>
      <c r="GW78" s="28"/>
      <c r="GX78" s="28"/>
      <c r="GY78" s="28"/>
      <c r="GZ78" s="28"/>
      <c r="HA78" s="28"/>
      <c r="HB78" s="28"/>
      <c r="HC78" s="28"/>
      <c r="HD78" s="28"/>
      <c r="HE78" s="28"/>
      <c r="HF78" s="28"/>
      <c r="HG78" s="28"/>
      <c r="HH78" s="28"/>
      <c r="HI78" s="28"/>
      <c r="HJ78" s="28"/>
      <c r="HK78" s="28"/>
    </row>
    <row r="79" spans="1:219" ht="15" customHeight="1">
      <c r="A79" s="100">
        <v>1</v>
      </c>
      <c r="B79" s="132" t="str">
        <f>VLOOKUP(Ruimtestaat[[#This Row],[Code]],Locaties[[Code]:[Locatie]],2,FALSE)</f>
        <v>Mirtehuis</v>
      </c>
      <c r="C79" s="132" t="str">
        <f>VLOOKUP(Ruimtestaat[[#This Row],[Code]],Locaties[[#All],[Code]:[Adres]],4,FALSE)</f>
        <v>Weseperweg 6</v>
      </c>
      <c r="D79" s="132" t="str">
        <f>VLOOKUP(Ruimtestaat[[#This Row],[Code]],Locaties[[#All],[Code]:[Postcode]],5,FALSE)</f>
        <v>8111 PK</v>
      </c>
      <c r="E79" s="132" t="str">
        <f>VLOOKUP(Ruimtestaat[[#This Row],[Code]],Locaties[#All],6,FALSE)</f>
        <v>Heeten</v>
      </c>
      <c r="F79" s="100"/>
      <c r="G79" s="100" t="s">
        <v>1675</v>
      </c>
      <c r="H79" s="344" t="s">
        <v>1670</v>
      </c>
      <c r="I79" s="345" t="s">
        <v>1656</v>
      </c>
      <c r="J79" s="49">
        <v>20</v>
      </c>
      <c r="K79" s="140" t="str">
        <f>VLOOKUP(Ruimtestaat[[#This Row],[Ruimte code]],Ruimtegroepen[[#All],[Code]:[Ruimte omschrijving]],2,FALSE)</f>
        <v>Niet in Onderhoud</v>
      </c>
      <c r="L79" s="100" t="s">
        <v>100</v>
      </c>
      <c r="M79" s="345" t="s">
        <v>1636</v>
      </c>
      <c r="N79" s="133"/>
      <c r="O79" s="100"/>
      <c r="P79" s="134">
        <f>VLOOKUP(Ruimtestaat[[#This Row],[Ruimte code]],Ruimtegroepen[],4,FALSE)</f>
        <v>0</v>
      </c>
      <c r="Q79" s="100"/>
      <c r="R79" s="100"/>
      <c r="S79" s="100">
        <f>IF(Q79&gt;0,IF(RIGHT(Ruimtestaat[[#This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9" s="100">
        <f>IF(S79&gt;0,VLOOKUP($J79,Ruimtegroepen[],3,FALSE)*VLOOKUP($L79,Vloersoorten[],3,FALSE)*VLOOKUP($R79,Frequenties[],3,FALSE)*VLOOKUP($A79,Locaties[],3,FALSE),0)</f>
        <v>0</v>
      </c>
      <c r="U79" s="100">
        <f>Ruimtestaat[[#This Row],[Uitvoeringen werkdagen]]*Ruimtestaat[[#This Row],[Oppervlak (netto)]]</f>
        <v>0</v>
      </c>
      <c r="V79" s="135">
        <f>IF(T79&gt;0,Ruimtestaat[[#This Row],[Prest. (m2 /jaar) werkdagen]]/Ruimtestaat[[#This Row],[Norm (m2/uur) werkdagen]],0)</f>
        <v>0</v>
      </c>
      <c r="W79" s="136">
        <f>Ruimtestaat[[#This Row],[uren / jaar werkdagen]]*Tariefsopbouw!$E$35</f>
        <v>0</v>
      </c>
      <c r="X79" s="100"/>
      <c r="Y79" s="100">
        <f>IF(Ruimtestaat[[#This Row],[Frequentie weekend]]&gt;0,VALUE(LEFT(X79,1))*Q79,0)</f>
        <v>0</v>
      </c>
      <c r="Z79" s="99">
        <f>IF($Y79&gt;0,VLOOKUP($J79,Ruimtegroepen[],3,FALSE)*VLOOKUP($L79,Vloersoorten[],3,FALSE)*VLOOKUP($X79,Frequenties[],3,FALSE)*VLOOKUP(Ruimtestaat[[#This Row],[Code]],Locaties[],3,FALSE),0)</f>
        <v>0</v>
      </c>
      <c r="AA79" s="99">
        <f>Ruimtestaat[[#This Row],[Uitvoeringen weekend]]*Ruimtestaat[[#This Row],[Oppervlak (netto)]]</f>
        <v>0</v>
      </c>
      <c r="AB79" s="99">
        <f>IF(Z79&gt;0,Ruimtestaat[[#This Row],[Prest. (m2 /jaar) weekend]]/Ruimtestaat[[#This Row],[Norm (m2/uur) weekend]],0)</f>
        <v>0</v>
      </c>
      <c r="AC79" s="136">
        <f>Ruimtestaat[[#This Row],[uren / jaar weekend]]*Tariefsopbouw!$D$40</f>
        <v>0</v>
      </c>
      <c r="AD79" s="135">
        <f>Ruimtestaat[[#This Row],[Prest. (m2 /jaar) weekend]]+Ruimtestaat[[#This Row],[Prest. (m2 /jaar) werkdagen]]</f>
        <v>0</v>
      </c>
      <c r="AE79" s="135">
        <f>Ruimtestaat[[#This Row],[uren / jaar weekend]]+Ruimtestaat[[#This Row],[uren / jaar werkdagen]]</f>
        <v>0</v>
      </c>
      <c r="AF79" s="130">
        <f>Ruimtestaat[[#This Row],[kosten / jaar weekend]]+Ruimtestaat[[#This Row],[kosten / jaar werkdagen]]</f>
        <v>0</v>
      </c>
      <c r="AG79" s="130"/>
      <c r="AH79" s="137" t="str">
        <f>IF(Ruimtestaat[[#This Row],[Frequentie werkdagen]]="","",_xlfn.CONCAT(Ruimtestaat[[#This Row],[Ruimte code]],"-",Ruimtestaat[[#This Row],[Frequentie werkdagen]]," ",Ruimtestaat[[#This Row],[Vloer code]]))</f>
        <v/>
      </c>
      <c r="AI79" s="142" t="str">
        <f>_xlfn.IFNA(VLOOKUP($AH79,Programma!$F$3:$G$1101,2,0),"")</f>
        <v/>
      </c>
      <c r="AJ79" s="142" t="str">
        <f>_xlfn.IFNA(VLOOKUP($AH79,Programma!$F$3:$H$1101,3,0),"")</f>
        <v/>
      </c>
      <c r="AK79" s="142" t="str">
        <f>_xlfn.IFNA(VLOOKUP($AH79,Programma!$F$3:$I$1101,4,0),"")</f>
        <v/>
      </c>
      <c r="AL79" s="142" t="str">
        <f>_xlfn.IFNA(VLOOKUP($AH79,Programma!$F$3:$J$1101,5,0),"")</f>
        <v/>
      </c>
      <c r="AM79" s="142" t="str">
        <f>_xlfn.IFNA(VLOOKUP($AH79,Programma!$F$3:$K$1101,6,0),"")</f>
        <v/>
      </c>
      <c r="AN79" s="142" t="str">
        <f>_xlfn.IFNA(VLOOKUP($AH79,Programma!$F$3:$L$1101,7,0),"")</f>
        <v/>
      </c>
      <c r="AO79" s="142" t="str">
        <f>_xlfn.IFNA(VLOOKUP($AH79,Programma!$F$3:$M$1101,8,0),"")</f>
        <v/>
      </c>
      <c r="AP79" s="142" t="str">
        <f>_xlfn.IFNA(VLOOKUP($AH79,Programma!$F$3:$N$1101,9,0),"")</f>
        <v/>
      </c>
      <c r="AQ79" s="142" t="str">
        <f>_xlfn.IFNA(VLOOKUP($AH79,Programma!$F$3:$O$1101,10,0),"")</f>
        <v/>
      </c>
      <c r="AR79" s="142" t="str">
        <f>_xlfn.IFNA(VLOOKUP($AH79,Programma!$F$3:$P$1101,11,0),"")</f>
        <v/>
      </c>
      <c r="AS79" s="142" t="str">
        <f>_xlfn.IFNA(VLOOKUP($AH79,Programma!$F$3:$Q$1101,12,0),"")</f>
        <v/>
      </c>
      <c r="AT79" s="142" t="str">
        <f>_xlfn.IFNA(VLOOKUP($AH79,Programma!$F$3:$R$1101,13,0),"")</f>
        <v/>
      </c>
      <c r="AU79" s="142" t="str">
        <f>_xlfn.IFNA(VLOOKUP($AH79,Programma!$F$3:$S$1101,14,0),"")</f>
        <v/>
      </c>
      <c r="AV79" s="142" t="str">
        <f>_xlfn.IFNA(VLOOKUP($AH79,Programma!$F$3:$T$1101,15,0),"")</f>
        <v/>
      </c>
      <c r="AW79" s="142" t="str">
        <f>_xlfn.IFNA(VLOOKUP($AH79,Programma!$F$3:$U$1101,16,0),"")</f>
        <v/>
      </c>
      <c r="AX79" s="142" t="str">
        <f>_xlfn.IFNA(VLOOKUP($AH79,Programma!$F$3:$V$1101,17,0),"")</f>
        <v/>
      </c>
      <c r="AY79" s="142" t="str">
        <f>_xlfn.IFNA(VLOOKUP($AH79,Programma!$F$3:$W$1101,18,0),"")</f>
        <v/>
      </c>
      <c r="AZ79" s="142" t="str">
        <f>_xlfn.IFNA(VLOOKUP($AH79,Programma!$F$3:$X$1101,19,0),"")</f>
        <v/>
      </c>
      <c r="BA79" s="142" t="str">
        <f>_xlfn.IFNA(VLOOKUP($AH79,Programma!$F$3:$Y$1101,20,0),"")</f>
        <v/>
      </c>
      <c r="BB79" s="138"/>
      <c r="BC79" s="137" t="str">
        <f>IF(Ruimtestaat[[#This Row],[Frequentie weekend]]="","",_xlfn.CONCAT(Ruimtestaat[[#This Row],[Ruimte code]],"-",Ruimtestaat[[#This Row],[Frequentie weekend]]," ",Ruimtestaat[[#This Row],[Vloer code]]))</f>
        <v/>
      </c>
      <c r="BD79" s="142" t="str">
        <f>_xlfn.IFNA(VLOOKUP($BC79,Programma!$F$3:$G$1101,2,0),"")</f>
        <v/>
      </c>
      <c r="BE79" s="142" t="str">
        <f>_xlfn.IFNA(VLOOKUP($BC79,Programma!$F$3:$H$1101,3,0),"")</f>
        <v/>
      </c>
      <c r="BF79" s="142" t="str">
        <f>_xlfn.IFNA(VLOOKUP($BC79,Programma!$F$3:$I$1101,4,0),"")</f>
        <v/>
      </c>
      <c r="BG79" s="142" t="str">
        <f>_xlfn.IFNA(VLOOKUP($BC79,Programma!$F$3:$J$1101,5,0),"")</f>
        <v/>
      </c>
      <c r="BH79" s="142" t="str">
        <f>_xlfn.IFNA(VLOOKUP($BC79,Programma!$F$3:$K$1101,6,0),"")</f>
        <v/>
      </c>
      <c r="BI79" s="142" t="str">
        <f>_xlfn.IFNA(VLOOKUP($BC79,Programma!$F$3:$L$1101,7,0),"")</f>
        <v/>
      </c>
      <c r="BJ79" s="142" t="str">
        <f>_xlfn.IFNA(VLOOKUP($BC79,Programma!$F$3:$M$1101,8,0),"")</f>
        <v/>
      </c>
      <c r="BK79" s="142" t="str">
        <f>_xlfn.IFNA(VLOOKUP($BC79,Programma!$F$3:$N$1101,9,0),"")</f>
        <v/>
      </c>
      <c r="BL79" s="142" t="str">
        <f>_xlfn.IFNA(VLOOKUP($BC79,Programma!$F$3:$O$1101,10,0),"")</f>
        <v/>
      </c>
      <c r="BM79" s="142" t="str">
        <f>_xlfn.IFNA(VLOOKUP($BC79,Programma!$F$3:$P$1101,11,0),"")</f>
        <v/>
      </c>
      <c r="BN79" s="142" t="str">
        <f>_xlfn.IFNA(VLOOKUP($BC79,Programma!$F$3:$Q$1101,12,0),"")</f>
        <v/>
      </c>
      <c r="BO79" s="142" t="str">
        <f>_xlfn.IFNA(VLOOKUP($BC79,Programma!$F$3:$R$1101,13,0),"")</f>
        <v/>
      </c>
      <c r="BP79" s="142" t="str">
        <f>_xlfn.IFNA(VLOOKUP($BC79,Programma!$F$3:$S$1101,14,0),"")</f>
        <v/>
      </c>
      <c r="BQ79" s="142" t="str">
        <f>_xlfn.IFNA(VLOOKUP($BC79,Programma!$F$3:$T$1101,15,0),"")</f>
        <v/>
      </c>
      <c r="BR79" s="142" t="str">
        <f>_xlfn.IFNA(VLOOKUP($BC79,Programma!$F$3:$U$1101,16,0),"")</f>
        <v/>
      </c>
      <c r="BS79" s="142" t="str">
        <f>_xlfn.IFNA(VLOOKUP($BC79,Programma!$F$3:$V$1101,17,0),"")</f>
        <v/>
      </c>
      <c r="BT79" s="142" t="str">
        <f>_xlfn.IFNA(VLOOKUP($BC79,Programma!$F$3:$W$1101,18,0),"")</f>
        <v/>
      </c>
      <c r="BU79" s="142" t="str">
        <f>_xlfn.IFNA(VLOOKUP($BC79,Programma!$F$3:$X$1101,19,0),"")</f>
        <v/>
      </c>
      <c r="BV79" s="142" t="str">
        <f>_xlfn.IFNA(VLOOKUP($BC79,Programma!$F$3:$Y$1101,20,0),"")</f>
        <v/>
      </c>
      <c r="BW79" s="28"/>
      <c r="BX79" s="28"/>
      <c r="BY79" s="28"/>
      <c r="BZ79" s="28"/>
      <c r="CA79" s="28"/>
      <c r="CB79" s="28"/>
      <c r="CC79" s="28"/>
      <c r="CD79" s="28"/>
      <c r="CE79" s="28"/>
      <c r="CF79" s="28"/>
      <c r="CG79" s="28"/>
      <c r="CH79" s="28"/>
      <c r="CI79" s="28"/>
      <c r="CJ79" s="28"/>
      <c r="CK79" s="28"/>
      <c r="CL79" s="28"/>
      <c r="CM79" s="28"/>
      <c r="CN79" s="28"/>
      <c r="CO79" s="28"/>
      <c r="CP79" s="28"/>
      <c r="CQ79" s="28"/>
      <c r="CR79" s="28"/>
      <c r="CS79" s="28"/>
      <c r="CT79" s="28"/>
      <c r="CU79" s="28"/>
      <c r="CV79" s="28"/>
      <c r="CW79" s="28"/>
      <c r="CX79" s="28"/>
      <c r="CY79" s="28"/>
      <c r="CZ79" s="28"/>
      <c r="DA79" s="28"/>
      <c r="DB79" s="28"/>
      <c r="DC79" s="28"/>
      <c r="DD79" s="28"/>
      <c r="DE79" s="28"/>
      <c r="DF79" s="28"/>
      <c r="DG79" s="28"/>
      <c r="DH79" s="28"/>
      <c r="DI79" s="28"/>
      <c r="DJ79" s="28"/>
      <c r="DK79" s="28"/>
      <c r="DL79" s="28"/>
      <c r="DM79" s="28"/>
      <c r="DN79" s="28"/>
      <c r="DO79" s="28"/>
      <c r="DP79" s="28"/>
      <c r="DQ79" s="28"/>
      <c r="DR79" s="28"/>
      <c r="DS79" s="28"/>
      <c r="DT79" s="28"/>
      <c r="DU79" s="28"/>
      <c r="DV79" s="28"/>
      <c r="DW79" s="28"/>
      <c r="DX79" s="28"/>
      <c r="DY79" s="28"/>
      <c r="DZ79" s="28"/>
      <c r="EA79" s="28"/>
      <c r="EB79" s="28"/>
      <c r="EC79" s="28"/>
      <c r="ED79" s="28"/>
      <c r="EE79" s="28"/>
      <c r="EF79" s="28"/>
      <c r="EG79" s="28"/>
      <c r="EH79" s="28"/>
      <c r="EI79" s="28"/>
      <c r="EJ79" s="28"/>
      <c r="EK79" s="28"/>
      <c r="EL79" s="28"/>
      <c r="EM79" s="28"/>
      <c r="EN79" s="28"/>
      <c r="EO79" s="28"/>
      <c r="EP79" s="28"/>
      <c r="EQ79" s="28"/>
      <c r="ER79" s="28"/>
      <c r="ES79" s="28"/>
      <c r="ET79" s="28"/>
      <c r="EU79" s="28"/>
      <c r="EV79" s="28"/>
      <c r="EW79" s="28"/>
      <c r="EX79" s="28"/>
      <c r="EY79" s="28"/>
      <c r="EZ79" s="28"/>
      <c r="FA79" s="28"/>
      <c r="FB79" s="28"/>
      <c r="FC79" s="28"/>
      <c r="FD79" s="28"/>
      <c r="FE79" s="28"/>
      <c r="FF79" s="28"/>
      <c r="FG79" s="28"/>
      <c r="FH79" s="28"/>
      <c r="FI79" s="28"/>
      <c r="FJ79" s="28"/>
      <c r="FK79" s="28"/>
      <c r="FL79" s="28"/>
      <c r="FM79" s="28"/>
      <c r="FN79" s="28"/>
      <c r="FO79" s="28"/>
      <c r="FP79" s="28"/>
      <c r="FQ79" s="28"/>
      <c r="FR79" s="28"/>
      <c r="FS79" s="28"/>
      <c r="FT79" s="28"/>
      <c r="FU79" s="28"/>
      <c r="FV79" s="28"/>
      <c r="FW79" s="28"/>
      <c r="FX79" s="28"/>
      <c r="FY79" s="28"/>
      <c r="FZ79" s="28"/>
      <c r="GA79" s="28"/>
      <c r="GB79" s="28"/>
      <c r="GC79" s="28"/>
      <c r="GD79" s="28"/>
      <c r="GE79" s="28"/>
      <c r="GF79" s="28"/>
      <c r="GG79" s="28"/>
      <c r="GH79" s="28"/>
      <c r="GI79" s="28"/>
      <c r="GJ79" s="28"/>
      <c r="GK79" s="28"/>
      <c r="GL79" s="28"/>
      <c r="GM79" s="28"/>
      <c r="GN79" s="28"/>
      <c r="GO79" s="28"/>
      <c r="GP79" s="28"/>
      <c r="GQ79" s="28"/>
      <c r="GR79" s="28"/>
      <c r="GS79" s="28"/>
      <c r="GT79" s="28"/>
      <c r="GU79" s="28"/>
      <c r="GV79" s="28"/>
      <c r="GW79" s="28"/>
      <c r="GX79" s="28"/>
      <c r="GY79" s="28"/>
      <c r="GZ79" s="28"/>
      <c r="HA79" s="28"/>
      <c r="HB79" s="28"/>
      <c r="HC79" s="28"/>
      <c r="HD79" s="28"/>
      <c r="HE79" s="28"/>
      <c r="HF79" s="28"/>
      <c r="HG79" s="28"/>
      <c r="HH79" s="28"/>
      <c r="HI79" s="28"/>
      <c r="HJ79" s="28"/>
      <c r="HK79" s="28"/>
    </row>
    <row r="80" spans="1:219" ht="15" customHeight="1">
      <c r="A80" s="100">
        <v>1</v>
      </c>
      <c r="B80" s="132" t="str">
        <f>VLOOKUP(Ruimtestaat[[#This Row],[Code]],Locaties[[Code]:[Locatie]],2,FALSE)</f>
        <v>Mirtehuis</v>
      </c>
      <c r="C80" s="132" t="str">
        <f>VLOOKUP(Ruimtestaat[[#This Row],[Code]],Locaties[[#All],[Code]:[Adres]],4,FALSE)</f>
        <v>Weseperweg 6</v>
      </c>
      <c r="D80" s="132" t="str">
        <f>VLOOKUP(Ruimtestaat[[#This Row],[Code]],Locaties[[#All],[Code]:[Postcode]],5,FALSE)</f>
        <v>8111 PK</v>
      </c>
      <c r="E80" s="132" t="str">
        <f>VLOOKUP(Ruimtestaat[[#This Row],[Code]],Locaties[#All],6,FALSE)</f>
        <v>Heeten</v>
      </c>
      <c r="F80" s="100"/>
      <c r="G80" s="100" t="s">
        <v>1675</v>
      </c>
      <c r="H80" s="344"/>
      <c r="I80" s="345" t="s">
        <v>1641</v>
      </c>
      <c r="J80" s="49">
        <v>20</v>
      </c>
      <c r="K80" s="140" t="str">
        <f>VLOOKUP(Ruimtestaat[[#This Row],[Ruimte code]],Ruimtegroepen[[#All],[Code]:[Ruimte omschrijving]],2,FALSE)</f>
        <v>Niet in Onderhoud</v>
      </c>
      <c r="L80" s="100" t="s">
        <v>101</v>
      </c>
      <c r="M80" s="345" t="s">
        <v>1642</v>
      </c>
      <c r="N80" s="133"/>
      <c r="O80" s="139"/>
      <c r="P80" s="134">
        <f>VLOOKUP(Ruimtestaat[[#This Row],[Ruimte code]],Ruimtegroepen[],4,FALSE)</f>
        <v>0</v>
      </c>
      <c r="Q80" s="100"/>
      <c r="R80" s="100"/>
      <c r="S80" s="100">
        <f>IF(Q80&gt;0,IF(RIGHT(Ruimtestaat[[#This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80" s="100">
        <f>IF(S80&gt;0,VLOOKUP($J80,Ruimtegroepen[],3,FALSE)*VLOOKUP($L80,Vloersoorten[],3,FALSE)*VLOOKUP($R80,Frequenties[],3,FALSE)*VLOOKUP($A80,Locaties[],3,FALSE),0)</f>
        <v>0</v>
      </c>
      <c r="U80" s="100">
        <f>Ruimtestaat[[#This Row],[Uitvoeringen werkdagen]]*Ruimtestaat[[#This Row],[Oppervlak (netto)]]</f>
        <v>0</v>
      </c>
      <c r="V80" s="135">
        <f>IF(T80&gt;0,Ruimtestaat[[#This Row],[Prest. (m2 /jaar) werkdagen]]/Ruimtestaat[[#This Row],[Norm (m2/uur) werkdagen]],0)</f>
        <v>0</v>
      </c>
      <c r="W80" s="136">
        <f>Ruimtestaat[[#This Row],[uren / jaar werkdagen]]*Tariefsopbouw!$E$35</f>
        <v>0</v>
      </c>
      <c r="X80" s="100"/>
      <c r="Y80" s="100">
        <f>IF(Ruimtestaat[[#This Row],[Frequentie weekend]]&gt;0,VALUE(LEFT(X80,1))*Q80,0)</f>
        <v>0</v>
      </c>
      <c r="Z80" s="99">
        <f>IF($Y80&gt;0,VLOOKUP($J80,Ruimtegroepen[],3,FALSE)*VLOOKUP($L80,Vloersoorten[],3,FALSE)*VLOOKUP($X80,Frequenties[],3,FALSE)*VLOOKUP(Ruimtestaat[[#This Row],[Code]],Locaties[],3,FALSE),0)</f>
        <v>0</v>
      </c>
      <c r="AA80" s="99">
        <f>Ruimtestaat[[#This Row],[Uitvoeringen weekend]]*Ruimtestaat[[#This Row],[Oppervlak (netto)]]</f>
        <v>0</v>
      </c>
      <c r="AB80" s="99">
        <f>IF(Z80&gt;0,Ruimtestaat[[#This Row],[Prest. (m2 /jaar) weekend]]/Ruimtestaat[[#This Row],[Norm (m2/uur) weekend]],0)</f>
        <v>0</v>
      </c>
      <c r="AC80" s="136">
        <f>Ruimtestaat[[#This Row],[uren / jaar weekend]]*Tariefsopbouw!$D$40</f>
        <v>0</v>
      </c>
      <c r="AD80" s="135">
        <f>Ruimtestaat[[#This Row],[Prest. (m2 /jaar) weekend]]+Ruimtestaat[[#This Row],[Prest. (m2 /jaar) werkdagen]]</f>
        <v>0</v>
      </c>
      <c r="AE80" s="135">
        <f>Ruimtestaat[[#This Row],[uren / jaar weekend]]+Ruimtestaat[[#This Row],[uren / jaar werkdagen]]</f>
        <v>0</v>
      </c>
      <c r="AF80" s="130">
        <f>Ruimtestaat[[#This Row],[kosten / jaar weekend]]+Ruimtestaat[[#This Row],[kosten / jaar werkdagen]]</f>
        <v>0</v>
      </c>
      <c r="AG80" s="130"/>
      <c r="AH80" s="137" t="str">
        <f>IF(Ruimtestaat[[#This Row],[Frequentie werkdagen]]="","",_xlfn.CONCAT(Ruimtestaat[[#This Row],[Ruimte code]],"-",Ruimtestaat[[#This Row],[Frequentie werkdagen]]," ",Ruimtestaat[[#This Row],[Vloer code]]))</f>
        <v/>
      </c>
      <c r="AI80" s="142" t="str">
        <f>_xlfn.IFNA(VLOOKUP($AH80,Programma!$F$3:$G$1101,2,0),"")</f>
        <v/>
      </c>
      <c r="AJ80" s="142" t="str">
        <f>_xlfn.IFNA(VLOOKUP($AH80,Programma!$F$3:$H$1101,3,0),"")</f>
        <v/>
      </c>
      <c r="AK80" s="142" t="str">
        <f>_xlfn.IFNA(VLOOKUP($AH80,Programma!$F$3:$I$1101,4,0),"")</f>
        <v/>
      </c>
      <c r="AL80" s="142" t="str">
        <f>_xlfn.IFNA(VLOOKUP($AH80,Programma!$F$3:$J$1101,5,0),"")</f>
        <v/>
      </c>
      <c r="AM80" s="142" t="str">
        <f>_xlfn.IFNA(VLOOKUP($AH80,Programma!$F$3:$K$1101,6,0),"")</f>
        <v/>
      </c>
      <c r="AN80" s="142" t="str">
        <f>_xlfn.IFNA(VLOOKUP($AH80,Programma!$F$3:$L$1101,7,0),"")</f>
        <v/>
      </c>
      <c r="AO80" s="142" t="str">
        <f>_xlfn.IFNA(VLOOKUP($AH80,Programma!$F$3:$M$1101,8,0),"")</f>
        <v/>
      </c>
      <c r="AP80" s="142" t="str">
        <f>_xlfn.IFNA(VLOOKUP($AH80,Programma!$F$3:$N$1101,9,0),"")</f>
        <v/>
      </c>
      <c r="AQ80" s="142" t="str">
        <f>_xlfn.IFNA(VLOOKUP($AH80,Programma!$F$3:$O$1101,10,0),"")</f>
        <v/>
      </c>
      <c r="AR80" s="142" t="str">
        <f>_xlfn.IFNA(VLOOKUP($AH80,Programma!$F$3:$P$1101,11,0),"")</f>
        <v/>
      </c>
      <c r="AS80" s="142" t="str">
        <f>_xlfn.IFNA(VLOOKUP($AH80,Programma!$F$3:$Q$1101,12,0),"")</f>
        <v/>
      </c>
      <c r="AT80" s="142" t="str">
        <f>_xlfn.IFNA(VLOOKUP($AH80,Programma!$F$3:$R$1101,13,0),"")</f>
        <v/>
      </c>
      <c r="AU80" s="142" t="str">
        <f>_xlfn.IFNA(VLOOKUP($AH80,Programma!$F$3:$S$1101,14,0),"")</f>
        <v/>
      </c>
      <c r="AV80" s="142" t="str">
        <f>_xlfn.IFNA(VLOOKUP($AH80,Programma!$F$3:$T$1101,15,0),"")</f>
        <v/>
      </c>
      <c r="AW80" s="142" t="str">
        <f>_xlfn.IFNA(VLOOKUP($AH80,Programma!$F$3:$U$1101,16,0),"")</f>
        <v/>
      </c>
      <c r="AX80" s="142" t="str">
        <f>_xlfn.IFNA(VLOOKUP($AH80,Programma!$F$3:$V$1101,17,0),"")</f>
        <v/>
      </c>
      <c r="AY80" s="142" t="str">
        <f>_xlfn.IFNA(VLOOKUP($AH80,Programma!$F$3:$W$1101,18,0),"")</f>
        <v/>
      </c>
      <c r="AZ80" s="142" t="str">
        <f>_xlfn.IFNA(VLOOKUP($AH80,Programma!$F$3:$X$1101,19,0),"")</f>
        <v/>
      </c>
      <c r="BA80" s="142" t="str">
        <f>_xlfn.IFNA(VLOOKUP($AH80,Programma!$F$3:$Y$1101,20,0),"")</f>
        <v/>
      </c>
      <c r="BB80" s="138"/>
      <c r="BC80" s="137" t="str">
        <f>IF(Ruimtestaat[[#This Row],[Frequentie weekend]]="","",_xlfn.CONCAT(Ruimtestaat[[#This Row],[Ruimte code]],"-",Ruimtestaat[[#This Row],[Frequentie weekend]]," ",Ruimtestaat[[#This Row],[Vloer code]]))</f>
        <v/>
      </c>
      <c r="BD80" s="142" t="str">
        <f>_xlfn.IFNA(VLOOKUP($BC80,Programma!$F$3:$G$1101,2,0),"")</f>
        <v/>
      </c>
      <c r="BE80" s="142" t="str">
        <f>_xlfn.IFNA(VLOOKUP($BC80,Programma!$F$3:$H$1101,3,0),"")</f>
        <v/>
      </c>
      <c r="BF80" s="142" t="str">
        <f>_xlfn.IFNA(VLOOKUP($BC80,Programma!$F$3:$I$1101,4,0),"")</f>
        <v/>
      </c>
      <c r="BG80" s="142" t="str">
        <f>_xlfn.IFNA(VLOOKUP($BC80,Programma!$F$3:$J$1101,5,0),"")</f>
        <v/>
      </c>
      <c r="BH80" s="142" t="str">
        <f>_xlfn.IFNA(VLOOKUP($BC80,Programma!$F$3:$K$1101,6,0),"")</f>
        <v/>
      </c>
      <c r="BI80" s="142" t="str">
        <f>_xlfn.IFNA(VLOOKUP($BC80,Programma!$F$3:$L$1101,7,0),"")</f>
        <v/>
      </c>
      <c r="BJ80" s="142" t="str">
        <f>_xlfn.IFNA(VLOOKUP($BC80,Programma!$F$3:$M$1101,8,0),"")</f>
        <v/>
      </c>
      <c r="BK80" s="142" t="str">
        <f>_xlfn.IFNA(VLOOKUP($BC80,Programma!$F$3:$N$1101,9,0),"")</f>
        <v/>
      </c>
      <c r="BL80" s="142" t="str">
        <f>_xlfn.IFNA(VLOOKUP($BC80,Programma!$F$3:$O$1101,10,0),"")</f>
        <v/>
      </c>
      <c r="BM80" s="142" t="str">
        <f>_xlfn.IFNA(VLOOKUP($BC80,Programma!$F$3:$P$1101,11,0),"")</f>
        <v/>
      </c>
      <c r="BN80" s="142" t="str">
        <f>_xlfn.IFNA(VLOOKUP($BC80,Programma!$F$3:$Q$1101,12,0),"")</f>
        <v/>
      </c>
      <c r="BO80" s="142" t="str">
        <f>_xlfn.IFNA(VLOOKUP($BC80,Programma!$F$3:$R$1101,13,0),"")</f>
        <v/>
      </c>
      <c r="BP80" s="142" t="str">
        <f>_xlfn.IFNA(VLOOKUP($BC80,Programma!$F$3:$S$1101,14,0),"")</f>
        <v/>
      </c>
      <c r="BQ80" s="142" t="str">
        <f>_xlfn.IFNA(VLOOKUP($BC80,Programma!$F$3:$T$1101,15,0),"")</f>
        <v/>
      </c>
      <c r="BR80" s="142" t="str">
        <f>_xlfn.IFNA(VLOOKUP($BC80,Programma!$F$3:$U$1101,16,0),"")</f>
        <v/>
      </c>
      <c r="BS80" s="142" t="str">
        <f>_xlfn.IFNA(VLOOKUP($BC80,Programma!$F$3:$V$1101,17,0),"")</f>
        <v/>
      </c>
      <c r="BT80" s="142" t="str">
        <f>_xlfn.IFNA(VLOOKUP($BC80,Programma!$F$3:$W$1101,18,0),"")</f>
        <v/>
      </c>
      <c r="BU80" s="142" t="str">
        <f>_xlfn.IFNA(VLOOKUP($BC80,Programma!$F$3:$X$1101,19,0),"")</f>
        <v/>
      </c>
      <c r="BV80" s="142" t="str">
        <f>_xlfn.IFNA(VLOOKUP($BC80,Programma!$F$3:$Y$1101,20,0),"")</f>
        <v/>
      </c>
      <c r="BW80" s="28"/>
      <c r="BX80" s="28"/>
      <c r="BY80" s="28"/>
      <c r="BZ80" s="28"/>
      <c r="CA80" s="28"/>
      <c r="CB80" s="28"/>
      <c r="CC80" s="28"/>
      <c r="CD80" s="28"/>
      <c r="CE80" s="28"/>
      <c r="CF80" s="28"/>
      <c r="CG80" s="28"/>
      <c r="CH80" s="28"/>
      <c r="CI80" s="28"/>
      <c r="CJ80" s="28"/>
      <c r="CK80" s="28"/>
      <c r="CL80" s="28"/>
      <c r="CM80" s="28"/>
      <c r="CN80" s="28"/>
      <c r="CO80" s="28"/>
      <c r="CP80" s="28"/>
      <c r="CQ80" s="28"/>
      <c r="CR80" s="28"/>
      <c r="CS80" s="28"/>
      <c r="CT80" s="28"/>
      <c r="CU80" s="28"/>
      <c r="CV80" s="28"/>
      <c r="CW80" s="28"/>
      <c r="CX80" s="28"/>
      <c r="CY80" s="28"/>
      <c r="CZ80" s="28"/>
      <c r="DA80" s="28"/>
      <c r="DB80" s="28"/>
      <c r="DC80" s="28"/>
      <c r="DD80" s="28"/>
      <c r="DE80" s="28"/>
      <c r="DF80" s="28"/>
      <c r="DG80" s="28"/>
      <c r="DH80" s="28"/>
      <c r="DI80" s="28"/>
      <c r="DJ80" s="28"/>
      <c r="DK80" s="28"/>
      <c r="DL80" s="28"/>
      <c r="DM80" s="28"/>
      <c r="DN80" s="28"/>
      <c r="DO80" s="28"/>
      <c r="DP80" s="28"/>
      <c r="DQ80" s="28"/>
      <c r="DR80" s="28"/>
      <c r="DS80" s="28"/>
      <c r="DT80" s="28"/>
      <c r="DU80" s="28"/>
      <c r="DV80" s="28"/>
      <c r="DW80" s="28"/>
      <c r="DX80" s="28"/>
      <c r="DY80" s="28"/>
      <c r="DZ80" s="28"/>
      <c r="EA80" s="28"/>
      <c r="EB80" s="28"/>
      <c r="EC80" s="28"/>
      <c r="ED80" s="28"/>
      <c r="EE80" s="28"/>
      <c r="EF80" s="28"/>
      <c r="EG80" s="28"/>
      <c r="EH80" s="28"/>
      <c r="EI80" s="28"/>
      <c r="EJ80" s="28"/>
      <c r="EK80" s="28"/>
      <c r="EL80" s="28"/>
      <c r="EM80" s="28"/>
      <c r="EN80" s="28"/>
      <c r="EO80" s="28"/>
      <c r="EP80" s="28"/>
      <c r="EQ80" s="28"/>
      <c r="ER80" s="28"/>
      <c r="ES80" s="28"/>
      <c r="ET80" s="28"/>
      <c r="EU80" s="28"/>
      <c r="EV80" s="28"/>
      <c r="EW80" s="28"/>
      <c r="EX80" s="28"/>
      <c r="EY80" s="28"/>
      <c r="EZ80" s="28"/>
      <c r="FA80" s="28"/>
      <c r="FB80" s="28"/>
      <c r="FC80" s="28"/>
      <c r="FD80" s="28"/>
      <c r="FE80" s="28"/>
      <c r="FF80" s="28"/>
      <c r="FG80" s="28"/>
      <c r="FH80" s="28"/>
      <c r="FI80" s="28"/>
      <c r="FJ80" s="28"/>
      <c r="FK80" s="28"/>
      <c r="FL80" s="28"/>
      <c r="FM80" s="28"/>
      <c r="FN80" s="28"/>
      <c r="FO80" s="28"/>
      <c r="FP80" s="28"/>
      <c r="FQ80" s="28"/>
      <c r="FR80" s="28"/>
      <c r="FS80" s="28"/>
      <c r="FT80" s="28"/>
      <c r="FU80" s="28"/>
      <c r="FV80" s="28"/>
      <c r="FW80" s="28"/>
      <c r="FX80" s="28"/>
      <c r="FY80" s="28"/>
      <c r="FZ80" s="28"/>
      <c r="GA80" s="28"/>
      <c r="GB80" s="28"/>
      <c r="GC80" s="28"/>
      <c r="GD80" s="28"/>
      <c r="GE80" s="28"/>
      <c r="GF80" s="28"/>
      <c r="GG80" s="28"/>
      <c r="GH80" s="28"/>
      <c r="GI80" s="28"/>
      <c r="GJ80" s="28"/>
      <c r="GK80" s="28"/>
      <c r="GL80" s="28"/>
      <c r="GM80" s="28"/>
      <c r="GN80" s="28"/>
      <c r="GO80" s="28"/>
      <c r="GP80" s="28"/>
      <c r="GQ80" s="28"/>
      <c r="GR80" s="28"/>
      <c r="GS80" s="28"/>
      <c r="GT80" s="28"/>
      <c r="GU80" s="28"/>
      <c r="GV80" s="28"/>
      <c r="GW80" s="28"/>
      <c r="GX80" s="28"/>
      <c r="GY80" s="28"/>
      <c r="GZ80" s="28"/>
      <c r="HA80" s="28"/>
      <c r="HB80" s="28"/>
      <c r="HC80" s="28"/>
      <c r="HD80" s="28"/>
      <c r="HE80" s="28"/>
      <c r="HF80" s="28"/>
      <c r="HG80" s="28"/>
      <c r="HH80" s="28"/>
      <c r="HI80" s="28"/>
      <c r="HJ80" s="28"/>
      <c r="HK80" s="28"/>
    </row>
    <row r="81" spans="1:219" ht="15" customHeight="1">
      <c r="A81" s="100">
        <v>1</v>
      </c>
      <c r="B81" s="132" t="str">
        <f>VLOOKUP(Ruimtestaat[[#This Row],[Code]],Locaties[[Code]:[Locatie]],2,FALSE)</f>
        <v>Mirtehuis</v>
      </c>
      <c r="C81" s="132" t="str">
        <f>VLOOKUP(Ruimtestaat[[#This Row],[Code]],Locaties[[#All],[Code]:[Adres]],4,FALSE)</f>
        <v>Weseperweg 6</v>
      </c>
      <c r="D81" s="132" t="str">
        <f>VLOOKUP(Ruimtestaat[[#This Row],[Code]],Locaties[[#All],[Code]:[Postcode]],5,FALSE)</f>
        <v>8111 PK</v>
      </c>
      <c r="E81" s="132" t="str">
        <f>VLOOKUP(Ruimtestaat[[#This Row],[Code]],Locaties[#All],6,FALSE)</f>
        <v>Heeten</v>
      </c>
      <c r="F81" s="100"/>
      <c r="G81" s="100" t="s">
        <v>1675</v>
      </c>
      <c r="H81" s="344"/>
      <c r="I81" s="345" t="s">
        <v>1635</v>
      </c>
      <c r="J81" s="49">
        <v>20</v>
      </c>
      <c r="K81" s="140" t="str">
        <f>VLOOKUP(Ruimtestaat[[#This Row],[Ruimte code]],Ruimtegroepen[[#All],[Code]:[Ruimte omschrijving]],2,FALSE)</f>
        <v>Niet in Onderhoud</v>
      </c>
      <c r="L81" s="100" t="s">
        <v>100</v>
      </c>
      <c r="M81" s="345" t="s">
        <v>1636</v>
      </c>
      <c r="N81" s="133"/>
      <c r="O81" s="139"/>
      <c r="P81" s="134">
        <f>VLOOKUP(Ruimtestaat[[#This Row],[Ruimte code]],Ruimtegroepen[],4,FALSE)</f>
        <v>0</v>
      </c>
      <c r="Q81" s="100"/>
      <c r="R81" s="100"/>
      <c r="S81" s="100">
        <f>IF(Q81&gt;0,IF(RIGHT(Ruimtestaat[[#This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81" s="100">
        <f>IF(S81&gt;0,VLOOKUP($J81,Ruimtegroepen[],3,FALSE)*VLOOKUP($L81,Vloersoorten[],3,FALSE)*VLOOKUP($R81,Frequenties[],3,FALSE)*VLOOKUP($A81,Locaties[],3,FALSE),0)</f>
        <v>0</v>
      </c>
      <c r="U81" s="100">
        <f>Ruimtestaat[[#This Row],[Uitvoeringen werkdagen]]*Ruimtestaat[[#This Row],[Oppervlak (netto)]]</f>
        <v>0</v>
      </c>
      <c r="V81" s="135">
        <f>IF(T81&gt;0,Ruimtestaat[[#This Row],[Prest. (m2 /jaar) werkdagen]]/Ruimtestaat[[#This Row],[Norm (m2/uur) werkdagen]],0)</f>
        <v>0</v>
      </c>
      <c r="W81" s="136">
        <f>Ruimtestaat[[#This Row],[uren / jaar werkdagen]]*Tariefsopbouw!$E$35</f>
        <v>0</v>
      </c>
      <c r="X81" s="100"/>
      <c r="Y81" s="100">
        <f>IF(Ruimtestaat[[#This Row],[Frequentie weekend]]&gt;0,VALUE(LEFT(X81,1))*Q81,0)</f>
        <v>0</v>
      </c>
      <c r="Z81" s="99">
        <f>IF($Y81&gt;0,VLOOKUP($J81,Ruimtegroepen[],3,FALSE)*VLOOKUP($L81,Vloersoorten[],3,FALSE)*VLOOKUP($X81,Frequenties[],3,FALSE)*VLOOKUP(Ruimtestaat[[#This Row],[Code]],Locaties[],3,FALSE),0)</f>
        <v>0</v>
      </c>
      <c r="AA81" s="99">
        <f>Ruimtestaat[[#This Row],[Uitvoeringen weekend]]*Ruimtestaat[[#This Row],[Oppervlak (netto)]]</f>
        <v>0</v>
      </c>
      <c r="AB81" s="99">
        <f>IF(Z81&gt;0,Ruimtestaat[[#This Row],[Prest. (m2 /jaar) weekend]]/Ruimtestaat[[#This Row],[Norm (m2/uur) weekend]],0)</f>
        <v>0</v>
      </c>
      <c r="AC81" s="136">
        <f>Ruimtestaat[[#This Row],[uren / jaar weekend]]*Tariefsopbouw!$D$40</f>
        <v>0</v>
      </c>
      <c r="AD81" s="135">
        <f>Ruimtestaat[[#This Row],[Prest. (m2 /jaar) weekend]]+Ruimtestaat[[#This Row],[Prest. (m2 /jaar) werkdagen]]</f>
        <v>0</v>
      </c>
      <c r="AE81" s="135">
        <f>Ruimtestaat[[#This Row],[uren / jaar weekend]]+Ruimtestaat[[#This Row],[uren / jaar werkdagen]]</f>
        <v>0</v>
      </c>
      <c r="AF81" s="130">
        <f>Ruimtestaat[[#This Row],[kosten / jaar weekend]]+Ruimtestaat[[#This Row],[kosten / jaar werkdagen]]</f>
        <v>0</v>
      </c>
      <c r="AG81" s="130"/>
      <c r="AH81" s="137" t="str">
        <f>IF(Ruimtestaat[[#This Row],[Frequentie werkdagen]]="","",_xlfn.CONCAT(Ruimtestaat[[#This Row],[Ruimte code]],"-",Ruimtestaat[[#This Row],[Frequentie werkdagen]]," ",Ruimtestaat[[#This Row],[Vloer code]]))</f>
        <v/>
      </c>
      <c r="AI81" s="142" t="str">
        <f>_xlfn.IFNA(VLOOKUP($AH81,Programma!$F$3:$G$1101,2,0),"")</f>
        <v/>
      </c>
      <c r="AJ81" s="142" t="str">
        <f>_xlfn.IFNA(VLOOKUP($AH81,Programma!$F$3:$H$1101,3,0),"")</f>
        <v/>
      </c>
      <c r="AK81" s="142" t="str">
        <f>_xlfn.IFNA(VLOOKUP($AH81,Programma!$F$3:$I$1101,4,0),"")</f>
        <v/>
      </c>
      <c r="AL81" s="142" t="str">
        <f>_xlfn.IFNA(VLOOKUP($AH81,Programma!$F$3:$J$1101,5,0),"")</f>
        <v/>
      </c>
      <c r="AM81" s="142" t="str">
        <f>_xlfn.IFNA(VLOOKUP($AH81,Programma!$F$3:$K$1101,6,0),"")</f>
        <v/>
      </c>
      <c r="AN81" s="142" t="str">
        <f>_xlfn.IFNA(VLOOKUP($AH81,Programma!$F$3:$L$1101,7,0),"")</f>
        <v/>
      </c>
      <c r="AO81" s="142" t="str">
        <f>_xlfn.IFNA(VLOOKUP($AH81,Programma!$F$3:$M$1101,8,0),"")</f>
        <v/>
      </c>
      <c r="AP81" s="142" t="str">
        <f>_xlfn.IFNA(VLOOKUP($AH81,Programma!$F$3:$N$1101,9,0),"")</f>
        <v/>
      </c>
      <c r="AQ81" s="142" t="str">
        <f>_xlfn.IFNA(VLOOKUP($AH81,Programma!$F$3:$O$1101,10,0),"")</f>
        <v/>
      </c>
      <c r="AR81" s="142" t="str">
        <f>_xlfn.IFNA(VLOOKUP($AH81,Programma!$F$3:$P$1101,11,0),"")</f>
        <v/>
      </c>
      <c r="AS81" s="142" t="str">
        <f>_xlfn.IFNA(VLOOKUP($AH81,Programma!$F$3:$Q$1101,12,0),"")</f>
        <v/>
      </c>
      <c r="AT81" s="142" t="str">
        <f>_xlfn.IFNA(VLOOKUP($AH81,Programma!$F$3:$R$1101,13,0),"")</f>
        <v/>
      </c>
      <c r="AU81" s="142" t="str">
        <f>_xlfn.IFNA(VLOOKUP($AH81,Programma!$F$3:$S$1101,14,0),"")</f>
        <v/>
      </c>
      <c r="AV81" s="142" t="str">
        <f>_xlfn.IFNA(VLOOKUP($AH81,Programma!$F$3:$T$1101,15,0),"")</f>
        <v/>
      </c>
      <c r="AW81" s="142" t="str">
        <f>_xlfn.IFNA(VLOOKUP($AH81,Programma!$F$3:$U$1101,16,0),"")</f>
        <v/>
      </c>
      <c r="AX81" s="142" t="str">
        <f>_xlfn.IFNA(VLOOKUP($AH81,Programma!$F$3:$V$1101,17,0),"")</f>
        <v/>
      </c>
      <c r="AY81" s="142" t="str">
        <f>_xlfn.IFNA(VLOOKUP($AH81,Programma!$F$3:$W$1101,18,0),"")</f>
        <v/>
      </c>
      <c r="AZ81" s="142" t="str">
        <f>_xlfn.IFNA(VLOOKUP($AH81,Programma!$F$3:$X$1101,19,0),"")</f>
        <v/>
      </c>
      <c r="BA81" s="142" t="str">
        <f>_xlfn.IFNA(VLOOKUP($AH81,Programma!$F$3:$Y$1101,20,0),"")</f>
        <v/>
      </c>
      <c r="BB81" s="138"/>
      <c r="BC81" s="137" t="str">
        <f>IF(Ruimtestaat[[#This Row],[Frequentie weekend]]="","",_xlfn.CONCAT(Ruimtestaat[[#This Row],[Ruimte code]],"-",Ruimtestaat[[#This Row],[Frequentie weekend]]," ",Ruimtestaat[[#This Row],[Vloer code]]))</f>
        <v/>
      </c>
      <c r="BD81" s="142" t="str">
        <f>_xlfn.IFNA(VLOOKUP($BC81,Programma!$F$3:$G$1101,2,0),"")</f>
        <v/>
      </c>
      <c r="BE81" s="142" t="str">
        <f>_xlfn.IFNA(VLOOKUP($BC81,Programma!$F$3:$H$1101,3,0),"")</f>
        <v/>
      </c>
      <c r="BF81" s="142" t="str">
        <f>_xlfn.IFNA(VLOOKUP($BC81,Programma!$F$3:$I$1101,4,0),"")</f>
        <v/>
      </c>
      <c r="BG81" s="142" t="str">
        <f>_xlfn.IFNA(VLOOKUP($BC81,Programma!$F$3:$J$1101,5,0),"")</f>
        <v/>
      </c>
      <c r="BH81" s="142" t="str">
        <f>_xlfn.IFNA(VLOOKUP($BC81,Programma!$F$3:$K$1101,6,0),"")</f>
        <v/>
      </c>
      <c r="BI81" s="142" t="str">
        <f>_xlfn.IFNA(VLOOKUP($BC81,Programma!$F$3:$L$1101,7,0),"")</f>
        <v/>
      </c>
      <c r="BJ81" s="142" t="str">
        <f>_xlfn.IFNA(VLOOKUP($BC81,Programma!$F$3:$M$1101,8,0),"")</f>
        <v/>
      </c>
      <c r="BK81" s="142" t="str">
        <f>_xlfn.IFNA(VLOOKUP($BC81,Programma!$F$3:$N$1101,9,0),"")</f>
        <v/>
      </c>
      <c r="BL81" s="142" t="str">
        <f>_xlfn.IFNA(VLOOKUP($BC81,Programma!$F$3:$O$1101,10,0),"")</f>
        <v/>
      </c>
      <c r="BM81" s="142" t="str">
        <f>_xlfn.IFNA(VLOOKUP($BC81,Programma!$F$3:$P$1101,11,0),"")</f>
        <v/>
      </c>
      <c r="BN81" s="142" t="str">
        <f>_xlfn.IFNA(VLOOKUP($BC81,Programma!$F$3:$Q$1101,12,0),"")</f>
        <v/>
      </c>
      <c r="BO81" s="142" t="str">
        <f>_xlfn.IFNA(VLOOKUP($BC81,Programma!$F$3:$R$1101,13,0),"")</f>
        <v/>
      </c>
      <c r="BP81" s="142" t="str">
        <f>_xlfn.IFNA(VLOOKUP($BC81,Programma!$F$3:$S$1101,14,0),"")</f>
        <v/>
      </c>
      <c r="BQ81" s="142" t="str">
        <f>_xlfn.IFNA(VLOOKUP($BC81,Programma!$F$3:$T$1101,15,0),"")</f>
        <v/>
      </c>
      <c r="BR81" s="142" t="str">
        <f>_xlfn.IFNA(VLOOKUP($BC81,Programma!$F$3:$U$1101,16,0),"")</f>
        <v/>
      </c>
      <c r="BS81" s="142" t="str">
        <f>_xlfn.IFNA(VLOOKUP($BC81,Programma!$F$3:$V$1101,17,0),"")</f>
        <v/>
      </c>
      <c r="BT81" s="142" t="str">
        <f>_xlfn.IFNA(VLOOKUP($BC81,Programma!$F$3:$W$1101,18,0),"")</f>
        <v/>
      </c>
      <c r="BU81" s="142" t="str">
        <f>_xlfn.IFNA(VLOOKUP($BC81,Programma!$F$3:$X$1101,19,0),"")</f>
        <v/>
      </c>
      <c r="BV81" s="142" t="str">
        <f>_xlfn.IFNA(VLOOKUP($BC81,Programma!$F$3:$Y$1101,20,0),"")</f>
        <v/>
      </c>
      <c r="BW81" s="28"/>
      <c r="BX81" s="28"/>
      <c r="BY81" s="28"/>
      <c r="BZ81" s="28"/>
      <c r="CA81" s="28"/>
      <c r="CB81" s="28"/>
      <c r="CC81" s="28"/>
      <c r="CD81" s="28"/>
      <c r="CE81" s="28"/>
      <c r="CF81" s="28"/>
      <c r="CG81" s="28"/>
      <c r="CH81" s="28"/>
      <c r="CI81" s="28"/>
      <c r="CJ81" s="28"/>
      <c r="CK81" s="28"/>
      <c r="CL81" s="28"/>
      <c r="CM81" s="28"/>
      <c r="CN81" s="28"/>
      <c r="CO81" s="28"/>
      <c r="CP81" s="28"/>
      <c r="CQ81" s="28"/>
      <c r="CR81" s="28"/>
      <c r="CS81" s="28"/>
      <c r="CT81" s="28"/>
      <c r="CU81" s="28"/>
      <c r="CV81" s="28"/>
      <c r="CW81" s="28"/>
      <c r="CX81" s="28"/>
      <c r="CY81" s="28"/>
      <c r="CZ81" s="28"/>
      <c r="DA81" s="28"/>
      <c r="DB81" s="28"/>
      <c r="DC81" s="28"/>
      <c r="DD81" s="28"/>
      <c r="DE81" s="28"/>
      <c r="DF81" s="28"/>
      <c r="DG81" s="28"/>
      <c r="DH81" s="28"/>
      <c r="DI81" s="28"/>
      <c r="DJ81" s="28"/>
      <c r="DK81" s="28"/>
      <c r="DL81" s="28"/>
      <c r="DM81" s="28"/>
      <c r="DN81" s="28"/>
      <c r="DO81" s="28"/>
      <c r="DP81" s="28"/>
      <c r="DQ81" s="28"/>
      <c r="DR81" s="28"/>
      <c r="DS81" s="28"/>
      <c r="DT81" s="28"/>
      <c r="DU81" s="28"/>
      <c r="DV81" s="28"/>
      <c r="DW81" s="28"/>
      <c r="DX81" s="28"/>
      <c r="DY81" s="28"/>
      <c r="DZ81" s="28"/>
      <c r="EA81" s="28"/>
      <c r="EB81" s="28"/>
      <c r="EC81" s="28"/>
      <c r="ED81" s="28"/>
      <c r="EE81" s="28"/>
      <c r="EF81" s="28"/>
      <c r="EG81" s="28"/>
      <c r="EH81" s="28"/>
      <c r="EI81" s="28"/>
      <c r="EJ81" s="28"/>
      <c r="EK81" s="28"/>
      <c r="EL81" s="28"/>
      <c r="EM81" s="28"/>
      <c r="EN81" s="28"/>
      <c r="EO81" s="28"/>
      <c r="EP81" s="28"/>
      <c r="EQ81" s="28"/>
      <c r="ER81" s="28"/>
      <c r="ES81" s="28"/>
      <c r="ET81" s="28"/>
      <c r="EU81" s="28"/>
      <c r="EV81" s="28"/>
      <c r="EW81" s="28"/>
      <c r="EX81" s="28"/>
      <c r="EY81" s="28"/>
      <c r="EZ81" s="28"/>
      <c r="FA81" s="28"/>
      <c r="FB81" s="28"/>
      <c r="FC81" s="28"/>
      <c r="FD81" s="28"/>
      <c r="FE81" s="28"/>
      <c r="FF81" s="28"/>
      <c r="FG81" s="28"/>
      <c r="FH81" s="28"/>
      <c r="FI81" s="28"/>
      <c r="FJ81" s="28"/>
      <c r="FK81" s="28"/>
      <c r="FL81" s="28"/>
      <c r="FM81" s="28"/>
      <c r="FN81" s="28"/>
      <c r="FO81" s="28"/>
      <c r="FP81" s="28"/>
      <c r="FQ81" s="28"/>
      <c r="FR81" s="28"/>
      <c r="FS81" s="28"/>
      <c r="FT81" s="28"/>
      <c r="FU81" s="28"/>
      <c r="FV81" s="28"/>
      <c r="FW81" s="28"/>
      <c r="FX81" s="28"/>
      <c r="FY81" s="28"/>
      <c r="FZ81" s="28"/>
      <c r="GA81" s="28"/>
      <c r="GB81" s="28"/>
      <c r="GC81" s="28"/>
      <c r="GD81" s="28"/>
      <c r="GE81" s="28"/>
      <c r="GF81" s="28"/>
      <c r="GG81" s="28"/>
      <c r="GH81" s="28"/>
      <c r="GI81" s="28"/>
      <c r="GJ81" s="28"/>
      <c r="GK81" s="28"/>
      <c r="GL81" s="28"/>
      <c r="GM81" s="28"/>
      <c r="GN81" s="28"/>
      <c r="GO81" s="28"/>
      <c r="GP81" s="28"/>
      <c r="GQ81" s="28"/>
      <c r="GR81" s="28"/>
      <c r="GS81" s="28"/>
      <c r="GT81" s="28"/>
      <c r="GU81" s="28"/>
      <c r="GV81" s="28"/>
      <c r="GW81" s="28"/>
      <c r="GX81" s="28"/>
      <c r="GY81" s="28"/>
      <c r="GZ81" s="28"/>
      <c r="HA81" s="28"/>
      <c r="HB81" s="28"/>
      <c r="HC81" s="28"/>
      <c r="HD81" s="28"/>
      <c r="HE81" s="28"/>
      <c r="HF81" s="28"/>
      <c r="HG81" s="28"/>
      <c r="HH81" s="28"/>
      <c r="HI81" s="28"/>
      <c r="HJ81" s="28"/>
      <c r="HK81" s="28"/>
    </row>
    <row r="82" spans="1:219" ht="15" customHeight="1">
      <c r="A82" s="100">
        <v>1</v>
      </c>
      <c r="B82" s="132" t="str">
        <f>VLOOKUP(Ruimtestaat[[#This Row],[Code]],Locaties[[Code]:[Locatie]],2,FALSE)</f>
        <v>Mirtehuis</v>
      </c>
      <c r="C82" s="132" t="str">
        <f>VLOOKUP(Ruimtestaat[[#This Row],[Code]],Locaties[[#All],[Code]:[Adres]],4,FALSE)</f>
        <v>Weseperweg 6</v>
      </c>
      <c r="D82" s="132" t="str">
        <f>VLOOKUP(Ruimtestaat[[#This Row],[Code]],Locaties[[#All],[Code]:[Postcode]],5,FALSE)</f>
        <v>8111 PK</v>
      </c>
      <c r="E82" s="132" t="str">
        <f>VLOOKUP(Ruimtestaat[[#This Row],[Code]],Locaties[#All],6,FALSE)</f>
        <v>Heeten</v>
      </c>
      <c r="F82" s="100"/>
      <c r="G82" s="100" t="s">
        <v>1675</v>
      </c>
      <c r="H82" s="344"/>
      <c r="I82" s="345" t="s">
        <v>1650</v>
      </c>
      <c r="J82" s="49">
        <v>20</v>
      </c>
      <c r="K82" s="140" t="str">
        <f>VLOOKUP(Ruimtestaat[[#This Row],[Ruimte code]],Ruimtegroepen[[#All],[Code]:[Ruimte omschrijving]],2,FALSE)</f>
        <v>Niet in Onderhoud</v>
      </c>
      <c r="L82" s="100" t="s">
        <v>100</v>
      </c>
      <c r="M82" s="345" t="s">
        <v>1636</v>
      </c>
      <c r="N82" s="133"/>
      <c r="O82" s="100"/>
      <c r="P82" s="134">
        <f>VLOOKUP(Ruimtestaat[[#This Row],[Ruimte code]],Ruimtegroepen[],4,FALSE)</f>
        <v>0</v>
      </c>
      <c r="Q82" s="100"/>
      <c r="R82" s="100"/>
      <c r="S82" s="100">
        <f>IF(Q82&gt;0,IF(RIGHT(Ruimtestaat[[#This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82" s="100">
        <f>IF(S82&gt;0,VLOOKUP($J82,Ruimtegroepen[],3,FALSE)*VLOOKUP($L82,Vloersoorten[],3,FALSE)*VLOOKUP($R82,Frequenties[],3,FALSE)*VLOOKUP($A82,Locaties[],3,FALSE),0)</f>
        <v>0</v>
      </c>
      <c r="U82" s="100">
        <f>Ruimtestaat[[#This Row],[Uitvoeringen werkdagen]]*Ruimtestaat[[#This Row],[Oppervlak (netto)]]</f>
        <v>0</v>
      </c>
      <c r="V82" s="135">
        <f>IF(T82&gt;0,Ruimtestaat[[#This Row],[Prest. (m2 /jaar) werkdagen]]/Ruimtestaat[[#This Row],[Norm (m2/uur) werkdagen]],0)</f>
        <v>0</v>
      </c>
      <c r="W82" s="136">
        <f>Ruimtestaat[[#This Row],[uren / jaar werkdagen]]*Tariefsopbouw!$E$35</f>
        <v>0</v>
      </c>
      <c r="X82" s="100"/>
      <c r="Y82" s="100">
        <f>IF(Ruimtestaat[[#This Row],[Frequentie weekend]]&gt;0,VALUE(LEFT(X82,1))*Q82,0)</f>
        <v>0</v>
      </c>
      <c r="Z82" s="99">
        <f>IF($Y82&gt;0,VLOOKUP($J82,Ruimtegroepen[],3,FALSE)*VLOOKUP($L82,Vloersoorten[],3,FALSE)*VLOOKUP($X82,Frequenties[],3,FALSE)*VLOOKUP(Ruimtestaat[[#This Row],[Code]],Locaties[],3,FALSE),0)</f>
        <v>0</v>
      </c>
      <c r="AA82" s="99">
        <f>Ruimtestaat[[#This Row],[Uitvoeringen weekend]]*Ruimtestaat[[#This Row],[Oppervlak (netto)]]</f>
        <v>0</v>
      </c>
      <c r="AB82" s="99">
        <f>IF(Z82&gt;0,Ruimtestaat[[#This Row],[Prest. (m2 /jaar) weekend]]/Ruimtestaat[[#This Row],[Norm (m2/uur) weekend]],0)</f>
        <v>0</v>
      </c>
      <c r="AC82" s="136">
        <f>Ruimtestaat[[#This Row],[uren / jaar weekend]]*Tariefsopbouw!$D$40</f>
        <v>0</v>
      </c>
      <c r="AD82" s="135">
        <f>Ruimtestaat[[#This Row],[Prest. (m2 /jaar) weekend]]+Ruimtestaat[[#This Row],[Prest. (m2 /jaar) werkdagen]]</f>
        <v>0</v>
      </c>
      <c r="AE82" s="135">
        <f>Ruimtestaat[[#This Row],[uren / jaar weekend]]+Ruimtestaat[[#This Row],[uren / jaar werkdagen]]</f>
        <v>0</v>
      </c>
      <c r="AF82" s="130">
        <f>Ruimtestaat[[#This Row],[kosten / jaar weekend]]+Ruimtestaat[[#This Row],[kosten / jaar werkdagen]]</f>
        <v>0</v>
      </c>
      <c r="AG82" s="130"/>
      <c r="AH82" s="137" t="str">
        <f>IF(Ruimtestaat[[#This Row],[Frequentie werkdagen]]="","",_xlfn.CONCAT(Ruimtestaat[[#This Row],[Ruimte code]],"-",Ruimtestaat[[#This Row],[Frequentie werkdagen]]," ",Ruimtestaat[[#This Row],[Vloer code]]))</f>
        <v/>
      </c>
      <c r="AI82" s="142" t="str">
        <f>_xlfn.IFNA(VLOOKUP($AH82,Programma!$F$3:$G$1101,2,0),"")</f>
        <v/>
      </c>
      <c r="AJ82" s="142" t="str">
        <f>_xlfn.IFNA(VLOOKUP($AH82,Programma!$F$3:$H$1101,3,0),"")</f>
        <v/>
      </c>
      <c r="AK82" s="142" t="str">
        <f>_xlfn.IFNA(VLOOKUP($AH82,Programma!$F$3:$I$1101,4,0),"")</f>
        <v/>
      </c>
      <c r="AL82" s="142" t="str">
        <f>_xlfn.IFNA(VLOOKUP($AH82,Programma!$F$3:$J$1101,5,0),"")</f>
        <v/>
      </c>
      <c r="AM82" s="142" t="str">
        <f>_xlfn.IFNA(VLOOKUP($AH82,Programma!$F$3:$K$1101,6,0),"")</f>
        <v/>
      </c>
      <c r="AN82" s="142" t="str">
        <f>_xlfn.IFNA(VLOOKUP($AH82,Programma!$F$3:$L$1101,7,0),"")</f>
        <v/>
      </c>
      <c r="AO82" s="142" t="str">
        <f>_xlfn.IFNA(VLOOKUP($AH82,Programma!$F$3:$M$1101,8,0),"")</f>
        <v/>
      </c>
      <c r="AP82" s="142" t="str">
        <f>_xlfn.IFNA(VLOOKUP($AH82,Programma!$F$3:$N$1101,9,0),"")</f>
        <v/>
      </c>
      <c r="AQ82" s="142" t="str">
        <f>_xlfn.IFNA(VLOOKUP($AH82,Programma!$F$3:$O$1101,10,0),"")</f>
        <v/>
      </c>
      <c r="AR82" s="142" t="str">
        <f>_xlfn.IFNA(VLOOKUP($AH82,Programma!$F$3:$P$1101,11,0),"")</f>
        <v/>
      </c>
      <c r="AS82" s="142" t="str">
        <f>_xlfn.IFNA(VLOOKUP($AH82,Programma!$F$3:$Q$1101,12,0),"")</f>
        <v/>
      </c>
      <c r="AT82" s="142" t="str">
        <f>_xlfn.IFNA(VLOOKUP($AH82,Programma!$F$3:$R$1101,13,0),"")</f>
        <v/>
      </c>
      <c r="AU82" s="142" t="str">
        <f>_xlfn.IFNA(VLOOKUP($AH82,Programma!$F$3:$S$1101,14,0),"")</f>
        <v/>
      </c>
      <c r="AV82" s="142" t="str">
        <f>_xlfn.IFNA(VLOOKUP($AH82,Programma!$F$3:$T$1101,15,0),"")</f>
        <v/>
      </c>
      <c r="AW82" s="142" t="str">
        <f>_xlfn.IFNA(VLOOKUP($AH82,Programma!$F$3:$U$1101,16,0),"")</f>
        <v/>
      </c>
      <c r="AX82" s="142" t="str">
        <f>_xlfn.IFNA(VLOOKUP($AH82,Programma!$F$3:$V$1101,17,0),"")</f>
        <v/>
      </c>
      <c r="AY82" s="142" t="str">
        <f>_xlfn.IFNA(VLOOKUP($AH82,Programma!$F$3:$W$1101,18,0),"")</f>
        <v/>
      </c>
      <c r="AZ82" s="142" t="str">
        <f>_xlfn.IFNA(VLOOKUP($AH82,Programma!$F$3:$X$1101,19,0),"")</f>
        <v/>
      </c>
      <c r="BA82" s="142" t="str">
        <f>_xlfn.IFNA(VLOOKUP($AH82,Programma!$F$3:$Y$1101,20,0),"")</f>
        <v/>
      </c>
      <c r="BB82" s="138"/>
      <c r="BC82" s="137" t="str">
        <f>IF(Ruimtestaat[[#This Row],[Frequentie weekend]]="","",_xlfn.CONCAT(Ruimtestaat[[#This Row],[Ruimte code]],"-",Ruimtestaat[[#This Row],[Frequentie weekend]]," ",Ruimtestaat[[#This Row],[Vloer code]]))</f>
        <v/>
      </c>
      <c r="BD82" s="142" t="str">
        <f>_xlfn.IFNA(VLOOKUP($BC82,Programma!$F$3:$G$1101,2,0),"")</f>
        <v/>
      </c>
      <c r="BE82" s="142" t="str">
        <f>_xlfn.IFNA(VLOOKUP($BC82,Programma!$F$3:$H$1101,3,0),"")</f>
        <v/>
      </c>
      <c r="BF82" s="142" t="str">
        <f>_xlfn.IFNA(VLOOKUP($BC82,Programma!$F$3:$I$1101,4,0),"")</f>
        <v/>
      </c>
      <c r="BG82" s="142" t="str">
        <f>_xlfn.IFNA(VLOOKUP($BC82,Programma!$F$3:$J$1101,5,0),"")</f>
        <v/>
      </c>
      <c r="BH82" s="142" t="str">
        <f>_xlfn.IFNA(VLOOKUP($BC82,Programma!$F$3:$K$1101,6,0),"")</f>
        <v/>
      </c>
      <c r="BI82" s="142" t="str">
        <f>_xlfn.IFNA(VLOOKUP($BC82,Programma!$F$3:$L$1101,7,0),"")</f>
        <v/>
      </c>
      <c r="BJ82" s="142" t="str">
        <f>_xlfn.IFNA(VLOOKUP($BC82,Programma!$F$3:$M$1101,8,0),"")</f>
        <v/>
      </c>
      <c r="BK82" s="142" t="str">
        <f>_xlfn.IFNA(VLOOKUP($BC82,Programma!$F$3:$N$1101,9,0),"")</f>
        <v/>
      </c>
      <c r="BL82" s="142" t="str">
        <f>_xlfn.IFNA(VLOOKUP($BC82,Programma!$F$3:$O$1101,10,0),"")</f>
        <v/>
      </c>
      <c r="BM82" s="142" t="str">
        <f>_xlfn.IFNA(VLOOKUP($BC82,Programma!$F$3:$P$1101,11,0),"")</f>
        <v/>
      </c>
      <c r="BN82" s="142" t="str">
        <f>_xlfn.IFNA(VLOOKUP($BC82,Programma!$F$3:$Q$1101,12,0),"")</f>
        <v/>
      </c>
      <c r="BO82" s="142" t="str">
        <f>_xlfn.IFNA(VLOOKUP($BC82,Programma!$F$3:$R$1101,13,0),"")</f>
        <v/>
      </c>
      <c r="BP82" s="142" t="str">
        <f>_xlfn.IFNA(VLOOKUP($BC82,Programma!$F$3:$S$1101,14,0),"")</f>
        <v/>
      </c>
      <c r="BQ82" s="142" t="str">
        <f>_xlfn.IFNA(VLOOKUP($BC82,Programma!$F$3:$T$1101,15,0),"")</f>
        <v/>
      </c>
      <c r="BR82" s="142" t="str">
        <f>_xlfn.IFNA(VLOOKUP($BC82,Programma!$F$3:$U$1101,16,0),"")</f>
        <v/>
      </c>
      <c r="BS82" s="142" t="str">
        <f>_xlfn.IFNA(VLOOKUP($BC82,Programma!$F$3:$V$1101,17,0),"")</f>
        <v/>
      </c>
      <c r="BT82" s="142" t="str">
        <f>_xlfn.IFNA(VLOOKUP($BC82,Programma!$F$3:$W$1101,18,0),"")</f>
        <v/>
      </c>
      <c r="BU82" s="142" t="str">
        <f>_xlfn.IFNA(VLOOKUP($BC82,Programma!$F$3:$X$1101,19,0),"")</f>
        <v/>
      </c>
      <c r="BV82" s="142" t="str">
        <f>_xlfn.IFNA(VLOOKUP($BC82,Programma!$F$3:$Y$1101,20,0),"")</f>
        <v/>
      </c>
      <c r="BW82" s="28"/>
      <c r="BX82" s="28"/>
      <c r="BY82" s="28"/>
      <c r="BZ82" s="28"/>
      <c r="CA82" s="28"/>
      <c r="CB82" s="28"/>
      <c r="CC82" s="28"/>
      <c r="CD82" s="28"/>
      <c r="CE82" s="28"/>
      <c r="CF82" s="28"/>
      <c r="CG82" s="28"/>
      <c r="CH82" s="28"/>
      <c r="CI82" s="28"/>
      <c r="CJ82" s="28"/>
      <c r="CK82" s="28"/>
      <c r="CL82" s="28"/>
      <c r="CM82" s="28"/>
      <c r="CN82" s="28"/>
      <c r="CO82" s="28"/>
      <c r="CP82" s="28"/>
      <c r="CQ82" s="28"/>
      <c r="CR82" s="28"/>
      <c r="CS82" s="28"/>
      <c r="CT82" s="28"/>
      <c r="CU82" s="28"/>
      <c r="CV82" s="28"/>
      <c r="CW82" s="28"/>
      <c r="CX82" s="28"/>
      <c r="CY82" s="28"/>
      <c r="CZ82" s="28"/>
      <c r="DA82" s="28"/>
      <c r="DB82" s="28"/>
      <c r="DC82" s="28"/>
      <c r="DD82" s="28"/>
      <c r="DE82" s="28"/>
      <c r="DF82" s="28"/>
      <c r="DG82" s="28"/>
      <c r="DH82" s="28"/>
      <c r="DI82" s="28"/>
      <c r="DJ82" s="28"/>
      <c r="DK82" s="28"/>
      <c r="DL82" s="28"/>
      <c r="DM82" s="28"/>
      <c r="DN82" s="28"/>
      <c r="DO82" s="28"/>
      <c r="DP82" s="28"/>
      <c r="DQ82" s="28"/>
      <c r="DR82" s="28"/>
      <c r="DS82" s="28"/>
      <c r="DT82" s="28"/>
      <c r="DU82" s="28"/>
      <c r="DV82" s="28"/>
      <c r="DW82" s="28"/>
      <c r="DX82" s="28"/>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row>
    <row r="83" spans="1:219" ht="15" customHeight="1">
      <c r="A83" s="100">
        <v>1</v>
      </c>
      <c r="B83" s="132" t="str">
        <f>VLOOKUP(Ruimtestaat[[#This Row],[Code]],Locaties[[Code]:[Locatie]],2,FALSE)</f>
        <v>Mirtehuis</v>
      </c>
      <c r="C83" s="132" t="str">
        <f>VLOOKUP(Ruimtestaat[[#This Row],[Code]],Locaties[[#All],[Code]:[Adres]],4,FALSE)</f>
        <v>Weseperweg 6</v>
      </c>
      <c r="D83" s="132" t="str">
        <f>VLOOKUP(Ruimtestaat[[#This Row],[Code]],Locaties[[#All],[Code]:[Postcode]],5,FALSE)</f>
        <v>8111 PK</v>
      </c>
      <c r="E83" s="132" t="str">
        <f>VLOOKUP(Ruimtestaat[[#This Row],[Code]],Locaties[#All],6,FALSE)</f>
        <v>Heeten</v>
      </c>
      <c r="F83" s="100"/>
      <c r="G83" s="100" t="s">
        <v>1675</v>
      </c>
      <c r="H83" s="344" t="s">
        <v>1671</v>
      </c>
      <c r="I83" s="345" t="s">
        <v>1656</v>
      </c>
      <c r="J83" s="49">
        <v>20</v>
      </c>
      <c r="K83" s="140" t="str">
        <f>VLOOKUP(Ruimtestaat[[#This Row],[Ruimte code]],Ruimtegroepen[[#All],[Code]:[Ruimte omschrijving]],2,FALSE)</f>
        <v>Niet in Onderhoud</v>
      </c>
      <c r="L83" s="100" t="s">
        <v>100</v>
      </c>
      <c r="M83" s="345" t="s">
        <v>1636</v>
      </c>
      <c r="N83" s="133"/>
      <c r="O83" s="139"/>
      <c r="P83" s="134">
        <f>VLOOKUP(Ruimtestaat[[#This Row],[Ruimte code]],Ruimtegroepen[],4,FALSE)</f>
        <v>0</v>
      </c>
      <c r="Q83" s="100"/>
      <c r="R83" s="100"/>
      <c r="S83" s="100">
        <f>IF(Q83&gt;0,IF(RIGHT(Ruimtestaat[[#This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83" s="100">
        <f>IF(S83&gt;0,VLOOKUP($J83,Ruimtegroepen[],3,FALSE)*VLOOKUP($L83,Vloersoorten[],3,FALSE)*VLOOKUP($R83,Frequenties[],3,FALSE)*VLOOKUP($A83,Locaties[],3,FALSE),0)</f>
        <v>0</v>
      </c>
      <c r="U83" s="100">
        <f>Ruimtestaat[[#This Row],[Uitvoeringen werkdagen]]*Ruimtestaat[[#This Row],[Oppervlak (netto)]]</f>
        <v>0</v>
      </c>
      <c r="V83" s="135">
        <f>IF(T83&gt;0,Ruimtestaat[[#This Row],[Prest. (m2 /jaar) werkdagen]]/Ruimtestaat[[#This Row],[Norm (m2/uur) werkdagen]],0)</f>
        <v>0</v>
      </c>
      <c r="W83" s="136">
        <f>Ruimtestaat[[#This Row],[uren / jaar werkdagen]]*Tariefsopbouw!$E$35</f>
        <v>0</v>
      </c>
      <c r="X83" s="100"/>
      <c r="Y83" s="100">
        <f>IF(Ruimtestaat[[#This Row],[Frequentie weekend]]&gt;0,VALUE(LEFT(X83,1))*Q83,0)</f>
        <v>0</v>
      </c>
      <c r="Z83" s="99">
        <f>IF($Y83&gt;0,VLOOKUP($J83,Ruimtegroepen[],3,FALSE)*VLOOKUP($L83,Vloersoorten[],3,FALSE)*VLOOKUP($X83,Frequenties[],3,FALSE)*VLOOKUP(Ruimtestaat[[#This Row],[Code]],Locaties[],3,FALSE),0)</f>
        <v>0</v>
      </c>
      <c r="AA83" s="99">
        <f>Ruimtestaat[[#This Row],[Uitvoeringen weekend]]*Ruimtestaat[[#This Row],[Oppervlak (netto)]]</f>
        <v>0</v>
      </c>
      <c r="AB83" s="99">
        <f>IF(Z83&gt;0,Ruimtestaat[[#This Row],[Prest. (m2 /jaar) weekend]]/Ruimtestaat[[#This Row],[Norm (m2/uur) weekend]],0)</f>
        <v>0</v>
      </c>
      <c r="AC83" s="136">
        <f>Ruimtestaat[[#This Row],[uren / jaar weekend]]*Tariefsopbouw!$D$40</f>
        <v>0</v>
      </c>
      <c r="AD83" s="135">
        <f>Ruimtestaat[[#This Row],[Prest. (m2 /jaar) weekend]]+Ruimtestaat[[#This Row],[Prest. (m2 /jaar) werkdagen]]</f>
        <v>0</v>
      </c>
      <c r="AE83" s="135">
        <f>Ruimtestaat[[#This Row],[uren / jaar weekend]]+Ruimtestaat[[#This Row],[uren / jaar werkdagen]]</f>
        <v>0</v>
      </c>
      <c r="AF83" s="130">
        <f>Ruimtestaat[[#This Row],[kosten / jaar weekend]]+Ruimtestaat[[#This Row],[kosten / jaar werkdagen]]</f>
        <v>0</v>
      </c>
      <c r="AG83" s="130"/>
      <c r="AH83" s="137" t="str">
        <f>IF(Ruimtestaat[[#This Row],[Frequentie werkdagen]]="","",_xlfn.CONCAT(Ruimtestaat[[#This Row],[Ruimte code]],"-",Ruimtestaat[[#This Row],[Frequentie werkdagen]]," ",Ruimtestaat[[#This Row],[Vloer code]]))</f>
        <v/>
      </c>
      <c r="AI83" s="142" t="str">
        <f>_xlfn.IFNA(VLOOKUP($AH83,Programma!$F$3:$G$1101,2,0),"")</f>
        <v/>
      </c>
      <c r="AJ83" s="142" t="str">
        <f>_xlfn.IFNA(VLOOKUP($AH83,Programma!$F$3:$H$1101,3,0),"")</f>
        <v/>
      </c>
      <c r="AK83" s="142" t="str">
        <f>_xlfn.IFNA(VLOOKUP($AH83,Programma!$F$3:$I$1101,4,0),"")</f>
        <v/>
      </c>
      <c r="AL83" s="142" t="str">
        <f>_xlfn.IFNA(VLOOKUP($AH83,Programma!$F$3:$J$1101,5,0),"")</f>
        <v/>
      </c>
      <c r="AM83" s="142" t="str">
        <f>_xlfn.IFNA(VLOOKUP($AH83,Programma!$F$3:$K$1101,6,0),"")</f>
        <v/>
      </c>
      <c r="AN83" s="142" t="str">
        <f>_xlfn.IFNA(VLOOKUP($AH83,Programma!$F$3:$L$1101,7,0),"")</f>
        <v/>
      </c>
      <c r="AO83" s="142" t="str">
        <f>_xlfn.IFNA(VLOOKUP($AH83,Programma!$F$3:$M$1101,8,0),"")</f>
        <v/>
      </c>
      <c r="AP83" s="142" t="str">
        <f>_xlfn.IFNA(VLOOKUP($AH83,Programma!$F$3:$N$1101,9,0),"")</f>
        <v/>
      </c>
      <c r="AQ83" s="142" t="str">
        <f>_xlfn.IFNA(VLOOKUP($AH83,Programma!$F$3:$O$1101,10,0),"")</f>
        <v/>
      </c>
      <c r="AR83" s="142" t="str">
        <f>_xlfn.IFNA(VLOOKUP($AH83,Programma!$F$3:$P$1101,11,0),"")</f>
        <v/>
      </c>
      <c r="AS83" s="142" t="str">
        <f>_xlfn.IFNA(VLOOKUP($AH83,Programma!$F$3:$Q$1101,12,0),"")</f>
        <v/>
      </c>
      <c r="AT83" s="142" t="str">
        <f>_xlfn.IFNA(VLOOKUP($AH83,Programma!$F$3:$R$1101,13,0),"")</f>
        <v/>
      </c>
      <c r="AU83" s="142" t="str">
        <f>_xlfn.IFNA(VLOOKUP($AH83,Programma!$F$3:$S$1101,14,0),"")</f>
        <v/>
      </c>
      <c r="AV83" s="142" t="str">
        <f>_xlfn.IFNA(VLOOKUP($AH83,Programma!$F$3:$T$1101,15,0),"")</f>
        <v/>
      </c>
      <c r="AW83" s="142" t="str">
        <f>_xlfn.IFNA(VLOOKUP($AH83,Programma!$F$3:$U$1101,16,0),"")</f>
        <v/>
      </c>
      <c r="AX83" s="142" t="str">
        <f>_xlfn.IFNA(VLOOKUP($AH83,Programma!$F$3:$V$1101,17,0),"")</f>
        <v/>
      </c>
      <c r="AY83" s="142" t="str">
        <f>_xlfn.IFNA(VLOOKUP($AH83,Programma!$F$3:$W$1101,18,0),"")</f>
        <v/>
      </c>
      <c r="AZ83" s="142" t="str">
        <f>_xlfn.IFNA(VLOOKUP($AH83,Programma!$F$3:$X$1101,19,0),"")</f>
        <v/>
      </c>
      <c r="BA83" s="142" t="str">
        <f>_xlfn.IFNA(VLOOKUP($AH83,Programma!$F$3:$Y$1101,20,0),"")</f>
        <v/>
      </c>
      <c r="BB83" s="138"/>
      <c r="BC83" s="137" t="str">
        <f>IF(Ruimtestaat[[#This Row],[Frequentie weekend]]="","",_xlfn.CONCAT(Ruimtestaat[[#This Row],[Ruimte code]],"-",Ruimtestaat[[#This Row],[Frequentie weekend]]," ",Ruimtestaat[[#This Row],[Vloer code]]))</f>
        <v/>
      </c>
      <c r="BD83" s="142" t="str">
        <f>_xlfn.IFNA(VLOOKUP($BC83,Programma!$F$3:$G$1101,2,0),"")</f>
        <v/>
      </c>
      <c r="BE83" s="142" t="str">
        <f>_xlfn.IFNA(VLOOKUP($BC83,Programma!$F$3:$H$1101,3,0),"")</f>
        <v/>
      </c>
      <c r="BF83" s="142" t="str">
        <f>_xlfn.IFNA(VLOOKUP($BC83,Programma!$F$3:$I$1101,4,0),"")</f>
        <v/>
      </c>
      <c r="BG83" s="142" t="str">
        <f>_xlfn.IFNA(VLOOKUP($BC83,Programma!$F$3:$J$1101,5,0),"")</f>
        <v/>
      </c>
      <c r="BH83" s="142" t="str">
        <f>_xlfn.IFNA(VLOOKUP($BC83,Programma!$F$3:$K$1101,6,0),"")</f>
        <v/>
      </c>
      <c r="BI83" s="142" t="str">
        <f>_xlfn.IFNA(VLOOKUP($BC83,Programma!$F$3:$L$1101,7,0),"")</f>
        <v/>
      </c>
      <c r="BJ83" s="142" t="str">
        <f>_xlfn.IFNA(VLOOKUP($BC83,Programma!$F$3:$M$1101,8,0),"")</f>
        <v/>
      </c>
      <c r="BK83" s="142" t="str">
        <f>_xlfn.IFNA(VLOOKUP($BC83,Programma!$F$3:$N$1101,9,0),"")</f>
        <v/>
      </c>
      <c r="BL83" s="142" t="str">
        <f>_xlfn.IFNA(VLOOKUP($BC83,Programma!$F$3:$O$1101,10,0),"")</f>
        <v/>
      </c>
      <c r="BM83" s="142" t="str">
        <f>_xlfn.IFNA(VLOOKUP($BC83,Programma!$F$3:$P$1101,11,0),"")</f>
        <v/>
      </c>
      <c r="BN83" s="142" t="str">
        <f>_xlfn.IFNA(VLOOKUP($BC83,Programma!$F$3:$Q$1101,12,0),"")</f>
        <v/>
      </c>
      <c r="BO83" s="142" t="str">
        <f>_xlfn.IFNA(VLOOKUP($BC83,Programma!$F$3:$R$1101,13,0),"")</f>
        <v/>
      </c>
      <c r="BP83" s="142" t="str">
        <f>_xlfn.IFNA(VLOOKUP($BC83,Programma!$F$3:$S$1101,14,0),"")</f>
        <v/>
      </c>
      <c r="BQ83" s="142" t="str">
        <f>_xlfn.IFNA(VLOOKUP($BC83,Programma!$F$3:$T$1101,15,0),"")</f>
        <v/>
      </c>
      <c r="BR83" s="142" t="str">
        <f>_xlfn.IFNA(VLOOKUP($BC83,Programma!$F$3:$U$1101,16,0),"")</f>
        <v/>
      </c>
      <c r="BS83" s="142" t="str">
        <f>_xlfn.IFNA(VLOOKUP($BC83,Programma!$F$3:$V$1101,17,0),"")</f>
        <v/>
      </c>
      <c r="BT83" s="142" t="str">
        <f>_xlfn.IFNA(VLOOKUP($BC83,Programma!$F$3:$W$1101,18,0),"")</f>
        <v/>
      </c>
      <c r="BU83" s="142" t="str">
        <f>_xlfn.IFNA(VLOOKUP($BC83,Programma!$F$3:$X$1101,19,0),"")</f>
        <v/>
      </c>
      <c r="BV83" s="142" t="str">
        <f>_xlfn.IFNA(VLOOKUP($BC83,Programma!$F$3:$Y$1101,20,0),"")</f>
        <v/>
      </c>
      <c r="BW83" s="28"/>
      <c r="BX83" s="28"/>
      <c r="BY83" s="28"/>
      <c r="BZ83" s="28"/>
      <c r="CA83" s="28"/>
      <c r="CB83" s="28"/>
      <c r="CC83" s="28"/>
      <c r="CD83" s="28"/>
      <c r="CE83" s="28"/>
      <c r="CF83" s="28"/>
      <c r="CG83" s="28"/>
      <c r="CH83" s="28"/>
      <c r="CI83" s="28"/>
      <c r="CJ83" s="28"/>
      <c r="CK83" s="28"/>
      <c r="CL83" s="28"/>
      <c r="CM83" s="28"/>
      <c r="CN83" s="28"/>
      <c r="CO83" s="28"/>
      <c r="CP83" s="28"/>
      <c r="CQ83" s="28"/>
      <c r="CR83" s="28"/>
      <c r="CS83" s="28"/>
      <c r="CT83" s="28"/>
      <c r="CU83" s="28"/>
      <c r="CV83" s="28"/>
      <c r="CW83" s="28"/>
      <c r="CX83" s="28"/>
      <c r="CY83" s="28"/>
      <c r="CZ83" s="28"/>
      <c r="DA83" s="28"/>
      <c r="DB83" s="28"/>
      <c r="DC83" s="28"/>
      <c r="DD83" s="28"/>
      <c r="DE83" s="28"/>
      <c r="DF83" s="28"/>
      <c r="DG83" s="28"/>
      <c r="DH83" s="28"/>
      <c r="DI83" s="28"/>
      <c r="DJ83" s="28"/>
      <c r="DK83" s="28"/>
      <c r="DL83" s="28"/>
      <c r="DM83" s="28"/>
      <c r="DN83" s="28"/>
      <c r="DO83" s="28"/>
      <c r="DP83" s="28"/>
      <c r="DQ83" s="28"/>
      <c r="DR83" s="28"/>
      <c r="DS83" s="28"/>
      <c r="DT83" s="28"/>
      <c r="DU83" s="28"/>
      <c r="DV83" s="28"/>
      <c r="DW83" s="28"/>
      <c r="DX83" s="28"/>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row>
    <row r="84" spans="1:219" ht="15" customHeight="1">
      <c r="A84" s="100">
        <v>1</v>
      </c>
      <c r="B84" s="132" t="str">
        <f>VLOOKUP(Ruimtestaat[[#This Row],[Code]],Locaties[[Code]:[Locatie]],2,FALSE)</f>
        <v>Mirtehuis</v>
      </c>
      <c r="C84" s="132" t="str">
        <f>VLOOKUP(Ruimtestaat[[#This Row],[Code]],Locaties[[#All],[Code]:[Adres]],4,FALSE)</f>
        <v>Weseperweg 6</v>
      </c>
      <c r="D84" s="132" t="str">
        <f>VLOOKUP(Ruimtestaat[[#This Row],[Code]],Locaties[[#All],[Code]:[Postcode]],5,FALSE)</f>
        <v>8111 PK</v>
      </c>
      <c r="E84" s="132" t="str">
        <f>VLOOKUP(Ruimtestaat[[#This Row],[Code]],Locaties[#All],6,FALSE)</f>
        <v>Heeten</v>
      </c>
      <c r="F84" s="100"/>
      <c r="G84" s="100" t="s">
        <v>1675</v>
      </c>
      <c r="H84" s="344"/>
      <c r="I84" s="345" t="s">
        <v>1641</v>
      </c>
      <c r="J84" s="49">
        <v>20</v>
      </c>
      <c r="K84" s="140" t="str">
        <f>VLOOKUP(Ruimtestaat[[#This Row],[Ruimte code]],Ruimtegroepen[[#All],[Code]:[Ruimte omschrijving]],2,FALSE)</f>
        <v>Niet in Onderhoud</v>
      </c>
      <c r="L84" s="100" t="s">
        <v>101</v>
      </c>
      <c r="M84" s="345" t="s">
        <v>1642</v>
      </c>
      <c r="N84" s="133"/>
      <c r="O84" s="139"/>
      <c r="P84" s="134">
        <f>VLOOKUP(Ruimtestaat[[#This Row],[Ruimte code]],Ruimtegroepen[],4,FALSE)</f>
        <v>0</v>
      </c>
      <c r="Q84" s="100"/>
      <c r="R84" s="100"/>
      <c r="S84" s="100">
        <f>IF(Q84&gt;0,IF(RIGHT(Ruimtestaat[[#This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84" s="100">
        <f>IF(S84&gt;0,VLOOKUP($J84,Ruimtegroepen[],3,FALSE)*VLOOKUP($L84,Vloersoorten[],3,FALSE)*VLOOKUP($R84,Frequenties[],3,FALSE)*VLOOKUP($A84,Locaties[],3,FALSE),0)</f>
        <v>0</v>
      </c>
      <c r="U84" s="100">
        <f>Ruimtestaat[[#This Row],[Uitvoeringen werkdagen]]*Ruimtestaat[[#This Row],[Oppervlak (netto)]]</f>
        <v>0</v>
      </c>
      <c r="V84" s="135">
        <f>IF(T84&gt;0,Ruimtestaat[[#This Row],[Prest. (m2 /jaar) werkdagen]]/Ruimtestaat[[#This Row],[Norm (m2/uur) werkdagen]],0)</f>
        <v>0</v>
      </c>
      <c r="W84" s="136">
        <f>Ruimtestaat[[#This Row],[uren / jaar werkdagen]]*Tariefsopbouw!$E$35</f>
        <v>0</v>
      </c>
      <c r="X84" s="100"/>
      <c r="Y84" s="100">
        <f>IF(Ruimtestaat[[#This Row],[Frequentie weekend]]&gt;0,VALUE(LEFT(X84,1))*Q84,0)</f>
        <v>0</v>
      </c>
      <c r="Z84" s="99">
        <f>IF($Y84&gt;0,VLOOKUP($J84,Ruimtegroepen[],3,FALSE)*VLOOKUP($L84,Vloersoorten[],3,FALSE)*VLOOKUP($X84,Frequenties[],3,FALSE)*VLOOKUP(Ruimtestaat[[#This Row],[Code]],Locaties[],3,FALSE),0)</f>
        <v>0</v>
      </c>
      <c r="AA84" s="99">
        <f>Ruimtestaat[[#This Row],[Uitvoeringen weekend]]*Ruimtestaat[[#This Row],[Oppervlak (netto)]]</f>
        <v>0</v>
      </c>
      <c r="AB84" s="99">
        <f>IF(Z84&gt;0,Ruimtestaat[[#This Row],[Prest. (m2 /jaar) weekend]]/Ruimtestaat[[#This Row],[Norm (m2/uur) weekend]],0)</f>
        <v>0</v>
      </c>
      <c r="AC84" s="136">
        <f>Ruimtestaat[[#This Row],[uren / jaar weekend]]*Tariefsopbouw!$D$40</f>
        <v>0</v>
      </c>
      <c r="AD84" s="135">
        <f>Ruimtestaat[[#This Row],[Prest. (m2 /jaar) weekend]]+Ruimtestaat[[#This Row],[Prest. (m2 /jaar) werkdagen]]</f>
        <v>0</v>
      </c>
      <c r="AE84" s="135">
        <f>Ruimtestaat[[#This Row],[uren / jaar weekend]]+Ruimtestaat[[#This Row],[uren / jaar werkdagen]]</f>
        <v>0</v>
      </c>
      <c r="AF84" s="130">
        <f>Ruimtestaat[[#This Row],[kosten / jaar weekend]]+Ruimtestaat[[#This Row],[kosten / jaar werkdagen]]</f>
        <v>0</v>
      </c>
      <c r="AG84" s="130"/>
      <c r="AH84" s="137" t="str">
        <f>IF(Ruimtestaat[[#This Row],[Frequentie werkdagen]]="","",_xlfn.CONCAT(Ruimtestaat[[#This Row],[Ruimte code]],"-",Ruimtestaat[[#This Row],[Frequentie werkdagen]]," ",Ruimtestaat[[#This Row],[Vloer code]]))</f>
        <v/>
      </c>
      <c r="AI84" s="142" t="str">
        <f>_xlfn.IFNA(VLOOKUP($AH84,Programma!$F$3:$G$1101,2,0),"")</f>
        <v/>
      </c>
      <c r="AJ84" s="142" t="str">
        <f>_xlfn.IFNA(VLOOKUP($AH84,Programma!$F$3:$H$1101,3,0),"")</f>
        <v/>
      </c>
      <c r="AK84" s="142" t="str">
        <f>_xlfn.IFNA(VLOOKUP($AH84,Programma!$F$3:$I$1101,4,0),"")</f>
        <v/>
      </c>
      <c r="AL84" s="142" t="str">
        <f>_xlfn.IFNA(VLOOKUP($AH84,Programma!$F$3:$J$1101,5,0),"")</f>
        <v/>
      </c>
      <c r="AM84" s="142" t="str">
        <f>_xlfn.IFNA(VLOOKUP($AH84,Programma!$F$3:$K$1101,6,0),"")</f>
        <v/>
      </c>
      <c r="AN84" s="142" t="str">
        <f>_xlfn.IFNA(VLOOKUP($AH84,Programma!$F$3:$L$1101,7,0),"")</f>
        <v/>
      </c>
      <c r="AO84" s="142" t="str">
        <f>_xlfn.IFNA(VLOOKUP($AH84,Programma!$F$3:$M$1101,8,0),"")</f>
        <v/>
      </c>
      <c r="AP84" s="142" t="str">
        <f>_xlfn.IFNA(VLOOKUP($AH84,Programma!$F$3:$N$1101,9,0),"")</f>
        <v/>
      </c>
      <c r="AQ84" s="142" t="str">
        <f>_xlfn.IFNA(VLOOKUP($AH84,Programma!$F$3:$O$1101,10,0),"")</f>
        <v/>
      </c>
      <c r="AR84" s="142" t="str">
        <f>_xlfn.IFNA(VLOOKUP($AH84,Programma!$F$3:$P$1101,11,0),"")</f>
        <v/>
      </c>
      <c r="AS84" s="142" t="str">
        <f>_xlfn.IFNA(VLOOKUP($AH84,Programma!$F$3:$Q$1101,12,0),"")</f>
        <v/>
      </c>
      <c r="AT84" s="142" t="str">
        <f>_xlfn.IFNA(VLOOKUP($AH84,Programma!$F$3:$R$1101,13,0),"")</f>
        <v/>
      </c>
      <c r="AU84" s="142" t="str">
        <f>_xlfn.IFNA(VLOOKUP($AH84,Programma!$F$3:$S$1101,14,0),"")</f>
        <v/>
      </c>
      <c r="AV84" s="142" t="str">
        <f>_xlfn.IFNA(VLOOKUP($AH84,Programma!$F$3:$T$1101,15,0),"")</f>
        <v/>
      </c>
      <c r="AW84" s="142" t="str">
        <f>_xlfn.IFNA(VLOOKUP($AH84,Programma!$F$3:$U$1101,16,0),"")</f>
        <v/>
      </c>
      <c r="AX84" s="142" t="str">
        <f>_xlfn.IFNA(VLOOKUP($AH84,Programma!$F$3:$V$1101,17,0),"")</f>
        <v/>
      </c>
      <c r="AY84" s="142" t="str">
        <f>_xlfn.IFNA(VLOOKUP($AH84,Programma!$F$3:$W$1101,18,0),"")</f>
        <v/>
      </c>
      <c r="AZ84" s="142" t="str">
        <f>_xlfn.IFNA(VLOOKUP($AH84,Programma!$F$3:$X$1101,19,0),"")</f>
        <v/>
      </c>
      <c r="BA84" s="142" t="str">
        <f>_xlfn.IFNA(VLOOKUP($AH84,Programma!$F$3:$Y$1101,20,0),"")</f>
        <v/>
      </c>
      <c r="BB84" s="138"/>
      <c r="BC84" s="137" t="str">
        <f>IF(Ruimtestaat[[#This Row],[Frequentie weekend]]="","",_xlfn.CONCAT(Ruimtestaat[[#This Row],[Ruimte code]],"-",Ruimtestaat[[#This Row],[Frequentie weekend]]," ",Ruimtestaat[[#This Row],[Vloer code]]))</f>
        <v/>
      </c>
      <c r="BD84" s="142" t="str">
        <f>_xlfn.IFNA(VLOOKUP($BC84,Programma!$F$3:$G$1101,2,0),"")</f>
        <v/>
      </c>
      <c r="BE84" s="142" t="str">
        <f>_xlfn.IFNA(VLOOKUP($BC84,Programma!$F$3:$H$1101,3,0),"")</f>
        <v/>
      </c>
      <c r="BF84" s="142" t="str">
        <f>_xlfn.IFNA(VLOOKUP($BC84,Programma!$F$3:$I$1101,4,0),"")</f>
        <v/>
      </c>
      <c r="BG84" s="142" t="str">
        <f>_xlfn.IFNA(VLOOKUP($BC84,Programma!$F$3:$J$1101,5,0),"")</f>
        <v/>
      </c>
      <c r="BH84" s="142" t="str">
        <f>_xlfn.IFNA(VLOOKUP($BC84,Programma!$F$3:$K$1101,6,0),"")</f>
        <v/>
      </c>
      <c r="BI84" s="142" t="str">
        <f>_xlfn.IFNA(VLOOKUP($BC84,Programma!$F$3:$L$1101,7,0),"")</f>
        <v/>
      </c>
      <c r="BJ84" s="142" t="str">
        <f>_xlfn.IFNA(VLOOKUP($BC84,Programma!$F$3:$M$1101,8,0),"")</f>
        <v/>
      </c>
      <c r="BK84" s="142" t="str">
        <f>_xlfn.IFNA(VLOOKUP($BC84,Programma!$F$3:$N$1101,9,0),"")</f>
        <v/>
      </c>
      <c r="BL84" s="142" t="str">
        <f>_xlfn.IFNA(VLOOKUP($BC84,Programma!$F$3:$O$1101,10,0),"")</f>
        <v/>
      </c>
      <c r="BM84" s="142" t="str">
        <f>_xlfn.IFNA(VLOOKUP($BC84,Programma!$F$3:$P$1101,11,0),"")</f>
        <v/>
      </c>
      <c r="BN84" s="142" t="str">
        <f>_xlfn.IFNA(VLOOKUP($BC84,Programma!$F$3:$Q$1101,12,0),"")</f>
        <v/>
      </c>
      <c r="BO84" s="142" t="str">
        <f>_xlfn.IFNA(VLOOKUP($BC84,Programma!$F$3:$R$1101,13,0),"")</f>
        <v/>
      </c>
      <c r="BP84" s="142" t="str">
        <f>_xlfn.IFNA(VLOOKUP($BC84,Programma!$F$3:$S$1101,14,0),"")</f>
        <v/>
      </c>
      <c r="BQ84" s="142" t="str">
        <f>_xlfn.IFNA(VLOOKUP($BC84,Programma!$F$3:$T$1101,15,0),"")</f>
        <v/>
      </c>
      <c r="BR84" s="142" t="str">
        <f>_xlfn.IFNA(VLOOKUP($BC84,Programma!$F$3:$U$1101,16,0),"")</f>
        <v/>
      </c>
      <c r="BS84" s="142" t="str">
        <f>_xlfn.IFNA(VLOOKUP($BC84,Programma!$F$3:$V$1101,17,0),"")</f>
        <v/>
      </c>
      <c r="BT84" s="142" t="str">
        <f>_xlfn.IFNA(VLOOKUP($BC84,Programma!$F$3:$W$1101,18,0),"")</f>
        <v/>
      </c>
      <c r="BU84" s="142" t="str">
        <f>_xlfn.IFNA(VLOOKUP($BC84,Programma!$F$3:$X$1101,19,0),"")</f>
        <v/>
      </c>
      <c r="BV84" s="142" t="str">
        <f>_xlfn.IFNA(VLOOKUP($BC84,Programma!$F$3:$Y$1101,20,0),"")</f>
        <v/>
      </c>
      <c r="BW84" s="28"/>
      <c r="BX84" s="28"/>
      <c r="BY84" s="28"/>
      <c r="BZ84" s="28"/>
      <c r="CA84" s="28"/>
      <c r="CB84" s="28"/>
      <c r="CC84" s="28"/>
      <c r="CD84" s="28"/>
      <c r="CE84" s="28"/>
      <c r="CF84" s="28"/>
      <c r="CG84" s="28"/>
      <c r="CH84" s="28"/>
      <c r="CI84" s="28"/>
      <c r="CJ84" s="28"/>
      <c r="CK84" s="28"/>
      <c r="CL84" s="28"/>
      <c r="CM84" s="28"/>
      <c r="CN84" s="28"/>
      <c r="CO84" s="28"/>
      <c r="CP84" s="28"/>
      <c r="CQ84" s="28"/>
      <c r="CR84" s="28"/>
      <c r="CS84" s="28"/>
      <c r="CT84" s="28"/>
      <c r="CU84" s="28"/>
      <c r="CV84" s="28"/>
      <c r="CW84" s="28"/>
      <c r="CX84" s="28"/>
      <c r="CY84" s="28"/>
      <c r="CZ84" s="28"/>
      <c r="DA84" s="28"/>
      <c r="DB84" s="28"/>
      <c r="DC84" s="28"/>
      <c r="DD84" s="28"/>
      <c r="DE84" s="28"/>
      <c r="DF84" s="28"/>
      <c r="DG84" s="28"/>
      <c r="DH84" s="28"/>
      <c r="DI84" s="28"/>
      <c r="DJ84" s="28"/>
      <c r="DK84" s="28"/>
      <c r="DL84" s="28"/>
      <c r="DM84" s="28"/>
      <c r="DN84" s="28"/>
      <c r="DO84" s="28"/>
      <c r="DP84" s="28"/>
      <c r="DQ84" s="28"/>
      <c r="DR84" s="28"/>
      <c r="DS84" s="28"/>
      <c r="DT84" s="28"/>
      <c r="DU84" s="28"/>
      <c r="DV84" s="28"/>
      <c r="DW84" s="28"/>
      <c r="DX84" s="28"/>
      <c r="DY84" s="28"/>
      <c r="DZ84" s="28"/>
      <c r="EA84" s="28"/>
      <c r="EB84" s="28"/>
      <c r="EC84" s="28"/>
      <c r="ED84" s="28"/>
      <c r="EE84" s="28"/>
      <c r="EF84" s="28"/>
      <c r="EG84" s="28"/>
      <c r="EH84" s="28"/>
      <c r="EI84" s="28"/>
      <c r="EJ84" s="28"/>
      <c r="EK84" s="28"/>
      <c r="EL84" s="28"/>
      <c r="EM84" s="28"/>
      <c r="EN84" s="28"/>
      <c r="EO84" s="28"/>
      <c r="EP84" s="28"/>
      <c r="EQ84" s="28"/>
      <c r="ER84" s="28"/>
      <c r="ES84" s="28"/>
      <c r="ET84" s="28"/>
      <c r="EU84" s="28"/>
      <c r="EV84" s="28"/>
      <c r="EW84" s="28"/>
      <c r="EX84" s="28"/>
      <c r="EY84" s="28"/>
      <c r="EZ84" s="28"/>
      <c r="FA84" s="28"/>
      <c r="FB84" s="28"/>
      <c r="FC84" s="28"/>
      <c r="FD84" s="28"/>
      <c r="FE84" s="28"/>
      <c r="FF84" s="28"/>
      <c r="FG84" s="28"/>
      <c r="FH84" s="28"/>
      <c r="FI84" s="28"/>
      <c r="FJ84" s="28"/>
      <c r="FK84" s="28"/>
      <c r="FL84" s="28"/>
      <c r="FM84" s="28"/>
      <c r="FN84" s="28"/>
      <c r="FO84" s="28"/>
      <c r="FP84" s="28"/>
      <c r="FQ84" s="28"/>
      <c r="FR84" s="28"/>
      <c r="FS84" s="28"/>
      <c r="FT84" s="28"/>
      <c r="FU84" s="28"/>
      <c r="FV84" s="28"/>
      <c r="FW84" s="28"/>
      <c r="FX84" s="28"/>
      <c r="FY84" s="28"/>
      <c r="FZ84" s="28"/>
      <c r="GA84" s="28"/>
      <c r="GB84" s="28"/>
      <c r="GC84" s="28"/>
      <c r="GD84" s="28"/>
      <c r="GE84" s="28"/>
      <c r="GF84" s="28"/>
      <c r="GG84" s="28"/>
      <c r="GH84" s="28"/>
      <c r="GI84" s="28"/>
      <c r="GJ84" s="28"/>
      <c r="GK84" s="28"/>
      <c r="GL84" s="28"/>
      <c r="GM84" s="28"/>
      <c r="GN84" s="28"/>
      <c r="GO84" s="28"/>
      <c r="GP84" s="28"/>
      <c r="GQ84" s="28"/>
      <c r="GR84" s="28"/>
      <c r="GS84" s="28"/>
      <c r="GT84" s="28"/>
      <c r="GU84" s="28"/>
      <c r="GV84" s="28"/>
      <c r="GW84" s="28"/>
      <c r="GX84" s="28"/>
      <c r="GY84" s="28"/>
      <c r="GZ84" s="28"/>
      <c r="HA84" s="28"/>
      <c r="HB84" s="28"/>
      <c r="HC84" s="28"/>
      <c r="HD84" s="28"/>
      <c r="HE84" s="28"/>
      <c r="HF84" s="28"/>
      <c r="HG84" s="28"/>
      <c r="HH84" s="28"/>
      <c r="HI84" s="28"/>
      <c r="HJ84" s="28"/>
      <c r="HK84" s="28"/>
    </row>
    <row r="85" spans="1:219" ht="15" customHeight="1">
      <c r="A85" s="100">
        <v>1</v>
      </c>
      <c r="B85" s="132" t="str">
        <f>VLOOKUP(Ruimtestaat[[#This Row],[Code]],Locaties[[Code]:[Locatie]],2,FALSE)</f>
        <v>Mirtehuis</v>
      </c>
      <c r="C85" s="132" t="str">
        <f>VLOOKUP(Ruimtestaat[[#This Row],[Code]],Locaties[[#All],[Code]:[Adres]],4,FALSE)</f>
        <v>Weseperweg 6</v>
      </c>
      <c r="D85" s="132" t="str">
        <f>VLOOKUP(Ruimtestaat[[#This Row],[Code]],Locaties[[#All],[Code]:[Postcode]],5,FALSE)</f>
        <v>8111 PK</v>
      </c>
      <c r="E85" s="132" t="str">
        <f>VLOOKUP(Ruimtestaat[[#This Row],[Code]],Locaties[#All],6,FALSE)</f>
        <v>Heeten</v>
      </c>
      <c r="F85" s="100"/>
      <c r="G85" s="100" t="s">
        <v>1675</v>
      </c>
      <c r="H85" s="344"/>
      <c r="I85" s="345" t="s">
        <v>1635</v>
      </c>
      <c r="J85" s="49">
        <v>20</v>
      </c>
      <c r="K85" s="140" t="str">
        <f>VLOOKUP(Ruimtestaat[[#This Row],[Ruimte code]],Ruimtegroepen[[#All],[Code]:[Ruimte omschrijving]],2,FALSE)</f>
        <v>Niet in Onderhoud</v>
      </c>
      <c r="L85" s="100" t="s">
        <v>100</v>
      </c>
      <c r="M85" s="345" t="s">
        <v>1636</v>
      </c>
      <c r="N85" s="133"/>
      <c r="O85" s="100"/>
      <c r="P85" s="134">
        <f>VLOOKUP(Ruimtestaat[[#This Row],[Ruimte code]],Ruimtegroepen[],4,FALSE)</f>
        <v>0</v>
      </c>
      <c r="Q85" s="100"/>
      <c r="R85" s="100"/>
      <c r="S85" s="100">
        <f>IF(Q85&gt;0,IF(RIGHT(Ruimtestaat[[#This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85" s="100">
        <f>IF(S85&gt;0,VLOOKUP($J85,Ruimtegroepen[],3,FALSE)*VLOOKUP($L85,Vloersoorten[],3,FALSE)*VLOOKUP($R85,Frequenties[],3,FALSE)*VLOOKUP($A85,Locaties[],3,FALSE),0)</f>
        <v>0</v>
      </c>
      <c r="U85" s="100">
        <f>Ruimtestaat[[#This Row],[Uitvoeringen werkdagen]]*Ruimtestaat[[#This Row],[Oppervlak (netto)]]</f>
        <v>0</v>
      </c>
      <c r="V85" s="135">
        <f>IF(T85&gt;0,Ruimtestaat[[#This Row],[Prest. (m2 /jaar) werkdagen]]/Ruimtestaat[[#This Row],[Norm (m2/uur) werkdagen]],0)</f>
        <v>0</v>
      </c>
      <c r="W85" s="136">
        <f>Ruimtestaat[[#This Row],[uren / jaar werkdagen]]*Tariefsopbouw!$E$35</f>
        <v>0</v>
      </c>
      <c r="X85" s="100"/>
      <c r="Y85" s="100">
        <f>IF(Ruimtestaat[[#This Row],[Frequentie weekend]]&gt;0,VALUE(LEFT(X85,1))*Q85,0)</f>
        <v>0</v>
      </c>
      <c r="Z85" s="99">
        <f>IF($Y85&gt;0,VLOOKUP($J85,Ruimtegroepen[],3,FALSE)*VLOOKUP($L85,Vloersoorten[],3,FALSE)*VLOOKUP($X85,Frequenties[],3,FALSE)*VLOOKUP(Ruimtestaat[[#This Row],[Code]],Locaties[],3,FALSE),0)</f>
        <v>0</v>
      </c>
      <c r="AA85" s="99">
        <f>Ruimtestaat[[#This Row],[Uitvoeringen weekend]]*Ruimtestaat[[#This Row],[Oppervlak (netto)]]</f>
        <v>0</v>
      </c>
      <c r="AB85" s="99">
        <f>IF(Z85&gt;0,Ruimtestaat[[#This Row],[Prest. (m2 /jaar) weekend]]/Ruimtestaat[[#This Row],[Norm (m2/uur) weekend]],0)</f>
        <v>0</v>
      </c>
      <c r="AC85" s="136">
        <f>Ruimtestaat[[#This Row],[uren / jaar weekend]]*Tariefsopbouw!$D$40</f>
        <v>0</v>
      </c>
      <c r="AD85" s="135">
        <f>Ruimtestaat[[#This Row],[Prest. (m2 /jaar) weekend]]+Ruimtestaat[[#This Row],[Prest. (m2 /jaar) werkdagen]]</f>
        <v>0</v>
      </c>
      <c r="AE85" s="135">
        <f>Ruimtestaat[[#This Row],[uren / jaar weekend]]+Ruimtestaat[[#This Row],[uren / jaar werkdagen]]</f>
        <v>0</v>
      </c>
      <c r="AF85" s="130">
        <f>Ruimtestaat[[#This Row],[kosten / jaar weekend]]+Ruimtestaat[[#This Row],[kosten / jaar werkdagen]]</f>
        <v>0</v>
      </c>
      <c r="AG85" s="130"/>
      <c r="AH85" s="137" t="str">
        <f>IF(Ruimtestaat[[#This Row],[Frequentie werkdagen]]="","",_xlfn.CONCAT(Ruimtestaat[[#This Row],[Ruimte code]],"-",Ruimtestaat[[#This Row],[Frequentie werkdagen]]," ",Ruimtestaat[[#This Row],[Vloer code]]))</f>
        <v/>
      </c>
      <c r="AI85" s="142" t="str">
        <f>_xlfn.IFNA(VLOOKUP($AH85,Programma!$F$3:$G$1101,2,0),"")</f>
        <v/>
      </c>
      <c r="AJ85" s="142" t="str">
        <f>_xlfn.IFNA(VLOOKUP($AH85,Programma!$F$3:$H$1101,3,0),"")</f>
        <v/>
      </c>
      <c r="AK85" s="142" t="str">
        <f>_xlfn.IFNA(VLOOKUP($AH85,Programma!$F$3:$I$1101,4,0),"")</f>
        <v/>
      </c>
      <c r="AL85" s="142" t="str">
        <f>_xlfn.IFNA(VLOOKUP($AH85,Programma!$F$3:$J$1101,5,0),"")</f>
        <v/>
      </c>
      <c r="AM85" s="142" t="str">
        <f>_xlfn.IFNA(VLOOKUP($AH85,Programma!$F$3:$K$1101,6,0),"")</f>
        <v/>
      </c>
      <c r="AN85" s="142" t="str">
        <f>_xlfn.IFNA(VLOOKUP($AH85,Programma!$F$3:$L$1101,7,0),"")</f>
        <v/>
      </c>
      <c r="AO85" s="142" t="str">
        <f>_xlfn.IFNA(VLOOKUP($AH85,Programma!$F$3:$M$1101,8,0),"")</f>
        <v/>
      </c>
      <c r="AP85" s="142" t="str">
        <f>_xlfn.IFNA(VLOOKUP($AH85,Programma!$F$3:$N$1101,9,0),"")</f>
        <v/>
      </c>
      <c r="AQ85" s="142" t="str">
        <f>_xlfn.IFNA(VLOOKUP($AH85,Programma!$F$3:$O$1101,10,0),"")</f>
        <v/>
      </c>
      <c r="AR85" s="142" t="str">
        <f>_xlfn.IFNA(VLOOKUP($AH85,Programma!$F$3:$P$1101,11,0),"")</f>
        <v/>
      </c>
      <c r="AS85" s="142" t="str">
        <f>_xlfn.IFNA(VLOOKUP($AH85,Programma!$F$3:$Q$1101,12,0),"")</f>
        <v/>
      </c>
      <c r="AT85" s="142" t="str">
        <f>_xlfn.IFNA(VLOOKUP($AH85,Programma!$F$3:$R$1101,13,0),"")</f>
        <v/>
      </c>
      <c r="AU85" s="142" t="str">
        <f>_xlfn.IFNA(VLOOKUP($AH85,Programma!$F$3:$S$1101,14,0),"")</f>
        <v/>
      </c>
      <c r="AV85" s="142" t="str">
        <f>_xlfn.IFNA(VLOOKUP($AH85,Programma!$F$3:$T$1101,15,0),"")</f>
        <v/>
      </c>
      <c r="AW85" s="142" t="str">
        <f>_xlfn.IFNA(VLOOKUP($AH85,Programma!$F$3:$U$1101,16,0),"")</f>
        <v/>
      </c>
      <c r="AX85" s="142" t="str">
        <f>_xlfn.IFNA(VLOOKUP($AH85,Programma!$F$3:$V$1101,17,0),"")</f>
        <v/>
      </c>
      <c r="AY85" s="142" t="str">
        <f>_xlfn.IFNA(VLOOKUP($AH85,Programma!$F$3:$W$1101,18,0),"")</f>
        <v/>
      </c>
      <c r="AZ85" s="142" t="str">
        <f>_xlfn.IFNA(VLOOKUP($AH85,Programma!$F$3:$X$1101,19,0),"")</f>
        <v/>
      </c>
      <c r="BA85" s="142" t="str">
        <f>_xlfn.IFNA(VLOOKUP($AH85,Programma!$F$3:$Y$1101,20,0),"")</f>
        <v/>
      </c>
      <c r="BB85" s="138"/>
      <c r="BC85" s="137" t="str">
        <f>IF(Ruimtestaat[[#This Row],[Frequentie weekend]]="","",_xlfn.CONCAT(Ruimtestaat[[#This Row],[Ruimte code]],"-",Ruimtestaat[[#This Row],[Frequentie weekend]]," ",Ruimtestaat[[#This Row],[Vloer code]]))</f>
        <v/>
      </c>
      <c r="BD85" s="142" t="str">
        <f>_xlfn.IFNA(VLOOKUP($BC85,Programma!$F$3:$G$1101,2,0),"")</f>
        <v/>
      </c>
      <c r="BE85" s="142" t="str">
        <f>_xlfn.IFNA(VLOOKUP($BC85,Programma!$F$3:$H$1101,3,0),"")</f>
        <v/>
      </c>
      <c r="BF85" s="142" t="str">
        <f>_xlfn.IFNA(VLOOKUP($BC85,Programma!$F$3:$I$1101,4,0),"")</f>
        <v/>
      </c>
      <c r="BG85" s="142" t="str">
        <f>_xlfn.IFNA(VLOOKUP($BC85,Programma!$F$3:$J$1101,5,0),"")</f>
        <v/>
      </c>
      <c r="BH85" s="142" t="str">
        <f>_xlfn.IFNA(VLOOKUP($BC85,Programma!$F$3:$K$1101,6,0),"")</f>
        <v/>
      </c>
      <c r="BI85" s="142" t="str">
        <f>_xlfn.IFNA(VLOOKUP($BC85,Programma!$F$3:$L$1101,7,0),"")</f>
        <v/>
      </c>
      <c r="BJ85" s="142" t="str">
        <f>_xlfn.IFNA(VLOOKUP($BC85,Programma!$F$3:$M$1101,8,0),"")</f>
        <v/>
      </c>
      <c r="BK85" s="142" t="str">
        <f>_xlfn.IFNA(VLOOKUP($BC85,Programma!$F$3:$N$1101,9,0),"")</f>
        <v/>
      </c>
      <c r="BL85" s="142" t="str">
        <f>_xlfn.IFNA(VLOOKUP($BC85,Programma!$F$3:$O$1101,10,0),"")</f>
        <v/>
      </c>
      <c r="BM85" s="142" t="str">
        <f>_xlfn.IFNA(VLOOKUP($BC85,Programma!$F$3:$P$1101,11,0),"")</f>
        <v/>
      </c>
      <c r="BN85" s="142" t="str">
        <f>_xlfn.IFNA(VLOOKUP($BC85,Programma!$F$3:$Q$1101,12,0),"")</f>
        <v/>
      </c>
      <c r="BO85" s="142" t="str">
        <f>_xlfn.IFNA(VLOOKUP($BC85,Programma!$F$3:$R$1101,13,0),"")</f>
        <v/>
      </c>
      <c r="BP85" s="142" t="str">
        <f>_xlfn.IFNA(VLOOKUP($BC85,Programma!$F$3:$S$1101,14,0),"")</f>
        <v/>
      </c>
      <c r="BQ85" s="142" t="str">
        <f>_xlfn.IFNA(VLOOKUP($BC85,Programma!$F$3:$T$1101,15,0),"")</f>
        <v/>
      </c>
      <c r="BR85" s="142" t="str">
        <f>_xlfn.IFNA(VLOOKUP($BC85,Programma!$F$3:$U$1101,16,0),"")</f>
        <v/>
      </c>
      <c r="BS85" s="142" t="str">
        <f>_xlfn.IFNA(VLOOKUP($BC85,Programma!$F$3:$V$1101,17,0),"")</f>
        <v/>
      </c>
      <c r="BT85" s="142" t="str">
        <f>_xlfn.IFNA(VLOOKUP($BC85,Programma!$F$3:$W$1101,18,0),"")</f>
        <v/>
      </c>
      <c r="BU85" s="142" t="str">
        <f>_xlfn.IFNA(VLOOKUP($BC85,Programma!$F$3:$X$1101,19,0),"")</f>
        <v/>
      </c>
      <c r="BV85" s="142" t="str">
        <f>_xlfn.IFNA(VLOOKUP($BC85,Programma!$F$3:$Y$1101,20,0),"")</f>
        <v/>
      </c>
      <c r="BW85" s="28"/>
      <c r="BX85" s="28"/>
      <c r="BY85" s="28"/>
      <c r="BZ85" s="28"/>
      <c r="CA85" s="28"/>
      <c r="CB85" s="28"/>
      <c r="CC85" s="28"/>
      <c r="CD85" s="28"/>
      <c r="CE85" s="28"/>
      <c r="CF85" s="28"/>
      <c r="CG85" s="28"/>
      <c r="CH85" s="28"/>
      <c r="CI85" s="28"/>
      <c r="CJ85" s="28"/>
      <c r="CK85" s="28"/>
      <c r="CL85" s="28"/>
      <c r="CM85" s="28"/>
      <c r="CN85" s="28"/>
      <c r="CO85" s="28"/>
      <c r="CP85" s="28"/>
      <c r="CQ85" s="28"/>
      <c r="CR85" s="28"/>
      <c r="CS85" s="28"/>
      <c r="CT85" s="28"/>
      <c r="CU85" s="28"/>
      <c r="CV85" s="28"/>
      <c r="CW85" s="28"/>
      <c r="CX85" s="28"/>
      <c r="CY85" s="28"/>
      <c r="CZ85" s="28"/>
      <c r="DA85" s="28"/>
      <c r="DB85" s="28"/>
      <c r="DC85" s="28"/>
      <c r="DD85" s="28"/>
      <c r="DE85" s="28"/>
      <c r="DF85" s="28"/>
      <c r="DG85" s="28"/>
      <c r="DH85" s="28"/>
      <c r="DI85" s="28"/>
      <c r="DJ85" s="28"/>
      <c r="DK85" s="28"/>
      <c r="DL85" s="28"/>
      <c r="DM85" s="28"/>
      <c r="DN85" s="28"/>
      <c r="DO85" s="28"/>
      <c r="DP85" s="28"/>
      <c r="DQ85" s="28"/>
      <c r="DR85" s="28"/>
      <c r="DS85" s="28"/>
      <c r="DT85" s="28"/>
      <c r="DU85" s="28"/>
      <c r="DV85" s="28"/>
      <c r="DW85" s="28"/>
      <c r="DX85" s="28"/>
      <c r="DY85" s="28"/>
      <c r="DZ85" s="28"/>
      <c r="EA85" s="28"/>
      <c r="EB85" s="28"/>
      <c r="EC85" s="28"/>
      <c r="ED85" s="28"/>
      <c r="EE85" s="28"/>
      <c r="EF85" s="28"/>
      <c r="EG85" s="28"/>
      <c r="EH85" s="28"/>
      <c r="EI85" s="28"/>
      <c r="EJ85" s="28"/>
      <c r="EK85" s="28"/>
      <c r="EL85" s="28"/>
      <c r="EM85" s="28"/>
      <c r="EN85" s="28"/>
      <c r="EO85" s="28"/>
      <c r="EP85" s="28"/>
      <c r="EQ85" s="28"/>
      <c r="ER85" s="28"/>
      <c r="ES85" s="28"/>
      <c r="ET85" s="28"/>
      <c r="EU85" s="28"/>
      <c r="EV85" s="28"/>
      <c r="EW85" s="28"/>
      <c r="EX85" s="28"/>
      <c r="EY85" s="28"/>
      <c r="EZ85" s="28"/>
      <c r="FA85" s="28"/>
      <c r="FB85" s="28"/>
      <c r="FC85" s="28"/>
      <c r="FD85" s="28"/>
      <c r="FE85" s="28"/>
      <c r="FF85" s="28"/>
      <c r="FG85" s="28"/>
      <c r="FH85" s="28"/>
      <c r="FI85" s="28"/>
      <c r="FJ85" s="28"/>
      <c r="FK85" s="28"/>
      <c r="FL85" s="28"/>
      <c r="FM85" s="28"/>
      <c r="FN85" s="28"/>
      <c r="FO85" s="28"/>
      <c r="FP85" s="28"/>
      <c r="FQ85" s="28"/>
      <c r="FR85" s="28"/>
      <c r="FS85" s="28"/>
      <c r="FT85" s="28"/>
      <c r="FU85" s="28"/>
      <c r="FV85" s="28"/>
      <c r="FW85" s="28"/>
      <c r="FX85" s="28"/>
      <c r="FY85" s="28"/>
      <c r="FZ85" s="28"/>
      <c r="GA85" s="28"/>
      <c r="GB85" s="28"/>
      <c r="GC85" s="28"/>
      <c r="GD85" s="28"/>
      <c r="GE85" s="28"/>
      <c r="GF85" s="28"/>
      <c r="GG85" s="28"/>
      <c r="GH85" s="28"/>
      <c r="GI85" s="28"/>
      <c r="GJ85" s="28"/>
      <c r="GK85" s="28"/>
      <c r="GL85" s="28"/>
      <c r="GM85" s="28"/>
      <c r="GN85" s="28"/>
      <c r="GO85" s="28"/>
      <c r="GP85" s="28"/>
      <c r="GQ85" s="28"/>
      <c r="GR85" s="28"/>
      <c r="GS85" s="28"/>
      <c r="GT85" s="28"/>
      <c r="GU85" s="28"/>
      <c r="GV85" s="28"/>
      <c r="GW85" s="28"/>
      <c r="GX85" s="28"/>
      <c r="GY85" s="28"/>
      <c r="GZ85" s="28"/>
      <c r="HA85" s="28"/>
      <c r="HB85" s="28"/>
      <c r="HC85" s="28"/>
      <c r="HD85" s="28"/>
      <c r="HE85" s="28"/>
      <c r="HF85" s="28"/>
      <c r="HG85" s="28"/>
      <c r="HH85" s="28"/>
      <c r="HI85" s="28"/>
      <c r="HJ85" s="28"/>
      <c r="HK85" s="28"/>
    </row>
    <row r="86" spans="1:219" ht="15" customHeight="1">
      <c r="A86" s="100">
        <v>1</v>
      </c>
      <c r="B86" s="132" t="str">
        <f>VLOOKUP(Ruimtestaat[[#This Row],[Code]],Locaties[[Code]:[Locatie]],2,FALSE)</f>
        <v>Mirtehuis</v>
      </c>
      <c r="C86" s="132" t="str">
        <f>VLOOKUP(Ruimtestaat[[#This Row],[Code]],Locaties[[#All],[Code]:[Adres]],4,FALSE)</f>
        <v>Weseperweg 6</v>
      </c>
      <c r="D86" s="132" t="str">
        <f>VLOOKUP(Ruimtestaat[[#This Row],[Code]],Locaties[[#All],[Code]:[Postcode]],5,FALSE)</f>
        <v>8111 PK</v>
      </c>
      <c r="E86" s="132" t="str">
        <f>VLOOKUP(Ruimtestaat[[#This Row],[Code]],Locaties[#All],6,FALSE)</f>
        <v>Heeten</v>
      </c>
      <c r="F86" s="100"/>
      <c r="G86" s="100" t="s">
        <v>1675</v>
      </c>
      <c r="H86" s="344"/>
      <c r="I86" s="345" t="s">
        <v>1650</v>
      </c>
      <c r="J86" s="49">
        <v>20</v>
      </c>
      <c r="K86" s="140" t="str">
        <f>VLOOKUP(Ruimtestaat[[#This Row],[Ruimte code]],Ruimtegroepen[[#All],[Code]:[Ruimte omschrijving]],2,FALSE)</f>
        <v>Niet in Onderhoud</v>
      </c>
      <c r="L86" s="100" t="s">
        <v>100</v>
      </c>
      <c r="M86" s="345" t="s">
        <v>1636</v>
      </c>
      <c r="N86" s="133"/>
      <c r="O86" s="139"/>
      <c r="P86" s="134">
        <f>VLOOKUP(Ruimtestaat[[#This Row],[Ruimte code]],Ruimtegroepen[],4,FALSE)</f>
        <v>0</v>
      </c>
      <c r="Q86" s="100"/>
      <c r="R86" s="100"/>
      <c r="S86" s="100">
        <f>IF(Q86&gt;0,IF(RIGHT(Ruimtestaat[[#This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86" s="100">
        <f>IF(S86&gt;0,VLOOKUP($J86,Ruimtegroepen[],3,FALSE)*VLOOKUP($L86,Vloersoorten[],3,FALSE)*VLOOKUP($R86,Frequenties[],3,FALSE)*VLOOKUP($A86,Locaties[],3,FALSE),0)</f>
        <v>0</v>
      </c>
      <c r="U86" s="100">
        <f>Ruimtestaat[[#This Row],[Uitvoeringen werkdagen]]*Ruimtestaat[[#This Row],[Oppervlak (netto)]]</f>
        <v>0</v>
      </c>
      <c r="V86" s="135">
        <f>IF(T86&gt;0,Ruimtestaat[[#This Row],[Prest. (m2 /jaar) werkdagen]]/Ruimtestaat[[#This Row],[Norm (m2/uur) werkdagen]],0)</f>
        <v>0</v>
      </c>
      <c r="W86" s="136">
        <f>Ruimtestaat[[#This Row],[uren / jaar werkdagen]]*Tariefsopbouw!$E$35</f>
        <v>0</v>
      </c>
      <c r="X86" s="100"/>
      <c r="Y86" s="100">
        <f>IF(Ruimtestaat[[#This Row],[Frequentie weekend]]&gt;0,VALUE(LEFT(X86,1))*Q86,0)</f>
        <v>0</v>
      </c>
      <c r="Z86" s="99">
        <f>IF($Y86&gt;0,VLOOKUP($J86,Ruimtegroepen[],3,FALSE)*VLOOKUP($L86,Vloersoorten[],3,FALSE)*VLOOKUP($X86,Frequenties[],3,FALSE)*VLOOKUP(Ruimtestaat[[#This Row],[Code]],Locaties[],3,FALSE),0)</f>
        <v>0</v>
      </c>
      <c r="AA86" s="99">
        <f>Ruimtestaat[[#This Row],[Uitvoeringen weekend]]*Ruimtestaat[[#This Row],[Oppervlak (netto)]]</f>
        <v>0</v>
      </c>
      <c r="AB86" s="99">
        <f>IF(Z86&gt;0,Ruimtestaat[[#This Row],[Prest. (m2 /jaar) weekend]]/Ruimtestaat[[#This Row],[Norm (m2/uur) weekend]],0)</f>
        <v>0</v>
      </c>
      <c r="AC86" s="136">
        <f>Ruimtestaat[[#This Row],[uren / jaar weekend]]*Tariefsopbouw!$D$40</f>
        <v>0</v>
      </c>
      <c r="AD86" s="135">
        <f>Ruimtestaat[[#This Row],[Prest. (m2 /jaar) weekend]]+Ruimtestaat[[#This Row],[Prest. (m2 /jaar) werkdagen]]</f>
        <v>0</v>
      </c>
      <c r="AE86" s="135">
        <f>Ruimtestaat[[#This Row],[uren / jaar weekend]]+Ruimtestaat[[#This Row],[uren / jaar werkdagen]]</f>
        <v>0</v>
      </c>
      <c r="AF86" s="130">
        <f>Ruimtestaat[[#This Row],[kosten / jaar weekend]]+Ruimtestaat[[#This Row],[kosten / jaar werkdagen]]</f>
        <v>0</v>
      </c>
      <c r="AG86" s="130"/>
      <c r="AH86" s="137" t="str">
        <f>IF(Ruimtestaat[[#This Row],[Frequentie werkdagen]]="","",_xlfn.CONCAT(Ruimtestaat[[#This Row],[Ruimte code]],"-",Ruimtestaat[[#This Row],[Frequentie werkdagen]]," ",Ruimtestaat[[#This Row],[Vloer code]]))</f>
        <v/>
      </c>
      <c r="AI86" s="142" t="str">
        <f>_xlfn.IFNA(VLOOKUP($AH86,Programma!$F$3:$G$1101,2,0),"")</f>
        <v/>
      </c>
      <c r="AJ86" s="142" t="str">
        <f>_xlfn.IFNA(VLOOKUP($AH86,Programma!$F$3:$H$1101,3,0),"")</f>
        <v/>
      </c>
      <c r="AK86" s="142" t="str">
        <f>_xlfn.IFNA(VLOOKUP($AH86,Programma!$F$3:$I$1101,4,0),"")</f>
        <v/>
      </c>
      <c r="AL86" s="142" t="str">
        <f>_xlfn.IFNA(VLOOKUP($AH86,Programma!$F$3:$J$1101,5,0),"")</f>
        <v/>
      </c>
      <c r="AM86" s="142" t="str">
        <f>_xlfn.IFNA(VLOOKUP($AH86,Programma!$F$3:$K$1101,6,0),"")</f>
        <v/>
      </c>
      <c r="AN86" s="142" t="str">
        <f>_xlfn.IFNA(VLOOKUP($AH86,Programma!$F$3:$L$1101,7,0),"")</f>
        <v/>
      </c>
      <c r="AO86" s="142" t="str">
        <f>_xlfn.IFNA(VLOOKUP($AH86,Programma!$F$3:$M$1101,8,0),"")</f>
        <v/>
      </c>
      <c r="AP86" s="142" t="str">
        <f>_xlfn.IFNA(VLOOKUP($AH86,Programma!$F$3:$N$1101,9,0),"")</f>
        <v/>
      </c>
      <c r="AQ86" s="142" t="str">
        <f>_xlfn.IFNA(VLOOKUP($AH86,Programma!$F$3:$O$1101,10,0),"")</f>
        <v/>
      </c>
      <c r="AR86" s="142" t="str">
        <f>_xlfn.IFNA(VLOOKUP($AH86,Programma!$F$3:$P$1101,11,0),"")</f>
        <v/>
      </c>
      <c r="AS86" s="142" t="str">
        <f>_xlfn.IFNA(VLOOKUP($AH86,Programma!$F$3:$Q$1101,12,0),"")</f>
        <v/>
      </c>
      <c r="AT86" s="142" t="str">
        <f>_xlfn.IFNA(VLOOKUP($AH86,Programma!$F$3:$R$1101,13,0),"")</f>
        <v/>
      </c>
      <c r="AU86" s="142" t="str">
        <f>_xlfn.IFNA(VLOOKUP($AH86,Programma!$F$3:$S$1101,14,0),"")</f>
        <v/>
      </c>
      <c r="AV86" s="142" t="str">
        <f>_xlfn.IFNA(VLOOKUP($AH86,Programma!$F$3:$T$1101,15,0),"")</f>
        <v/>
      </c>
      <c r="AW86" s="142" t="str">
        <f>_xlfn.IFNA(VLOOKUP($AH86,Programma!$F$3:$U$1101,16,0),"")</f>
        <v/>
      </c>
      <c r="AX86" s="142" t="str">
        <f>_xlfn.IFNA(VLOOKUP($AH86,Programma!$F$3:$V$1101,17,0),"")</f>
        <v/>
      </c>
      <c r="AY86" s="142" t="str">
        <f>_xlfn.IFNA(VLOOKUP($AH86,Programma!$F$3:$W$1101,18,0),"")</f>
        <v/>
      </c>
      <c r="AZ86" s="142" t="str">
        <f>_xlfn.IFNA(VLOOKUP($AH86,Programma!$F$3:$X$1101,19,0),"")</f>
        <v/>
      </c>
      <c r="BA86" s="142" t="str">
        <f>_xlfn.IFNA(VLOOKUP($AH86,Programma!$F$3:$Y$1101,20,0),"")</f>
        <v/>
      </c>
      <c r="BB86" s="138"/>
      <c r="BC86" s="137" t="str">
        <f>IF(Ruimtestaat[[#This Row],[Frequentie weekend]]="","",_xlfn.CONCAT(Ruimtestaat[[#This Row],[Ruimte code]],"-",Ruimtestaat[[#This Row],[Frequentie weekend]]," ",Ruimtestaat[[#This Row],[Vloer code]]))</f>
        <v/>
      </c>
      <c r="BD86" s="142" t="str">
        <f>_xlfn.IFNA(VLOOKUP($BC86,Programma!$F$3:$G$1101,2,0),"")</f>
        <v/>
      </c>
      <c r="BE86" s="142" t="str">
        <f>_xlfn.IFNA(VLOOKUP($BC86,Programma!$F$3:$H$1101,3,0),"")</f>
        <v/>
      </c>
      <c r="BF86" s="142" t="str">
        <f>_xlfn.IFNA(VLOOKUP($BC86,Programma!$F$3:$I$1101,4,0),"")</f>
        <v/>
      </c>
      <c r="BG86" s="142" t="str">
        <f>_xlfn.IFNA(VLOOKUP($BC86,Programma!$F$3:$J$1101,5,0),"")</f>
        <v/>
      </c>
      <c r="BH86" s="142" t="str">
        <f>_xlfn.IFNA(VLOOKUP($BC86,Programma!$F$3:$K$1101,6,0),"")</f>
        <v/>
      </c>
      <c r="BI86" s="142" t="str">
        <f>_xlfn.IFNA(VLOOKUP($BC86,Programma!$F$3:$L$1101,7,0),"")</f>
        <v/>
      </c>
      <c r="BJ86" s="142" t="str">
        <f>_xlfn.IFNA(VLOOKUP($BC86,Programma!$F$3:$M$1101,8,0),"")</f>
        <v/>
      </c>
      <c r="BK86" s="142" t="str">
        <f>_xlfn.IFNA(VLOOKUP($BC86,Programma!$F$3:$N$1101,9,0),"")</f>
        <v/>
      </c>
      <c r="BL86" s="142" t="str">
        <f>_xlfn.IFNA(VLOOKUP($BC86,Programma!$F$3:$O$1101,10,0),"")</f>
        <v/>
      </c>
      <c r="BM86" s="142" t="str">
        <f>_xlfn.IFNA(VLOOKUP($BC86,Programma!$F$3:$P$1101,11,0),"")</f>
        <v/>
      </c>
      <c r="BN86" s="142" t="str">
        <f>_xlfn.IFNA(VLOOKUP($BC86,Programma!$F$3:$Q$1101,12,0),"")</f>
        <v/>
      </c>
      <c r="BO86" s="142" t="str">
        <f>_xlfn.IFNA(VLOOKUP($BC86,Programma!$F$3:$R$1101,13,0),"")</f>
        <v/>
      </c>
      <c r="BP86" s="142" t="str">
        <f>_xlfn.IFNA(VLOOKUP($BC86,Programma!$F$3:$S$1101,14,0),"")</f>
        <v/>
      </c>
      <c r="BQ86" s="142" t="str">
        <f>_xlfn.IFNA(VLOOKUP($BC86,Programma!$F$3:$T$1101,15,0),"")</f>
        <v/>
      </c>
      <c r="BR86" s="142" t="str">
        <f>_xlfn.IFNA(VLOOKUP($BC86,Programma!$F$3:$U$1101,16,0),"")</f>
        <v/>
      </c>
      <c r="BS86" s="142" t="str">
        <f>_xlfn.IFNA(VLOOKUP($BC86,Programma!$F$3:$V$1101,17,0),"")</f>
        <v/>
      </c>
      <c r="BT86" s="142" t="str">
        <f>_xlfn.IFNA(VLOOKUP($BC86,Programma!$F$3:$W$1101,18,0),"")</f>
        <v/>
      </c>
      <c r="BU86" s="142" t="str">
        <f>_xlfn.IFNA(VLOOKUP($BC86,Programma!$F$3:$X$1101,19,0),"")</f>
        <v/>
      </c>
      <c r="BV86" s="142" t="str">
        <f>_xlfn.IFNA(VLOOKUP($BC86,Programma!$F$3:$Y$1101,20,0),"")</f>
        <v/>
      </c>
      <c r="BW86" s="28"/>
      <c r="BX86" s="28"/>
      <c r="BY86" s="28"/>
      <c r="BZ86" s="28"/>
      <c r="CA86" s="28"/>
      <c r="CB86" s="28"/>
      <c r="CC86" s="28"/>
      <c r="CD86" s="28"/>
      <c r="CE86" s="28"/>
      <c r="CF86" s="28"/>
      <c r="CG86" s="28"/>
      <c r="CH86" s="28"/>
      <c r="CI86" s="28"/>
      <c r="CJ86" s="28"/>
      <c r="CK86" s="28"/>
      <c r="CL86" s="28"/>
      <c r="CM86" s="28"/>
      <c r="CN86" s="28"/>
      <c r="CO86" s="28"/>
      <c r="CP86" s="28"/>
      <c r="CQ86" s="28"/>
      <c r="CR86" s="28"/>
      <c r="CS86" s="28"/>
      <c r="CT86" s="28"/>
      <c r="CU86" s="28"/>
      <c r="CV86" s="28"/>
      <c r="CW86" s="28"/>
      <c r="CX86" s="28"/>
      <c r="CY86" s="28"/>
      <c r="CZ86" s="28"/>
      <c r="DA86" s="28"/>
      <c r="DB86" s="28"/>
      <c r="DC86" s="28"/>
      <c r="DD86" s="28"/>
      <c r="DE86" s="28"/>
      <c r="DF86" s="28"/>
      <c r="DG86" s="28"/>
      <c r="DH86" s="28"/>
      <c r="DI86" s="28"/>
      <c r="DJ86" s="28"/>
      <c r="DK86" s="28"/>
      <c r="DL86" s="28"/>
      <c r="DM86" s="28"/>
      <c r="DN86" s="28"/>
      <c r="DO86" s="28"/>
      <c r="DP86" s="28"/>
      <c r="DQ86" s="28"/>
      <c r="DR86" s="28"/>
      <c r="DS86" s="28"/>
      <c r="DT86" s="28"/>
      <c r="DU86" s="28"/>
      <c r="DV86" s="28"/>
      <c r="DW86" s="28"/>
      <c r="DX86" s="28"/>
      <c r="DY86" s="28"/>
      <c r="DZ86" s="28"/>
      <c r="EA86" s="28"/>
      <c r="EB86" s="28"/>
      <c r="EC86" s="28"/>
      <c r="ED86" s="28"/>
      <c r="EE86" s="28"/>
      <c r="EF86" s="28"/>
      <c r="EG86" s="28"/>
      <c r="EH86" s="28"/>
      <c r="EI86" s="28"/>
      <c r="EJ86" s="28"/>
      <c r="EK86" s="28"/>
      <c r="EL86" s="28"/>
      <c r="EM86" s="28"/>
      <c r="EN86" s="28"/>
      <c r="EO86" s="28"/>
      <c r="EP86" s="28"/>
      <c r="EQ86" s="28"/>
      <c r="ER86" s="28"/>
      <c r="ES86" s="28"/>
      <c r="ET86" s="28"/>
      <c r="EU86" s="28"/>
      <c r="EV86" s="28"/>
      <c r="EW86" s="28"/>
      <c r="EX86" s="28"/>
      <c r="EY86" s="28"/>
      <c r="EZ86" s="28"/>
      <c r="FA86" s="28"/>
      <c r="FB86" s="28"/>
      <c r="FC86" s="28"/>
      <c r="FD86" s="28"/>
      <c r="FE86" s="28"/>
      <c r="FF86" s="28"/>
      <c r="FG86" s="28"/>
      <c r="FH86" s="28"/>
      <c r="FI86" s="28"/>
      <c r="FJ86" s="28"/>
      <c r="FK86" s="28"/>
      <c r="FL86" s="28"/>
      <c r="FM86" s="28"/>
      <c r="FN86" s="28"/>
      <c r="FO86" s="28"/>
      <c r="FP86" s="28"/>
      <c r="FQ86" s="28"/>
      <c r="FR86" s="28"/>
      <c r="FS86" s="28"/>
      <c r="FT86" s="28"/>
      <c r="FU86" s="28"/>
      <c r="FV86" s="28"/>
      <c r="FW86" s="28"/>
      <c r="FX86" s="28"/>
      <c r="FY86" s="28"/>
      <c r="FZ86" s="28"/>
      <c r="GA86" s="28"/>
      <c r="GB86" s="28"/>
      <c r="GC86" s="28"/>
      <c r="GD86" s="28"/>
      <c r="GE86" s="28"/>
      <c r="GF86" s="28"/>
      <c r="GG86" s="28"/>
      <c r="GH86" s="28"/>
      <c r="GI86" s="28"/>
      <c r="GJ86" s="28"/>
      <c r="GK86" s="28"/>
      <c r="GL86" s="28"/>
      <c r="GM86" s="28"/>
      <c r="GN86" s="28"/>
      <c r="GO86" s="28"/>
      <c r="GP86" s="28"/>
      <c r="GQ86" s="28"/>
      <c r="GR86" s="28"/>
      <c r="GS86" s="28"/>
      <c r="GT86" s="28"/>
      <c r="GU86" s="28"/>
      <c r="GV86" s="28"/>
      <c r="GW86" s="28"/>
      <c r="GX86" s="28"/>
      <c r="GY86" s="28"/>
      <c r="GZ86" s="28"/>
      <c r="HA86" s="28"/>
      <c r="HB86" s="28"/>
      <c r="HC86" s="28"/>
      <c r="HD86" s="28"/>
      <c r="HE86" s="28"/>
      <c r="HF86" s="28"/>
      <c r="HG86" s="28"/>
      <c r="HH86" s="28"/>
      <c r="HI86" s="28"/>
      <c r="HJ86" s="28"/>
      <c r="HK86" s="28"/>
    </row>
    <row r="87" spans="1:219" ht="15" customHeight="1">
      <c r="A87" s="100">
        <v>1</v>
      </c>
      <c r="B87" s="132" t="str">
        <f>VLOOKUP(Ruimtestaat[[#This Row],[Code]],Locaties[[Code]:[Locatie]],2,FALSE)</f>
        <v>Mirtehuis</v>
      </c>
      <c r="C87" s="132" t="str">
        <f>VLOOKUP(Ruimtestaat[[#This Row],[Code]],Locaties[[#All],[Code]:[Adres]],4,FALSE)</f>
        <v>Weseperweg 6</v>
      </c>
      <c r="D87" s="132" t="str">
        <f>VLOOKUP(Ruimtestaat[[#This Row],[Code]],Locaties[[#All],[Code]:[Postcode]],5,FALSE)</f>
        <v>8111 PK</v>
      </c>
      <c r="E87" s="132" t="str">
        <f>VLOOKUP(Ruimtestaat[[#This Row],[Code]],Locaties[#All],6,FALSE)</f>
        <v>Heeten</v>
      </c>
      <c r="F87" s="100"/>
      <c r="G87" s="100" t="s">
        <v>1675</v>
      </c>
      <c r="H87" s="344" t="s">
        <v>1672</v>
      </c>
      <c r="I87" s="345" t="s">
        <v>1656</v>
      </c>
      <c r="J87" s="49">
        <v>20</v>
      </c>
      <c r="K87" s="140" t="str">
        <f>VLOOKUP(Ruimtestaat[[#This Row],[Ruimte code]],Ruimtegroepen[[#All],[Code]:[Ruimte omschrijving]],2,FALSE)</f>
        <v>Niet in Onderhoud</v>
      </c>
      <c r="L87" s="100" t="s">
        <v>100</v>
      </c>
      <c r="M87" s="345" t="s">
        <v>1636</v>
      </c>
      <c r="N87" s="133"/>
      <c r="O87" s="139"/>
      <c r="P87" s="134">
        <f>VLOOKUP(Ruimtestaat[[#This Row],[Ruimte code]],Ruimtegroepen[],4,FALSE)</f>
        <v>0</v>
      </c>
      <c r="Q87" s="100"/>
      <c r="R87" s="100"/>
      <c r="S87" s="100">
        <f>IF(Q87&gt;0,IF(RIGHT(Ruimtestaat[[#This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87" s="100">
        <f>IF(S87&gt;0,VLOOKUP($J87,Ruimtegroepen[],3,FALSE)*VLOOKUP($L87,Vloersoorten[],3,FALSE)*VLOOKUP($R87,Frequenties[],3,FALSE)*VLOOKUP($A87,Locaties[],3,FALSE),0)</f>
        <v>0</v>
      </c>
      <c r="U87" s="100">
        <f>Ruimtestaat[[#This Row],[Uitvoeringen werkdagen]]*Ruimtestaat[[#This Row],[Oppervlak (netto)]]</f>
        <v>0</v>
      </c>
      <c r="V87" s="135">
        <f>IF(T87&gt;0,Ruimtestaat[[#This Row],[Prest. (m2 /jaar) werkdagen]]/Ruimtestaat[[#This Row],[Norm (m2/uur) werkdagen]],0)</f>
        <v>0</v>
      </c>
      <c r="W87" s="136">
        <f>Ruimtestaat[[#This Row],[uren / jaar werkdagen]]*Tariefsopbouw!$E$35</f>
        <v>0</v>
      </c>
      <c r="X87" s="100"/>
      <c r="Y87" s="100">
        <f>IF(Ruimtestaat[[#This Row],[Frequentie weekend]]&gt;0,VALUE(LEFT(X87,1))*Q87,0)</f>
        <v>0</v>
      </c>
      <c r="Z87" s="99">
        <f>IF($Y87&gt;0,VLOOKUP($J87,Ruimtegroepen[],3,FALSE)*VLOOKUP($L87,Vloersoorten[],3,FALSE)*VLOOKUP($X87,Frequenties[],3,FALSE)*VLOOKUP(Ruimtestaat[[#This Row],[Code]],Locaties[],3,FALSE),0)</f>
        <v>0</v>
      </c>
      <c r="AA87" s="99">
        <f>Ruimtestaat[[#This Row],[Uitvoeringen weekend]]*Ruimtestaat[[#This Row],[Oppervlak (netto)]]</f>
        <v>0</v>
      </c>
      <c r="AB87" s="99">
        <f>IF(Z87&gt;0,Ruimtestaat[[#This Row],[Prest. (m2 /jaar) weekend]]/Ruimtestaat[[#This Row],[Norm (m2/uur) weekend]],0)</f>
        <v>0</v>
      </c>
      <c r="AC87" s="136">
        <f>Ruimtestaat[[#This Row],[uren / jaar weekend]]*Tariefsopbouw!$D$40</f>
        <v>0</v>
      </c>
      <c r="AD87" s="135">
        <f>Ruimtestaat[[#This Row],[Prest. (m2 /jaar) weekend]]+Ruimtestaat[[#This Row],[Prest. (m2 /jaar) werkdagen]]</f>
        <v>0</v>
      </c>
      <c r="AE87" s="135">
        <f>Ruimtestaat[[#This Row],[uren / jaar weekend]]+Ruimtestaat[[#This Row],[uren / jaar werkdagen]]</f>
        <v>0</v>
      </c>
      <c r="AF87" s="130">
        <f>Ruimtestaat[[#This Row],[kosten / jaar weekend]]+Ruimtestaat[[#This Row],[kosten / jaar werkdagen]]</f>
        <v>0</v>
      </c>
      <c r="AG87" s="130"/>
      <c r="AH87" s="137" t="str">
        <f>IF(Ruimtestaat[[#This Row],[Frequentie werkdagen]]="","",_xlfn.CONCAT(Ruimtestaat[[#This Row],[Ruimte code]],"-",Ruimtestaat[[#This Row],[Frequentie werkdagen]]," ",Ruimtestaat[[#This Row],[Vloer code]]))</f>
        <v/>
      </c>
      <c r="AI87" s="142" t="str">
        <f>_xlfn.IFNA(VLOOKUP($AH87,Programma!$F$3:$G$1101,2,0),"")</f>
        <v/>
      </c>
      <c r="AJ87" s="142" t="str">
        <f>_xlfn.IFNA(VLOOKUP($AH87,Programma!$F$3:$H$1101,3,0),"")</f>
        <v/>
      </c>
      <c r="AK87" s="142" t="str">
        <f>_xlfn.IFNA(VLOOKUP($AH87,Programma!$F$3:$I$1101,4,0),"")</f>
        <v/>
      </c>
      <c r="AL87" s="142" t="str">
        <f>_xlfn.IFNA(VLOOKUP($AH87,Programma!$F$3:$J$1101,5,0),"")</f>
        <v/>
      </c>
      <c r="AM87" s="142" t="str">
        <f>_xlfn.IFNA(VLOOKUP($AH87,Programma!$F$3:$K$1101,6,0),"")</f>
        <v/>
      </c>
      <c r="AN87" s="142" t="str">
        <f>_xlfn.IFNA(VLOOKUP($AH87,Programma!$F$3:$L$1101,7,0),"")</f>
        <v/>
      </c>
      <c r="AO87" s="142" t="str">
        <f>_xlfn.IFNA(VLOOKUP($AH87,Programma!$F$3:$M$1101,8,0),"")</f>
        <v/>
      </c>
      <c r="AP87" s="142" t="str">
        <f>_xlfn.IFNA(VLOOKUP($AH87,Programma!$F$3:$N$1101,9,0),"")</f>
        <v/>
      </c>
      <c r="AQ87" s="142" t="str">
        <f>_xlfn.IFNA(VLOOKUP($AH87,Programma!$F$3:$O$1101,10,0),"")</f>
        <v/>
      </c>
      <c r="AR87" s="142" t="str">
        <f>_xlfn.IFNA(VLOOKUP($AH87,Programma!$F$3:$P$1101,11,0),"")</f>
        <v/>
      </c>
      <c r="AS87" s="142" t="str">
        <f>_xlfn.IFNA(VLOOKUP($AH87,Programma!$F$3:$Q$1101,12,0),"")</f>
        <v/>
      </c>
      <c r="AT87" s="142" t="str">
        <f>_xlfn.IFNA(VLOOKUP($AH87,Programma!$F$3:$R$1101,13,0),"")</f>
        <v/>
      </c>
      <c r="AU87" s="142" t="str">
        <f>_xlfn.IFNA(VLOOKUP($AH87,Programma!$F$3:$S$1101,14,0),"")</f>
        <v/>
      </c>
      <c r="AV87" s="142" t="str">
        <f>_xlfn.IFNA(VLOOKUP($AH87,Programma!$F$3:$T$1101,15,0),"")</f>
        <v/>
      </c>
      <c r="AW87" s="142" t="str">
        <f>_xlfn.IFNA(VLOOKUP($AH87,Programma!$F$3:$U$1101,16,0),"")</f>
        <v/>
      </c>
      <c r="AX87" s="142" t="str">
        <f>_xlfn.IFNA(VLOOKUP($AH87,Programma!$F$3:$V$1101,17,0),"")</f>
        <v/>
      </c>
      <c r="AY87" s="142" t="str">
        <f>_xlfn.IFNA(VLOOKUP($AH87,Programma!$F$3:$W$1101,18,0),"")</f>
        <v/>
      </c>
      <c r="AZ87" s="142" t="str">
        <f>_xlfn.IFNA(VLOOKUP($AH87,Programma!$F$3:$X$1101,19,0),"")</f>
        <v/>
      </c>
      <c r="BA87" s="142" t="str">
        <f>_xlfn.IFNA(VLOOKUP($AH87,Programma!$F$3:$Y$1101,20,0),"")</f>
        <v/>
      </c>
      <c r="BB87" s="138"/>
      <c r="BC87" s="137" t="str">
        <f>IF(Ruimtestaat[[#This Row],[Frequentie weekend]]="","",_xlfn.CONCAT(Ruimtestaat[[#This Row],[Ruimte code]],"-",Ruimtestaat[[#This Row],[Frequentie weekend]]," ",Ruimtestaat[[#This Row],[Vloer code]]))</f>
        <v/>
      </c>
      <c r="BD87" s="142" t="str">
        <f>_xlfn.IFNA(VLOOKUP($BC87,Programma!$F$3:$G$1101,2,0),"")</f>
        <v/>
      </c>
      <c r="BE87" s="142" t="str">
        <f>_xlfn.IFNA(VLOOKUP($BC87,Programma!$F$3:$H$1101,3,0),"")</f>
        <v/>
      </c>
      <c r="BF87" s="142" t="str">
        <f>_xlfn.IFNA(VLOOKUP($BC87,Programma!$F$3:$I$1101,4,0),"")</f>
        <v/>
      </c>
      <c r="BG87" s="142" t="str">
        <f>_xlfn.IFNA(VLOOKUP($BC87,Programma!$F$3:$J$1101,5,0),"")</f>
        <v/>
      </c>
      <c r="BH87" s="142" t="str">
        <f>_xlfn.IFNA(VLOOKUP($BC87,Programma!$F$3:$K$1101,6,0),"")</f>
        <v/>
      </c>
      <c r="BI87" s="142" t="str">
        <f>_xlfn.IFNA(VLOOKUP($BC87,Programma!$F$3:$L$1101,7,0),"")</f>
        <v/>
      </c>
      <c r="BJ87" s="142" t="str">
        <f>_xlfn.IFNA(VLOOKUP($BC87,Programma!$F$3:$M$1101,8,0),"")</f>
        <v/>
      </c>
      <c r="BK87" s="142" t="str">
        <f>_xlfn.IFNA(VLOOKUP($BC87,Programma!$F$3:$N$1101,9,0),"")</f>
        <v/>
      </c>
      <c r="BL87" s="142" t="str">
        <f>_xlfn.IFNA(VLOOKUP($BC87,Programma!$F$3:$O$1101,10,0),"")</f>
        <v/>
      </c>
      <c r="BM87" s="142" t="str">
        <f>_xlfn.IFNA(VLOOKUP($BC87,Programma!$F$3:$P$1101,11,0),"")</f>
        <v/>
      </c>
      <c r="BN87" s="142" t="str">
        <f>_xlfn.IFNA(VLOOKUP($BC87,Programma!$F$3:$Q$1101,12,0),"")</f>
        <v/>
      </c>
      <c r="BO87" s="142" t="str">
        <f>_xlfn.IFNA(VLOOKUP($BC87,Programma!$F$3:$R$1101,13,0),"")</f>
        <v/>
      </c>
      <c r="BP87" s="142" t="str">
        <f>_xlfn.IFNA(VLOOKUP($BC87,Programma!$F$3:$S$1101,14,0),"")</f>
        <v/>
      </c>
      <c r="BQ87" s="142" t="str">
        <f>_xlfn.IFNA(VLOOKUP($BC87,Programma!$F$3:$T$1101,15,0),"")</f>
        <v/>
      </c>
      <c r="BR87" s="142" t="str">
        <f>_xlfn.IFNA(VLOOKUP($BC87,Programma!$F$3:$U$1101,16,0),"")</f>
        <v/>
      </c>
      <c r="BS87" s="142" t="str">
        <f>_xlfn.IFNA(VLOOKUP($BC87,Programma!$F$3:$V$1101,17,0),"")</f>
        <v/>
      </c>
      <c r="BT87" s="142" t="str">
        <f>_xlfn.IFNA(VLOOKUP($BC87,Programma!$F$3:$W$1101,18,0),"")</f>
        <v/>
      </c>
      <c r="BU87" s="142" t="str">
        <f>_xlfn.IFNA(VLOOKUP($BC87,Programma!$F$3:$X$1101,19,0),"")</f>
        <v/>
      </c>
      <c r="BV87" s="142" t="str">
        <f>_xlfn.IFNA(VLOOKUP($BC87,Programma!$F$3:$Y$1101,20,0),"")</f>
        <v/>
      </c>
      <c r="BW87" s="28"/>
      <c r="BX87" s="28"/>
      <c r="BY87" s="28"/>
      <c r="BZ87" s="28"/>
      <c r="CA87" s="28"/>
      <c r="CB87" s="28"/>
      <c r="CC87" s="28"/>
      <c r="CD87" s="28"/>
      <c r="CE87" s="28"/>
      <c r="CF87" s="28"/>
      <c r="CG87" s="28"/>
      <c r="CH87" s="28"/>
      <c r="CI87" s="28"/>
      <c r="CJ87" s="28"/>
      <c r="CK87" s="28"/>
      <c r="CL87" s="28"/>
      <c r="CM87" s="28"/>
      <c r="CN87" s="28"/>
      <c r="CO87" s="28"/>
      <c r="CP87" s="28"/>
      <c r="CQ87" s="28"/>
      <c r="CR87" s="28"/>
      <c r="CS87" s="28"/>
      <c r="CT87" s="28"/>
      <c r="CU87" s="28"/>
      <c r="CV87" s="28"/>
      <c r="CW87" s="28"/>
      <c r="CX87" s="28"/>
      <c r="CY87" s="28"/>
      <c r="CZ87" s="28"/>
      <c r="DA87" s="28"/>
      <c r="DB87" s="28"/>
      <c r="DC87" s="28"/>
      <c r="DD87" s="28"/>
      <c r="DE87" s="28"/>
      <c r="DF87" s="28"/>
      <c r="DG87" s="28"/>
      <c r="DH87" s="28"/>
      <c r="DI87" s="28"/>
      <c r="DJ87" s="28"/>
      <c r="DK87" s="28"/>
      <c r="DL87" s="28"/>
      <c r="DM87" s="28"/>
      <c r="DN87" s="28"/>
      <c r="DO87" s="28"/>
      <c r="DP87" s="28"/>
      <c r="DQ87" s="28"/>
      <c r="DR87" s="28"/>
      <c r="DS87" s="28"/>
      <c r="DT87" s="28"/>
      <c r="DU87" s="28"/>
      <c r="DV87" s="28"/>
      <c r="DW87" s="28"/>
      <c r="DX87" s="28"/>
      <c r="DY87" s="28"/>
      <c r="DZ87" s="28"/>
      <c r="EA87" s="28"/>
      <c r="EB87" s="28"/>
      <c r="EC87" s="28"/>
      <c r="ED87" s="28"/>
      <c r="EE87" s="28"/>
      <c r="EF87" s="28"/>
      <c r="EG87" s="28"/>
      <c r="EH87" s="28"/>
      <c r="EI87" s="28"/>
      <c r="EJ87" s="28"/>
      <c r="EK87" s="28"/>
      <c r="EL87" s="28"/>
      <c r="EM87" s="28"/>
      <c r="EN87" s="28"/>
      <c r="EO87" s="28"/>
      <c r="EP87" s="28"/>
      <c r="EQ87" s="28"/>
      <c r="ER87" s="28"/>
      <c r="ES87" s="28"/>
      <c r="ET87" s="28"/>
      <c r="EU87" s="28"/>
      <c r="EV87" s="28"/>
      <c r="EW87" s="28"/>
      <c r="EX87" s="28"/>
      <c r="EY87" s="28"/>
      <c r="EZ87" s="28"/>
      <c r="FA87" s="28"/>
      <c r="FB87" s="28"/>
      <c r="FC87" s="28"/>
      <c r="FD87" s="28"/>
      <c r="FE87" s="28"/>
      <c r="FF87" s="28"/>
      <c r="FG87" s="28"/>
      <c r="FH87" s="28"/>
      <c r="FI87" s="28"/>
      <c r="FJ87" s="28"/>
      <c r="FK87" s="28"/>
      <c r="FL87" s="28"/>
      <c r="FM87" s="28"/>
      <c r="FN87" s="28"/>
      <c r="FO87" s="28"/>
      <c r="FP87" s="28"/>
      <c r="FQ87" s="28"/>
      <c r="FR87" s="28"/>
      <c r="FS87" s="28"/>
      <c r="FT87" s="28"/>
      <c r="FU87" s="28"/>
      <c r="FV87" s="28"/>
      <c r="FW87" s="28"/>
      <c r="FX87" s="28"/>
      <c r="FY87" s="28"/>
      <c r="FZ87" s="28"/>
      <c r="GA87" s="28"/>
      <c r="GB87" s="28"/>
      <c r="GC87" s="28"/>
      <c r="GD87" s="28"/>
      <c r="GE87" s="28"/>
      <c r="GF87" s="28"/>
      <c r="GG87" s="28"/>
      <c r="GH87" s="28"/>
      <c r="GI87" s="28"/>
      <c r="GJ87" s="28"/>
      <c r="GK87" s="28"/>
      <c r="GL87" s="28"/>
      <c r="GM87" s="28"/>
      <c r="GN87" s="28"/>
      <c r="GO87" s="28"/>
      <c r="GP87" s="28"/>
      <c r="GQ87" s="28"/>
      <c r="GR87" s="28"/>
      <c r="GS87" s="28"/>
      <c r="GT87" s="28"/>
      <c r="GU87" s="28"/>
      <c r="GV87" s="28"/>
      <c r="GW87" s="28"/>
      <c r="GX87" s="28"/>
      <c r="GY87" s="28"/>
      <c r="GZ87" s="28"/>
      <c r="HA87" s="28"/>
      <c r="HB87" s="28"/>
      <c r="HC87" s="28"/>
      <c r="HD87" s="28"/>
      <c r="HE87" s="28"/>
      <c r="HF87" s="28"/>
      <c r="HG87" s="28"/>
      <c r="HH87" s="28"/>
      <c r="HI87" s="28"/>
      <c r="HJ87" s="28"/>
      <c r="HK87" s="28"/>
    </row>
    <row r="88" spans="1:219" ht="15" customHeight="1">
      <c r="A88" s="100">
        <v>1</v>
      </c>
      <c r="B88" s="132" t="str">
        <f>VLOOKUP(Ruimtestaat[[#This Row],[Code]],Locaties[[Code]:[Locatie]],2,FALSE)</f>
        <v>Mirtehuis</v>
      </c>
      <c r="C88" s="132" t="str">
        <f>VLOOKUP(Ruimtestaat[[#This Row],[Code]],Locaties[[#All],[Code]:[Adres]],4,FALSE)</f>
        <v>Weseperweg 6</v>
      </c>
      <c r="D88" s="132" t="str">
        <f>VLOOKUP(Ruimtestaat[[#This Row],[Code]],Locaties[[#All],[Code]:[Postcode]],5,FALSE)</f>
        <v>8111 PK</v>
      </c>
      <c r="E88" s="132" t="str">
        <f>VLOOKUP(Ruimtestaat[[#This Row],[Code]],Locaties[#All],6,FALSE)</f>
        <v>Heeten</v>
      </c>
      <c r="F88" s="100"/>
      <c r="G88" s="100" t="s">
        <v>1675</v>
      </c>
      <c r="H88" s="344"/>
      <c r="I88" s="345" t="s">
        <v>1641</v>
      </c>
      <c r="J88" s="49">
        <v>20</v>
      </c>
      <c r="K88" s="140" t="str">
        <f>VLOOKUP(Ruimtestaat[[#This Row],[Ruimte code]],Ruimtegroepen[[#All],[Code]:[Ruimte omschrijving]],2,FALSE)</f>
        <v>Niet in Onderhoud</v>
      </c>
      <c r="L88" s="100" t="s">
        <v>101</v>
      </c>
      <c r="M88" s="345" t="s">
        <v>1642</v>
      </c>
      <c r="N88" s="133"/>
      <c r="O88" s="100"/>
      <c r="P88" s="134">
        <f>VLOOKUP(Ruimtestaat[[#This Row],[Ruimte code]],Ruimtegroepen[],4,FALSE)</f>
        <v>0</v>
      </c>
      <c r="Q88" s="100"/>
      <c r="R88" s="100"/>
      <c r="S88" s="100">
        <f>IF(Q88&gt;0,IF(RIGHT(Ruimtestaat[[#This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88" s="100">
        <f>IF(S88&gt;0,VLOOKUP($J88,Ruimtegroepen[],3,FALSE)*VLOOKUP($L88,Vloersoorten[],3,FALSE)*VLOOKUP($R88,Frequenties[],3,FALSE)*VLOOKUP($A88,Locaties[],3,FALSE),0)</f>
        <v>0</v>
      </c>
      <c r="U88" s="100">
        <f>Ruimtestaat[[#This Row],[Uitvoeringen werkdagen]]*Ruimtestaat[[#This Row],[Oppervlak (netto)]]</f>
        <v>0</v>
      </c>
      <c r="V88" s="135">
        <f>IF(T88&gt;0,Ruimtestaat[[#This Row],[Prest. (m2 /jaar) werkdagen]]/Ruimtestaat[[#This Row],[Norm (m2/uur) werkdagen]],0)</f>
        <v>0</v>
      </c>
      <c r="W88" s="136">
        <f>Ruimtestaat[[#This Row],[uren / jaar werkdagen]]*Tariefsopbouw!$E$35</f>
        <v>0</v>
      </c>
      <c r="X88" s="100"/>
      <c r="Y88" s="100">
        <f>IF(Ruimtestaat[[#This Row],[Frequentie weekend]]&gt;0,VALUE(LEFT(X88,1))*Q88,0)</f>
        <v>0</v>
      </c>
      <c r="Z88" s="99">
        <f>IF($Y88&gt;0,VLOOKUP($J88,Ruimtegroepen[],3,FALSE)*VLOOKUP($L88,Vloersoorten[],3,FALSE)*VLOOKUP($X88,Frequenties[],3,FALSE)*VLOOKUP(Ruimtestaat[[#This Row],[Code]],Locaties[],3,FALSE),0)</f>
        <v>0</v>
      </c>
      <c r="AA88" s="99">
        <f>Ruimtestaat[[#This Row],[Uitvoeringen weekend]]*Ruimtestaat[[#This Row],[Oppervlak (netto)]]</f>
        <v>0</v>
      </c>
      <c r="AB88" s="99">
        <f>IF(Z88&gt;0,Ruimtestaat[[#This Row],[Prest. (m2 /jaar) weekend]]/Ruimtestaat[[#This Row],[Norm (m2/uur) weekend]],0)</f>
        <v>0</v>
      </c>
      <c r="AC88" s="136">
        <f>Ruimtestaat[[#This Row],[uren / jaar weekend]]*Tariefsopbouw!$D$40</f>
        <v>0</v>
      </c>
      <c r="AD88" s="135">
        <f>Ruimtestaat[[#This Row],[Prest. (m2 /jaar) weekend]]+Ruimtestaat[[#This Row],[Prest. (m2 /jaar) werkdagen]]</f>
        <v>0</v>
      </c>
      <c r="AE88" s="135">
        <f>Ruimtestaat[[#This Row],[uren / jaar weekend]]+Ruimtestaat[[#This Row],[uren / jaar werkdagen]]</f>
        <v>0</v>
      </c>
      <c r="AF88" s="130">
        <f>Ruimtestaat[[#This Row],[kosten / jaar weekend]]+Ruimtestaat[[#This Row],[kosten / jaar werkdagen]]</f>
        <v>0</v>
      </c>
      <c r="AG88" s="130"/>
      <c r="AH88" s="137" t="str">
        <f>IF(Ruimtestaat[[#This Row],[Frequentie werkdagen]]="","",_xlfn.CONCAT(Ruimtestaat[[#This Row],[Ruimte code]],"-",Ruimtestaat[[#This Row],[Frequentie werkdagen]]," ",Ruimtestaat[[#This Row],[Vloer code]]))</f>
        <v/>
      </c>
      <c r="AI88" s="142" t="str">
        <f>_xlfn.IFNA(VLOOKUP($AH88,Programma!$F$3:$G$1101,2,0),"")</f>
        <v/>
      </c>
      <c r="AJ88" s="142" t="str">
        <f>_xlfn.IFNA(VLOOKUP($AH88,Programma!$F$3:$H$1101,3,0),"")</f>
        <v/>
      </c>
      <c r="AK88" s="142" t="str">
        <f>_xlfn.IFNA(VLOOKUP($AH88,Programma!$F$3:$I$1101,4,0),"")</f>
        <v/>
      </c>
      <c r="AL88" s="142" t="str">
        <f>_xlfn.IFNA(VLOOKUP($AH88,Programma!$F$3:$J$1101,5,0),"")</f>
        <v/>
      </c>
      <c r="AM88" s="142" t="str">
        <f>_xlfn.IFNA(VLOOKUP($AH88,Programma!$F$3:$K$1101,6,0),"")</f>
        <v/>
      </c>
      <c r="AN88" s="142" t="str">
        <f>_xlfn.IFNA(VLOOKUP($AH88,Programma!$F$3:$L$1101,7,0),"")</f>
        <v/>
      </c>
      <c r="AO88" s="142" t="str">
        <f>_xlfn.IFNA(VLOOKUP($AH88,Programma!$F$3:$M$1101,8,0),"")</f>
        <v/>
      </c>
      <c r="AP88" s="142" t="str">
        <f>_xlfn.IFNA(VLOOKUP($AH88,Programma!$F$3:$N$1101,9,0),"")</f>
        <v/>
      </c>
      <c r="AQ88" s="142" t="str">
        <f>_xlfn.IFNA(VLOOKUP($AH88,Programma!$F$3:$O$1101,10,0),"")</f>
        <v/>
      </c>
      <c r="AR88" s="142" t="str">
        <f>_xlfn.IFNA(VLOOKUP($AH88,Programma!$F$3:$P$1101,11,0),"")</f>
        <v/>
      </c>
      <c r="AS88" s="142" t="str">
        <f>_xlfn.IFNA(VLOOKUP($AH88,Programma!$F$3:$Q$1101,12,0),"")</f>
        <v/>
      </c>
      <c r="AT88" s="142" t="str">
        <f>_xlfn.IFNA(VLOOKUP($AH88,Programma!$F$3:$R$1101,13,0),"")</f>
        <v/>
      </c>
      <c r="AU88" s="142" t="str">
        <f>_xlfn.IFNA(VLOOKUP($AH88,Programma!$F$3:$S$1101,14,0),"")</f>
        <v/>
      </c>
      <c r="AV88" s="142" t="str">
        <f>_xlfn.IFNA(VLOOKUP($AH88,Programma!$F$3:$T$1101,15,0),"")</f>
        <v/>
      </c>
      <c r="AW88" s="142" t="str">
        <f>_xlfn.IFNA(VLOOKUP($AH88,Programma!$F$3:$U$1101,16,0),"")</f>
        <v/>
      </c>
      <c r="AX88" s="142" t="str">
        <f>_xlfn.IFNA(VLOOKUP($AH88,Programma!$F$3:$V$1101,17,0),"")</f>
        <v/>
      </c>
      <c r="AY88" s="142" t="str">
        <f>_xlfn.IFNA(VLOOKUP($AH88,Programma!$F$3:$W$1101,18,0),"")</f>
        <v/>
      </c>
      <c r="AZ88" s="142" t="str">
        <f>_xlfn.IFNA(VLOOKUP($AH88,Programma!$F$3:$X$1101,19,0),"")</f>
        <v/>
      </c>
      <c r="BA88" s="142" t="str">
        <f>_xlfn.IFNA(VLOOKUP($AH88,Programma!$F$3:$Y$1101,20,0),"")</f>
        <v/>
      </c>
      <c r="BB88" s="138"/>
      <c r="BC88" s="137" t="str">
        <f>IF(Ruimtestaat[[#This Row],[Frequentie weekend]]="","",_xlfn.CONCAT(Ruimtestaat[[#This Row],[Ruimte code]],"-",Ruimtestaat[[#This Row],[Frequentie weekend]]," ",Ruimtestaat[[#This Row],[Vloer code]]))</f>
        <v/>
      </c>
      <c r="BD88" s="142" t="str">
        <f>_xlfn.IFNA(VLOOKUP($BC88,Programma!$F$3:$G$1101,2,0),"")</f>
        <v/>
      </c>
      <c r="BE88" s="142" t="str">
        <f>_xlfn.IFNA(VLOOKUP($BC88,Programma!$F$3:$H$1101,3,0),"")</f>
        <v/>
      </c>
      <c r="BF88" s="142" t="str">
        <f>_xlfn.IFNA(VLOOKUP($BC88,Programma!$F$3:$I$1101,4,0),"")</f>
        <v/>
      </c>
      <c r="BG88" s="142" t="str">
        <f>_xlfn.IFNA(VLOOKUP($BC88,Programma!$F$3:$J$1101,5,0),"")</f>
        <v/>
      </c>
      <c r="BH88" s="142" t="str">
        <f>_xlfn.IFNA(VLOOKUP($BC88,Programma!$F$3:$K$1101,6,0),"")</f>
        <v/>
      </c>
      <c r="BI88" s="142" t="str">
        <f>_xlfn.IFNA(VLOOKUP($BC88,Programma!$F$3:$L$1101,7,0),"")</f>
        <v/>
      </c>
      <c r="BJ88" s="142" t="str">
        <f>_xlfn.IFNA(VLOOKUP($BC88,Programma!$F$3:$M$1101,8,0),"")</f>
        <v/>
      </c>
      <c r="BK88" s="142" t="str">
        <f>_xlfn.IFNA(VLOOKUP($BC88,Programma!$F$3:$N$1101,9,0),"")</f>
        <v/>
      </c>
      <c r="BL88" s="142" t="str">
        <f>_xlfn.IFNA(VLOOKUP($BC88,Programma!$F$3:$O$1101,10,0),"")</f>
        <v/>
      </c>
      <c r="BM88" s="142" t="str">
        <f>_xlfn.IFNA(VLOOKUP($BC88,Programma!$F$3:$P$1101,11,0),"")</f>
        <v/>
      </c>
      <c r="BN88" s="142" t="str">
        <f>_xlfn.IFNA(VLOOKUP($BC88,Programma!$F$3:$Q$1101,12,0),"")</f>
        <v/>
      </c>
      <c r="BO88" s="142" t="str">
        <f>_xlfn.IFNA(VLOOKUP($BC88,Programma!$F$3:$R$1101,13,0),"")</f>
        <v/>
      </c>
      <c r="BP88" s="142" t="str">
        <f>_xlfn.IFNA(VLOOKUP($BC88,Programma!$F$3:$S$1101,14,0),"")</f>
        <v/>
      </c>
      <c r="BQ88" s="142" t="str">
        <f>_xlfn.IFNA(VLOOKUP($BC88,Programma!$F$3:$T$1101,15,0),"")</f>
        <v/>
      </c>
      <c r="BR88" s="142" t="str">
        <f>_xlfn.IFNA(VLOOKUP($BC88,Programma!$F$3:$U$1101,16,0),"")</f>
        <v/>
      </c>
      <c r="BS88" s="142" t="str">
        <f>_xlfn.IFNA(VLOOKUP($BC88,Programma!$F$3:$V$1101,17,0),"")</f>
        <v/>
      </c>
      <c r="BT88" s="142" t="str">
        <f>_xlfn.IFNA(VLOOKUP($BC88,Programma!$F$3:$W$1101,18,0),"")</f>
        <v/>
      </c>
      <c r="BU88" s="142" t="str">
        <f>_xlfn.IFNA(VLOOKUP($BC88,Programma!$F$3:$X$1101,19,0),"")</f>
        <v/>
      </c>
      <c r="BV88" s="142" t="str">
        <f>_xlfn.IFNA(VLOOKUP($BC88,Programma!$F$3:$Y$1101,20,0),"")</f>
        <v/>
      </c>
      <c r="BW88" s="28"/>
      <c r="BX88" s="28"/>
      <c r="BY88" s="28"/>
      <c r="BZ88" s="28"/>
      <c r="CA88" s="28"/>
      <c r="CB88" s="28"/>
      <c r="CC88" s="28"/>
      <c r="CD88" s="28"/>
      <c r="CE88" s="28"/>
      <c r="CF88" s="28"/>
      <c r="CG88" s="28"/>
      <c r="CH88" s="28"/>
      <c r="CI88" s="28"/>
      <c r="CJ88" s="28"/>
      <c r="CK88" s="28"/>
      <c r="CL88" s="28"/>
      <c r="CM88" s="28"/>
      <c r="CN88" s="28"/>
      <c r="CO88" s="28"/>
      <c r="CP88" s="28"/>
      <c r="CQ88" s="28"/>
      <c r="CR88" s="28"/>
      <c r="CS88" s="28"/>
      <c r="CT88" s="28"/>
      <c r="CU88" s="28"/>
      <c r="CV88" s="28"/>
      <c r="CW88" s="28"/>
      <c r="CX88" s="28"/>
      <c r="CY88" s="28"/>
      <c r="CZ88" s="28"/>
      <c r="DA88" s="28"/>
      <c r="DB88" s="28"/>
      <c r="DC88" s="28"/>
      <c r="DD88" s="28"/>
      <c r="DE88" s="28"/>
      <c r="DF88" s="28"/>
      <c r="DG88" s="28"/>
      <c r="DH88" s="28"/>
      <c r="DI88" s="28"/>
      <c r="DJ88" s="28"/>
      <c r="DK88" s="28"/>
      <c r="DL88" s="28"/>
      <c r="DM88" s="28"/>
      <c r="DN88" s="28"/>
      <c r="DO88" s="28"/>
      <c r="DP88" s="28"/>
      <c r="DQ88" s="28"/>
      <c r="DR88" s="28"/>
      <c r="DS88" s="28"/>
      <c r="DT88" s="28"/>
      <c r="DU88" s="28"/>
      <c r="DV88" s="28"/>
      <c r="DW88" s="28"/>
      <c r="DX88" s="28"/>
      <c r="DY88" s="28"/>
      <c r="DZ88" s="28"/>
      <c r="EA88" s="28"/>
      <c r="EB88" s="28"/>
      <c r="EC88" s="28"/>
      <c r="ED88" s="28"/>
      <c r="EE88" s="28"/>
      <c r="EF88" s="28"/>
      <c r="EG88" s="28"/>
      <c r="EH88" s="28"/>
      <c r="EI88" s="28"/>
      <c r="EJ88" s="28"/>
      <c r="EK88" s="28"/>
      <c r="EL88" s="28"/>
      <c r="EM88" s="28"/>
      <c r="EN88" s="28"/>
      <c r="EO88" s="28"/>
      <c r="EP88" s="28"/>
      <c r="EQ88" s="28"/>
      <c r="ER88" s="28"/>
      <c r="ES88" s="28"/>
      <c r="ET88" s="28"/>
      <c r="EU88" s="28"/>
      <c r="EV88" s="28"/>
      <c r="EW88" s="28"/>
      <c r="EX88" s="28"/>
      <c r="EY88" s="28"/>
      <c r="EZ88" s="28"/>
      <c r="FA88" s="28"/>
      <c r="FB88" s="28"/>
      <c r="FC88" s="28"/>
      <c r="FD88" s="28"/>
      <c r="FE88" s="28"/>
      <c r="FF88" s="28"/>
      <c r="FG88" s="28"/>
      <c r="FH88" s="28"/>
      <c r="FI88" s="28"/>
      <c r="FJ88" s="28"/>
      <c r="FK88" s="28"/>
      <c r="FL88" s="28"/>
      <c r="FM88" s="28"/>
      <c r="FN88" s="28"/>
      <c r="FO88" s="28"/>
      <c r="FP88" s="28"/>
      <c r="FQ88" s="28"/>
      <c r="FR88" s="28"/>
      <c r="FS88" s="28"/>
      <c r="FT88" s="28"/>
      <c r="FU88" s="28"/>
      <c r="FV88" s="28"/>
      <c r="FW88" s="28"/>
      <c r="FX88" s="28"/>
      <c r="FY88" s="28"/>
      <c r="FZ88" s="28"/>
      <c r="GA88" s="28"/>
      <c r="GB88" s="28"/>
      <c r="GC88" s="28"/>
      <c r="GD88" s="28"/>
      <c r="GE88" s="28"/>
      <c r="GF88" s="28"/>
      <c r="GG88" s="28"/>
      <c r="GH88" s="28"/>
      <c r="GI88" s="28"/>
      <c r="GJ88" s="28"/>
      <c r="GK88" s="28"/>
      <c r="GL88" s="28"/>
      <c r="GM88" s="28"/>
      <c r="GN88" s="28"/>
      <c r="GO88" s="28"/>
      <c r="GP88" s="28"/>
      <c r="GQ88" s="28"/>
      <c r="GR88" s="28"/>
      <c r="GS88" s="28"/>
      <c r="GT88" s="28"/>
      <c r="GU88" s="28"/>
      <c r="GV88" s="28"/>
      <c r="GW88" s="28"/>
      <c r="GX88" s="28"/>
      <c r="GY88" s="28"/>
      <c r="GZ88" s="28"/>
      <c r="HA88" s="28"/>
      <c r="HB88" s="28"/>
      <c r="HC88" s="28"/>
      <c r="HD88" s="28"/>
      <c r="HE88" s="28"/>
      <c r="HF88" s="28"/>
      <c r="HG88" s="28"/>
      <c r="HH88" s="28"/>
      <c r="HI88" s="28"/>
      <c r="HJ88" s="28"/>
      <c r="HK88" s="28"/>
    </row>
    <row r="89" spans="1:219" ht="15" customHeight="1">
      <c r="A89" s="100">
        <v>1</v>
      </c>
      <c r="B89" s="132" t="str">
        <f>VLOOKUP(Ruimtestaat[[#This Row],[Code]],Locaties[[Code]:[Locatie]],2,FALSE)</f>
        <v>Mirtehuis</v>
      </c>
      <c r="C89" s="132" t="str">
        <f>VLOOKUP(Ruimtestaat[[#This Row],[Code]],Locaties[[#All],[Code]:[Adres]],4,FALSE)</f>
        <v>Weseperweg 6</v>
      </c>
      <c r="D89" s="132" t="str">
        <f>VLOOKUP(Ruimtestaat[[#This Row],[Code]],Locaties[[#All],[Code]:[Postcode]],5,FALSE)</f>
        <v>8111 PK</v>
      </c>
      <c r="E89" s="132" t="str">
        <f>VLOOKUP(Ruimtestaat[[#This Row],[Code]],Locaties[#All],6,FALSE)</f>
        <v>Heeten</v>
      </c>
      <c r="F89" s="100"/>
      <c r="G89" s="100" t="s">
        <v>1675</v>
      </c>
      <c r="H89" s="344"/>
      <c r="I89" s="345" t="s">
        <v>1635</v>
      </c>
      <c r="J89" s="49">
        <v>20</v>
      </c>
      <c r="K89" s="140" t="str">
        <f>VLOOKUP(Ruimtestaat[[#This Row],[Ruimte code]],Ruimtegroepen[[#All],[Code]:[Ruimte omschrijving]],2,FALSE)</f>
        <v>Niet in Onderhoud</v>
      </c>
      <c r="L89" s="100" t="s">
        <v>100</v>
      </c>
      <c r="M89" s="345" t="s">
        <v>1636</v>
      </c>
      <c r="N89" s="133"/>
      <c r="O89" s="139"/>
      <c r="P89" s="134">
        <f>VLOOKUP(Ruimtestaat[[#This Row],[Ruimte code]],Ruimtegroepen[],4,FALSE)</f>
        <v>0</v>
      </c>
      <c r="Q89" s="100"/>
      <c r="R89" s="100"/>
      <c r="S89" s="100">
        <f>IF(Q89&gt;0,IF(RIGHT(Ruimtestaat[[#This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89" s="100">
        <f>IF(S89&gt;0,VLOOKUP($J89,Ruimtegroepen[],3,FALSE)*VLOOKUP($L89,Vloersoorten[],3,FALSE)*VLOOKUP($R89,Frequenties[],3,FALSE)*VLOOKUP($A89,Locaties[],3,FALSE),0)</f>
        <v>0</v>
      </c>
      <c r="U89" s="100">
        <f>Ruimtestaat[[#This Row],[Uitvoeringen werkdagen]]*Ruimtestaat[[#This Row],[Oppervlak (netto)]]</f>
        <v>0</v>
      </c>
      <c r="V89" s="135">
        <f>IF(T89&gt;0,Ruimtestaat[[#This Row],[Prest. (m2 /jaar) werkdagen]]/Ruimtestaat[[#This Row],[Norm (m2/uur) werkdagen]],0)</f>
        <v>0</v>
      </c>
      <c r="W89" s="136">
        <f>Ruimtestaat[[#This Row],[uren / jaar werkdagen]]*Tariefsopbouw!$E$35</f>
        <v>0</v>
      </c>
      <c r="X89" s="100"/>
      <c r="Y89" s="100">
        <f>IF(Ruimtestaat[[#This Row],[Frequentie weekend]]&gt;0,VALUE(LEFT(X89,1))*Q89,0)</f>
        <v>0</v>
      </c>
      <c r="Z89" s="99">
        <f>IF($Y89&gt;0,VLOOKUP($J89,Ruimtegroepen[],3,FALSE)*VLOOKUP($L89,Vloersoorten[],3,FALSE)*VLOOKUP($X89,Frequenties[],3,FALSE)*VLOOKUP(Ruimtestaat[[#This Row],[Code]],Locaties[],3,FALSE),0)</f>
        <v>0</v>
      </c>
      <c r="AA89" s="99">
        <f>Ruimtestaat[[#This Row],[Uitvoeringen weekend]]*Ruimtestaat[[#This Row],[Oppervlak (netto)]]</f>
        <v>0</v>
      </c>
      <c r="AB89" s="99">
        <f>IF(Z89&gt;0,Ruimtestaat[[#This Row],[Prest. (m2 /jaar) weekend]]/Ruimtestaat[[#This Row],[Norm (m2/uur) weekend]],0)</f>
        <v>0</v>
      </c>
      <c r="AC89" s="136">
        <f>Ruimtestaat[[#This Row],[uren / jaar weekend]]*Tariefsopbouw!$D$40</f>
        <v>0</v>
      </c>
      <c r="AD89" s="135">
        <f>Ruimtestaat[[#This Row],[Prest. (m2 /jaar) weekend]]+Ruimtestaat[[#This Row],[Prest. (m2 /jaar) werkdagen]]</f>
        <v>0</v>
      </c>
      <c r="AE89" s="135">
        <f>Ruimtestaat[[#This Row],[uren / jaar weekend]]+Ruimtestaat[[#This Row],[uren / jaar werkdagen]]</f>
        <v>0</v>
      </c>
      <c r="AF89" s="130">
        <f>Ruimtestaat[[#This Row],[kosten / jaar weekend]]+Ruimtestaat[[#This Row],[kosten / jaar werkdagen]]</f>
        <v>0</v>
      </c>
      <c r="AG89" s="130"/>
      <c r="AH89" s="137" t="str">
        <f>IF(Ruimtestaat[[#This Row],[Frequentie werkdagen]]="","",_xlfn.CONCAT(Ruimtestaat[[#This Row],[Ruimte code]],"-",Ruimtestaat[[#This Row],[Frequentie werkdagen]]," ",Ruimtestaat[[#This Row],[Vloer code]]))</f>
        <v/>
      </c>
      <c r="AI89" s="142" t="str">
        <f>_xlfn.IFNA(VLOOKUP($AH89,Programma!$F$3:$G$1101,2,0),"")</f>
        <v/>
      </c>
      <c r="AJ89" s="142" t="str">
        <f>_xlfn.IFNA(VLOOKUP($AH89,Programma!$F$3:$H$1101,3,0),"")</f>
        <v/>
      </c>
      <c r="AK89" s="142" t="str">
        <f>_xlfn.IFNA(VLOOKUP($AH89,Programma!$F$3:$I$1101,4,0),"")</f>
        <v/>
      </c>
      <c r="AL89" s="142" t="str">
        <f>_xlfn.IFNA(VLOOKUP($AH89,Programma!$F$3:$J$1101,5,0),"")</f>
        <v/>
      </c>
      <c r="AM89" s="142" t="str">
        <f>_xlfn.IFNA(VLOOKUP($AH89,Programma!$F$3:$K$1101,6,0),"")</f>
        <v/>
      </c>
      <c r="AN89" s="142" t="str">
        <f>_xlfn.IFNA(VLOOKUP($AH89,Programma!$F$3:$L$1101,7,0),"")</f>
        <v/>
      </c>
      <c r="AO89" s="142" t="str">
        <f>_xlfn.IFNA(VLOOKUP($AH89,Programma!$F$3:$M$1101,8,0),"")</f>
        <v/>
      </c>
      <c r="AP89" s="142" t="str">
        <f>_xlfn.IFNA(VLOOKUP($AH89,Programma!$F$3:$N$1101,9,0),"")</f>
        <v/>
      </c>
      <c r="AQ89" s="142" t="str">
        <f>_xlfn.IFNA(VLOOKUP($AH89,Programma!$F$3:$O$1101,10,0),"")</f>
        <v/>
      </c>
      <c r="AR89" s="142" t="str">
        <f>_xlfn.IFNA(VLOOKUP($AH89,Programma!$F$3:$P$1101,11,0),"")</f>
        <v/>
      </c>
      <c r="AS89" s="142" t="str">
        <f>_xlfn.IFNA(VLOOKUP($AH89,Programma!$F$3:$Q$1101,12,0),"")</f>
        <v/>
      </c>
      <c r="AT89" s="142" t="str">
        <f>_xlfn.IFNA(VLOOKUP($AH89,Programma!$F$3:$R$1101,13,0),"")</f>
        <v/>
      </c>
      <c r="AU89" s="142" t="str">
        <f>_xlfn.IFNA(VLOOKUP($AH89,Programma!$F$3:$S$1101,14,0),"")</f>
        <v/>
      </c>
      <c r="AV89" s="142" t="str">
        <f>_xlfn.IFNA(VLOOKUP($AH89,Programma!$F$3:$T$1101,15,0),"")</f>
        <v/>
      </c>
      <c r="AW89" s="142" t="str">
        <f>_xlfn.IFNA(VLOOKUP($AH89,Programma!$F$3:$U$1101,16,0),"")</f>
        <v/>
      </c>
      <c r="AX89" s="142" t="str">
        <f>_xlfn.IFNA(VLOOKUP($AH89,Programma!$F$3:$V$1101,17,0),"")</f>
        <v/>
      </c>
      <c r="AY89" s="142" t="str">
        <f>_xlfn.IFNA(VLOOKUP($AH89,Programma!$F$3:$W$1101,18,0),"")</f>
        <v/>
      </c>
      <c r="AZ89" s="142" t="str">
        <f>_xlfn.IFNA(VLOOKUP($AH89,Programma!$F$3:$X$1101,19,0),"")</f>
        <v/>
      </c>
      <c r="BA89" s="142" t="str">
        <f>_xlfn.IFNA(VLOOKUP($AH89,Programma!$F$3:$Y$1101,20,0),"")</f>
        <v/>
      </c>
      <c r="BB89" s="138"/>
      <c r="BC89" s="137" t="str">
        <f>IF(Ruimtestaat[[#This Row],[Frequentie weekend]]="","",_xlfn.CONCAT(Ruimtestaat[[#This Row],[Ruimte code]],"-",Ruimtestaat[[#This Row],[Frequentie weekend]]," ",Ruimtestaat[[#This Row],[Vloer code]]))</f>
        <v/>
      </c>
      <c r="BD89" s="142" t="str">
        <f>_xlfn.IFNA(VLOOKUP($BC89,Programma!$F$3:$G$1101,2,0),"")</f>
        <v/>
      </c>
      <c r="BE89" s="142" t="str">
        <f>_xlfn.IFNA(VLOOKUP($BC89,Programma!$F$3:$H$1101,3,0),"")</f>
        <v/>
      </c>
      <c r="BF89" s="142" t="str">
        <f>_xlfn.IFNA(VLOOKUP($BC89,Programma!$F$3:$I$1101,4,0),"")</f>
        <v/>
      </c>
      <c r="BG89" s="142" t="str">
        <f>_xlfn.IFNA(VLOOKUP($BC89,Programma!$F$3:$J$1101,5,0),"")</f>
        <v/>
      </c>
      <c r="BH89" s="142" t="str">
        <f>_xlfn.IFNA(VLOOKUP($BC89,Programma!$F$3:$K$1101,6,0),"")</f>
        <v/>
      </c>
      <c r="BI89" s="142" t="str">
        <f>_xlfn.IFNA(VLOOKUP($BC89,Programma!$F$3:$L$1101,7,0),"")</f>
        <v/>
      </c>
      <c r="BJ89" s="142" t="str">
        <f>_xlfn.IFNA(VLOOKUP($BC89,Programma!$F$3:$M$1101,8,0),"")</f>
        <v/>
      </c>
      <c r="BK89" s="142" t="str">
        <f>_xlfn.IFNA(VLOOKUP($BC89,Programma!$F$3:$N$1101,9,0),"")</f>
        <v/>
      </c>
      <c r="BL89" s="142" t="str">
        <f>_xlfn.IFNA(VLOOKUP($BC89,Programma!$F$3:$O$1101,10,0),"")</f>
        <v/>
      </c>
      <c r="BM89" s="142" t="str">
        <f>_xlfn.IFNA(VLOOKUP($BC89,Programma!$F$3:$P$1101,11,0),"")</f>
        <v/>
      </c>
      <c r="BN89" s="142" t="str">
        <f>_xlfn.IFNA(VLOOKUP($BC89,Programma!$F$3:$Q$1101,12,0),"")</f>
        <v/>
      </c>
      <c r="BO89" s="142" t="str">
        <f>_xlfn.IFNA(VLOOKUP($BC89,Programma!$F$3:$R$1101,13,0),"")</f>
        <v/>
      </c>
      <c r="BP89" s="142" t="str">
        <f>_xlfn.IFNA(VLOOKUP($BC89,Programma!$F$3:$S$1101,14,0),"")</f>
        <v/>
      </c>
      <c r="BQ89" s="142" t="str">
        <f>_xlfn.IFNA(VLOOKUP($BC89,Programma!$F$3:$T$1101,15,0),"")</f>
        <v/>
      </c>
      <c r="BR89" s="142" t="str">
        <f>_xlfn.IFNA(VLOOKUP($BC89,Programma!$F$3:$U$1101,16,0),"")</f>
        <v/>
      </c>
      <c r="BS89" s="142" t="str">
        <f>_xlfn.IFNA(VLOOKUP($BC89,Programma!$F$3:$V$1101,17,0),"")</f>
        <v/>
      </c>
      <c r="BT89" s="142" t="str">
        <f>_xlfn.IFNA(VLOOKUP($BC89,Programma!$F$3:$W$1101,18,0),"")</f>
        <v/>
      </c>
      <c r="BU89" s="142" t="str">
        <f>_xlfn.IFNA(VLOOKUP($BC89,Programma!$F$3:$X$1101,19,0),"")</f>
        <v/>
      </c>
      <c r="BV89" s="142" t="str">
        <f>_xlfn.IFNA(VLOOKUP($BC89,Programma!$F$3:$Y$1101,20,0),"")</f>
        <v/>
      </c>
      <c r="BW89" s="28"/>
      <c r="BX89" s="28"/>
      <c r="BY89" s="28"/>
      <c r="BZ89" s="28"/>
      <c r="CA89" s="28"/>
      <c r="CB89" s="28"/>
      <c r="CC89" s="28"/>
      <c r="CD89" s="28"/>
      <c r="CE89" s="28"/>
      <c r="CF89" s="28"/>
      <c r="CG89" s="28"/>
      <c r="CH89" s="28"/>
      <c r="CI89" s="28"/>
      <c r="CJ89" s="28"/>
      <c r="CK89" s="28"/>
      <c r="CL89" s="28"/>
      <c r="CM89" s="28"/>
      <c r="CN89" s="28"/>
      <c r="CO89" s="28"/>
      <c r="CP89" s="28"/>
      <c r="CQ89" s="28"/>
      <c r="CR89" s="28"/>
      <c r="CS89" s="28"/>
      <c r="CT89" s="28"/>
      <c r="CU89" s="28"/>
      <c r="CV89" s="28"/>
      <c r="CW89" s="28"/>
      <c r="CX89" s="28"/>
      <c r="CY89" s="28"/>
      <c r="CZ89" s="28"/>
      <c r="DA89" s="28"/>
      <c r="DB89" s="28"/>
      <c r="DC89" s="28"/>
      <c r="DD89" s="28"/>
      <c r="DE89" s="28"/>
      <c r="DF89" s="28"/>
      <c r="DG89" s="28"/>
      <c r="DH89" s="28"/>
      <c r="DI89" s="28"/>
      <c r="DJ89" s="28"/>
      <c r="DK89" s="28"/>
      <c r="DL89" s="28"/>
      <c r="DM89" s="28"/>
      <c r="DN89" s="28"/>
      <c r="DO89" s="28"/>
      <c r="DP89" s="28"/>
      <c r="DQ89" s="28"/>
      <c r="DR89" s="28"/>
      <c r="DS89" s="28"/>
      <c r="DT89" s="28"/>
      <c r="DU89" s="28"/>
      <c r="DV89" s="28"/>
      <c r="DW89" s="28"/>
      <c r="DX89" s="28"/>
      <c r="DY89" s="28"/>
      <c r="DZ89" s="28"/>
      <c r="EA89" s="28"/>
      <c r="EB89" s="28"/>
      <c r="EC89" s="28"/>
      <c r="ED89" s="28"/>
      <c r="EE89" s="28"/>
      <c r="EF89" s="28"/>
      <c r="EG89" s="28"/>
      <c r="EH89" s="28"/>
      <c r="EI89" s="28"/>
      <c r="EJ89" s="28"/>
      <c r="EK89" s="28"/>
      <c r="EL89" s="28"/>
      <c r="EM89" s="28"/>
      <c r="EN89" s="28"/>
      <c r="EO89" s="28"/>
      <c r="EP89" s="28"/>
      <c r="EQ89" s="28"/>
      <c r="ER89" s="28"/>
      <c r="ES89" s="28"/>
      <c r="ET89" s="28"/>
      <c r="EU89" s="28"/>
      <c r="EV89" s="28"/>
      <c r="EW89" s="28"/>
      <c r="EX89" s="28"/>
      <c r="EY89" s="28"/>
      <c r="EZ89" s="28"/>
      <c r="FA89" s="28"/>
      <c r="FB89" s="28"/>
      <c r="FC89" s="28"/>
      <c r="FD89" s="28"/>
      <c r="FE89" s="28"/>
      <c r="FF89" s="28"/>
      <c r="FG89" s="28"/>
      <c r="FH89" s="28"/>
      <c r="FI89" s="28"/>
      <c r="FJ89" s="28"/>
      <c r="FK89" s="28"/>
      <c r="FL89" s="28"/>
      <c r="FM89" s="28"/>
      <c r="FN89" s="28"/>
      <c r="FO89" s="28"/>
      <c r="FP89" s="28"/>
      <c r="FQ89" s="28"/>
      <c r="FR89" s="28"/>
      <c r="FS89" s="28"/>
      <c r="FT89" s="28"/>
      <c r="FU89" s="28"/>
      <c r="FV89" s="28"/>
      <c r="FW89" s="28"/>
      <c r="FX89" s="28"/>
      <c r="FY89" s="28"/>
      <c r="FZ89" s="28"/>
      <c r="GA89" s="28"/>
      <c r="GB89" s="28"/>
      <c r="GC89" s="28"/>
      <c r="GD89" s="28"/>
      <c r="GE89" s="28"/>
      <c r="GF89" s="28"/>
      <c r="GG89" s="28"/>
      <c r="GH89" s="28"/>
      <c r="GI89" s="28"/>
      <c r="GJ89" s="28"/>
      <c r="GK89" s="28"/>
      <c r="GL89" s="28"/>
      <c r="GM89" s="28"/>
      <c r="GN89" s="28"/>
      <c r="GO89" s="28"/>
      <c r="GP89" s="28"/>
      <c r="GQ89" s="28"/>
      <c r="GR89" s="28"/>
      <c r="GS89" s="28"/>
      <c r="GT89" s="28"/>
      <c r="GU89" s="28"/>
      <c r="GV89" s="28"/>
      <c r="GW89" s="28"/>
      <c r="GX89" s="28"/>
      <c r="GY89" s="28"/>
      <c r="GZ89" s="28"/>
      <c r="HA89" s="28"/>
      <c r="HB89" s="28"/>
      <c r="HC89" s="28"/>
      <c r="HD89" s="28"/>
      <c r="HE89" s="28"/>
      <c r="HF89" s="28"/>
      <c r="HG89" s="28"/>
      <c r="HH89" s="28"/>
      <c r="HI89" s="28"/>
      <c r="HJ89" s="28"/>
      <c r="HK89" s="28"/>
    </row>
    <row r="90" spans="1:219" ht="15" customHeight="1">
      <c r="A90" s="100">
        <v>1</v>
      </c>
      <c r="B90" s="132" t="str">
        <f>VLOOKUP(Ruimtestaat[[#This Row],[Code]],Locaties[[Code]:[Locatie]],2,FALSE)</f>
        <v>Mirtehuis</v>
      </c>
      <c r="C90" s="132" t="str">
        <f>VLOOKUP(Ruimtestaat[[#This Row],[Code]],Locaties[[#All],[Code]:[Adres]],4,FALSE)</f>
        <v>Weseperweg 6</v>
      </c>
      <c r="D90" s="132" t="str">
        <f>VLOOKUP(Ruimtestaat[[#This Row],[Code]],Locaties[[#All],[Code]:[Postcode]],5,FALSE)</f>
        <v>8111 PK</v>
      </c>
      <c r="E90" s="132" t="str">
        <f>VLOOKUP(Ruimtestaat[[#This Row],[Code]],Locaties[#All],6,FALSE)</f>
        <v>Heeten</v>
      </c>
      <c r="F90" s="100"/>
      <c r="G90" s="100" t="s">
        <v>1675</v>
      </c>
      <c r="H90" s="344"/>
      <c r="I90" s="345" t="s">
        <v>1650</v>
      </c>
      <c r="J90" s="49">
        <v>20</v>
      </c>
      <c r="K90" s="140" t="str">
        <f>VLOOKUP(Ruimtestaat[[#This Row],[Ruimte code]],Ruimtegroepen[[#All],[Code]:[Ruimte omschrijving]],2,FALSE)</f>
        <v>Niet in Onderhoud</v>
      </c>
      <c r="L90" s="100" t="s">
        <v>100</v>
      </c>
      <c r="M90" s="345" t="s">
        <v>1636</v>
      </c>
      <c r="N90" s="133"/>
      <c r="O90" s="139"/>
      <c r="P90" s="134">
        <f>VLOOKUP(Ruimtestaat[[#This Row],[Ruimte code]],Ruimtegroepen[],4,FALSE)</f>
        <v>0</v>
      </c>
      <c r="Q90" s="100"/>
      <c r="R90" s="100"/>
      <c r="S90" s="100">
        <f>IF(Q90&gt;0,IF(RIGHT(Ruimtestaat[[#This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90" s="100">
        <f>IF(S90&gt;0,VLOOKUP($J90,Ruimtegroepen[],3,FALSE)*VLOOKUP($L90,Vloersoorten[],3,FALSE)*VLOOKUP($R90,Frequenties[],3,FALSE)*VLOOKUP($A90,Locaties[],3,FALSE),0)</f>
        <v>0</v>
      </c>
      <c r="U90" s="100">
        <f>Ruimtestaat[[#This Row],[Uitvoeringen werkdagen]]*Ruimtestaat[[#This Row],[Oppervlak (netto)]]</f>
        <v>0</v>
      </c>
      <c r="V90" s="135">
        <f>IF(T90&gt;0,Ruimtestaat[[#This Row],[Prest. (m2 /jaar) werkdagen]]/Ruimtestaat[[#This Row],[Norm (m2/uur) werkdagen]],0)</f>
        <v>0</v>
      </c>
      <c r="W90" s="136">
        <f>Ruimtestaat[[#This Row],[uren / jaar werkdagen]]*Tariefsopbouw!$E$35</f>
        <v>0</v>
      </c>
      <c r="X90" s="100"/>
      <c r="Y90" s="100">
        <f>IF(Ruimtestaat[[#This Row],[Frequentie weekend]]&gt;0,VALUE(LEFT(X90,1))*Q90,0)</f>
        <v>0</v>
      </c>
      <c r="Z90" s="99">
        <f>IF($Y90&gt;0,VLOOKUP($J90,Ruimtegroepen[],3,FALSE)*VLOOKUP($L90,Vloersoorten[],3,FALSE)*VLOOKUP($X90,Frequenties[],3,FALSE)*VLOOKUP(Ruimtestaat[[#This Row],[Code]],Locaties[],3,FALSE),0)</f>
        <v>0</v>
      </c>
      <c r="AA90" s="99">
        <f>Ruimtestaat[[#This Row],[Uitvoeringen weekend]]*Ruimtestaat[[#This Row],[Oppervlak (netto)]]</f>
        <v>0</v>
      </c>
      <c r="AB90" s="99">
        <f>IF(Z90&gt;0,Ruimtestaat[[#This Row],[Prest. (m2 /jaar) weekend]]/Ruimtestaat[[#This Row],[Norm (m2/uur) weekend]],0)</f>
        <v>0</v>
      </c>
      <c r="AC90" s="136">
        <f>Ruimtestaat[[#This Row],[uren / jaar weekend]]*Tariefsopbouw!$D$40</f>
        <v>0</v>
      </c>
      <c r="AD90" s="135">
        <f>Ruimtestaat[[#This Row],[Prest. (m2 /jaar) weekend]]+Ruimtestaat[[#This Row],[Prest. (m2 /jaar) werkdagen]]</f>
        <v>0</v>
      </c>
      <c r="AE90" s="135">
        <f>Ruimtestaat[[#This Row],[uren / jaar weekend]]+Ruimtestaat[[#This Row],[uren / jaar werkdagen]]</f>
        <v>0</v>
      </c>
      <c r="AF90" s="130">
        <f>Ruimtestaat[[#This Row],[kosten / jaar weekend]]+Ruimtestaat[[#This Row],[kosten / jaar werkdagen]]</f>
        <v>0</v>
      </c>
      <c r="AG90" s="130"/>
      <c r="AH90" s="137" t="str">
        <f>IF(Ruimtestaat[[#This Row],[Frequentie werkdagen]]="","",_xlfn.CONCAT(Ruimtestaat[[#This Row],[Ruimte code]],"-",Ruimtestaat[[#This Row],[Frequentie werkdagen]]," ",Ruimtestaat[[#This Row],[Vloer code]]))</f>
        <v/>
      </c>
      <c r="AI90" s="142" t="str">
        <f>_xlfn.IFNA(VLOOKUP($AH90,Programma!$F$3:$G$1101,2,0),"")</f>
        <v/>
      </c>
      <c r="AJ90" s="142" t="str">
        <f>_xlfn.IFNA(VLOOKUP($AH90,Programma!$F$3:$H$1101,3,0),"")</f>
        <v/>
      </c>
      <c r="AK90" s="142" t="str">
        <f>_xlfn.IFNA(VLOOKUP($AH90,Programma!$F$3:$I$1101,4,0),"")</f>
        <v/>
      </c>
      <c r="AL90" s="142" t="str">
        <f>_xlfn.IFNA(VLOOKUP($AH90,Programma!$F$3:$J$1101,5,0),"")</f>
        <v/>
      </c>
      <c r="AM90" s="142" t="str">
        <f>_xlfn.IFNA(VLOOKUP($AH90,Programma!$F$3:$K$1101,6,0),"")</f>
        <v/>
      </c>
      <c r="AN90" s="142" t="str">
        <f>_xlfn.IFNA(VLOOKUP($AH90,Programma!$F$3:$L$1101,7,0),"")</f>
        <v/>
      </c>
      <c r="AO90" s="142" t="str">
        <f>_xlfn.IFNA(VLOOKUP($AH90,Programma!$F$3:$M$1101,8,0),"")</f>
        <v/>
      </c>
      <c r="AP90" s="142" t="str">
        <f>_xlfn.IFNA(VLOOKUP($AH90,Programma!$F$3:$N$1101,9,0),"")</f>
        <v/>
      </c>
      <c r="AQ90" s="142" t="str">
        <f>_xlfn.IFNA(VLOOKUP($AH90,Programma!$F$3:$O$1101,10,0),"")</f>
        <v/>
      </c>
      <c r="AR90" s="142" t="str">
        <f>_xlfn.IFNA(VLOOKUP($AH90,Programma!$F$3:$P$1101,11,0),"")</f>
        <v/>
      </c>
      <c r="AS90" s="142" t="str">
        <f>_xlfn.IFNA(VLOOKUP($AH90,Programma!$F$3:$Q$1101,12,0),"")</f>
        <v/>
      </c>
      <c r="AT90" s="142" t="str">
        <f>_xlfn.IFNA(VLOOKUP($AH90,Programma!$F$3:$R$1101,13,0),"")</f>
        <v/>
      </c>
      <c r="AU90" s="142" t="str">
        <f>_xlfn.IFNA(VLOOKUP($AH90,Programma!$F$3:$S$1101,14,0),"")</f>
        <v/>
      </c>
      <c r="AV90" s="142" t="str">
        <f>_xlfn.IFNA(VLOOKUP($AH90,Programma!$F$3:$T$1101,15,0),"")</f>
        <v/>
      </c>
      <c r="AW90" s="142" t="str">
        <f>_xlfn.IFNA(VLOOKUP($AH90,Programma!$F$3:$U$1101,16,0),"")</f>
        <v/>
      </c>
      <c r="AX90" s="142" t="str">
        <f>_xlfn.IFNA(VLOOKUP($AH90,Programma!$F$3:$V$1101,17,0),"")</f>
        <v/>
      </c>
      <c r="AY90" s="142" t="str">
        <f>_xlfn.IFNA(VLOOKUP($AH90,Programma!$F$3:$W$1101,18,0),"")</f>
        <v/>
      </c>
      <c r="AZ90" s="142" t="str">
        <f>_xlfn.IFNA(VLOOKUP($AH90,Programma!$F$3:$X$1101,19,0),"")</f>
        <v/>
      </c>
      <c r="BA90" s="142" t="str">
        <f>_xlfn.IFNA(VLOOKUP($AH90,Programma!$F$3:$Y$1101,20,0),"")</f>
        <v/>
      </c>
      <c r="BB90" s="138"/>
      <c r="BC90" s="137" t="str">
        <f>IF(Ruimtestaat[[#This Row],[Frequentie weekend]]="","",_xlfn.CONCAT(Ruimtestaat[[#This Row],[Ruimte code]],"-",Ruimtestaat[[#This Row],[Frequentie weekend]]," ",Ruimtestaat[[#This Row],[Vloer code]]))</f>
        <v/>
      </c>
      <c r="BD90" s="142" t="str">
        <f>_xlfn.IFNA(VLOOKUP($BC90,Programma!$F$3:$G$1101,2,0),"")</f>
        <v/>
      </c>
      <c r="BE90" s="142" t="str">
        <f>_xlfn.IFNA(VLOOKUP($BC90,Programma!$F$3:$H$1101,3,0),"")</f>
        <v/>
      </c>
      <c r="BF90" s="142" t="str">
        <f>_xlfn.IFNA(VLOOKUP($BC90,Programma!$F$3:$I$1101,4,0),"")</f>
        <v/>
      </c>
      <c r="BG90" s="142" t="str">
        <f>_xlfn.IFNA(VLOOKUP($BC90,Programma!$F$3:$J$1101,5,0),"")</f>
        <v/>
      </c>
      <c r="BH90" s="142" t="str">
        <f>_xlfn.IFNA(VLOOKUP($BC90,Programma!$F$3:$K$1101,6,0),"")</f>
        <v/>
      </c>
      <c r="BI90" s="142" t="str">
        <f>_xlfn.IFNA(VLOOKUP($BC90,Programma!$F$3:$L$1101,7,0),"")</f>
        <v/>
      </c>
      <c r="BJ90" s="142" t="str">
        <f>_xlfn.IFNA(VLOOKUP($BC90,Programma!$F$3:$M$1101,8,0),"")</f>
        <v/>
      </c>
      <c r="BK90" s="142" t="str">
        <f>_xlfn.IFNA(VLOOKUP($BC90,Programma!$F$3:$N$1101,9,0),"")</f>
        <v/>
      </c>
      <c r="BL90" s="142" t="str">
        <f>_xlfn.IFNA(VLOOKUP($BC90,Programma!$F$3:$O$1101,10,0),"")</f>
        <v/>
      </c>
      <c r="BM90" s="142" t="str">
        <f>_xlfn.IFNA(VLOOKUP($BC90,Programma!$F$3:$P$1101,11,0),"")</f>
        <v/>
      </c>
      <c r="BN90" s="142" t="str">
        <f>_xlfn.IFNA(VLOOKUP($BC90,Programma!$F$3:$Q$1101,12,0),"")</f>
        <v/>
      </c>
      <c r="BO90" s="142" t="str">
        <f>_xlfn.IFNA(VLOOKUP($BC90,Programma!$F$3:$R$1101,13,0),"")</f>
        <v/>
      </c>
      <c r="BP90" s="142" t="str">
        <f>_xlfn.IFNA(VLOOKUP($BC90,Programma!$F$3:$S$1101,14,0),"")</f>
        <v/>
      </c>
      <c r="BQ90" s="142" t="str">
        <f>_xlfn.IFNA(VLOOKUP($BC90,Programma!$F$3:$T$1101,15,0),"")</f>
        <v/>
      </c>
      <c r="BR90" s="142" t="str">
        <f>_xlfn.IFNA(VLOOKUP($BC90,Programma!$F$3:$U$1101,16,0),"")</f>
        <v/>
      </c>
      <c r="BS90" s="142" t="str">
        <f>_xlfn.IFNA(VLOOKUP($BC90,Programma!$F$3:$V$1101,17,0),"")</f>
        <v/>
      </c>
      <c r="BT90" s="142" t="str">
        <f>_xlfn.IFNA(VLOOKUP($BC90,Programma!$F$3:$W$1101,18,0),"")</f>
        <v/>
      </c>
      <c r="BU90" s="142" t="str">
        <f>_xlfn.IFNA(VLOOKUP($BC90,Programma!$F$3:$X$1101,19,0),"")</f>
        <v/>
      </c>
      <c r="BV90" s="142" t="str">
        <f>_xlfn.IFNA(VLOOKUP($BC90,Programma!$F$3:$Y$1101,20,0),"")</f>
        <v/>
      </c>
      <c r="BW90" s="28"/>
      <c r="BX90" s="28"/>
      <c r="BY90" s="28"/>
      <c r="BZ90" s="28"/>
      <c r="CA90" s="28"/>
      <c r="CB90" s="28"/>
      <c r="CC90" s="28"/>
      <c r="CD90" s="28"/>
      <c r="CE90" s="28"/>
      <c r="CF90" s="28"/>
      <c r="CG90" s="28"/>
      <c r="CH90" s="28"/>
      <c r="CI90" s="28"/>
      <c r="CJ90" s="28"/>
      <c r="CK90" s="28"/>
      <c r="CL90" s="28"/>
      <c r="CM90" s="28"/>
      <c r="CN90" s="28"/>
      <c r="CO90" s="28"/>
      <c r="CP90" s="28"/>
      <c r="CQ90" s="28"/>
      <c r="CR90" s="28"/>
      <c r="CS90" s="28"/>
      <c r="CT90" s="28"/>
      <c r="CU90" s="28"/>
      <c r="CV90" s="28"/>
      <c r="CW90" s="28"/>
      <c r="CX90" s="28"/>
      <c r="CY90" s="28"/>
      <c r="CZ90" s="28"/>
      <c r="DA90" s="28"/>
      <c r="DB90" s="28"/>
      <c r="DC90" s="28"/>
      <c r="DD90" s="28"/>
      <c r="DE90" s="28"/>
      <c r="DF90" s="28"/>
      <c r="DG90" s="28"/>
      <c r="DH90" s="28"/>
      <c r="DI90" s="28"/>
      <c r="DJ90" s="28"/>
      <c r="DK90" s="28"/>
      <c r="DL90" s="28"/>
      <c r="DM90" s="28"/>
      <c r="DN90" s="28"/>
      <c r="DO90" s="28"/>
      <c r="DP90" s="28"/>
      <c r="DQ90" s="28"/>
      <c r="DR90" s="28"/>
      <c r="DS90" s="28"/>
      <c r="DT90" s="28"/>
      <c r="DU90" s="28"/>
      <c r="DV90" s="28"/>
      <c r="DW90" s="28"/>
      <c r="DX90" s="28"/>
      <c r="DY90" s="28"/>
      <c r="DZ90" s="28"/>
      <c r="EA90" s="28"/>
      <c r="EB90" s="28"/>
      <c r="EC90" s="28"/>
      <c r="ED90" s="28"/>
      <c r="EE90" s="28"/>
      <c r="EF90" s="28"/>
      <c r="EG90" s="28"/>
      <c r="EH90" s="28"/>
      <c r="EI90" s="28"/>
      <c r="EJ90" s="28"/>
      <c r="EK90" s="28"/>
      <c r="EL90" s="28"/>
      <c r="EM90" s="28"/>
      <c r="EN90" s="28"/>
      <c r="EO90" s="28"/>
      <c r="EP90" s="28"/>
      <c r="EQ90" s="28"/>
      <c r="ER90" s="28"/>
      <c r="ES90" s="28"/>
      <c r="ET90" s="28"/>
      <c r="EU90" s="28"/>
      <c r="EV90" s="28"/>
      <c r="EW90" s="28"/>
      <c r="EX90" s="28"/>
      <c r="EY90" s="28"/>
      <c r="EZ90" s="28"/>
      <c r="FA90" s="28"/>
      <c r="FB90" s="28"/>
      <c r="FC90" s="28"/>
      <c r="FD90" s="28"/>
      <c r="FE90" s="28"/>
      <c r="FF90" s="28"/>
      <c r="FG90" s="28"/>
      <c r="FH90" s="28"/>
      <c r="FI90" s="28"/>
      <c r="FJ90" s="28"/>
      <c r="FK90" s="28"/>
      <c r="FL90" s="28"/>
      <c r="FM90" s="28"/>
      <c r="FN90" s="28"/>
      <c r="FO90" s="28"/>
      <c r="FP90" s="28"/>
      <c r="FQ90" s="28"/>
      <c r="FR90" s="28"/>
      <c r="FS90" s="28"/>
      <c r="FT90" s="28"/>
      <c r="FU90" s="28"/>
      <c r="FV90" s="28"/>
      <c r="FW90" s="28"/>
      <c r="FX90" s="28"/>
      <c r="FY90" s="28"/>
      <c r="FZ90" s="28"/>
      <c r="GA90" s="28"/>
      <c r="GB90" s="28"/>
      <c r="GC90" s="28"/>
      <c r="GD90" s="28"/>
      <c r="GE90" s="28"/>
      <c r="GF90" s="28"/>
      <c r="GG90" s="28"/>
      <c r="GH90" s="28"/>
      <c r="GI90" s="28"/>
      <c r="GJ90" s="28"/>
      <c r="GK90" s="28"/>
      <c r="GL90" s="28"/>
      <c r="GM90" s="28"/>
      <c r="GN90" s="28"/>
      <c r="GO90" s="28"/>
      <c r="GP90" s="28"/>
      <c r="GQ90" s="28"/>
      <c r="GR90" s="28"/>
      <c r="GS90" s="28"/>
      <c r="GT90" s="28"/>
      <c r="GU90" s="28"/>
      <c r="GV90" s="28"/>
      <c r="GW90" s="28"/>
      <c r="GX90" s="28"/>
      <c r="GY90" s="28"/>
      <c r="GZ90" s="28"/>
      <c r="HA90" s="28"/>
      <c r="HB90" s="28"/>
      <c r="HC90" s="28"/>
      <c r="HD90" s="28"/>
      <c r="HE90" s="28"/>
      <c r="HF90" s="28"/>
      <c r="HG90" s="28"/>
      <c r="HH90" s="28"/>
      <c r="HI90" s="28"/>
      <c r="HJ90" s="28"/>
      <c r="HK90" s="28"/>
    </row>
    <row r="91" spans="1:219" ht="15" customHeight="1">
      <c r="A91" s="100">
        <v>1</v>
      </c>
      <c r="B91" s="132" t="str">
        <f>VLOOKUP(Ruimtestaat[[#This Row],[Code]],Locaties[[Code]:[Locatie]],2,FALSE)</f>
        <v>Mirtehuis</v>
      </c>
      <c r="C91" s="132" t="str">
        <f>VLOOKUP(Ruimtestaat[[#This Row],[Code]],Locaties[[#All],[Code]:[Adres]],4,FALSE)</f>
        <v>Weseperweg 6</v>
      </c>
      <c r="D91" s="132" t="str">
        <f>VLOOKUP(Ruimtestaat[[#This Row],[Code]],Locaties[[#All],[Code]:[Postcode]],5,FALSE)</f>
        <v>8111 PK</v>
      </c>
      <c r="E91" s="132" t="str">
        <f>VLOOKUP(Ruimtestaat[[#This Row],[Code]],Locaties[#All],6,FALSE)</f>
        <v>Heeten</v>
      </c>
      <c r="F91" s="100"/>
      <c r="G91" s="100" t="s">
        <v>1675</v>
      </c>
      <c r="H91" s="344" t="s">
        <v>1673</v>
      </c>
      <c r="I91" s="345" t="s">
        <v>1656</v>
      </c>
      <c r="J91" s="49">
        <v>20</v>
      </c>
      <c r="K91" s="140" t="str">
        <f>VLOOKUP(Ruimtestaat[[#This Row],[Ruimte code]],Ruimtegroepen[[#All],[Code]:[Ruimte omschrijving]],2,FALSE)</f>
        <v>Niet in Onderhoud</v>
      </c>
      <c r="L91" s="100" t="s">
        <v>100</v>
      </c>
      <c r="M91" s="345" t="s">
        <v>1636</v>
      </c>
      <c r="N91" s="133"/>
      <c r="O91" s="100"/>
      <c r="P91" s="134">
        <f>VLOOKUP(Ruimtestaat[[#This Row],[Ruimte code]],Ruimtegroepen[],4,FALSE)</f>
        <v>0</v>
      </c>
      <c r="Q91" s="100"/>
      <c r="R91" s="100"/>
      <c r="S91" s="100">
        <f>IF(Q91&gt;0,IF(RIGHT(Ruimtestaat[[#This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91" s="100">
        <f>IF(S91&gt;0,VLOOKUP($J91,Ruimtegroepen[],3,FALSE)*VLOOKUP($L91,Vloersoorten[],3,FALSE)*VLOOKUP($R91,Frequenties[],3,FALSE)*VLOOKUP($A91,Locaties[],3,FALSE),0)</f>
        <v>0</v>
      </c>
      <c r="U91" s="100">
        <f>Ruimtestaat[[#This Row],[Uitvoeringen werkdagen]]*Ruimtestaat[[#This Row],[Oppervlak (netto)]]</f>
        <v>0</v>
      </c>
      <c r="V91" s="135">
        <f>IF(T91&gt;0,Ruimtestaat[[#This Row],[Prest. (m2 /jaar) werkdagen]]/Ruimtestaat[[#This Row],[Norm (m2/uur) werkdagen]],0)</f>
        <v>0</v>
      </c>
      <c r="W91" s="136">
        <f>Ruimtestaat[[#This Row],[uren / jaar werkdagen]]*Tariefsopbouw!$E$35</f>
        <v>0</v>
      </c>
      <c r="X91" s="100"/>
      <c r="Y91" s="100">
        <f>IF(Ruimtestaat[[#This Row],[Frequentie weekend]]&gt;0,VALUE(LEFT(X91,1))*Q91,0)</f>
        <v>0</v>
      </c>
      <c r="Z91" s="99">
        <f>IF($Y91&gt;0,VLOOKUP($J91,Ruimtegroepen[],3,FALSE)*VLOOKUP($L91,Vloersoorten[],3,FALSE)*VLOOKUP($X91,Frequenties[],3,FALSE)*VLOOKUP(Ruimtestaat[[#This Row],[Code]],Locaties[],3,FALSE),0)</f>
        <v>0</v>
      </c>
      <c r="AA91" s="99">
        <f>Ruimtestaat[[#This Row],[Uitvoeringen weekend]]*Ruimtestaat[[#This Row],[Oppervlak (netto)]]</f>
        <v>0</v>
      </c>
      <c r="AB91" s="99">
        <f>IF(Z91&gt;0,Ruimtestaat[[#This Row],[Prest. (m2 /jaar) weekend]]/Ruimtestaat[[#This Row],[Norm (m2/uur) weekend]],0)</f>
        <v>0</v>
      </c>
      <c r="AC91" s="136">
        <f>Ruimtestaat[[#This Row],[uren / jaar weekend]]*Tariefsopbouw!$D$40</f>
        <v>0</v>
      </c>
      <c r="AD91" s="135">
        <f>Ruimtestaat[[#This Row],[Prest. (m2 /jaar) weekend]]+Ruimtestaat[[#This Row],[Prest. (m2 /jaar) werkdagen]]</f>
        <v>0</v>
      </c>
      <c r="AE91" s="135">
        <f>Ruimtestaat[[#This Row],[uren / jaar weekend]]+Ruimtestaat[[#This Row],[uren / jaar werkdagen]]</f>
        <v>0</v>
      </c>
      <c r="AF91" s="130">
        <f>Ruimtestaat[[#This Row],[kosten / jaar weekend]]+Ruimtestaat[[#This Row],[kosten / jaar werkdagen]]</f>
        <v>0</v>
      </c>
      <c r="AG91" s="130"/>
      <c r="AH91" s="137" t="str">
        <f>IF(Ruimtestaat[[#This Row],[Frequentie werkdagen]]="","",_xlfn.CONCAT(Ruimtestaat[[#This Row],[Ruimte code]],"-",Ruimtestaat[[#This Row],[Frequentie werkdagen]]," ",Ruimtestaat[[#This Row],[Vloer code]]))</f>
        <v/>
      </c>
      <c r="AI91" s="142" t="str">
        <f>_xlfn.IFNA(VLOOKUP($AH91,Programma!$F$3:$G$1101,2,0),"")</f>
        <v/>
      </c>
      <c r="AJ91" s="142" t="str">
        <f>_xlfn.IFNA(VLOOKUP($AH91,Programma!$F$3:$H$1101,3,0),"")</f>
        <v/>
      </c>
      <c r="AK91" s="142" t="str">
        <f>_xlfn.IFNA(VLOOKUP($AH91,Programma!$F$3:$I$1101,4,0),"")</f>
        <v/>
      </c>
      <c r="AL91" s="142" t="str">
        <f>_xlfn.IFNA(VLOOKUP($AH91,Programma!$F$3:$J$1101,5,0),"")</f>
        <v/>
      </c>
      <c r="AM91" s="142" t="str">
        <f>_xlfn.IFNA(VLOOKUP($AH91,Programma!$F$3:$K$1101,6,0),"")</f>
        <v/>
      </c>
      <c r="AN91" s="142" t="str">
        <f>_xlfn.IFNA(VLOOKUP($AH91,Programma!$F$3:$L$1101,7,0),"")</f>
        <v/>
      </c>
      <c r="AO91" s="142" t="str">
        <f>_xlfn.IFNA(VLOOKUP($AH91,Programma!$F$3:$M$1101,8,0),"")</f>
        <v/>
      </c>
      <c r="AP91" s="142" t="str">
        <f>_xlfn.IFNA(VLOOKUP($AH91,Programma!$F$3:$N$1101,9,0),"")</f>
        <v/>
      </c>
      <c r="AQ91" s="142" t="str">
        <f>_xlfn.IFNA(VLOOKUP($AH91,Programma!$F$3:$O$1101,10,0),"")</f>
        <v/>
      </c>
      <c r="AR91" s="142" t="str">
        <f>_xlfn.IFNA(VLOOKUP($AH91,Programma!$F$3:$P$1101,11,0),"")</f>
        <v/>
      </c>
      <c r="AS91" s="142" t="str">
        <f>_xlfn.IFNA(VLOOKUP($AH91,Programma!$F$3:$Q$1101,12,0),"")</f>
        <v/>
      </c>
      <c r="AT91" s="142" t="str">
        <f>_xlfn.IFNA(VLOOKUP($AH91,Programma!$F$3:$R$1101,13,0),"")</f>
        <v/>
      </c>
      <c r="AU91" s="142" t="str">
        <f>_xlfn.IFNA(VLOOKUP($AH91,Programma!$F$3:$S$1101,14,0),"")</f>
        <v/>
      </c>
      <c r="AV91" s="142" t="str">
        <f>_xlfn.IFNA(VLOOKUP($AH91,Programma!$F$3:$T$1101,15,0),"")</f>
        <v/>
      </c>
      <c r="AW91" s="142" t="str">
        <f>_xlfn.IFNA(VLOOKUP($AH91,Programma!$F$3:$U$1101,16,0),"")</f>
        <v/>
      </c>
      <c r="AX91" s="142" t="str">
        <f>_xlfn.IFNA(VLOOKUP($AH91,Programma!$F$3:$V$1101,17,0),"")</f>
        <v/>
      </c>
      <c r="AY91" s="142" t="str">
        <f>_xlfn.IFNA(VLOOKUP($AH91,Programma!$F$3:$W$1101,18,0),"")</f>
        <v/>
      </c>
      <c r="AZ91" s="142" t="str">
        <f>_xlfn.IFNA(VLOOKUP($AH91,Programma!$F$3:$X$1101,19,0),"")</f>
        <v/>
      </c>
      <c r="BA91" s="142" t="str">
        <f>_xlfn.IFNA(VLOOKUP($AH91,Programma!$F$3:$Y$1101,20,0),"")</f>
        <v/>
      </c>
      <c r="BB91" s="138"/>
      <c r="BC91" s="137" t="str">
        <f>IF(Ruimtestaat[[#This Row],[Frequentie weekend]]="","",_xlfn.CONCAT(Ruimtestaat[[#This Row],[Ruimte code]],"-",Ruimtestaat[[#This Row],[Frequentie weekend]]," ",Ruimtestaat[[#This Row],[Vloer code]]))</f>
        <v/>
      </c>
      <c r="BD91" s="142" t="str">
        <f>_xlfn.IFNA(VLOOKUP($BC91,Programma!$F$3:$G$1101,2,0),"")</f>
        <v/>
      </c>
      <c r="BE91" s="142" t="str">
        <f>_xlfn.IFNA(VLOOKUP($BC91,Programma!$F$3:$H$1101,3,0),"")</f>
        <v/>
      </c>
      <c r="BF91" s="142" t="str">
        <f>_xlfn.IFNA(VLOOKUP($BC91,Programma!$F$3:$I$1101,4,0),"")</f>
        <v/>
      </c>
      <c r="BG91" s="142" t="str">
        <f>_xlfn.IFNA(VLOOKUP($BC91,Programma!$F$3:$J$1101,5,0),"")</f>
        <v/>
      </c>
      <c r="BH91" s="142" t="str">
        <f>_xlfn.IFNA(VLOOKUP($BC91,Programma!$F$3:$K$1101,6,0),"")</f>
        <v/>
      </c>
      <c r="BI91" s="142" t="str">
        <f>_xlfn.IFNA(VLOOKUP($BC91,Programma!$F$3:$L$1101,7,0),"")</f>
        <v/>
      </c>
      <c r="BJ91" s="142" t="str">
        <f>_xlfn.IFNA(VLOOKUP($BC91,Programma!$F$3:$M$1101,8,0),"")</f>
        <v/>
      </c>
      <c r="BK91" s="142" t="str">
        <f>_xlfn.IFNA(VLOOKUP($BC91,Programma!$F$3:$N$1101,9,0),"")</f>
        <v/>
      </c>
      <c r="BL91" s="142" t="str">
        <f>_xlfn.IFNA(VLOOKUP($BC91,Programma!$F$3:$O$1101,10,0),"")</f>
        <v/>
      </c>
      <c r="BM91" s="142" t="str">
        <f>_xlfn.IFNA(VLOOKUP($BC91,Programma!$F$3:$P$1101,11,0),"")</f>
        <v/>
      </c>
      <c r="BN91" s="142" t="str">
        <f>_xlfn.IFNA(VLOOKUP($BC91,Programma!$F$3:$Q$1101,12,0),"")</f>
        <v/>
      </c>
      <c r="BO91" s="142" t="str">
        <f>_xlfn.IFNA(VLOOKUP($BC91,Programma!$F$3:$R$1101,13,0),"")</f>
        <v/>
      </c>
      <c r="BP91" s="142" t="str">
        <f>_xlfn.IFNA(VLOOKUP($BC91,Programma!$F$3:$S$1101,14,0),"")</f>
        <v/>
      </c>
      <c r="BQ91" s="142" t="str">
        <f>_xlfn.IFNA(VLOOKUP($BC91,Programma!$F$3:$T$1101,15,0),"")</f>
        <v/>
      </c>
      <c r="BR91" s="142" t="str">
        <f>_xlfn.IFNA(VLOOKUP($BC91,Programma!$F$3:$U$1101,16,0),"")</f>
        <v/>
      </c>
      <c r="BS91" s="142" t="str">
        <f>_xlfn.IFNA(VLOOKUP($BC91,Programma!$F$3:$V$1101,17,0),"")</f>
        <v/>
      </c>
      <c r="BT91" s="142" t="str">
        <f>_xlfn.IFNA(VLOOKUP($BC91,Programma!$F$3:$W$1101,18,0),"")</f>
        <v/>
      </c>
      <c r="BU91" s="142" t="str">
        <f>_xlfn.IFNA(VLOOKUP($BC91,Programma!$F$3:$X$1101,19,0),"")</f>
        <v/>
      </c>
      <c r="BV91" s="142" t="str">
        <f>_xlfn.IFNA(VLOOKUP($BC91,Programma!$F$3:$Y$1101,20,0),"")</f>
        <v/>
      </c>
      <c r="BW91" s="28"/>
      <c r="BX91" s="28"/>
      <c r="BY91" s="28"/>
      <c r="BZ91" s="28"/>
      <c r="CA91" s="28"/>
      <c r="CB91" s="28"/>
      <c r="CC91" s="28"/>
      <c r="CD91" s="28"/>
      <c r="CE91" s="28"/>
      <c r="CF91" s="28"/>
      <c r="CG91" s="28"/>
      <c r="CH91" s="28"/>
      <c r="CI91" s="28"/>
      <c r="CJ91" s="28"/>
      <c r="CK91" s="28"/>
      <c r="CL91" s="28"/>
      <c r="CM91" s="28"/>
      <c r="CN91" s="28"/>
      <c r="CO91" s="28"/>
      <c r="CP91" s="28"/>
      <c r="CQ91" s="28"/>
      <c r="CR91" s="28"/>
      <c r="CS91" s="28"/>
      <c r="CT91" s="28"/>
      <c r="CU91" s="28"/>
      <c r="CV91" s="28"/>
      <c r="CW91" s="28"/>
      <c r="CX91" s="28"/>
      <c r="CY91" s="28"/>
      <c r="CZ91" s="28"/>
      <c r="DA91" s="28"/>
      <c r="DB91" s="28"/>
      <c r="DC91" s="28"/>
      <c r="DD91" s="28"/>
      <c r="DE91" s="28"/>
      <c r="DF91" s="28"/>
      <c r="DG91" s="28"/>
      <c r="DH91" s="28"/>
      <c r="DI91" s="28"/>
      <c r="DJ91" s="28"/>
      <c r="DK91" s="28"/>
      <c r="DL91" s="28"/>
      <c r="DM91" s="28"/>
      <c r="DN91" s="28"/>
      <c r="DO91" s="28"/>
      <c r="DP91" s="28"/>
      <c r="DQ91" s="28"/>
      <c r="DR91" s="28"/>
      <c r="DS91" s="28"/>
      <c r="DT91" s="28"/>
      <c r="DU91" s="28"/>
      <c r="DV91" s="28"/>
      <c r="DW91" s="28"/>
      <c r="DX91" s="28"/>
      <c r="DY91" s="28"/>
      <c r="DZ91" s="28"/>
      <c r="EA91" s="28"/>
      <c r="EB91" s="28"/>
      <c r="EC91" s="28"/>
      <c r="ED91" s="28"/>
      <c r="EE91" s="28"/>
      <c r="EF91" s="28"/>
      <c r="EG91" s="28"/>
      <c r="EH91" s="28"/>
      <c r="EI91" s="28"/>
      <c r="EJ91" s="28"/>
      <c r="EK91" s="28"/>
      <c r="EL91" s="28"/>
      <c r="EM91" s="28"/>
      <c r="EN91" s="28"/>
      <c r="EO91" s="28"/>
      <c r="EP91" s="28"/>
      <c r="EQ91" s="28"/>
      <c r="ER91" s="28"/>
      <c r="ES91" s="28"/>
      <c r="ET91" s="28"/>
      <c r="EU91" s="28"/>
      <c r="EV91" s="28"/>
      <c r="EW91" s="28"/>
      <c r="EX91" s="28"/>
      <c r="EY91" s="28"/>
      <c r="EZ91" s="28"/>
      <c r="FA91" s="28"/>
      <c r="FB91" s="28"/>
      <c r="FC91" s="28"/>
      <c r="FD91" s="28"/>
      <c r="FE91" s="28"/>
      <c r="FF91" s="28"/>
      <c r="FG91" s="28"/>
      <c r="FH91" s="28"/>
      <c r="FI91" s="28"/>
      <c r="FJ91" s="28"/>
      <c r="FK91" s="28"/>
      <c r="FL91" s="28"/>
      <c r="FM91" s="28"/>
      <c r="FN91" s="28"/>
      <c r="FO91" s="28"/>
      <c r="FP91" s="28"/>
      <c r="FQ91" s="28"/>
      <c r="FR91" s="28"/>
      <c r="FS91" s="28"/>
      <c r="FT91" s="28"/>
      <c r="FU91" s="28"/>
      <c r="FV91" s="28"/>
      <c r="FW91" s="28"/>
      <c r="FX91" s="28"/>
      <c r="FY91" s="28"/>
      <c r="FZ91" s="28"/>
      <c r="GA91" s="28"/>
      <c r="GB91" s="28"/>
      <c r="GC91" s="28"/>
      <c r="GD91" s="28"/>
      <c r="GE91" s="28"/>
      <c r="GF91" s="28"/>
      <c r="GG91" s="28"/>
      <c r="GH91" s="28"/>
      <c r="GI91" s="28"/>
      <c r="GJ91" s="28"/>
      <c r="GK91" s="28"/>
      <c r="GL91" s="28"/>
      <c r="GM91" s="28"/>
      <c r="GN91" s="28"/>
      <c r="GO91" s="28"/>
      <c r="GP91" s="28"/>
      <c r="GQ91" s="28"/>
      <c r="GR91" s="28"/>
      <c r="GS91" s="28"/>
      <c r="GT91" s="28"/>
      <c r="GU91" s="28"/>
      <c r="GV91" s="28"/>
      <c r="GW91" s="28"/>
      <c r="GX91" s="28"/>
      <c r="GY91" s="28"/>
      <c r="GZ91" s="28"/>
      <c r="HA91" s="28"/>
      <c r="HB91" s="28"/>
      <c r="HC91" s="28"/>
      <c r="HD91" s="28"/>
      <c r="HE91" s="28"/>
      <c r="HF91" s="28"/>
      <c r="HG91" s="28"/>
      <c r="HH91" s="28"/>
      <c r="HI91" s="28"/>
      <c r="HJ91" s="28"/>
      <c r="HK91" s="28"/>
    </row>
    <row r="92" spans="1:219" ht="15" customHeight="1">
      <c r="A92" s="100">
        <v>1</v>
      </c>
      <c r="B92" s="132" t="str">
        <f>VLOOKUP(Ruimtestaat[[#This Row],[Code]],Locaties[[Code]:[Locatie]],2,FALSE)</f>
        <v>Mirtehuis</v>
      </c>
      <c r="C92" s="132" t="str">
        <f>VLOOKUP(Ruimtestaat[[#This Row],[Code]],Locaties[[#All],[Code]:[Adres]],4,FALSE)</f>
        <v>Weseperweg 6</v>
      </c>
      <c r="D92" s="132" t="str">
        <f>VLOOKUP(Ruimtestaat[[#This Row],[Code]],Locaties[[#All],[Code]:[Postcode]],5,FALSE)</f>
        <v>8111 PK</v>
      </c>
      <c r="E92" s="132" t="str">
        <f>VLOOKUP(Ruimtestaat[[#This Row],[Code]],Locaties[#All],6,FALSE)</f>
        <v>Heeten</v>
      </c>
      <c r="F92" s="100"/>
      <c r="G92" s="100" t="s">
        <v>1675</v>
      </c>
      <c r="H92" s="344"/>
      <c r="I92" s="345" t="s">
        <v>1641</v>
      </c>
      <c r="J92" s="49">
        <v>20</v>
      </c>
      <c r="K92" s="140" t="str">
        <f>VLOOKUP(Ruimtestaat[[#This Row],[Ruimte code]],Ruimtegroepen[[#All],[Code]:[Ruimte omschrijving]],2,FALSE)</f>
        <v>Niet in Onderhoud</v>
      </c>
      <c r="L92" s="100" t="s">
        <v>101</v>
      </c>
      <c r="M92" s="345" t="s">
        <v>1642</v>
      </c>
      <c r="N92" s="133"/>
      <c r="O92" s="139"/>
      <c r="P92" s="134">
        <f>VLOOKUP(Ruimtestaat[[#This Row],[Ruimte code]],Ruimtegroepen[],4,FALSE)</f>
        <v>0</v>
      </c>
      <c r="Q92" s="100"/>
      <c r="R92" s="100"/>
      <c r="S92" s="100">
        <f>IF(Q92&gt;0,IF(RIGHT(Ruimtestaat[[#This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92" s="100">
        <f>IF(S92&gt;0,VLOOKUP($J92,Ruimtegroepen[],3,FALSE)*VLOOKUP($L92,Vloersoorten[],3,FALSE)*VLOOKUP($R92,Frequenties[],3,FALSE)*VLOOKUP($A92,Locaties[],3,FALSE),0)</f>
        <v>0</v>
      </c>
      <c r="U92" s="100">
        <f>Ruimtestaat[[#This Row],[Uitvoeringen werkdagen]]*Ruimtestaat[[#This Row],[Oppervlak (netto)]]</f>
        <v>0</v>
      </c>
      <c r="V92" s="135">
        <f>IF(T92&gt;0,Ruimtestaat[[#This Row],[Prest. (m2 /jaar) werkdagen]]/Ruimtestaat[[#This Row],[Norm (m2/uur) werkdagen]],0)</f>
        <v>0</v>
      </c>
      <c r="W92" s="136">
        <f>Ruimtestaat[[#This Row],[uren / jaar werkdagen]]*Tariefsopbouw!$E$35</f>
        <v>0</v>
      </c>
      <c r="X92" s="100"/>
      <c r="Y92" s="100">
        <f>IF(Ruimtestaat[[#This Row],[Frequentie weekend]]&gt;0,VALUE(LEFT(X92,1))*Q92,0)</f>
        <v>0</v>
      </c>
      <c r="Z92" s="99">
        <f>IF($Y92&gt;0,VLOOKUP($J92,Ruimtegroepen[],3,FALSE)*VLOOKUP($L92,Vloersoorten[],3,FALSE)*VLOOKUP($X92,Frequenties[],3,FALSE)*VLOOKUP(Ruimtestaat[[#This Row],[Code]],Locaties[],3,FALSE),0)</f>
        <v>0</v>
      </c>
      <c r="AA92" s="99">
        <f>Ruimtestaat[[#This Row],[Uitvoeringen weekend]]*Ruimtestaat[[#This Row],[Oppervlak (netto)]]</f>
        <v>0</v>
      </c>
      <c r="AB92" s="99">
        <f>IF(Z92&gt;0,Ruimtestaat[[#This Row],[Prest. (m2 /jaar) weekend]]/Ruimtestaat[[#This Row],[Norm (m2/uur) weekend]],0)</f>
        <v>0</v>
      </c>
      <c r="AC92" s="136">
        <f>Ruimtestaat[[#This Row],[uren / jaar weekend]]*Tariefsopbouw!$D$40</f>
        <v>0</v>
      </c>
      <c r="AD92" s="135">
        <f>Ruimtestaat[[#This Row],[Prest. (m2 /jaar) weekend]]+Ruimtestaat[[#This Row],[Prest. (m2 /jaar) werkdagen]]</f>
        <v>0</v>
      </c>
      <c r="AE92" s="135">
        <f>Ruimtestaat[[#This Row],[uren / jaar weekend]]+Ruimtestaat[[#This Row],[uren / jaar werkdagen]]</f>
        <v>0</v>
      </c>
      <c r="AF92" s="130">
        <f>Ruimtestaat[[#This Row],[kosten / jaar weekend]]+Ruimtestaat[[#This Row],[kosten / jaar werkdagen]]</f>
        <v>0</v>
      </c>
      <c r="AG92" s="130"/>
      <c r="AH92" s="137" t="str">
        <f>IF(Ruimtestaat[[#This Row],[Frequentie werkdagen]]="","",_xlfn.CONCAT(Ruimtestaat[[#This Row],[Ruimte code]],"-",Ruimtestaat[[#This Row],[Frequentie werkdagen]]," ",Ruimtestaat[[#This Row],[Vloer code]]))</f>
        <v/>
      </c>
      <c r="AI92" s="142" t="str">
        <f>_xlfn.IFNA(VLOOKUP($AH92,Programma!$F$3:$G$1101,2,0),"")</f>
        <v/>
      </c>
      <c r="AJ92" s="142" t="str">
        <f>_xlfn.IFNA(VLOOKUP($AH92,Programma!$F$3:$H$1101,3,0),"")</f>
        <v/>
      </c>
      <c r="AK92" s="142" t="str">
        <f>_xlfn.IFNA(VLOOKUP($AH92,Programma!$F$3:$I$1101,4,0),"")</f>
        <v/>
      </c>
      <c r="AL92" s="142" t="str">
        <f>_xlfn.IFNA(VLOOKUP($AH92,Programma!$F$3:$J$1101,5,0),"")</f>
        <v/>
      </c>
      <c r="AM92" s="142" t="str">
        <f>_xlfn.IFNA(VLOOKUP($AH92,Programma!$F$3:$K$1101,6,0),"")</f>
        <v/>
      </c>
      <c r="AN92" s="142" t="str">
        <f>_xlfn.IFNA(VLOOKUP($AH92,Programma!$F$3:$L$1101,7,0),"")</f>
        <v/>
      </c>
      <c r="AO92" s="142" t="str">
        <f>_xlfn.IFNA(VLOOKUP($AH92,Programma!$F$3:$M$1101,8,0),"")</f>
        <v/>
      </c>
      <c r="AP92" s="142" t="str">
        <f>_xlfn.IFNA(VLOOKUP($AH92,Programma!$F$3:$N$1101,9,0),"")</f>
        <v/>
      </c>
      <c r="AQ92" s="142" t="str">
        <f>_xlfn.IFNA(VLOOKUP($AH92,Programma!$F$3:$O$1101,10,0),"")</f>
        <v/>
      </c>
      <c r="AR92" s="142" t="str">
        <f>_xlfn.IFNA(VLOOKUP($AH92,Programma!$F$3:$P$1101,11,0),"")</f>
        <v/>
      </c>
      <c r="AS92" s="142" t="str">
        <f>_xlfn.IFNA(VLOOKUP($AH92,Programma!$F$3:$Q$1101,12,0),"")</f>
        <v/>
      </c>
      <c r="AT92" s="142" t="str">
        <f>_xlfn.IFNA(VLOOKUP($AH92,Programma!$F$3:$R$1101,13,0),"")</f>
        <v/>
      </c>
      <c r="AU92" s="142" t="str">
        <f>_xlfn.IFNA(VLOOKUP($AH92,Programma!$F$3:$S$1101,14,0),"")</f>
        <v/>
      </c>
      <c r="AV92" s="142" t="str">
        <f>_xlfn.IFNA(VLOOKUP($AH92,Programma!$F$3:$T$1101,15,0),"")</f>
        <v/>
      </c>
      <c r="AW92" s="142" t="str">
        <f>_xlfn.IFNA(VLOOKUP($AH92,Programma!$F$3:$U$1101,16,0),"")</f>
        <v/>
      </c>
      <c r="AX92" s="142" t="str">
        <f>_xlfn.IFNA(VLOOKUP($AH92,Programma!$F$3:$V$1101,17,0),"")</f>
        <v/>
      </c>
      <c r="AY92" s="142" t="str">
        <f>_xlfn.IFNA(VLOOKUP($AH92,Programma!$F$3:$W$1101,18,0),"")</f>
        <v/>
      </c>
      <c r="AZ92" s="142" t="str">
        <f>_xlfn.IFNA(VLOOKUP($AH92,Programma!$F$3:$X$1101,19,0),"")</f>
        <v/>
      </c>
      <c r="BA92" s="142" t="str">
        <f>_xlfn.IFNA(VLOOKUP($AH92,Programma!$F$3:$Y$1101,20,0),"")</f>
        <v/>
      </c>
      <c r="BB92" s="138"/>
      <c r="BC92" s="137" t="str">
        <f>IF(Ruimtestaat[[#This Row],[Frequentie weekend]]="","",_xlfn.CONCAT(Ruimtestaat[[#This Row],[Ruimte code]],"-",Ruimtestaat[[#This Row],[Frequentie weekend]]," ",Ruimtestaat[[#This Row],[Vloer code]]))</f>
        <v/>
      </c>
      <c r="BD92" s="142" t="str">
        <f>_xlfn.IFNA(VLOOKUP($BC92,Programma!$F$3:$G$1101,2,0),"")</f>
        <v/>
      </c>
      <c r="BE92" s="142" t="str">
        <f>_xlfn.IFNA(VLOOKUP($BC92,Programma!$F$3:$H$1101,3,0),"")</f>
        <v/>
      </c>
      <c r="BF92" s="142" t="str">
        <f>_xlfn.IFNA(VLOOKUP($BC92,Programma!$F$3:$I$1101,4,0),"")</f>
        <v/>
      </c>
      <c r="BG92" s="142" t="str">
        <f>_xlfn.IFNA(VLOOKUP($BC92,Programma!$F$3:$J$1101,5,0),"")</f>
        <v/>
      </c>
      <c r="BH92" s="142" t="str">
        <f>_xlfn.IFNA(VLOOKUP($BC92,Programma!$F$3:$K$1101,6,0),"")</f>
        <v/>
      </c>
      <c r="BI92" s="142" t="str">
        <f>_xlfn.IFNA(VLOOKUP($BC92,Programma!$F$3:$L$1101,7,0),"")</f>
        <v/>
      </c>
      <c r="BJ92" s="142" t="str">
        <f>_xlfn.IFNA(VLOOKUP($BC92,Programma!$F$3:$M$1101,8,0),"")</f>
        <v/>
      </c>
      <c r="BK92" s="142" t="str">
        <f>_xlfn.IFNA(VLOOKUP($BC92,Programma!$F$3:$N$1101,9,0),"")</f>
        <v/>
      </c>
      <c r="BL92" s="142" t="str">
        <f>_xlfn.IFNA(VLOOKUP($BC92,Programma!$F$3:$O$1101,10,0),"")</f>
        <v/>
      </c>
      <c r="BM92" s="142" t="str">
        <f>_xlfn.IFNA(VLOOKUP($BC92,Programma!$F$3:$P$1101,11,0),"")</f>
        <v/>
      </c>
      <c r="BN92" s="142" t="str">
        <f>_xlfn.IFNA(VLOOKUP($BC92,Programma!$F$3:$Q$1101,12,0),"")</f>
        <v/>
      </c>
      <c r="BO92" s="142" t="str">
        <f>_xlfn.IFNA(VLOOKUP($BC92,Programma!$F$3:$R$1101,13,0),"")</f>
        <v/>
      </c>
      <c r="BP92" s="142" t="str">
        <f>_xlfn.IFNA(VLOOKUP($BC92,Programma!$F$3:$S$1101,14,0),"")</f>
        <v/>
      </c>
      <c r="BQ92" s="142" t="str">
        <f>_xlfn.IFNA(VLOOKUP($BC92,Programma!$F$3:$T$1101,15,0),"")</f>
        <v/>
      </c>
      <c r="BR92" s="142" t="str">
        <f>_xlfn.IFNA(VLOOKUP($BC92,Programma!$F$3:$U$1101,16,0),"")</f>
        <v/>
      </c>
      <c r="BS92" s="142" t="str">
        <f>_xlfn.IFNA(VLOOKUP($BC92,Programma!$F$3:$V$1101,17,0),"")</f>
        <v/>
      </c>
      <c r="BT92" s="142" t="str">
        <f>_xlfn.IFNA(VLOOKUP($BC92,Programma!$F$3:$W$1101,18,0),"")</f>
        <v/>
      </c>
      <c r="BU92" s="142" t="str">
        <f>_xlfn.IFNA(VLOOKUP($BC92,Programma!$F$3:$X$1101,19,0),"")</f>
        <v/>
      </c>
      <c r="BV92" s="142" t="str">
        <f>_xlfn.IFNA(VLOOKUP($BC92,Programma!$F$3:$Y$1101,20,0),"")</f>
        <v/>
      </c>
      <c r="BW92" s="28"/>
      <c r="BX92" s="28"/>
      <c r="BY92" s="28"/>
      <c r="BZ92" s="28"/>
      <c r="CA92" s="28"/>
      <c r="CB92" s="28"/>
      <c r="CC92" s="28"/>
      <c r="CD92" s="28"/>
      <c r="CE92" s="28"/>
      <c r="CF92" s="28"/>
      <c r="CG92" s="28"/>
      <c r="CH92" s="28"/>
      <c r="CI92" s="28"/>
      <c r="CJ92" s="28"/>
      <c r="CK92" s="28"/>
      <c r="CL92" s="28"/>
      <c r="CM92" s="28"/>
      <c r="CN92" s="28"/>
      <c r="CO92" s="28"/>
      <c r="CP92" s="28"/>
      <c r="CQ92" s="28"/>
      <c r="CR92" s="28"/>
      <c r="CS92" s="28"/>
      <c r="CT92" s="28"/>
      <c r="CU92" s="28"/>
      <c r="CV92" s="28"/>
      <c r="CW92" s="28"/>
      <c r="CX92" s="28"/>
      <c r="CY92" s="28"/>
      <c r="CZ92" s="28"/>
      <c r="DA92" s="28"/>
      <c r="DB92" s="28"/>
      <c r="DC92" s="28"/>
      <c r="DD92" s="28"/>
      <c r="DE92" s="28"/>
      <c r="DF92" s="28"/>
      <c r="DG92" s="28"/>
      <c r="DH92" s="28"/>
      <c r="DI92" s="28"/>
      <c r="DJ92" s="28"/>
      <c r="DK92" s="28"/>
      <c r="DL92" s="28"/>
      <c r="DM92" s="28"/>
      <c r="DN92" s="28"/>
      <c r="DO92" s="28"/>
      <c r="DP92" s="28"/>
      <c r="DQ92" s="28"/>
      <c r="DR92" s="28"/>
      <c r="DS92" s="28"/>
      <c r="DT92" s="28"/>
      <c r="DU92" s="28"/>
      <c r="DV92" s="28"/>
      <c r="DW92" s="28"/>
      <c r="DX92" s="28"/>
      <c r="DY92" s="28"/>
      <c r="DZ92" s="28"/>
      <c r="EA92" s="28"/>
      <c r="EB92" s="28"/>
      <c r="EC92" s="28"/>
      <c r="ED92" s="28"/>
      <c r="EE92" s="28"/>
      <c r="EF92" s="28"/>
      <c r="EG92" s="28"/>
      <c r="EH92" s="28"/>
      <c r="EI92" s="28"/>
      <c r="EJ92" s="28"/>
      <c r="EK92" s="28"/>
      <c r="EL92" s="28"/>
      <c r="EM92" s="28"/>
      <c r="EN92" s="28"/>
      <c r="EO92" s="28"/>
      <c r="EP92" s="28"/>
      <c r="EQ92" s="28"/>
      <c r="ER92" s="28"/>
      <c r="ES92" s="28"/>
      <c r="ET92" s="28"/>
      <c r="EU92" s="28"/>
      <c r="EV92" s="28"/>
      <c r="EW92" s="28"/>
      <c r="EX92" s="28"/>
      <c r="EY92" s="28"/>
      <c r="EZ92" s="28"/>
      <c r="FA92" s="28"/>
      <c r="FB92" s="28"/>
      <c r="FC92" s="28"/>
      <c r="FD92" s="28"/>
      <c r="FE92" s="28"/>
      <c r="FF92" s="28"/>
      <c r="FG92" s="28"/>
      <c r="FH92" s="28"/>
      <c r="FI92" s="28"/>
      <c r="FJ92" s="28"/>
      <c r="FK92" s="28"/>
      <c r="FL92" s="28"/>
      <c r="FM92" s="28"/>
      <c r="FN92" s="28"/>
      <c r="FO92" s="28"/>
      <c r="FP92" s="28"/>
      <c r="FQ92" s="28"/>
      <c r="FR92" s="28"/>
      <c r="FS92" s="28"/>
      <c r="FT92" s="28"/>
      <c r="FU92" s="28"/>
      <c r="FV92" s="28"/>
      <c r="FW92" s="28"/>
      <c r="FX92" s="28"/>
      <c r="FY92" s="28"/>
      <c r="FZ92" s="28"/>
      <c r="GA92" s="28"/>
      <c r="GB92" s="28"/>
      <c r="GC92" s="28"/>
      <c r="GD92" s="28"/>
      <c r="GE92" s="28"/>
      <c r="GF92" s="28"/>
      <c r="GG92" s="28"/>
      <c r="GH92" s="28"/>
      <c r="GI92" s="28"/>
      <c r="GJ92" s="28"/>
      <c r="GK92" s="28"/>
      <c r="GL92" s="28"/>
      <c r="GM92" s="28"/>
      <c r="GN92" s="28"/>
      <c r="GO92" s="28"/>
      <c r="GP92" s="28"/>
      <c r="GQ92" s="28"/>
      <c r="GR92" s="28"/>
      <c r="GS92" s="28"/>
      <c r="GT92" s="28"/>
      <c r="GU92" s="28"/>
      <c r="GV92" s="28"/>
      <c r="GW92" s="28"/>
      <c r="GX92" s="28"/>
      <c r="GY92" s="28"/>
      <c r="GZ92" s="28"/>
      <c r="HA92" s="28"/>
      <c r="HB92" s="28"/>
      <c r="HC92" s="28"/>
      <c r="HD92" s="28"/>
      <c r="HE92" s="28"/>
      <c r="HF92" s="28"/>
      <c r="HG92" s="28"/>
      <c r="HH92" s="28"/>
      <c r="HI92" s="28"/>
      <c r="HJ92" s="28"/>
      <c r="HK92" s="28"/>
    </row>
    <row r="93" spans="1:219" ht="15" customHeight="1">
      <c r="A93" s="100">
        <v>1</v>
      </c>
      <c r="B93" s="132" t="str">
        <f>VLOOKUP(Ruimtestaat[[#This Row],[Code]],Locaties[[Code]:[Locatie]],2,FALSE)</f>
        <v>Mirtehuis</v>
      </c>
      <c r="C93" s="132" t="str">
        <f>VLOOKUP(Ruimtestaat[[#This Row],[Code]],Locaties[[#All],[Code]:[Adres]],4,FALSE)</f>
        <v>Weseperweg 6</v>
      </c>
      <c r="D93" s="132" t="str">
        <f>VLOOKUP(Ruimtestaat[[#This Row],[Code]],Locaties[[#All],[Code]:[Postcode]],5,FALSE)</f>
        <v>8111 PK</v>
      </c>
      <c r="E93" s="132" t="str">
        <f>VLOOKUP(Ruimtestaat[[#This Row],[Code]],Locaties[#All],6,FALSE)</f>
        <v>Heeten</v>
      </c>
      <c r="F93" s="100"/>
      <c r="G93" s="100" t="s">
        <v>1675</v>
      </c>
      <c r="H93" s="344"/>
      <c r="I93" s="345" t="s">
        <v>1635</v>
      </c>
      <c r="J93" s="49">
        <v>20</v>
      </c>
      <c r="K93" s="140" t="str">
        <f>VLOOKUP(Ruimtestaat[[#This Row],[Ruimte code]],Ruimtegroepen[[#All],[Code]:[Ruimte omschrijving]],2,FALSE)</f>
        <v>Niet in Onderhoud</v>
      </c>
      <c r="L93" s="100" t="s">
        <v>100</v>
      </c>
      <c r="M93" s="345" t="s">
        <v>1636</v>
      </c>
      <c r="N93" s="133"/>
      <c r="O93" s="139"/>
      <c r="P93" s="134">
        <f>VLOOKUP(Ruimtestaat[[#This Row],[Ruimte code]],Ruimtegroepen[],4,FALSE)</f>
        <v>0</v>
      </c>
      <c r="Q93" s="100"/>
      <c r="R93" s="100"/>
      <c r="S93" s="100">
        <f>IF(Q93&gt;0,IF(RIGHT(Ruimtestaat[[#This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93" s="100">
        <f>IF(S93&gt;0,VLOOKUP($J93,Ruimtegroepen[],3,FALSE)*VLOOKUP($L93,Vloersoorten[],3,FALSE)*VLOOKUP($R93,Frequenties[],3,FALSE)*VLOOKUP($A93,Locaties[],3,FALSE),0)</f>
        <v>0</v>
      </c>
      <c r="U93" s="100">
        <f>Ruimtestaat[[#This Row],[Uitvoeringen werkdagen]]*Ruimtestaat[[#This Row],[Oppervlak (netto)]]</f>
        <v>0</v>
      </c>
      <c r="V93" s="135">
        <f>IF(T93&gt;0,Ruimtestaat[[#This Row],[Prest. (m2 /jaar) werkdagen]]/Ruimtestaat[[#This Row],[Norm (m2/uur) werkdagen]],0)</f>
        <v>0</v>
      </c>
      <c r="W93" s="136">
        <f>Ruimtestaat[[#This Row],[uren / jaar werkdagen]]*Tariefsopbouw!$E$35</f>
        <v>0</v>
      </c>
      <c r="X93" s="100"/>
      <c r="Y93" s="100">
        <f>IF(Ruimtestaat[[#This Row],[Frequentie weekend]]&gt;0,VALUE(LEFT(X93,1))*Q93,0)</f>
        <v>0</v>
      </c>
      <c r="Z93" s="99">
        <f>IF($Y93&gt;0,VLOOKUP($J93,Ruimtegroepen[],3,FALSE)*VLOOKUP($L93,Vloersoorten[],3,FALSE)*VLOOKUP($X93,Frequenties[],3,FALSE)*VLOOKUP(Ruimtestaat[[#This Row],[Code]],Locaties[],3,FALSE),0)</f>
        <v>0</v>
      </c>
      <c r="AA93" s="99">
        <f>Ruimtestaat[[#This Row],[Uitvoeringen weekend]]*Ruimtestaat[[#This Row],[Oppervlak (netto)]]</f>
        <v>0</v>
      </c>
      <c r="AB93" s="99">
        <f>IF(Z93&gt;0,Ruimtestaat[[#This Row],[Prest. (m2 /jaar) weekend]]/Ruimtestaat[[#This Row],[Norm (m2/uur) weekend]],0)</f>
        <v>0</v>
      </c>
      <c r="AC93" s="136">
        <f>Ruimtestaat[[#This Row],[uren / jaar weekend]]*Tariefsopbouw!$D$40</f>
        <v>0</v>
      </c>
      <c r="AD93" s="135">
        <f>Ruimtestaat[[#This Row],[Prest. (m2 /jaar) weekend]]+Ruimtestaat[[#This Row],[Prest. (m2 /jaar) werkdagen]]</f>
        <v>0</v>
      </c>
      <c r="AE93" s="135">
        <f>Ruimtestaat[[#This Row],[uren / jaar weekend]]+Ruimtestaat[[#This Row],[uren / jaar werkdagen]]</f>
        <v>0</v>
      </c>
      <c r="AF93" s="130">
        <f>Ruimtestaat[[#This Row],[kosten / jaar weekend]]+Ruimtestaat[[#This Row],[kosten / jaar werkdagen]]</f>
        <v>0</v>
      </c>
      <c r="AG93" s="130"/>
      <c r="AH93" s="137" t="str">
        <f>IF(Ruimtestaat[[#This Row],[Frequentie werkdagen]]="","",_xlfn.CONCAT(Ruimtestaat[[#This Row],[Ruimte code]],"-",Ruimtestaat[[#This Row],[Frequentie werkdagen]]," ",Ruimtestaat[[#This Row],[Vloer code]]))</f>
        <v/>
      </c>
      <c r="AI93" s="142" t="str">
        <f>_xlfn.IFNA(VLOOKUP($AH93,Programma!$F$3:$G$1101,2,0),"")</f>
        <v/>
      </c>
      <c r="AJ93" s="142" t="str">
        <f>_xlfn.IFNA(VLOOKUP($AH93,Programma!$F$3:$H$1101,3,0),"")</f>
        <v/>
      </c>
      <c r="AK93" s="142" t="str">
        <f>_xlfn.IFNA(VLOOKUP($AH93,Programma!$F$3:$I$1101,4,0),"")</f>
        <v/>
      </c>
      <c r="AL93" s="142" t="str">
        <f>_xlfn.IFNA(VLOOKUP($AH93,Programma!$F$3:$J$1101,5,0),"")</f>
        <v/>
      </c>
      <c r="AM93" s="142" t="str">
        <f>_xlfn.IFNA(VLOOKUP($AH93,Programma!$F$3:$K$1101,6,0),"")</f>
        <v/>
      </c>
      <c r="AN93" s="142" t="str">
        <f>_xlfn.IFNA(VLOOKUP($AH93,Programma!$F$3:$L$1101,7,0),"")</f>
        <v/>
      </c>
      <c r="AO93" s="142" t="str">
        <f>_xlfn.IFNA(VLOOKUP($AH93,Programma!$F$3:$M$1101,8,0),"")</f>
        <v/>
      </c>
      <c r="AP93" s="142" t="str">
        <f>_xlfn.IFNA(VLOOKUP($AH93,Programma!$F$3:$N$1101,9,0),"")</f>
        <v/>
      </c>
      <c r="AQ93" s="142" t="str">
        <f>_xlfn.IFNA(VLOOKUP($AH93,Programma!$F$3:$O$1101,10,0),"")</f>
        <v/>
      </c>
      <c r="AR93" s="142" t="str">
        <f>_xlfn.IFNA(VLOOKUP($AH93,Programma!$F$3:$P$1101,11,0),"")</f>
        <v/>
      </c>
      <c r="AS93" s="142" t="str">
        <f>_xlfn.IFNA(VLOOKUP($AH93,Programma!$F$3:$Q$1101,12,0),"")</f>
        <v/>
      </c>
      <c r="AT93" s="142" t="str">
        <f>_xlfn.IFNA(VLOOKUP($AH93,Programma!$F$3:$R$1101,13,0),"")</f>
        <v/>
      </c>
      <c r="AU93" s="142" t="str">
        <f>_xlfn.IFNA(VLOOKUP($AH93,Programma!$F$3:$S$1101,14,0),"")</f>
        <v/>
      </c>
      <c r="AV93" s="142" t="str">
        <f>_xlfn.IFNA(VLOOKUP($AH93,Programma!$F$3:$T$1101,15,0),"")</f>
        <v/>
      </c>
      <c r="AW93" s="142" t="str">
        <f>_xlfn.IFNA(VLOOKUP($AH93,Programma!$F$3:$U$1101,16,0),"")</f>
        <v/>
      </c>
      <c r="AX93" s="142" t="str">
        <f>_xlfn.IFNA(VLOOKUP($AH93,Programma!$F$3:$V$1101,17,0),"")</f>
        <v/>
      </c>
      <c r="AY93" s="142" t="str">
        <f>_xlfn.IFNA(VLOOKUP($AH93,Programma!$F$3:$W$1101,18,0),"")</f>
        <v/>
      </c>
      <c r="AZ93" s="142" t="str">
        <f>_xlfn.IFNA(VLOOKUP($AH93,Programma!$F$3:$X$1101,19,0),"")</f>
        <v/>
      </c>
      <c r="BA93" s="142" t="str">
        <f>_xlfn.IFNA(VLOOKUP($AH93,Programma!$F$3:$Y$1101,20,0),"")</f>
        <v/>
      </c>
      <c r="BB93" s="138"/>
      <c r="BC93" s="137" t="str">
        <f>IF(Ruimtestaat[[#This Row],[Frequentie weekend]]="","",_xlfn.CONCAT(Ruimtestaat[[#This Row],[Ruimte code]],"-",Ruimtestaat[[#This Row],[Frequentie weekend]]," ",Ruimtestaat[[#This Row],[Vloer code]]))</f>
        <v/>
      </c>
      <c r="BD93" s="142" t="str">
        <f>_xlfn.IFNA(VLOOKUP($BC93,Programma!$F$3:$G$1101,2,0),"")</f>
        <v/>
      </c>
      <c r="BE93" s="142" t="str">
        <f>_xlfn.IFNA(VLOOKUP($BC93,Programma!$F$3:$H$1101,3,0),"")</f>
        <v/>
      </c>
      <c r="BF93" s="142" t="str">
        <f>_xlfn.IFNA(VLOOKUP($BC93,Programma!$F$3:$I$1101,4,0),"")</f>
        <v/>
      </c>
      <c r="BG93" s="142" t="str">
        <f>_xlfn.IFNA(VLOOKUP($BC93,Programma!$F$3:$J$1101,5,0),"")</f>
        <v/>
      </c>
      <c r="BH93" s="142" t="str">
        <f>_xlfn.IFNA(VLOOKUP($BC93,Programma!$F$3:$K$1101,6,0),"")</f>
        <v/>
      </c>
      <c r="BI93" s="142" t="str">
        <f>_xlfn.IFNA(VLOOKUP($BC93,Programma!$F$3:$L$1101,7,0),"")</f>
        <v/>
      </c>
      <c r="BJ93" s="142" t="str">
        <f>_xlfn.IFNA(VLOOKUP($BC93,Programma!$F$3:$M$1101,8,0),"")</f>
        <v/>
      </c>
      <c r="BK93" s="142" t="str">
        <f>_xlfn.IFNA(VLOOKUP($BC93,Programma!$F$3:$N$1101,9,0),"")</f>
        <v/>
      </c>
      <c r="BL93" s="142" t="str">
        <f>_xlfn.IFNA(VLOOKUP($BC93,Programma!$F$3:$O$1101,10,0),"")</f>
        <v/>
      </c>
      <c r="BM93" s="142" t="str">
        <f>_xlfn.IFNA(VLOOKUP($BC93,Programma!$F$3:$P$1101,11,0),"")</f>
        <v/>
      </c>
      <c r="BN93" s="142" t="str">
        <f>_xlfn.IFNA(VLOOKUP($BC93,Programma!$F$3:$Q$1101,12,0),"")</f>
        <v/>
      </c>
      <c r="BO93" s="142" t="str">
        <f>_xlfn.IFNA(VLOOKUP($BC93,Programma!$F$3:$R$1101,13,0),"")</f>
        <v/>
      </c>
      <c r="BP93" s="142" t="str">
        <f>_xlfn.IFNA(VLOOKUP($BC93,Programma!$F$3:$S$1101,14,0),"")</f>
        <v/>
      </c>
      <c r="BQ93" s="142" t="str">
        <f>_xlfn.IFNA(VLOOKUP($BC93,Programma!$F$3:$T$1101,15,0),"")</f>
        <v/>
      </c>
      <c r="BR93" s="142" t="str">
        <f>_xlfn.IFNA(VLOOKUP($BC93,Programma!$F$3:$U$1101,16,0),"")</f>
        <v/>
      </c>
      <c r="BS93" s="142" t="str">
        <f>_xlfn.IFNA(VLOOKUP($BC93,Programma!$F$3:$V$1101,17,0),"")</f>
        <v/>
      </c>
      <c r="BT93" s="142" t="str">
        <f>_xlfn.IFNA(VLOOKUP($BC93,Programma!$F$3:$W$1101,18,0),"")</f>
        <v/>
      </c>
      <c r="BU93" s="142" t="str">
        <f>_xlfn.IFNA(VLOOKUP($BC93,Programma!$F$3:$X$1101,19,0),"")</f>
        <v/>
      </c>
      <c r="BV93" s="142" t="str">
        <f>_xlfn.IFNA(VLOOKUP($BC93,Programma!$F$3:$Y$1101,20,0),"")</f>
        <v/>
      </c>
      <c r="BW93" s="28"/>
      <c r="BX93" s="28"/>
      <c r="BY93" s="28"/>
      <c r="BZ93" s="28"/>
      <c r="CA93" s="28"/>
      <c r="CB93" s="28"/>
      <c r="CC93" s="28"/>
      <c r="CD93" s="28"/>
      <c r="CE93" s="28"/>
      <c r="CF93" s="28"/>
      <c r="CG93" s="28"/>
      <c r="CH93" s="28"/>
      <c r="CI93" s="28"/>
      <c r="CJ93" s="28"/>
      <c r="CK93" s="28"/>
      <c r="CL93" s="28"/>
      <c r="CM93" s="28"/>
      <c r="CN93" s="28"/>
      <c r="CO93" s="28"/>
      <c r="CP93" s="28"/>
      <c r="CQ93" s="28"/>
      <c r="CR93" s="28"/>
      <c r="CS93" s="28"/>
      <c r="CT93" s="28"/>
      <c r="CU93" s="28"/>
      <c r="CV93" s="28"/>
      <c r="CW93" s="28"/>
      <c r="CX93" s="28"/>
      <c r="CY93" s="28"/>
      <c r="CZ93" s="28"/>
      <c r="DA93" s="28"/>
      <c r="DB93" s="28"/>
      <c r="DC93" s="28"/>
      <c r="DD93" s="28"/>
      <c r="DE93" s="28"/>
      <c r="DF93" s="28"/>
      <c r="DG93" s="28"/>
      <c r="DH93" s="28"/>
      <c r="DI93" s="28"/>
      <c r="DJ93" s="28"/>
      <c r="DK93" s="28"/>
      <c r="DL93" s="28"/>
      <c r="DM93" s="28"/>
      <c r="DN93" s="28"/>
      <c r="DO93" s="28"/>
      <c r="DP93" s="28"/>
      <c r="DQ93" s="28"/>
      <c r="DR93" s="28"/>
      <c r="DS93" s="28"/>
      <c r="DT93" s="28"/>
      <c r="DU93" s="28"/>
      <c r="DV93" s="28"/>
      <c r="DW93" s="28"/>
      <c r="DX93" s="28"/>
      <c r="DY93" s="28"/>
      <c r="DZ93" s="28"/>
      <c r="EA93" s="28"/>
      <c r="EB93" s="28"/>
      <c r="EC93" s="28"/>
      <c r="ED93" s="28"/>
      <c r="EE93" s="28"/>
      <c r="EF93" s="28"/>
      <c r="EG93" s="28"/>
      <c r="EH93" s="28"/>
      <c r="EI93" s="28"/>
      <c r="EJ93" s="28"/>
      <c r="EK93" s="28"/>
      <c r="EL93" s="28"/>
      <c r="EM93" s="28"/>
      <c r="EN93" s="28"/>
      <c r="EO93" s="28"/>
      <c r="EP93" s="28"/>
      <c r="EQ93" s="28"/>
      <c r="ER93" s="28"/>
      <c r="ES93" s="28"/>
      <c r="ET93" s="28"/>
      <c r="EU93" s="28"/>
      <c r="EV93" s="28"/>
      <c r="EW93" s="28"/>
      <c r="EX93" s="28"/>
      <c r="EY93" s="28"/>
      <c r="EZ93" s="28"/>
      <c r="FA93" s="28"/>
      <c r="FB93" s="28"/>
      <c r="FC93" s="28"/>
      <c r="FD93" s="28"/>
      <c r="FE93" s="28"/>
      <c r="FF93" s="28"/>
      <c r="FG93" s="28"/>
      <c r="FH93" s="28"/>
      <c r="FI93" s="28"/>
      <c r="FJ93" s="28"/>
      <c r="FK93" s="28"/>
      <c r="FL93" s="28"/>
      <c r="FM93" s="28"/>
      <c r="FN93" s="28"/>
      <c r="FO93" s="28"/>
      <c r="FP93" s="28"/>
      <c r="FQ93" s="28"/>
      <c r="FR93" s="28"/>
      <c r="FS93" s="28"/>
      <c r="FT93" s="28"/>
      <c r="FU93" s="28"/>
      <c r="FV93" s="28"/>
      <c r="FW93" s="28"/>
      <c r="FX93" s="28"/>
      <c r="FY93" s="28"/>
      <c r="FZ93" s="28"/>
      <c r="GA93" s="28"/>
      <c r="GB93" s="28"/>
      <c r="GC93" s="28"/>
      <c r="GD93" s="28"/>
      <c r="GE93" s="28"/>
      <c r="GF93" s="28"/>
      <c r="GG93" s="28"/>
      <c r="GH93" s="28"/>
      <c r="GI93" s="28"/>
      <c r="GJ93" s="28"/>
      <c r="GK93" s="28"/>
      <c r="GL93" s="28"/>
      <c r="GM93" s="28"/>
      <c r="GN93" s="28"/>
      <c r="GO93" s="28"/>
      <c r="GP93" s="28"/>
      <c r="GQ93" s="28"/>
      <c r="GR93" s="28"/>
      <c r="GS93" s="28"/>
      <c r="GT93" s="28"/>
      <c r="GU93" s="28"/>
      <c r="GV93" s="28"/>
      <c r="GW93" s="28"/>
      <c r="GX93" s="28"/>
      <c r="GY93" s="28"/>
      <c r="GZ93" s="28"/>
      <c r="HA93" s="28"/>
      <c r="HB93" s="28"/>
      <c r="HC93" s="28"/>
      <c r="HD93" s="28"/>
      <c r="HE93" s="28"/>
      <c r="HF93" s="28"/>
      <c r="HG93" s="28"/>
      <c r="HH93" s="28"/>
      <c r="HI93" s="28"/>
      <c r="HJ93" s="28"/>
      <c r="HK93" s="28"/>
    </row>
    <row r="94" spans="1:219" ht="15" customHeight="1">
      <c r="A94" s="100">
        <v>1</v>
      </c>
      <c r="B94" s="132" t="str">
        <f>VLOOKUP(Ruimtestaat[[#This Row],[Code]],Locaties[[Code]:[Locatie]],2,FALSE)</f>
        <v>Mirtehuis</v>
      </c>
      <c r="C94" s="132" t="str">
        <f>VLOOKUP(Ruimtestaat[[#This Row],[Code]],Locaties[[#All],[Code]:[Adres]],4,FALSE)</f>
        <v>Weseperweg 6</v>
      </c>
      <c r="D94" s="132" t="str">
        <f>VLOOKUP(Ruimtestaat[[#This Row],[Code]],Locaties[[#All],[Code]:[Postcode]],5,FALSE)</f>
        <v>8111 PK</v>
      </c>
      <c r="E94" s="132" t="str">
        <f>VLOOKUP(Ruimtestaat[[#This Row],[Code]],Locaties[#All],6,FALSE)</f>
        <v>Heeten</v>
      </c>
      <c r="F94" s="100"/>
      <c r="G94" s="100" t="s">
        <v>1675</v>
      </c>
      <c r="H94" s="344"/>
      <c r="I94" s="345" t="s">
        <v>1650</v>
      </c>
      <c r="J94" s="49">
        <v>6</v>
      </c>
      <c r="K94" s="140" t="str">
        <f>VLOOKUP(Ruimtestaat[[#This Row],[Ruimte code]],Ruimtegroepen[[#All],[Code]:[Ruimte omschrijving]],2,FALSE)</f>
        <v>Gangen/hallen</v>
      </c>
      <c r="L94" s="100" t="s">
        <v>100</v>
      </c>
      <c r="M94" s="345" t="s">
        <v>1636</v>
      </c>
      <c r="N94" s="133">
        <v>11</v>
      </c>
      <c r="O94" s="100"/>
      <c r="P94" s="134" t="str">
        <f>VLOOKUP(Ruimtestaat[[#This Row],[Ruimte code]],Ruimtegroepen[],4,FALSE)</f>
        <v>Ve</v>
      </c>
      <c r="Q94" s="100">
        <v>51</v>
      </c>
      <c r="R94" s="100" t="s">
        <v>2</v>
      </c>
      <c r="S94" s="100">
        <f>IF(Q94&gt;0,IF(RIGHT(Ruimtestaat[[#This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94" s="100">
        <f>IF(S94&gt;0,VLOOKUP($J94,Ruimtegroepen[],3,FALSE)*VLOOKUP($L94,Vloersoorten[],3,FALSE)*VLOOKUP($R94,Frequenties[],3,FALSE)*VLOOKUP($A94,Locaties[],3,FALSE),0)</f>
        <v>0</v>
      </c>
      <c r="U94" s="100">
        <f>Ruimtestaat[[#This Row],[Uitvoeringen werkdagen]]*Ruimtestaat[[#This Row],[Oppervlak (netto)]]</f>
        <v>2805</v>
      </c>
      <c r="V94" s="135">
        <f>IF(T94&gt;0,Ruimtestaat[[#This Row],[Prest. (m2 /jaar) werkdagen]]/Ruimtestaat[[#This Row],[Norm (m2/uur) werkdagen]],0)</f>
        <v>0</v>
      </c>
      <c r="W94" s="136">
        <f>Ruimtestaat[[#This Row],[uren / jaar werkdagen]]*Tariefsopbouw!$E$35</f>
        <v>0</v>
      </c>
      <c r="X94" s="100"/>
      <c r="Y94" s="100">
        <f>IF(Ruimtestaat[[#This Row],[Frequentie weekend]]&gt;0,VALUE(LEFT(X94,1))*Q94,0)</f>
        <v>0</v>
      </c>
      <c r="Z94" s="99">
        <f>IF($Y94&gt;0,VLOOKUP($J94,Ruimtegroepen[],3,FALSE)*VLOOKUP($L94,Vloersoorten[],3,FALSE)*VLOOKUP($X94,Frequenties[],3,FALSE)*VLOOKUP(Ruimtestaat[[#This Row],[Code]],Locaties[],3,FALSE),0)</f>
        <v>0</v>
      </c>
      <c r="AA94" s="99">
        <f>Ruimtestaat[[#This Row],[Uitvoeringen weekend]]*Ruimtestaat[[#This Row],[Oppervlak (netto)]]</f>
        <v>0</v>
      </c>
      <c r="AB94" s="99">
        <f>IF(Z94&gt;0,Ruimtestaat[[#This Row],[Prest. (m2 /jaar) weekend]]/Ruimtestaat[[#This Row],[Norm (m2/uur) weekend]],0)</f>
        <v>0</v>
      </c>
      <c r="AC94" s="136">
        <f>Ruimtestaat[[#This Row],[uren / jaar weekend]]*Tariefsopbouw!$D$40</f>
        <v>0</v>
      </c>
      <c r="AD94" s="135">
        <f>Ruimtestaat[[#This Row],[Prest. (m2 /jaar) weekend]]+Ruimtestaat[[#This Row],[Prest. (m2 /jaar) werkdagen]]</f>
        <v>2805</v>
      </c>
      <c r="AE94" s="135">
        <f>Ruimtestaat[[#This Row],[uren / jaar weekend]]+Ruimtestaat[[#This Row],[uren / jaar werkdagen]]</f>
        <v>0</v>
      </c>
      <c r="AF94" s="130">
        <f>Ruimtestaat[[#This Row],[kosten / jaar weekend]]+Ruimtestaat[[#This Row],[kosten / jaar werkdagen]]</f>
        <v>0</v>
      </c>
      <c r="AG94" s="130"/>
      <c r="AH94" s="137" t="str">
        <f>IF(Ruimtestaat[[#This Row],[Frequentie werkdagen]]="","",_xlfn.CONCAT(Ruimtestaat[[#This Row],[Ruimte code]],"-",Ruimtestaat[[#This Row],[Frequentie werkdagen]]," ",Ruimtestaat[[#This Row],[Vloer code]]))</f>
        <v>6-5w L</v>
      </c>
      <c r="AI94" s="142" t="str">
        <f>_xlfn.IFNA(VLOOKUP($AH94,Programma!$F$3:$G$1101,2,0),"")</f>
        <v>_</v>
      </c>
      <c r="AJ94" s="142" t="str">
        <f>_xlfn.IFNA(VLOOKUP($AH94,Programma!$F$3:$H$1101,3,0),"")</f>
        <v>_</v>
      </c>
      <c r="AK94" s="142" t="str">
        <f>_xlfn.IFNA(VLOOKUP($AH94,Programma!$F$3:$I$1101,4,0),"")</f>
        <v>_</v>
      </c>
      <c r="AL94" s="142" t="str">
        <f>_xlfn.IFNA(VLOOKUP($AH94,Programma!$F$3:$J$1101,5,0),"")</f>
        <v>5w</v>
      </c>
      <c r="AM94" s="142" t="str">
        <f>_xlfn.IFNA(VLOOKUP($AH94,Programma!$F$3:$K$1101,6,0),"")</f>
        <v>_</v>
      </c>
      <c r="AN94" s="142" t="str">
        <f>_xlfn.IFNA(VLOOKUP($AH94,Programma!$F$3:$L$1101,7,0),"")</f>
        <v>_</v>
      </c>
      <c r="AO94" s="142" t="str">
        <f>_xlfn.IFNA(VLOOKUP($AH94,Programma!$F$3:$M$1101,8,0),"")</f>
        <v>_</v>
      </c>
      <c r="AP94" s="142" t="str">
        <f>_xlfn.IFNA(VLOOKUP($AH94,Programma!$F$3:$N$1101,9,0),"")</f>
        <v>_</v>
      </c>
      <c r="AQ94" s="142" t="str">
        <f>_xlfn.IFNA(VLOOKUP($AH94,Programma!$F$3:$O$1101,10,0),"")</f>
        <v>5w</v>
      </c>
      <c r="AR94" s="142" t="str">
        <f>_xlfn.IFNA(VLOOKUP($AH94,Programma!$F$3:$P$1101,11,0),"")</f>
        <v>5w</v>
      </c>
      <c r="AS94" s="142" t="str">
        <f>_xlfn.IFNA(VLOOKUP($AH94,Programma!$F$3:$Q$1101,12,0),"")</f>
        <v>1w</v>
      </c>
      <c r="AT94" s="142" t="str">
        <f>_xlfn.IFNA(VLOOKUP($AH94,Programma!$F$3:$R$1101,13,0),"")</f>
        <v>1w</v>
      </c>
      <c r="AU94" s="142" t="str">
        <f>_xlfn.IFNA(VLOOKUP($AH94,Programma!$F$3:$S$1101,14,0),"")</f>
        <v>1m</v>
      </c>
      <c r="AV94" s="142" t="str">
        <f>_xlfn.IFNA(VLOOKUP($AH94,Programma!$F$3:$T$1101,15,0),"")</f>
        <v>2j</v>
      </c>
      <c r="AW94" s="142" t="str">
        <f>_xlfn.IFNA(VLOOKUP($AH94,Programma!$F$3:$U$1101,16,0),"")</f>
        <v>1j</v>
      </c>
      <c r="AX94" s="142" t="str">
        <f>_xlfn.IFNA(VLOOKUP($AH94,Programma!$F$3:$V$1101,17,0),"")</f>
        <v>_</v>
      </c>
      <c r="AY94" s="142" t="str">
        <f>_xlfn.IFNA(VLOOKUP($AH94,Programma!$F$3:$W$1101,18,0),"")</f>
        <v>_</v>
      </c>
      <c r="AZ94" s="142" t="str">
        <f>_xlfn.IFNA(VLOOKUP($AH94,Programma!$F$3:$X$1101,19,0),"")</f>
        <v>_</v>
      </c>
      <c r="BA94" s="142" t="str">
        <f>_xlfn.IFNA(VLOOKUP($AH94,Programma!$F$3:$Y$1101,20,0),"")</f>
        <v>_</v>
      </c>
      <c r="BB94" s="138"/>
      <c r="BC94" s="137" t="str">
        <f>IF(Ruimtestaat[[#This Row],[Frequentie weekend]]="","",_xlfn.CONCAT(Ruimtestaat[[#This Row],[Ruimte code]],"-",Ruimtestaat[[#This Row],[Frequentie weekend]]," ",Ruimtestaat[[#This Row],[Vloer code]]))</f>
        <v/>
      </c>
      <c r="BD94" s="142" t="str">
        <f>_xlfn.IFNA(VLOOKUP($BC94,Programma!$F$3:$G$1101,2,0),"")</f>
        <v/>
      </c>
      <c r="BE94" s="142" t="str">
        <f>_xlfn.IFNA(VLOOKUP($BC94,Programma!$F$3:$H$1101,3,0),"")</f>
        <v/>
      </c>
      <c r="BF94" s="142" t="str">
        <f>_xlfn.IFNA(VLOOKUP($BC94,Programma!$F$3:$I$1101,4,0),"")</f>
        <v/>
      </c>
      <c r="BG94" s="142" t="str">
        <f>_xlfn.IFNA(VLOOKUP($BC94,Programma!$F$3:$J$1101,5,0),"")</f>
        <v/>
      </c>
      <c r="BH94" s="142" t="str">
        <f>_xlfn.IFNA(VLOOKUP($BC94,Programma!$F$3:$K$1101,6,0),"")</f>
        <v/>
      </c>
      <c r="BI94" s="142" t="str">
        <f>_xlfn.IFNA(VLOOKUP($BC94,Programma!$F$3:$L$1101,7,0),"")</f>
        <v/>
      </c>
      <c r="BJ94" s="142" t="str">
        <f>_xlfn.IFNA(VLOOKUP($BC94,Programma!$F$3:$M$1101,8,0),"")</f>
        <v/>
      </c>
      <c r="BK94" s="142" t="str">
        <f>_xlfn.IFNA(VLOOKUP($BC94,Programma!$F$3:$N$1101,9,0),"")</f>
        <v/>
      </c>
      <c r="BL94" s="142" t="str">
        <f>_xlfn.IFNA(VLOOKUP($BC94,Programma!$F$3:$O$1101,10,0),"")</f>
        <v/>
      </c>
      <c r="BM94" s="142" t="str">
        <f>_xlfn.IFNA(VLOOKUP($BC94,Programma!$F$3:$P$1101,11,0),"")</f>
        <v/>
      </c>
      <c r="BN94" s="142" t="str">
        <f>_xlfn.IFNA(VLOOKUP($BC94,Programma!$F$3:$Q$1101,12,0),"")</f>
        <v/>
      </c>
      <c r="BO94" s="142" t="str">
        <f>_xlfn.IFNA(VLOOKUP($BC94,Programma!$F$3:$R$1101,13,0),"")</f>
        <v/>
      </c>
      <c r="BP94" s="142" t="str">
        <f>_xlfn.IFNA(VLOOKUP($BC94,Programma!$F$3:$S$1101,14,0),"")</f>
        <v/>
      </c>
      <c r="BQ94" s="142" t="str">
        <f>_xlfn.IFNA(VLOOKUP($BC94,Programma!$F$3:$T$1101,15,0),"")</f>
        <v/>
      </c>
      <c r="BR94" s="142" t="str">
        <f>_xlfn.IFNA(VLOOKUP($BC94,Programma!$F$3:$U$1101,16,0),"")</f>
        <v/>
      </c>
      <c r="BS94" s="142" t="str">
        <f>_xlfn.IFNA(VLOOKUP($BC94,Programma!$F$3:$V$1101,17,0),"")</f>
        <v/>
      </c>
      <c r="BT94" s="142" t="str">
        <f>_xlfn.IFNA(VLOOKUP($BC94,Programma!$F$3:$W$1101,18,0),"")</f>
        <v/>
      </c>
      <c r="BU94" s="142" t="str">
        <f>_xlfn.IFNA(VLOOKUP($BC94,Programma!$F$3:$X$1101,19,0),"")</f>
        <v/>
      </c>
      <c r="BV94" s="142" t="str">
        <f>_xlfn.IFNA(VLOOKUP($BC94,Programma!$F$3:$Y$1101,20,0),"")</f>
        <v/>
      </c>
      <c r="BW94" s="28"/>
      <c r="BX94" s="28"/>
      <c r="BY94" s="28"/>
      <c r="BZ94" s="28"/>
      <c r="CA94" s="28"/>
      <c r="CB94" s="28"/>
      <c r="CC94" s="28"/>
      <c r="CD94" s="28"/>
      <c r="CE94" s="28"/>
      <c r="CF94" s="28"/>
      <c r="CG94" s="28"/>
      <c r="CH94" s="28"/>
      <c r="CI94" s="28"/>
      <c r="CJ94" s="28"/>
      <c r="CK94" s="28"/>
      <c r="CL94" s="28"/>
      <c r="CM94" s="28"/>
      <c r="CN94" s="28"/>
      <c r="CO94" s="28"/>
      <c r="CP94" s="28"/>
      <c r="CQ94" s="28"/>
      <c r="CR94" s="28"/>
      <c r="CS94" s="28"/>
      <c r="CT94" s="28"/>
      <c r="CU94" s="28"/>
      <c r="CV94" s="28"/>
      <c r="CW94" s="28"/>
      <c r="CX94" s="28"/>
      <c r="CY94" s="28"/>
      <c r="CZ94" s="28"/>
      <c r="DA94" s="28"/>
      <c r="DB94" s="28"/>
      <c r="DC94" s="28"/>
      <c r="DD94" s="28"/>
      <c r="DE94" s="28"/>
      <c r="DF94" s="28"/>
      <c r="DG94" s="28"/>
      <c r="DH94" s="28"/>
      <c r="DI94" s="28"/>
      <c r="DJ94" s="28"/>
      <c r="DK94" s="28"/>
      <c r="DL94" s="28"/>
      <c r="DM94" s="28"/>
      <c r="DN94" s="28"/>
      <c r="DO94" s="28"/>
      <c r="DP94" s="28"/>
      <c r="DQ94" s="28"/>
      <c r="DR94" s="28"/>
      <c r="DS94" s="28"/>
      <c r="DT94" s="28"/>
      <c r="DU94" s="28"/>
      <c r="DV94" s="28"/>
      <c r="DW94" s="28"/>
      <c r="DX94" s="28"/>
      <c r="DY94" s="28"/>
      <c r="DZ94" s="28"/>
      <c r="EA94" s="28"/>
      <c r="EB94" s="28"/>
      <c r="EC94" s="28"/>
      <c r="ED94" s="28"/>
      <c r="EE94" s="28"/>
      <c r="EF94" s="28"/>
      <c r="EG94" s="28"/>
      <c r="EH94" s="28"/>
      <c r="EI94" s="28"/>
      <c r="EJ94" s="28"/>
      <c r="EK94" s="28"/>
      <c r="EL94" s="28"/>
      <c r="EM94" s="28"/>
      <c r="EN94" s="28"/>
      <c r="EO94" s="28"/>
      <c r="EP94" s="28"/>
      <c r="EQ94" s="28"/>
      <c r="ER94" s="28"/>
      <c r="ES94" s="28"/>
      <c r="ET94" s="28"/>
      <c r="EU94" s="28"/>
      <c r="EV94" s="28"/>
      <c r="EW94" s="28"/>
      <c r="EX94" s="28"/>
      <c r="EY94" s="28"/>
      <c r="EZ94" s="28"/>
      <c r="FA94" s="28"/>
      <c r="FB94" s="28"/>
      <c r="FC94" s="28"/>
      <c r="FD94" s="28"/>
      <c r="FE94" s="28"/>
      <c r="FF94" s="28"/>
      <c r="FG94" s="28"/>
      <c r="FH94" s="28"/>
      <c r="FI94" s="28"/>
      <c r="FJ94" s="28"/>
      <c r="FK94" s="28"/>
      <c r="FL94" s="28"/>
      <c r="FM94" s="28"/>
      <c r="FN94" s="28"/>
      <c r="FO94" s="28"/>
      <c r="FP94" s="28"/>
      <c r="FQ94" s="28"/>
      <c r="FR94" s="28"/>
      <c r="FS94" s="28"/>
      <c r="FT94" s="28"/>
      <c r="FU94" s="28"/>
      <c r="FV94" s="28"/>
      <c r="FW94" s="28"/>
      <c r="FX94" s="28"/>
      <c r="FY94" s="28"/>
      <c r="FZ94" s="28"/>
      <c r="GA94" s="28"/>
      <c r="GB94" s="28"/>
      <c r="GC94" s="28"/>
      <c r="GD94" s="28"/>
      <c r="GE94" s="28"/>
      <c r="GF94" s="28"/>
      <c r="GG94" s="28"/>
      <c r="GH94" s="28"/>
      <c r="GI94" s="28"/>
      <c r="GJ94" s="28"/>
      <c r="GK94" s="28"/>
      <c r="GL94" s="28"/>
      <c r="GM94" s="28"/>
      <c r="GN94" s="28"/>
      <c r="GO94" s="28"/>
      <c r="GP94" s="28"/>
      <c r="GQ94" s="28"/>
      <c r="GR94" s="28"/>
      <c r="GS94" s="28"/>
      <c r="GT94" s="28"/>
      <c r="GU94" s="28"/>
      <c r="GV94" s="28"/>
      <c r="GW94" s="28"/>
      <c r="GX94" s="28"/>
      <c r="GY94" s="28"/>
      <c r="GZ94" s="28"/>
      <c r="HA94" s="28"/>
      <c r="HB94" s="28"/>
      <c r="HC94" s="28"/>
      <c r="HD94" s="28"/>
      <c r="HE94" s="28"/>
      <c r="HF94" s="28"/>
      <c r="HG94" s="28"/>
      <c r="HH94" s="28"/>
      <c r="HI94" s="28"/>
      <c r="HJ94" s="28"/>
      <c r="HK94" s="28"/>
    </row>
    <row r="95" spans="1:219" ht="15" customHeight="1">
      <c r="A95" s="100">
        <v>1</v>
      </c>
      <c r="B95" s="132" t="str">
        <f>VLOOKUP(Ruimtestaat[[#This Row],[Code]],Locaties[[Code]:[Locatie]],2,FALSE)</f>
        <v>Mirtehuis</v>
      </c>
      <c r="C95" s="132" t="str">
        <f>VLOOKUP(Ruimtestaat[[#This Row],[Code]],Locaties[[#All],[Code]:[Adres]],4,FALSE)</f>
        <v>Weseperweg 6</v>
      </c>
      <c r="D95" s="132" t="str">
        <f>VLOOKUP(Ruimtestaat[[#This Row],[Code]],Locaties[[#All],[Code]:[Postcode]],5,FALSE)</f>
        <v>8111 PK</v>
      </c>
      <c r="E95" s="132" t="str">
        <f>VLOOKUP(Ruimtestaat[[#This Row],[Code]],Locaties[#All],6,FALSE)</f>
        <v>Heeten</v>
      </c>
      <c r="F95" s="100"/>
      <c r="G95" s="100" t="s">
        <v>1675</v>
      </c>
      <c r="H95" s="344" t="s">
        <v>1674</v>
      </c>
      <c r="I95" s="345" t="s">
        <v>1656</v>
      </c>
      <c r="J95" s="49">
        <v>20</v>
      </c>
      <c r="K95" s="140" t="str">
        <f>VLOOKUP(Ruimtestaat[[#This Row],[Ruimte code]],Ruimtegroepen[[#All],[Code]:[Ruimte omschrijving]],2,FALSE)</f>
        <v>Niet in Onderhoud</v>
      </c>
      <c r="L95" s="100" t="s">
        <v>100</v>
      </c>
      <c r="M95" s="345" t="s">
        <v>1636</v>
      </c>
      <c r="N95" s="133"/>
      <c r="O95" s="139"/>
      <c r="P95" s="134">
        <f>VLOOKUP(Ruimtestaat[[#This Row],[Ruimte code]],Ruimtegroepen[],4,FALSE)</f>
        <v>0</v>
      </c>
      <c r="Q95" s="100"/>
      <c r="R95" s="100"/>
      <c r="S95" s="100">
        <f>IF(Q95&gt;0,IF(RIGHT(Ruimtestaat[[#This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95" s="100">
        <f>IF(S95&gt;0,VLOOKUP($J95,Ruimtegroepen[],3,FALSE)*VLOOKUP($L95,Vloersoorten[],3,FALSE)*VLOOKUP($R95,Frequenties[],3,FALSE)*VLOOKUP($A95,Locaties[],3,FALSE),0)</f>
        <v>0</v>
      </c>
      <c r="U95" s="100">
        <f>Ruimtestaat[[#This Row],[Uitvoeringen werkdagen]]*Ruimtestaat[[#This Row],[Oppervlak (netto)]]</f>
        <v>0</v>
      </c>
      <c r="V95" s="135">
        <f>IF(T95&gt;0,Ruimtestaat[[#This Row],[Prest. (m2 /jaar) werkdagen]]/Ruimtestaat[[#This Row],[Norm (m2/uur) werkdagen]],0)</f>
        <v>0</v>
      </c>
      <c r="W95" s="136">
        <f>Ruimtestaat[[#This Row],[uren / jaar werkdagen]]*Tariefsopbouw!$E$35</f>
        <v>0</v>
      </c>
      <c r="X95" s="100"/>
      <c r="Y95" s="100">
        <f>IF(Ruimtestaat[[#This Row],[Frequentie weekend]]&gt;0,VALUE(LEFT(X95,1))*Q95,0)</f>
        <v>0</v>
      </c>
      <c r="Z95" s="99">
        <f>IF($Y95&gt;0,VLOOKUP($J95,Ruimtegroepen[],3,FALSE)*VLOOKUP($L95,Vloersoorten[],3,FALSE)*VLOOKUP($X95,Frequenties[],3,FALSE)*VLOOKUP(Ruimtestaat[[#This Row],[Code]],Locaties[],3,FALSE),0)</f>
        <v>0</v>
      </c>
      <c r="AA95" s="99">
        <f>Ruimtestaat[[#This Row],[Uitvoeringen weekend]]*Ruimtestaat[[#This Row],[Oppervlak (netto)]]</f>
        <v>0</v>
      </c>
      <c r="AB95" s="99">
        <f>IF(Z95&gt;0,Ruimtestaat[[#This Row],[Prest. (m2 /jaar) weekend]]/Ruimtestaat[[#This Row],[Norm (m2/uur) weekend]],0)</f>
        <v>0</v>
      </c>
      <c r="AC95" s="136">
        <f>Ruimtestaat[[#This Row],[uren / jaar weekend]]*Tariefsopbouw!$D$40</f>
        <v>0</v>
      </c>
      <c r="AD95" s="135">
        <f>Ruimtestaat[[#This Row],[Prest. (m2 /jaar) weekend]]+Ruimtestaat[[#This Row],[Prest. (m2 /jaar) werkdagen]]</f>
        <v>0</v>
      </c>
      <c r="AE95" s="135">
        <f>Ruimtestaat[[#This Row],[uren / jaar weekend]]+Ruimtestaat[[#This Row],[uren / jaar werkdagen]]</f>
        <v>0</v>
      </c>
      <c r="AF95" s="130">
        <f>Ruimtestaat[[#This Row],[kosten / jaar weekend]]+Ruimtestaat[[#This Row],[kosten / jaar werkdagen]]</f>
        <v>0</v>
      </c>
      <c r="AG95" s="130"/>
      <c r="AH95" s="137" t="str">
        <f>IF(Ruimtestaat[[#This Row],[Frequentie werkdagen]]="","",_xlfn.CONCAT(Ruimtestaat[[#This Row],[Ruimte code]],"-",Ruimtestaat[[#This Row],[Frequentie werkdagen]]," ",Ruimtestaat[[#This Row],[Vloer code]]))</f>
        <v/>
      </c>
      <c r="AI95" s="142" t="str">
        <f>_xlfn.IFNA(VLOOKUP($AH95,Programma!$F$3:$G$1101,2,0),"")</f>
        <v/>
      </c>
      <c r="AJ95" s="142" t="str">
        <f>_xlfn.IFNA(VLOOKUP($AH95,Programma!$F$3:$H$1101,3,0),"")</f>
        <v/>
      </c>
      <c r="AK95" s="142" t="str">
        <f>_xlfn.IFNA(VLOOKUP($AH95,Programma!$F$3:$I$1101,4,0),"")</f>
        <v/>
      </c>
      <c r="AL95" s="142" t="str">
        <f>_xlfn.IFNA(VLOOKUP($AH95,Programma!$F$3:$J$1101,5,0),"")</f>
        <v/>
      </c>
      <c r="AM95" s="142" t="str">
        <f>_xlfn.IFNA(VLOOKUP($AH95,Programma!$F$3:$K$1101,6,0),"")</f>
        <v/>
      </c>
      <c r="AN95" s="142" t="str">
        <f>_xlfn.IFNA(VLOOKUP($AH95,Programma!$F$3:$L$1101,7,0),"")</f>
        <v/>
      </c>
      <c r="AO95" s="142" t="str">
        <f>_xlfn.IFNA(VLOOKUP($AH95,Programma!$F$3:$M$1101,8,0),"")</f>
        <v/>
      </c>
      <c r="AP95" s="142" t="str">
        <f>_xlfn.IFNA(VLOOKUP($AH95,Programma!$F$3:$N$1101,9,0),"")</f>
        <v/>
      </c>
      <c r="AQ95" s="142" t="str">
        <f>_xlfn.IFNA(VLOOKUP($AH95,Programma!$F$3:$O$1101,10,0),"")</f>
        <v/>
      </c>
      <c r="AR95" s="142" t="str">
        <f>_xlfn.IFNA(VLOOKUP($AH95,Programma!$F$3:$P$1101,11,0),"")</f>
        <v/>
      </c>
      <c r="AS95" s="142" t="str">
        <f>_xlfn.IFNA(VLOOKUP($AH95,Programma!$F$3:$Q$1101,12,0),"")</f>
        <v/>
      </c>
      <c r="AT95" s="142" t="str">
        <f>_xlfn.IFNA(VLOOKUP($AH95,Programma!$F$3:$R$1101,13,0),"")</f>
        <v/>
      </c>
      <c r="AU95" s="142" t="str">
        <f>_xlfn.IFNA(VLOOKUP($AH95,Programma!$F$3:$S$1101,14,0),"")</f>
        <v/>
      </c>
      <c r="AV95" s="142" t="str">
        <f>_xlfn.IFNA(VLOOKUP($AH95,Programma!$F$3:$T$1101,15,0),"")</f>
        <v/>
      </c>
      <c r="AW95" s="142" t="str">
        <f>_xlfn.IFNA(VLOOKUP($AH95,Programma!$F$3:$U$1101,16,0),"")</f>
        <v/>
      </c>
      <c r="AX95" s="142" t="str">
        <f>_xlfn.IFNA(VLOOKUP($AH95,Programma!$F$3:$V$1101,17,0),"")</f>
        <v/>
      </c>
      <c r="AY95" s="142" t="str">
        <f>_xlfn.IFNA(VLOOKUP($AH95,Programma!$F$3:$W$1101,18,0),"")</f>
        <v/>
      </c>
      <c r="AZ95" s="142" t="str">
        <f>_xlfn.IFNA(VLOOKUP($AH95,Programma!$F$3:$X$1101,19,0),"")</f>
        <v/>
      </c>
      <c r="BA95" s="142" t="str">
        <f>_xlfn.IFNA(VLOOKUP($AH95,Programma!$F$3:$Y$1101,20,0),"")</f>
        <v/>
      </c>
      <c r="BB95" s="138"/>
      <c r="BC95" s="137" t="str">
        <f>IF(Ruimtestaat[[#This Row],[Frequentie weekend]]="","",_xlfn.CONCAT(Ruimtestaat[[#This Row],[Ruimte code]],"-",Ruimtestaat[[#This Row],[Frequentie weekend]]," ",Ruimtestaat[[#This Row],[Vloer code]]))</f>
        <v/>
      </c>
      <c r="BD95" s="142" t="str">
        <f>_xlfn.IFNA(VLOOKUP($BC95,Programma!$F$3:$G$1101,2,0),"")</f>
        <v/>
      </c>
      <c r="BE95" s="142" t="str">
        <f>_xlfn.IFNA(VLOOKUP($BC95,Programma!$F$3:$H$1101,3,0),"")</f>
        <v/>
      </c>
      <c r="BF95" s="142" t="str">
        <f>_xlfn.IFNA(VLOOKUP($BC95,Programma!$F$3:$I$1101,4,0),"")</f>
        <v/>
      </c>
      <c r="BG95" s="142" t="str">
        <f>_xlfn.IFNA(VLOOKUP($BC95,Programma!$F$3:$J$1101,5,0),"")</f>
        <v/>
      </c>
      <c r="BH95" s="142" t="str">
        <f>_xlfn.IFNA(VLOOKUP($BC95,Programma!$F$3:$K$1101,6,0),"")</f>
        <v/>
      </c>
      <c r="BI95" s="142" t="str">
        <f>_xlfn.IFNA(VLOOKUP($BC95,Programma!$F$3:$L$1101,7,0),"")</f>
        <v/>
      </c>
      <c r="BJ95" s="142" t="str">
        <f>_xlfn.IFNA(VLOOKUP($BC95,Programma!$F$3:$M$1101,8,0),"")</f>
        <v/>
      </c>
      <c r="BK95" s="142" t="str">
        <f>_xlfn.IFNA(VLOOKUP($BC95,Programma!$F$3:$N$1101,9,0),"")</f>
        <v/>
      </c>
      <c r="BL95" s="142" t="str">
        <f>_xlfn.IFNA(VLOOKUP($BC95,Programma!$F$3:$O$1101,10,0),"")</f>
        <v/>
      </c>
      <c r="BM95" s="142" t="str">
        <f>_xlfn.IFNA(VLOOKUP($BC95,Programma!$F$3:$P$1101,11,0),"")</f>
        <v/>
      </c>
      <c r="BN95" s="142" t="str">
        <f>_xlfn.IFNA(VLOOKUP($BC95,Programma!$F$3:$Q$1101,12,0),"")</f>
        <v/>
      </c>
      <c r="BO95" s="142" t="str">
        <f>_xlfn.IFNA(VLOOKUP($BC95,Programma!$F$3:$R$1101,13,0),"")</f>
        <v/>
      </c>
      <c r="BP95" s="142" t="str">
        <f>_xlfn.IFNA(VLOOKUP($BC95,Programma!$F$3:$S$1101,14,0),"")</f>
        <v/>
      </c>
      <c r="BQ95" s="142" t="str">
        <f>_xlfn.IFNA(VLOOKUP($BC95,Programma!$F$3:$T$1101,15,0),"")</f>
        <v/>
      </c>
      <c r="BR95" s="142" t="str">
        <f>_xlfn.IFNA(VLOOKUP($BC95,Programma!$F$3:$U$1101,16,0),"")</f>
        <v/>
      </c>
      <c r="BS95" s="142" t="str">
        <f>_xlfn.IFNA(VLOOKUP($BC95,Programma!$F$3:$V$1101,17,0),"")</f>
        <v/>
      </c>
      <c r="BT95" s="142" t="str">
        <f>_xlfn.IFNA(VLOOKUP($BC95,Programma!$F$3:$W$1101,18,0),"")</f>
        <v/>
      </c>
      <c r="BU95" s="142" t="str">
        <f>_xlfn.IFNA(VLOOKUP($BC95,Programma!$F$3:$X$1101,19,0),"")</f>
        <v/>
      </c>
      <c r="BV95" s="142" t="str">
        <f>_xlfn.IFNA(VLOOKUP($BC95,Programma!$F$3:$Y$1101,20,0),"")</f>
        <v/>
      </c>
      <c r="BW95" s="28"/>
      <c r="BX95" s="28"/>
      <c r="BY95" s="28"/>
      <c r="BZ95" s="28"/>
      <c r="CA95" s="28"/>
      <c r="CB95" s="28"/>
      <c r="CC95" s="28"/>
      <c r="CD95" s="28"/>
      <c r="CE95" s="28"/>
      <c r="CF95" s="28"/>
      <c r="CG95" s="28"/>
      <c r="CH95" s="28"/>
      <c r="CI95" s="28"/>
      <c r="CJ95" s="28"/>
      <c r="CK95" s="28"/>
      <c r="CL95" s="28"/>
      <c r="CM95" s="28"/>
      <c r="CN95" s="28"/>
      <c r="CO95" s="28"/>
      <c r="CP95" s="28"/>
      <c r="CQ95" s="28"/>
      <c r="CR95" s="28"/>
      <c r="CS95" s="28"/>
      <c r="CT95" s="28"/>
      <c r="CU95" s="28"/>
      <c r="CV95" s="28"/>
      <c r="CW95" s="28"/>
      <c r="CX95" s="28"/>
      <c r="CY95" s="28"/>
      <c r="CZ95" s="28"/>
      <c r="DA95" s="28"/>
      <c r="DB95" s="28"/>
      <c r="DC95" s="28"/>
      <c r="DD95" s="28"/>
      <c r="DE95" s="28"/>
      <c r="DF95" s="28"/>
      <c r="DG95" s="28"/>
      <c r="DH95" s="28"/>
      <c r="DI95" s="28"/>
      <c r="DJ95" s="28"/>
      <c r="DK95" s="28"/>
      <c r="DL95" s="28"/>
      <c r="DM95" s="28"/>
      <c r="DN95" s="28"/>
      <c r="DO95" s="28"/>
      <c r="DP95" s="28"/>
      <c r="DQ95" s="28"/>
      <c r="DR95" s="28"/>
      <c r="DS95" s="28"/>
      <c r="DT95" s="28"/>
      <c r="DU95" s="28"/>
      <c r="DV95" s="28"/>
      <c r="DW95" s="28"/>
      <c r="DX95" s="28"/>
      <c r="DY95" s="28"/>
      <c r="DZ95" s="28"/>
      <c r="EA95" s="28"/>
      <c r="EB95" s="28"/>
      <c r="EC95" s="28"/>
      <c r="ED95" s="28"/>
      <c r="EE95" s="28"/>
      <c r="EF95" s="28"/>
      <c r="EG95" s="28"/>
      <c r="EH95" s="28"/>
      <c r="EI95" s="28"/>
      <c r="EJ95" s="28"/>
      <c r="EK95" s="28"/>
      <c r="EL95" s="28"/>
      <c r="EM95" s="28"/>
      <c r="EN95" s="28"/>
      <c r="EO95" s="28"/>
      <c r="EP95" s="28"/>
      <c r="EQ95" s="28"/>
      <c r="ER95" s="28"/>
      <c r="ES95" s="28"/>
      <c r="ET95" s="28"/>
      <c r="EU95" s="28"/>
      <c r="EV95" s="28"/>
      <c r="EW95" s="28"/>
      <c r="EX95" s="28"/>
      <c r="EY95" s="28"/>
      <c r="EZ95" s="28"/>
      <c r="FA95" s="28"/>
      <c r="FB95" s="28"/>
      <c r="FC95" s="28"/>
      <c r="FD95" s="28"/>
      <c r="FE95" s="28"/>
      <c r="FF95" s="28"/>
      <c r="FG95" s="28"/>
      <c r="FH95" s="28"/>
      <c r="FI95" s="28"/>
      <c r="FJ95" s="28"/>
      <c r="FK95" s="28"/>
      <c r="FL95" s="28"/>
      <c r="FM95" s="28"/>
      <c r="FN95" s="28"/>
      <c r="FO95" s="28"/>
      <c r="FP95" s="28"/>
      <c r="FQ95" s="28"/>
      <c r="FR95" s="28"/>
      <c r="FS95" s="28"/>
      <c r="FT95" s="28"/>
      <c r="FU95" s="28"/>
      <c r="FV95" s="28"/>
      <c r="FW95" s="28"/>
      <c r="FX95" s="28"/>
      <c r="FY95" s="28"/>
      <c r="FZ95" s="28"/>
      <c r="GA95" s="28"/>
      <c r="GB95" s="28"/>
      <c r="GC95" s="28"/>
      <c r="GD95" s="28"/>
      <c r="GE95" s="28"/>
      <c r="GF95" s="28"/>
      <c r="GG95" s="28"/>
      <c r="GH95" s="28"/>
      <c r="GI95" s="28"/>
      <c r="GJ95" s="28"/>
      <c r="GK95" s="28"/>
      <c r="GL95" s="28"/>
      <c r="GM95" s="28"/>
      <c r="GN95" s="28"/>
      <c r="GO95" s="28"/>
      <c r="GP95" s="28"/>
      <c r="GQ95" s="28"/>
      <c r="GR95" s="28"/>
      <c r="GS95" s="28"/>
      <c r="GT95" s="28"/>
      <c r="GU95" s="28"/>
      <c r="GV95" s="28"/>
      <c r="GW95" s="28"/>
      <c r="GX95" s="28"/>
      <c r="GY95" s="28"/>
      <c r="GZ95" s="28"/>
      <c r="HA95" s="28"/>
      <c r="HB95" s="28"/>
      <c r="HC95" s="28"/>
      <c r="HD95" s="28"/>
      <c r="HE95" s="28"/>
      <c r="HF95" s="28"/>
      <c r="HG95" s="28"/>
      <c r="HH95" s="28"/>
      <c r="HI95" s="28"/>
      <c r="HJ95" s="28"/>
      <c r="HK95" s="28"/>
    </row>
    <row r="96" spans="1:219" ht="15" customHeight="1">
      <c r="A96" s="49">
        <v>1</v>
      </c>
      <c r="B96" s="132" t="str">
        <f>VLOOKUP(Ruimtestaat[[#This Row],[Code]],Locaties[[Code]:[Locatie]],2,FALSE)</f>
        <v>Mirtehuis</v>
      </c>
      <c r="C96" s="132" t="str">
        <f>VLOOKUP(Ruimtestaat[[#This Row],[Code]],Locaties[[#All],[Code]:[Adres]],4,FALSE)</f>
        <v>Weseperweg 6</v>
      </c>
      <c r="D96" s="132" t="str">
        <f>VLOOKUP(Ruimtestaat[[#This Row],[Code]],Locaties[[#All],[Code]:[Postcode]],5,FALSE)</f>
        <v>8111 PK</v>
      </c>
      <c r="E96" s="132" t="str">
        <f>VLOOKUP(Ruimtestaat[[#This Row],[Code]],Locaties[#All],6,FALSE)</f>
        <v>Heeten</v>
      </c>
      <c r="F96" s="100"/>
      <c r="G96" s="100" t="s">
        <v>1677</v>
      </c>
      <c r="H96" s="344"/>
      <c r="I96" s="345" t="s">
        <v>1632</v>
      </c>
      <c r="J96" s="49">
        <v>6</v>
      </c>
      <c r="K96" s="140" t="str">
        <f>VLOOKUP(Ruimtestaat[[#This Row],[Ruimte code]],Ruimtegroepen[[#All],[Code]:[Ruimte omschrijving]],2,FALSE)</f>
        <v>Gangen/hallen</v>
      </c>
      <c r="L96" s="100" t="s">
        <v>100</v>
      </c>
      <c r="M96" s="345" t="s">
        <v>1636</v>
      </c>
      <c r="N96" s="133">
        <v>14.5</v>
      </c>
      <c r="O96" s="139"/>
      <c r="P96" s="134" t="str">
        <f>VLOOKUP(Ruimtestaat[[#This Row],[Ruimte code]],Ruimtegroepen[],4,FALSE)</f>
        <v>Ve</v>
      </c>
      <c r="Q96" s="100">
        <v>51</v>
      </c>
      <c r="R96" s="100" t="s">
        <v>2</v>
      </c>
      <c r="S96" s="100">
        <f>IF(Q96&gt;0,IF(RIGHT(Ruimtestaat[[#This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96" s="100">
        <f>IF(S96&gt;0,VLOOKUP($J96,Ruimtegroepen[],3,FALSE)*VLOOKUP($L96,Vloersoorten[],3,FALSE)*VLOOKUP($R96,Frequenties[],3,FALSE)*VLOOKUP($A96,Locaties[],3,FALSE),0)</f>
        <v>0</v>
      </c>
      <c r="U96" s="100">
        <f>Ruimtestaat[[#This Row],[Uitvoeringen werkdagen]]*Ruimtestaat[[#This Row],[Oppervlak (netto)]]</f>
        <v>3697.5</v>
      </c>
      <c r="V96" s="135">
        <f>IF(T96&gt;0,Ruimtestaat[[#This Row],[Prest. (m2 /jaar) werkdagen]]/Ruimtestaat[[#This Row],[Norm (m2/uur) werkdagen]],0)</f>
        <v>0</v>
      </c>
      <c r="W96" s="136">
        <f>Ruimtestaat[[#This Row],[uren / jaar werkdagen]]*Tariefsopbouw!$E$35</f>
        <v>0</v>
      </c>
      <c r="X96" s="100"/>
      <c r="Y96" s="100">
        <f>IF(Ruimtestaat[[#This Row],[Frequentie weekend]]&gt;0,VALUE(LEFT(X96,1))*Q96,0)</f>
        <v>0</v>
      </c>
      <c r="Z96" s="99">
        <f>IF($Y96&gt;0,VLOOKUP($J96,Ruimtegroepen[],3,FALSE)*VLOOKUP($L96,Vloersoorten[],3,FALSE)*VLOOKUP($X96,Frequenties[],3,FALSE)*VLOOKUP(Ruimtestaat[[#This Row],[Code]],Locaties[],3,FALSE),0)</f>
        <v>0</v>
      </c>
      <c r="AA96" s="99">
        <f>Ruimtestaat[[#This Row],[Uitvoeringen weekend]]*Ruimtestaat[[#This Row],[Oppervlak (netto)]]</f>
        <v>0</v>
      </c>
      <c r="AB96" s="99">
        <f>IF(Z96&gt;0,Ruimtestaat[[#This Row],[Prest. (m2 /jaar) weekend]]/Ruimtestaat[[#This Row],[Norm (m2/uur) weekend]],0)</f>
        <v>0</v>
      </c>
      <c r="AC96" s="136">
        <f>Ruimtestaat[[#This Row],[uren / jaar weekend]]*Tariefsopbouw!$D$40</f>
        <v>0</v>
      </c>
      <c r="AD96" s="135">
        <f>Ruimtestaat[[#This Row],[Prest. (m2 /jaar) weekend]]+Ruimtestaat[[#This Row],[Prest. (m2 /jaar) werkdagen]]</f>
        <v>3697.5</v>
      </c>
      <c r="AE96" s="135">
        <f>Ruimtestaat[[#This Row],[uren / jaar weekend]]+Ruimtestaat[[#This Row],[uren / jaar werkdagen]]</f>
        <v>0</v>
      </c>
      <c r="AF96" s="130">
        <f>Ruimtestaat[[#This Row],[kosten / jaar weekend]]+Ruimtestaat[[#This Row],[kosten / jaar werkdagen]]</f>
        <v>0</v>
      </c>
      <c r="AG96" s="130"/>
      <c r="AH96" s="137" t="str">
        <f>IF(Ruimtestaat[[#This Row],[Frequentie werkdagen]]="","",_xlfn.CONCAT(Ruimtestaat[[#This Row],[Ruimte code]],"-",Ruimtestaat[[#This Row],[Frequentie werkdagen]]," ",Ruimtestaat[[#This Row],[Vloer code]]))</f>
        <v>6-5w L</v>
      </c>
      <c r="AI96" s="142" t="str">
        <f>_xlfn.IFNA(VLOOKUP($AH96,Programma!$F$3:$G$1101,2,0),"")</f>
        <v>_</v>
      </c>
      <c r="AJ96" s="142" t="str">
        <f>_xlfn.IFNA(VLOOKUP($AH96,Programma!$F$3:$H$1101,3,0),"")</f>
        <v>_</v>
      </c>
      <c r="AK96" s="142" t="str">
        <f>_xlfn.IFNA(VLOOKUP($AH96,Programma!$F$3:$I$1101,4,0),"")</f>
        <v>_</v>
      </c>
      <c r="AL96" s="142" t="str">
        <f>_xlfn.IFNA(VLOOKUP($AH96,Programma!$F$3:$J$1101,5,0),"")</f>
        <v>5w</v>
      </c>
      <c r="AM96" s="142" t="str">
        <f>_xlfn.IFNA(VLOOKUP($AH96,Programma!$F$3:$K$1101,6,0),"")</f>
        <v>_</v>
      </c>
      <c r="AN96" s="142" t="str">
        <f>_xlfn.IFNA(VLOOKUP($AH96,Programma!$F$3:$L$1101,7,0),"")</f>
        <v>_</v>
      </c>
      <c r="AO96" s="142" t="str">
        <f>_xlfn.IFNA(VLOOKUP($AH96,Programma!$F$3:$M$1101,8,0),"")</f>
        <v>_</v>
      </c>
      <c r="AP96" s="142" t="str">
        <f>_xlfn.IFNA(VLOOKUP($AH96,Programma!$F$3:$N$1101,9,0),"")</f>
        <v>_</v>
      </c>
      <c r="AQ96" s="142" t="str">
        <f>_xlfn.IFNA(VLOOKUP($AH96,Programma!$F$3:$O$1101,10,0),"")</f>
        <v>5w</v>
      </c>
      <c r="AR96" s="142" t="str">
        <f>_xlfn.IFNA(VLOOKUP($AH96,Programma!$F$3:$P$1101,11,0),"")</f>
        <v>5w</v>
      </c>
      <c r="AS96" s="142" t="str">
        <f>_xlfn.IFNA(VLOOKUP($AH96,Programma!$F$3:$Q$1101,12,0),"")</f>
        <v>1w</v>
      </c>
      <c r="AT96" s="142" t="str">
        <f>_xlfn.IFNA(VLOOKUP($AH96,Programma!$F$3:$R$1101,13,0),"")</f>
        <v>1w</v>
      </c>
      <c r="AU96" s="142" t="str">
        <f>_xlfn.IFNA(VLOOKUP($AH96,Programma!$F$3:$S$1101,14,0),"")</f>
        <v>1m</v>
      </c>
      <c r="AV96" s="142" t="str">
        <f>_xlfn.IFNA(VLOOKUP($AH96,Programma!$F$3:$T$1101,15,0),"")</f>
        <v>2j</v>
      </c>
      <c r="AW96" s="142" t="str">
        <f>_xlfn.IFNA(VLOOKUP($AH96,Programma!$F$3:$U$1101,16,0),"")</f>
        <v>1j</v>
      </c>
      <c r="AX96" s="142" t="str">
        <f>_xlfn.IFNA(VLOOKUP($AH96,Programma!$F$3:$V$1101,17,0),"")</f>
        <v>_</v>
      </c>
      <c r="AY96" s="142" t="str">
        <f>_xlfn.IFNA(VLOOKUP($AH96,Programma!$F$3:$W$1101,18,0),"")</f>
        <v>_</v>
      </c>
      <c r="AZ96" s="142" t="str">
        <f>_xlfn.IFNA(VLOOKUP($AH96,Programma!$F$3:$X$1101,19,0),"")</f>
        <v>_</v>
      </c>
      <c r="BA96" s="142" t="str">
        <f>_xlfn.IFNA(VLOOKUP($AH96,Programma!$F$3:$Y$1101,20,0),"")</f>
        <v>_</v>
      </c>
      <c r="BB96" s="138"/>
      <c r="BC96" s="137" t="str">
        <f>IF(Ruimtestaat[[#This Row],[Frequentie weekend]]="","",_xlfn.CONCAT(Ruimtestaat[[#This Row],[Ruimte code]],"-",Ruimtestaat[[#This Row],[Frequentie weekend]]," ",Ruimtestaat[[#This Row],[Vloer code]]))</f>
        <v/>
      </c>
      <c r="BD96" s="142" t="str">
        <f>_xlfn.IFNA(VLOOKUP($BC96,Programma!$F$3:$G$1101,2,0),"")</f>
        <v/>
      </c>
      <c r="BE96" s="142" t="str">
        <f>_xlfn.IFNA(VLOOKUP($BC96,Programma!$F$3:$H$1101,3,0),"")</f>
        <v/>
      </c>
      <c r="BF96" s="142" t="str">
        <f>_xlfn.IFNA(VLOOKUP($BC96,Programma!$F$3:$I$1101,4,0),"")</f>
        <v/>
      </c>
      <c r="BG96" s="142" t="str">
        <f>_xlfn.IFNA(VLOOKUP($BC96,Programma!$F$3:$J$1101,5,0),"")</f>
        <v/>
      </c>
      <c r="BH96" s="142" t="str">
        <f>_xlfn.IFNA(VLOOKUP($BC96,Programma!$F$3:$K$1101,6,0),"")</f>
        <v/>
      </c>
      <c r="BI96" s="142" t="str">
        <f>_xlfn.IFNA(VLOOKUP($BC96,Programma!$F$3:$L$1101,7,0),"")</f>
        <v/>
      </c>
      <c r="BJ96" s="142" t="str">
        <f>_xlfn.IFNA(VLOOKUP($BC96,Programma!$F$3:$M$1101,8,0),"")</f>
        <v/>
      </c>
      <c r="BK96" s="142" t="str">
        <f>_xlfn.IFNA(VLOOKUP($BC96,Programma!$F$3:$N$1101,9,0),"")</f>
        <v/>
      </c>
      <c r="BL96" s="142" t="str">
        <f>_xlfn.IFNA(VLOOKUP($BC96,Programma!$F$3:$O$1101,10,0),"")</f>
        <v/>
      </c>
      <c r="BM96" s="142" t="str">
        <f>_xlfn.IFNA(VLOOKUP($BC96,Programma!$F$3:$P$1101,11,0),"")</f>
        <v/>
      </c>
      <c r="BN96" s="142" t="str">
        <f>_xlfn.IFNA(VLOOKUP($BC96,Programma!$F$3:$Q$1101,12,0),"")</f>
        <v/>
      </c>
      <c r="BO96" s="142" t="str">
        <f>_xlfn.IFNA(VLOOKUP($BC96,Programma!$F$3:$R$1101,13,0),"")</f>
        <v/>
      </c>
      <c r="BP96" s="142" t="str">
        <f>_xlfn.IFNA(VLOOKUP($BC96,Programma!$F$3:$S$1101,14,0),"")</f>
        <v/>
      </c>
      <c r="BQ96" s="142" t="str">
        <f>_xlfn.IFNA(VLOOKUP($BC96,Programma!$F$3:$T$1101,15,0),"")</f>
        <v/>
      </c>
      <c r="BR96" s="142" t="str">
        <f>_xlfn.IFNA(VLOOKUP($BC96,Programma!$F$3:$U$1101,16,0),"")</f>
        <v/>
      </c>
      <c r="BS96" s="142" t="str">
        <f>_xlfn.IFNA(VLOOKUP($BC96,Programma!$F$3:$V$1101,17,0),"")</f>
        <v/>
      </c>
      <c r="BT96" s="142" t="str">
        <f>_xlfn.IFNA(VLOOKUP($BC96,Programma!$F$3:$W$1101,18,0),"")</f>
        <v/>
      </c>
      <c r="BU96" s="142" t="str">
        <f>_xlfn.IFNA(VLOOKUP($BC96,Programma!$F$3:$X$1101,19,0),"")</f>
        <v/>
      </c>
      <c r="BV96" s="142" t="str">
        <f>_xlfn.IFNA(VLOOKUP($BC96,Programma!$F$3:$Y$1101,20,0),"")</f>
        <v/>
      </c>
      <c r="BW96" s="28"/>
      <c r="BX96" s="28"/>
      <c r="BY96" s="28"/>
      <c r="BZ96" s="28"/>
      <c r="CA96" s="28"/>
      <c r="CB96" s="28"/>
      <c r="CC96" s="28"/>
      <c r="CD96" s="28"/>
      <c r="CE96" s="28"/>
      <c r="CF96" s="28"/>
      <c r="CG96" s="28"/>
      <c r="CH96" s="28"/>
      <c r="CI96" s="28"/>
      <c r="CJ96" s="28"/>
      <c r="CK96" s="28"/>
      <c r="CL96" s="28"/>
      <c r="CM96" s="28"/>
      <c r="CN96" s="28"/>
      <c r="CO96" s="28"/>
      <c r="CP96" s="28"/>
      <c r="CQ96" s="28"/>
      <c r="CR96" s="28"/>
      <c r="CS96" s="28"/>
      <c r="CT96" s="28"/>
      <c r="CU96" s="28"/>
      <c r="CV96" s="28"/>
      <c r="CW96" s="28"/>
      <c r="CX96" s="28"/>
      <c r="CY96" s="28"/>
      <c r="CZ96" s="28"/>
      <c r="DA96" s="28"/>
      <c r="DB96" s="28"/>
      <c r="DC96" s="28"/>
      <c r="DD96" s="28"/>
      <c r="DE96" s="28"/>
      <c r="DF96" s="28"/>
      <c r="DG96" s="28"/>
      <c r="DH96" s="28"/>
      <c r="DI96" s="28"/>
      <c r="DJ96" s="28"/>
      <c r="DK96" s="28"/>
      <c r="DL96" s="28"/>
      <c r="DM96" s="28"/>
      <c r="DN96" s="28"/>
      <c r="DO96" s="28"/>
      <c r="DP96" s="28"/>
      <c r="DQ96" s="28"/>
      <c r="DR96" s="28"/>
      <c r="DS96" s="28"/>
      <c r="DT96" s="28"/>
      <c r="DU96" s="28"/>
      <c r="DV96" s="28"/>
      <c r="DW96" s="28"/>
      <c r="DX96" s="28"/>
      <c r="DY96" s="28"/>
      <c r="DZ96" s="28"/>
      <c r="EA96" s="28"/>
      <c r="EB96" s="28"/>
      <c r="EC96" s="28"/>
      <c r="ED96" s="28"/>
      <c r="EE96" s="28"/>
      <c r="EF96" s="28"/>
      <c r="EG96" s="28"/>
      <c r="EH96" s="28"/>
      <c r="EI96" s="28"/>
      <c r="EJ96" s="28"/>
      <c r="EK96" s="28"/>
      <c r="EL96" s="28"/>
      <c r="EM96" s="28"/>
      <c r="EN96" s="28"/>
      <c r="EO96" s="28"/>
      <c r="EP96" s="28"/>
      <c r="EQ96" s="28"/>
      <c r="ER96" s="28"/>
      <c r="ES96" s="28"/>
      <c r="ET96" s="28"/>
      <c r="EU96" s="28"/>
      <c r="EV96" s="28"/>
      <c r="EW96" s="28"/>
      <c r="EX96" s="28"/>
      <c r="EY96" s="28"/>
      <c r="EZ96" s="28"/>
      <c r="FA96" s="28"/>
      <c r="FB96" s="28"/>
      <c r="FC96" s="28"/>
      <c r="FD96" s="28"/>
      <c r="FE96" s="28"/>
      <c r="FF96" s="28"/>
      <c r="FG96" s="28"/>
      <c r="FH96" s="28"/>
      <c r="FI96" s="28"/>
      <c r="FJ96" s="28"/>
      <c r="FK96" s="28"/>
      <c r="FL96" s="28"/>
      <c r="FM96" s="28"/>
      <c r="FN96" s="28"/>
      <c r="FO96" s="28"/>
      <c r="FP96" s="28"/>
      <c r="FQ96" s="28"/>
      <c r="FR96" s="28"/>
      <c r="FS96" s="28"/>
      <c r="FT96" s="28"/>
      <c r="FU96" s="28"/>
      <c r="FV96" s="28"/>
      <c r="FW96" s="28"/>
      <c r="FX96" s="28"/>
      <c r="FY96" s="28"/>
      <c r="FZ96" s="28"/>
      <c r="GA96" s="28"/>
      <c r="GB96" s="28"/>
      <c r="GC96" s="28"/>
      <c r="GD96" s="28"/>
      <c r="GE96" s="28"/>
      <c r="GF96" s="28"/>
      <c r="GG96" s="28"/>
      <c r="GH96" s="28"/>
      <c r="GI96" s="28"/>
      <c r="GJ96" s="28"/>
      <c r="GK96" s="28"/>
      <c r="GL96" s="28"/>
      <c r="GM96" s="28"/>
      <c r="GN96" s="28"/>
      <c r="GO96" s="28"/>
      <c r="GP96" s="28"/>
      <c r="GQ96" s="28"/>
      <c r="GR96" s="28"/>
      <c r="GS96" s="28"/>
      <c r="GT96" s="28"/>
      <c r="GU96" s="28"/>
      <c r="GV96" s="28"/>
      <c r="GW96" s="28"/>
      <c r="GX96" s="28"/>
      <c r="GY96" s="28"/>
      <c r="GZ96" s="28"/>
      <c r="HA96" s="28"/>
      <c r="HB96" s="28"/>
      <c r="HC96" s="28"/>
      <c r="HD96" s="28"/>
      <c r="HE96" s="28"/>
      <c r="HF96" s="28"/>
      <c r="HG96" s="28"/>
      <c r="HH96" s="28"/>
      <c r="HI96" s="28"/>
      <c r="HJ96" s="28"/>
      <c r="HK96" s="28"/>
    </row>
    <row r="97" spans="1:219" ht="15" customHeight="1">
      <c r="A97" s="49">
        <v>1</v>
      </c>
      <c r="B97" s="132" t="str">
        <f>VLOOKUP(Ruimtestaat[[#This Row],[Code]],Locaties[[Code]:[Locatie]],2,FALSE)</f>
        <v>Mirtehuis</v>
      </c>
      <c r="C97" s="132" t="str">
        <f>VLOOKUP(Ruimtestaat[[#This Row],[Code]],Locaties[[#All],[Code]:[Adres]],4,FALSE)</f>
        <v>Weseperweg 6</v>
      </c>
      <c r="D97" s="132" t="str">
        <f>VLOOKUP(Ruimtestaat[[#This Row],[Code]],Locaties[[#All],[Code]:[Postcode]],5,FALSE)</f>
        <v>8111 PK</v>
      </c>
      <c r="E97" s="132" t="str">
        <f>VLOOKUP(Ruimtestaat[[#This Row],[Code]],Locaties[#All],6,FALSE)</f>
        <v>Heeten</v>
      </c>
      <c r="F97" s="100"/>
      <c r="G97" s="100" t="s">
        <v>1677</v>
      </c>
      <c r="H97" s="344" t="s">
        <v>1678</v>
      </c>
      <c r="I97" s="345" t="s">
        <v>1656</v>
      </c>
      <c r="J97" s="49">
        <v>20</v>
      </c>
      <c r="K97" s="140" t="str">
        <f>VLOOKUP(Ruimtestaat[[#This Row],[Ruimte code]],Ruimtegroepen[[#All],[Code]:[Ruimte omschrijving]],2,FALSE)</f>
        <v>Niet in Onderhoud</v>
      </c>
      <c r="L97" s="100"/>
      <c r="M97" s="345"/>
      <c r="N97" s="133"/>
      <c r="O97" s="100"/>
      <c r="P97" s="134">
        <f>VLOOKUP(Ruimtestaat[[#This Row],[Ruimte code]],Ruimtegroepen[],4,FALSE)</f>
        <v>0</v>
      </c>
      <c r="Q97" s="100"/>
      <c r="R97" s="100"/>
      <c r="S97" s="100">
        <f>IF(Q97&gt;0,IF(RIGHT(Ruimtestaat[[#This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97" s="100">
        <f>IF(S97&gt;0,VLOOKUP($J97,Ruimtegroepen[],3,FALSE)*VLOOKUP($L97,Vloersoorten[],3,FALSE)*VLOOKUP($R97,Frequenties[],3,FALSE)*VLOOKUP($A97,Locaties[],3,FALSE),0)</f>
        <v>0</v>
      </c>
      <c r="U97" s="100">
        <f>Ruimtestaat[[#This Row],[Uitvoeringen werkdagen]]*Ruimtestaat[[#This Row],[Oppervlak (netto)]]</f>
        <v>0</v>
      </c>
      <c r="V97" s="135">
        <f>IF(T97&gt;0,Ruimtestaat[[#This Row],[Prest. (m2 /jaar) werkdagen]]/Ruimtestaat[[#This Row],[Norm (m2/uur) werkdagen]],0)</f>
        <v>0</v>
      </c>
      <c r="W97" s="136">
        <f>Ruimtestaat[[#This Row],[uren / jaar werkdagen]]*Tariefsopbouw!$E$35</f>
        <v>0</v>
      </c>
      <c r="X97" s="100"/>
      <c r="Y97" s="100">
        <f>IF(Ruimtestaat[[#This Row],[Frequentie weekend]]&gt;0,VALUE(LEFT(X97,1))*Q97,0)</f>
        <v>0</v>
      </c>
      <c r="Z97" s="99">
        <f>IF($Y97&gt;0,VLOOKUP($J97,Ruimtegroepen[],3,FALSE)*VLOOKUP($L97,Vloersoorten[],3,FALSE)*VLOOKUP($X97,Frequenties[],3,FALSE)*VLOOKUP(Ruimtestaat[[#This Row],[Code]],Locaties[],3,FALSE),0)</f>
        <v>0</v>
      </c>
      <c r="AA97" s="99">
        <f>Ruimtestaat[[#This Row],[Uitvoeringen weekend]]*Ruimtestaat[[#This Row],[Oppervlak (netto)]]</f>
        <v>0</v>
      </c>
      <c r="AB97" s="99">
        <f>IF(Z97&gt;0,Ruimtestaat[[#This Row],[Prest. (m2 /jaar) weekend]]/Ruimtestaat[[#This Row],[Norm (m2/uur) weekend]],0)</f>
        <v>0</v>
      </c>
      <c r="AC97" s="136">
        <f>Ruimtestaat[[#This Row],[uren / jaar weekend]]*Tariefsopbouw!$D$40</f>
        <v>0</v>
      </c>
      <c r="AD97" s="135">
        <f>Ruimtestaat[[#This Row],[Prest. (m2 /jaar) weekend]]+Ruimtestaat[[#This Row],[Prest. (m2 /jaar) werkdagen]]</f>
        <v>0</v>
      </c>
      <c r="AE97" s="135">
        <f>Ruimtestaat[[#This Row],[uren / jaar weekend]]+Ruimtestaat[[#This Row],[uren / jaar werkdagen]]</f>
        <v>0</v>
      </c>
      <c r="AF97" s="130">
        <f>Ruimtestaat[[#This Row],[kosten / jaar weekend]]+Ruimtestaat[[#This Row],[kosten / jaar werkdagen]]</f>
        <v>0</v>
      </c>
      <c r="AG97" s="130"/>
      <c r="AH97" s="137" t="str">
        <f>IF(Ruimtestaat[[#This Row],[Frequentie werkdagen]]="","",_xlfn.CONCAT(Ruimtestaat[[#This Row],[Ruimte code]],"-",Ruimtestaat[[#This Row],[Frequentie werkdagen]]," ",Ruimtestaat[[#This Row],[Vloer code]]))</f>
        <v/>
      </c>
      <c r="AI97" s="142" t="str">
        <f>_xlfn.IFNA(VLOOKUP($AH97,Programma!$F$3:$G$1101,2,0),"")</f>
        <v/>
      </c>
      <c r="AJ97" s="142" t="str">
        <f>_xlfn.IFNA(VLOOKUP($AH97,Programma!$F$3:$H$1101,3,0),"")</f>
        <v/>
      </c>
      <c r="AK97" s="142" t="str">
        <f>_xlfn.IFNA(VLOOKUP($AH97,Programma!$F$3:$I$1101,4,0),"")</f>
        <v/>
      </c>
      <c r="AL97" s="142" t="str">
        <f>_xlfn.IFNA(VLOOKUP($AH97,Programma!$F$3:$J$1101,5,0),"")</f>
        <v/>
      </c>
      <c r="AM97" s="142" t="str">
        <f>_xlfn.IFNA(VLOOKUP($AH97,Programma!$F$3:$K$1101,6,0),"")</f>
        <v/>
      </c>
      <c r="AN97" s="142" t="str">
        <f>_xlfn.IFNA(VLOOKUP($AH97,Programma!$F$3:$L$1101,7,0),"")</f>
        <v/>
      </c>
      <c r="AO97" s="142" t="str">
        <f>_xlfn.IFNA(VLOOKUP($AH97,Programma!$F$3:$M$1101,8,0),"")</f>
        <v/>
      </c>
      <c r="AP97" s="142" t="str">
        <f>_xlfn.IFNA(VLOOKUP($AH97,Programma!$F$3:$N$1101,9,0),"")</f>
        <v/>
      </c>
      <c r="AQ97" s="142" t="str">
        <f>_xlfn.IFNA(VLOOKUP($AH97,Programma!$F$3:$O$1101,10,0),"")</f>
        <v/>
      </c>
      <c r="AR97" s="142" t="str">
        <f>_xlfn.IFNA(VLOOKUP($AH97,Programma!$F$3:$P$1101,11,0),"")</f>
        <v/>
      </c>
      <c r="AS97" s="142" t="str">
        <f>_xlfn.IFNA(VLOOKUP($AH97,Programma!$F$3:$Q$1101,12,0),"")</f>
        <v/>
      </c>
      <c r="AT97" s="142" t="str">
        <f>_xlfn.IFNA(VLOOKUP($AH97,Programma!$F$3:$R$1101,13,0),"")</f>
        <v/>
      </c>
      <c r="AU97" s="142" t="str">
        <f>_xlfn.IFNA(VLOOKUP($AH97,Programma!$F$3:$S$1101,14,0),"")</f>
        <v/>
      </c>
      <c r="AV97" s="142" t="str">
        <f>_xlfn.IFNA(VLOOKUP($AH97,Programma!$F$3:$T$1101,15,0),"")</f>
        <v/>
      </c>
      <c r="AW97" s="142" t="str">
        <f>_xlfn.IFNA(VLOOKUP($AH97,Programma!$F$3:$U$1101,16,0),"")</f>
        <v/>
      </c>
      <c r="AX97" s="142" t="str">
        <f>_xlfn.IFNA(VLOOKUP($AH97,Programma!$F$3:$V$1101,17,0),"")</f>
        <v/>
      </c>
      <c r="AY97" s="142" t="str">
        <f>_xlfn.IFNA(VLOOKUP($AH97,Programma!$F$3:$W$1101,18,0),"")</f>
        <v/>
      </c>
      <c r="AZ97" s="142" t="str">
        <f>_xlfn.IFNA(VLOOKUP($AH97,Programma!$F$3:$X$1101,19,0),"")</f>
        <v/>
      </c>
      <c r="BA97" s="142" t="str">
        <f>_xlfn.IFNA(VLOOKUP($AH97,Programma!$F$3:$Y$1101,20,0),"")</f>
        <v/>
      </c>
      <c r="BB97" s="138"/>
      <c r="BC97" s="137" t="str">
        <f>IF(Ruimtestaat[[#This Row],[Frequentie weekend]]="","",_xlfn.CONCAT(Ruimtestaat[[#This Row],[Ruimte code]],"-",Ruimtestaat[[#This Row],[Frequentie weekend]]," ",Ruimtestaat[[#This Row],[Vloer code]]))</f>
        <v/>
      </c>
      <c r="BD97" s="142" t="str">
        <f>_xlfn.IFNA(VLOOKUP($BC97,Programma!$F$3:$G$1101,2,0),"")</f>
        <v/>
      </c>
      <c r="BE97" s="142" t="str">
        <f>_xlfn.IFNA(VLOOKUP($BC97,Programma!$F$3:$H$1101,3,0),"")</f>
        <v/>
      </c>
      <c r="BF97" s="142" t="str">
        <f>_xlfn.IFNA(VLOOKUP($BC97,Programma!$F$3:$I$1101,4,0),"")</f>
        <v/>
      </c>
      <c r="BG97" s="142" t="str">
        <f>_xlfn.IFNA(VLOOKUP($BC97,Programma!$F$3:$J$1101,5,0),"")</f>
        <v/>
      </c>
      <c r="BH97" s="142" t="str">
        <f>_xlfn.IFNA(VLOOKUP($BC97,Programma!$F$3:$K$1101,6,0),"")</f>
        <v/>
      </c>
      <c r="BI97" s="142" t="str">
        <f>_xlfn.IFNA(VLOOKUP($BC97,Programma!$F$3:$L$1101,7,0),"")</f>
        <v/>
      </c>
      <c r="BJ97" s="142" t="str">
        <f>_xlfn.IFNA(VLOOKUP($BC97,Programma!$F$3:$M$1101,8,0),"")</f>
        <v/>
      </c>
      <c r="BK97" s="142" t="str">
        <f>_xlfn.IFNA(VLOOKUP($BC97,Programma!$F$3:$N$1101,9,0),"")</f>
        <v/>
      </c>
      <c r="BL97" s="142" t="str">
        <f>_xlfn.IFNA(VLOOKUP($BC97,Programma!$F$3:$O$1101,10,0),"")</f>
        <v/>
      </c>
      <c r="BM97" s="142" t="str">
        <f>_xlfn.IFNA(VLOOKUP($BC97,Programma!$F$3:$P$1101,11,0),"")</f>
        <v/>
      </c>
      <c r="BN97" s="142" t="str">
        <f>_xlfn.IFNA(VLOOKUP($BC97,Programma!$F$3:$Q$1101,12,0),"")</f>
        <v/>
      </c>
      <c r="BO97" s="142" t="str">
        <f>_xlfn.IFNA(VLOOKUP($BC97,Programma!$F$3:$R$1101,13,0),"")</f>
        <v/>
      </c>
      <c r="BP97" s="142" t="str">
        <f>_xlfn.IFNA(VLOOKUP($BC97,Programma!$F$3:$S$1101,14,0),"")</f>
        <v/>
      </c>
      <c r="BQ97" s="142" t="str">
        <f>_xlfn.IFNA(VLOOKUP($BC97,Programma!$F$3:$T$1101,15,0),"")</f>
        <v/>
      </c>
      <c r="BR97" s="142" t="str">
        <f>_xlfn.IFNA(VLOOKUP($BC97,Programma!$F$3:$U$1101,16,0),"")</f>
        <v/>
      </c>
      <c r="BS97" s="142" t="str">
        <f>_xlfn.IFNA(VLOOKUP($BC97,Programma!$F$3:$V$1101,17,0),"")</f>
        <v/>
      </c>
      <c r="BT97" s="142" t="str">
        <f>_xlfn.IFNA(VLOOKUP($BC97,Programma!$F$3:$W$1101,18,0),"")</f>
        <v/>
      </c>
      <c r="BU97" s="142" t="str">
        <f>_xlfn.IFNA(VLOOKUP($BC97,Programma!$F$3:$X$1101,19,0),"")</f>
        <v/>
      </c>
      <c r="BV97" s="142" t="str">
        <f>_xlfn.IFNA(VLOOKUP($BC97,Programma!$F$3:$Y$1101,20,0),"")</f>
        <v/>
      </c>
      <c r="BW97" s="28"/>
      <c r="BX97" s="28"/>
      <c r="BY97" s="28"/>
      <c r="BZ97" s="28"/>
      <c r="CA97" s="28"/>
      <c r="CB97" s="28"/>
      <c r="CC97" s="28"/>
      <c r="CD97" s="28"/>
      <c r="CE97" s="28"/>
      <c r="CF97" s="28"/>
      <c r="CG97" s="28"/>
      <c r="CH97" s="28"/>
      <c r="CI97" s="28"/>
      <c r="CJ97" s="28"/>
      <c r="CK97" s="28"/>
      <c r="CL97" s="28"/>
      <c r="CM97" s="28"/>
      <c r="CN97" s="28"/>
      <c r="CO97" s="28"/>
      <c r="CP97" s="28"/>
      <c r="CQ97" s="28"/>
      <c r="CR97" s="28"/>
      <c r="CS97" s="28"/>
      <c r="CT97" s="28"/>
      <c r="CU97" s="28"/>
      <c r="CV97" s="28"/>
      <c r="CW97" s="28"/>
      <c r="CX97" s="28"/>
      <c r="CY97" s="28"/>
      <c r="CZ97" s="28"/>
      <c r="DA97" s="28"/>
      <c r="DB97" s="28"/>
      <c r="DC97" s="28"/>
      <c r="DD97" s="28"/>
      <c r="DE97" s="28"/>
      <c r="DF97" s="28"/>
      <c r="DG97" s="28"/>
      <c r="DH97" s="28"/>
      <c r="DI97" s="28"/>
      <c r="DJ97" s="28"/>
      <c r="DK97" s="28"/>
      <c r="DL97" s="28"/>
      <c r="DM97" s="28"/>
      <c r="DN97" s="28"/>
      <c r="DO97" s="28"/>
      <c r="DP97" s="28"/>
      <c r="DQ97" s="28"/>
      <c r="DR97" s="28"/>
      <c r="DS97" s="28"/>
      <c r="DT97" s="28"/>
      <c r="DU97" s="28"/>
      <c r="DV97" s="28"/>
      <c r="DW97" s="28"/>
      <c r="DX97" s="28"/>
      <c r="DY97" s="28"/>
      <c r="DZ97" s="28"/>
      <c r="EA97" s="28"/>
      <c r="EB97" s="28"/>
      <c r="EC97" s="28"/>
      <c r="ED97" s="28"/>
      <c r="EE97" s="28"/>
      <c r="EF97" s="28"/>
      <c r="EG97" s="28"/>
      <c r="EH97" s="28"/>
      <c r="EI97" s="28"/>
      <c r="EJ97" s="28"/>
      <c r="EK97" s="28"/>
      <c r="EL97" s="28"/>
      <c r="EM97" s="28"/>
      <c r="EN97" s="28"/>
      <c r="EO97" s="28"/>
      <c r="EP97" s="28"/>
      <c r="EQ97" s="28"/>
      <c r="ER97" s="28"/>
      <c r="ES97" s="28"/>
      <c r="ET97" s="28"/>
      <c r="EU97" s="28"/>
      <c r="EV97" s="28"/>
      <c r="EW97" s="28"/>
      <c r="EX97" s="28"/>
      <c r="EY97" s="28"/>
      <c r="EZ97" s="28"/>
      <c r="FA97" s="28"/>
      <c r="FB97" s="28"/>
      <c r="FC97" s="28"/>
      <c r="FD97" s="28"/>
      <c r="FE97" s="28"/>
      <c r="FF97" s="28"/>
      <c r="FG97" s="28"/>
      <c r="FH97" s="28"/>
      <c r="FI97" s="28"/>
      <c r="FJ97" s="28"/>
      <c r="FK97" s="28"/>
      <c r="FL97" s="28"/>
      <c r="FM97" s="28"/>
      <c r="FN97" s="28"/>
      <c r="FO97" s="28"/>
      <c r="FP97" s="28"/>
      <c r="FQ97" s="28"/>
      <c r="FR97" s="28"/>
      <c r="FS97" s="28"/>
      <c r="FT97" s="28"/>
      <c r="FU97" s="28"/>
      <c r="FV97" s="28"/>
      <c r="FW97" s="28"/>
      <c r="FX97" s="28"/>
      <c r="FY97" s="28"/>
      <c r="FZ97" s="28"/>
      <c r="GA97" s="28"/>
      <c r="GB97" s="28"/>
      <c r="GC97" s="28"/>
      <c r="GD97" s="28"/>
      <c r="GE97" s="28"/>
      <c r="GF97" s="28"/>
      <c r="GG97" s="28"/>
      <c r="GH97" s="28"/>
      <c r="GI97" s="28"/>
      <c r="GJ97" s="28"/>
      <c r="GK97" s="28"/>
      <c r="GL97" s="28"/>
      <c r="GM97" s="28"/>
      <c r="GN97" s="28"/>
      <c r="GO97" s="28"/>
      <c r="GP97" s="28"/>
      <c r="GQ97" s="28"/>
      <c r="GR97" s="28"/>
      <c r="GS97" s="28"/>
      <c r="GT97" s="28"/>
      <c r="GU97" s="28"/>
      <c r="GV97" s="28"/>
      <c r="GW97" s="28"/>
      <c r="GX97" s="28"/>
      <c r="GY97" s="28"/>
      <c r="GZ97" s="28"/>
      <c r="HA97" s="28"/>
      <c r="HB97" s="28"/>
      <c r="HC97" s="28"/>
      <c r="HD97" s="28"/>
      <c r="HE97" s="28"/>
      <c r="HF97" s="28"/>
      <c r="HG97" s="28"/>
      <c r="HH97" s="28"/>
      <c r="HI97" s="28"/>
      <c r="HJ97" s="28"/>
      <c r="HK97" s="28"/>
    </row>
    <row r="98" spans="1:219" ht="15" customHeight="1">
      <c r="A98" s="49">
        <v>1</v>
      </c>
      <c r="B98" s="132" t="str">
        <f>VLOOKUP(Ruimtestaat[[#This Row],[Code]],Locaties[[Code]:[Locatie]],2,FALSE)</f>
        <v>Mirtehuis</v>
      </c>
      <c r="C98" s="132" t="str">
        <f>VLOOKUP(Ruimtestaat[[#This Row],[Code]],Locaties[[#All],[Code]:[Adres]],4,FALSE)</f>
        <v>Weseperweg 6</v>
      </c>
      <c r="D98" s="132" t="str">
        <f>VLOOKUP(Ruimtestaat[[#This Row],[Code]],Locaties[[#All],[Code]:[Postcode]],5,FALSE)</f>
        <v>8111 PK</v>
      </c>
      <c r="E98" s="132" t="str">
        <f>VLOOKUP(Ruimtestaat[[#This Row],[Code]],Locaties[#All],6,FALSE)</f>
        <v>Heeten</v>
      </c>
      <c r="F98" s="100"/>
      <c r="G98" s="100" t="s">
        <v>1677</v>
      </c>
      <c r="H98" s="344" t="s">
        <v>1679</v>
      </c>
      <c r="I98" s="345" t="s">
        <v>1632</v>
      </c>
      <c r="J98" s="49">
        <v>6</v>
      </c>
      <c r="K98" s="140" t="str">
        <f>VLOOKUP(Ruimtestaat[[#This Row],[Ruimte code]],Ruimtegroepen[[#All],[Code]:[Ruimte omschrijving]],2,FALSE)</f>
        <v>Gangen/hallen</v>
      </c>
      <c r="L98" s="100" t="s">
        <v>99</v>
      </c>
      <c r="M98" s="345" t="s">
        <v>36</v>
      </c>
      <c r="N98" s="133">
        <v>5</v>
      </c>
      <c r="O98" s="139"/>
      <c r="P98" s="134" t="str">
        <f>VLOOKUP(Ruimtestaat[[#This Row],[Ruimte code]],Ruimtegroepen[],4,FALSE)</f>
        <v>Ve</v>
      </c>
      <c r="Q98" s="100">
        <v>51</v>
      </c>
      <c r="R98" s="100" t="s">
        <v>2</v>
      </c>
      <c r="S98" s="100">
        <f>IF(Q98&gt;0,IF(RIGHT(Ruimtestaat[[#This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98" s="100">
        <f>IF(S98&gt;0,VLOOKUP($J98,Ruimtegroepen[],3,FALSE)*VLOOKUP($L98,Vloersoorten[],3,FALSE)*VLOOKUP($R98,Frequenties[],3,FALSE)*VLOOKUP($A98,Locaties[],3,FALSE),0)</f>
        <v>0</v>
      </c>
      <c r="U98" s="100">
        <f>Ruimtestaat[[#This Row],[Uitvoeringen werkdagen]]*Ruimtestaat[[#This Row],[Oppervlak (netto)]]</f>
        <v>1275</v>
      </c>
      <c r="V98" s="135">
        <f>IF(T98&gt;0,Ruimtestaat[[#This Row],[Prest. (m2 /jaar) werkdagen]]/Ruimtestaat[[#This Row],[Norm (m2/uur) werkdagen]],0)</f>
        <v>0</v>
      </c>
      <c r="W98" s="136">
        <f>Ruimtestaat[[#This Row],[uren / jaar werkdagen]]*Tariefsopbouw!$E$35</f>
        <v>0</v>
      </c>
      <c r="X98" s="100"/>
      <c r="Y98" s="100">
        <f>IF(Ruimtestaat[[#This Row],[Frequentie weekend]]&gt;0,VALUE(LEFT(X98,1))*Q98,0)</f>
        <v>0</v>
      </c>
      <c r="Z98" s="99">
        <f>IF($Y98&gt;0,VLOOKUP($J98,Ruimtegroepen[],3,FALSE)*VLOOKUP($L98,Vloersoorten[],3,FALSE)*VLOOKUP($X98,Frequenties[],3,FALSE)*VLOOKUP(Ruimtestaat[[#This Row],[Code]],Locaties[],3,FALSE),0)</f>
        <v>0</v>
      </c>
      <c r="AA98" s="99">
        <f>Ruimtestaat[[#This Row],[Uitvoeringen weekend]]*Ruimtestaat[[#This Row],[Oppervlak (netto)]]</f>
        <v>0</v>
      </c>
      <c r="AB98" s="99">
        <f>IF(Z98&gt;0,Ruimtestaat[[#This Row],[Prest. (m2 /jaar) weekend]]/Ruimtestaat[[#This Row],[Norm (m2/uur) weekend]],0)</f>
        <v>0</v>
      </c>
      <c r="AC98" s="136">
        <f>Ruimtestaat[[#This Row],[uren / jaar weekend]]*Tariefsopbouw!$D$40</f>
        <v>0</v>
      </c>
      <c r="AD98" s="135">
        <f>Ruimtestaat[[#This Row],[Prest. (m2 /jaar) weekend]]+Ruimtestaat[[#This Row],[Prest. (m2 /jaar) werkdagen]]</f>
        <v>1275</v>
      </c>
      <c r="AE98" s="135">
        <f>Ruimtestaat[[#This Row],[uren / jaar weekend]]+Ruimtestaat[[#This Row],[uren / jaar werkdagen]]</f>
        <v>0</v>
      </c>
      <c r="AF98" s="130">
        <f>Ruimtestaat[[#This Row],[kosten / jaar weekend]]+Ruimtestaat[[#This Row],[kosten / jaar werkdagen]]</f>
        <v>0</v>
      </c>
      <c r="AG98" s="130"/>
      <c r="AH98" s="137" t="str">
        <f>IF(Ruimtestaat[[#This Row],[Frequentie werkdagen]]="","",_xlfn.CONCAT(Ruimtestaat[[#This Row],[Ruimte code]],"-",Ruimtestaat[[#This Row],[Frequentie werkdagen]]," ",Ruimtestaat[[#This Row],[Vloer code]]))</f>
        <v>6-5w T</v>
      </c>
      <c r="AI98" s="142" t="str">
        <f>_xlfn.IFNA(VLOOKUP($AH98,Programma!$F$3:$G$1101,2,0),"")</f>
        <v>_</v>
      </c>
      <c r="AJ98" s="142" t="str">
        <f>_xlfn.IFNA(VLOOKUP($AH98,Programma!$F$3:$H$1101,3,0),"")</f>
        <v>5w</v>
      </c>
      <c r="AK98" s="142" t="str">
        <f>_xlfn.IFNA(VLOOKUP($AH98,Programma!$F$3:$I$1101,4,0),"")</f>
        <v>_</v>
      </c>
      <c r="AL98" s="142" t="str">
        <f>_xlfn.IFNA(VLOOKUP($AH98,Programma!$F$3:$J$1101,5,0),"")</f>
        <v>_</v>
      </c>
      <c r="AM98" s="142" t="str">
        <f>_xlfn.IFNA(VLOOKUP($AH98,Programma!$F$3:$K$1101,6,0),"")</f>
        <v>_</v>
      </c>
      <c r="AN98" s="142" t="str">
        <f>_xlfn.IFNA(VLOOKUP($AH98,Programma!$F$3:$L$1101,7,0),"")</f>
        <v>_</v>
      </c>
      <c r="AO98" s="142" t="str">
        <f>_xlfn.IFNA(VLOOKUP($AH98,Programma!$F$3:$M$1101,8,0),"")</f>
        <v>_</v>
      </c>
      <c r="AP98" s="142" t="str">
        <f>_xlfn.IFNA(VLOOKUP($AH98,Programma!$F$3:$N$1101,9,0),"")</f>
        <v>_</v>
      </c>
      <c r="AQ98" s="142" t="str">
        <f>_xlfn.IFNA(VLOOKUP($AH98,Programma!$F$3:$O$1101,10,0),"")</f>
        <v>5w</v>
      </c>
      <c r="AR98" s="142" t="str">
        <f>_xlfn.IFNA(VLOOKUP($AH98,Programma!$F$3:$P$1101,11,0),"")</f>
        <v>5w</v>
      </c>
      <c r="AS98" s="142" t="str">
        <f>_xlfn.IFNA(VLOOKUP($AH98,Programma!$F$3:$Q$1101,12,0),"")</f>
        <v>1w</v>
      </c>
      <c r="AT98" s="142" t="str">
        <f>_xlfn.IFNA(VLOOKUP($AH98,Programma!$F$3:$R$1101,13,0),"")</f>
        <v>1w</v>
      </c>
      <c r="AU98" s="142" t="str">
        <f>_xlfn.IFNA(VLOOKUP($AH98,Programma!$F$3:$S$1101,14,0),"")</f>
        <v>1m</v>
      </c>
      <c r="AV98" s="142" t="str">
        <f>_xlfn.IFNA(VLOOKUP($AH98,Programma!$F$3:$T$1101,15,0),"")</f>
        <v>2j</v>
      </c>
      <c r="AW98" s="142" t="str">
        <f>_xlfn.IFNA(VLOOKUP($AH98,Programma!$F$3:$U$1101,16,0),"")</f>
        <v>1j</v>
      </c>
      <c r="AX98" s="142" t="str">
        <f>_xlfn.IFNA(VLOOKUP($AH98,Programma!$F$3:$V$1101,17,0),"")</f>
        <v>_</v>
      </c>
      <c r="AY98" s="142" t="str">
        <f>_xlfn.IFNA(VLOOKUP($AH98,Programma!$F$3:$W$1101,18,0),"")</f>
        <v>_</v>
      </c>
      <c r="AZ98" s="142" t="str">
        <f>_xlfn.IFNA(VLOOKUP($AH98,Programma!$F$3:$X$1101,19,0),"")</f>
        <v>_</v>
      </c>
      <c r="BA98" s="142" t="str">
        <f>_xlfn.IFNA(VLOOKUP($AH98,Programma!$F$3:$Y$1101,20,0),"")</f>
        <v>_</v>
      </c>
      <c r="BB98" s="138"/>
      <c r="BC98" s="137" t="str">
        <f>IF(Ruimtestaat[[#This Row],[Frequentie weekend]]="","",_xlfn.CONCAT(Ruimtestaat[[#This Row],[Ruimte code]],"-",Ruimtestaat[[#This Row],[Frequentie weekend]]," ",Ruimtestaat[[#This Row],[Vloer code]]))</f>
        <v/>
      </c>
      <c r="BD98" s="142" t="str">
        <f>_xlfn.IFNA(VLOOKUP($BC98,Programma!$F$3:$G$1101,2,0),"")</f>
        <v/>
      </c>
      <c r="BE98" s="142" t="str">
        <f>_xlfn.IFNA(VLOOKUP($BC98,Programma!$F$3:$H$1101,3,0),"")</f>
        <v/>
      </c>
      <c r="BF98" s="142" t="str">
        <f>_xlfn.IFNA(VLOOKUP($BC98,Programma!$F$3:$I$1101,4,0),"")</f>
        <v/>
      </c>
      <c r="BG98" s="142" t="str">
        <f>_xlfn.IFNA(VLOOKUP($BC98,Programma!$F$3:$J$1101,5,0),"")</f>
        <v/>
      </c>
      <c r="BH98" s="142" t="str">
        <f>_xlfn.IFNA(VLOOKUP($BC98,Programma!$F$3:$K$1101,6,0),"")</f>
        <v/>
      </c>
      <c r="BI98" s="142" t="str">
        <f>_xlfn.IFNA(VLOOKUP($BC98,Programma!$F$3:$L$1101,7,0),"")</f>
        <v/>
      </c>
      <c r="BJ98" s="142" t="str">
        <f>_xlfn.IFNA(VLOOKUP($BC98,Programma!$F$3:$M$1101,8,0),"")</f>
        <v/>
      </c>
      <c r="BK98" s="142" t="str">
        <f>_xlfn.IFNA(VLOOKUP($BC98,Programma!$F$3:$N$1101,9,0),"")</f>
        <v/>
      </c>
      <c r="BL98" s="142" t="str">
        <f>_xlfn.IFNA(VLOOKUP($BC98,Programma!$F$3:$O$1101,10,0),"")</f>
        <v/>
      </c>
      <c r="BM98" s="142" t="str">
        <f>_xlfn.IFNA(VLOOKUP($BC98,Programma!$F$3:$P$1101,11,0),"")</f>
        <v/>
      </c>
      <c r="BN98" s="142" t="str">
        <f>_xlfn.IFNA(VLOOKUP($BC98,Programma!$F$3:$Q$1101,12,0),"")</f>
        <v/>
      </c>
      <c r="BO98" s="142" t="str">
        <f>_xlfn.IFNA(VLOOKUP($BC98,Programma!$F$3:$R$1101,13,0),"")</f>
        <v/>
      </c>
      <c r="BP98" s="142" t="str">
        <f>_xlfn.IFNA(VLOOKUP($BC98,Programma!$F$3:$S$1101,14,0),"")</f>
        <v/>
      </c>
      <c r="BQ98" s="142" t="str">
        <f>_xlfn.IFNA(VLOOKUP($BC98,Programma!$F$3:$T$1101,15,0),"")</f>
        <v/>
      </c>
      <c r="BR98" s="142" t="str">
        <f>_xlfn.IFNA(VLOOKUP($BC98,Programma!$F$3:$U$1101,16,0),"")</f>
        <v/>
      </c>
      <c r="BS98" s="142" t="str">
        <f>_xlfn.IFNA(VLOOKUP($BC98,Programma!$F$3:$V$1101,17,0),"")</f>
        <v/>
      </c>
      <c r="BT98" s="142" t="str">
        <f>_xlfn.IFNA(VLOOKUP($BC98,Programma!$F$3:$W$1101,18,0),"")</f>
        <v/>
      </c>
      <c r="BU98" s="142" t="str">
        <f>_xlfn.IFNA(VLOOKUP($BC98,Programma!$F$3:$X$1101,19,0),"")</f>
        <v/>
      </c>
      <c r="BV98" s="142" t="str">
        <f>_xlfn.IFNA(VLOOKUP($BC98,Programma!$F$3:$Y$1101,20,0),"")</f>
        <v/>
      </c>
      <c r="BW98" s="28"/>
      <c r="BX98" s="28"/>
      <c r="BY98" s="28"/>
      <c r="BZ98" s="28"/>
      <c r="CA98" s="28"/>
      <c r="CB98" s="28"/>
      <c r="CC98" s="28"/>
      <c r="CD98" s="28"/>
      <c r="CE98" s="28"/>
      <c r="CF98" s="28"/>
      <c r="CG98" s="28"/>
      <c r="CH98" s="28"/>
      <c r="CI98" s="28"/>
      <c r="CJ98" s="28"/>
      <c r="CK98" s="28"/>
      <c r="CL98" s="28"/>
      <c r="CM98" s="28"/>
      <c r="CN98" s="28"/>
      <c r="CO98" s="28"/>
      <c r="CP98" s="28"/>
      <c r="CQ98" s="28"/>
      <c r="CR98" s="28"/>
      <c r="CS98" s="28"/>
      <c r="CT98" s="28"/>
      <c r="CU98" s="28"/>
      <c r="CV98" s="28"/>
      <c r="CW98" s="28"/>
      <c r="CX98" s="28"/>
      <c r="CY98" s="28"/>
      <c r="CZ98" s="28"/>
      <c r="DA98" s="28"/>
      <c r="DB98" s="28"/>
      <c r="DC98" s="28"/>
      <c r="DD98" s="28"/>
      <c r="DE98" s="28"/>
      <c r="DF98" s="28"/>
      <c r="DG98" s="28"/>
      <c r="DH98" s="28"/>
      <c r="DI98" s="28"/>
      <c r="DJ98" s="28"/>
      <c r="DK98" s="28"/>
      <c r="DL98" s="28"/>
      <c r="DM98" s="28"/>
      <c r="DN98" s="28"/>
      <c r="DO98" s="28"/>
      <c r="DP98" s="28"/>
      <c r="DQ98" s="28"/>
      <c r="DR98" s="28"/>
      <c r="DS98" s="28"/>
      <c r="DT98" s="28"/>
      <c r="DU98" s="28"/>
      <c r="DV98" s="28"/>
      <c r="DW98" s="28"/>
      <c r="DX98" s="28"/>
      <c r="DY98" s="28"/>
      <c r="DZ98" s="28"/>
      <c r="EA98" s="28"/>
      <c r="EB98" s="28"/>
      <c r="EC98" s="28"/>
      <c r="ED98" s="28"/>
      <c r="EE98" s="28"/>
      <c r="EF98" s="28"/>
      <c r="EG98" s="28"/>
      <c r="EH98" s="28"/>
      <c r="EI98" s="28"/>
      <c r="EJ98" s="28"/>
      <c r="EK98" s="28"/>
      <c r="EL98" s="28"/>
      <c r="EM98" s="28"/>
      <c r="EN98" s="28"/>
      <c r="EO98" s="28"/>
      <c r="EP98" s="28"/>
      <c r="EQ98" s="28"/>
      <c r="ER98" s="28"/>
      <c r="ES98" s="28"/>
      <c r="ET98" s="28"/>
      <c r="EU98" s="28"/>
      <c r="EV98" s="28"/>
      <c r="EW98" s="28"/>
      <c r="EX98" s="28"/>
      <c r="EY98" s="28"/>
      <c r="EZ98" s="28"/>
      <c r="FA98" s="28"/>
      <c r="FB98" s="28"/>
      <c r="FC98" s="28"/>
      <c r="FD98" s="28"/>
      <c r="FE98" s="28"/>
      <c r="FF98" s="28"/>
      <c r="FG98" s="28"/>
      <c r="FH98" s="28"/>
      <c r="FI98" s="28"/>
      <c r="FJ98" s="28"/>
      <c r="FK98" s="28"/>
      <c r="FL98" s="28"/>
      <c r="FM98" s="28"/>
      <c r="FN98" s="28"/>
      <c r="FO98" s="28"/>
      <c r="FP98" s="28"/>
      <c r="FQ98" s="28"/>
      <c r="FR98" s="28"/>
      <c r="FS98" s="28"/>
      <c r="FT98" s="28"/>
      <c r="FU98" s="28"/>
      <c r="FV98" s="28"/>
      <c r="FW98" s="28"/>
      <c r="FX98" s="28"/>
      <c r="FY98" s="28"/>
      <c r="FZ98" s="28"/>
      <c r="GA98" s="28"/>
      <c r="GB98" s="28"/>
      <c r="GC98" s="28"/>
      <c r="GD98" s="28"/>
      <c r="GE98" s="28"/>
      <c r="GF98" s="28"/>
      <c r="GG98" s="28"/>
      <c r="GH98" s="28"/>
      <c r="GI98" s="28"/>
      <c r="GJ98" s="28"/>
      <c r="GK98" s="28"/>
      <c r="GL98" s="28"/>
      <c r="GM98" s="28"/>
      <c r="GN98" s="28"/>
      <c r="GO98" s="28"/>
      <c r="GP98" s="28"/>
      <c r="GQ98" s="28"/>
      <c r="GR98" s="28"/>
      <c r="GS98" s="28"/>
      <c r="GT98" s="28"/>
      <c r="GU98" s="28"/>
      <c r="GV98" s="28"/>
      <c r="GW98" s="28"/>
      <c r="GX98" s="28"/>
      <c r="GY98" s="28"/>
      <c r="GZ98" s="28"/>
      <c r="HA98" s="28"/>
      <c r="HB98" s="28"/>
      <c r="HC98" s="28"/>
      <c r="HD98" s="28"/>
      <c r="HE98" s="28"/>
      <c r="HF98" s="28"/>
      <c r="HG98" s="28"/>
      <c r="HH98" s="28"/>
      <c r="HI98" s="28"/>
      <c r="HJ98" s="28"/>
      <c r="HK98" s="28"/>
    </row>
    <row r="99" spans="1:219" ht="15" customHeight="1">
      <c r="A99" s="49">
        <v>1</v>
      </c>
      <c r="B99" s="132" t="str">
        <f>VLOOKUP(Ruimtestaat[[#This Row],[Code]],Locaties[[Code]:[Locatie]],2,FALSE)</f>
        <v>Mirtehuis</v>
      </c>
      <c r="C99" s="132" t="str">
        <f>VLOOKUP(Ruimtestaat[[#This Row],[Code]],Locaties[[#All],[Code]:[Adres]],4,FALSE)</f>
        <v>Weseperweg 6</v>
      </c>
      <c r="D99" s="132" t="str">
        <f>VLOOKUP(Ruimtestaat[[#This Row],[Code]],Locaties[[#All],[Code]:[Postcode]],5,FALSE)</f>
        <v>8111 PK</v>
      </c>
      <c r="E99" s="132" t="str">
        <f>VLOOKUP(Ruimtestaat[[#This Row],[Code]],Locaties[#All],6,FALSE)</f>
        <v>Heeten</v>
      </c>
      <c r="F99" s="100"/>
      <c r="G99" s="100" t="s">
        <v>1677</v>
      </c>
      <c r="H99" s="344"/>
      <c r="I99" s="345" t="s">
        <v>1641</v>
      </c>
      <c r="J99" s="100">
        <v>5</v>
      </c>
      <c r="K99" s="140" t="str">
        <f>VLOOKUP(Ruimtestaat[[#This Row],[Ruimte code]],Ruimtegroepen[[#All],[Code]:[Ruimte omschrijving]],2,FALSE)</f>
        <v>Sanitair</v>
      </c>
      <c r="L99" s="100" t="s">
        <v>101</v>
      </c>
      <c r="M99" s="345" t="s">
        <v>1642</v>
      </c>
      <c r="N99" s="133">
        <v>1</v>
      </c>
      <c r="O99" s="139"/>
      <c r="P99" s="134" t="str">
        <f>VLOOKUP(Ruimtestaat[[#This Row],[Ruimte code]],Ruimtegroepen[],4,FALSE)</f>
        <v>Sa</v>
      </c>
      <c r="Q99" s="100">
        <v>51</v>
      </c>
      <c r="R99" s="100" t="s">
        <v>2</v>
      </c>
      <c r="S99" s="100">
        <f>IF(Q99&gt;0,IF(RIGHT(Ruimtestaat[[#This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99" s="100">
        <f>IF(S99&gt;0,VLOOKUP($J99,Ruimtegroepen[],3,FALSE)*VLOOKUP($L99,Vloersoorten[],3,FALSE)*VLOOKUP($R99,Frequenties[],3,FALSE)*VLOOKUP($A99,Locaties[],3,FALSE),0)</f>
        <v>0</v>
      </c>
      <c r="U99" s="100">
        <f>Ruimtestaat[[#This Row],[Uitvoeringen werkdagen]]*Ruimtestaat[[#This Row],[Oppervlak (netto)]]</f>
        <v>255</v>
      </c>
      <c r="V99" s="135">
        <f>IF(T99&gt;0,Ruimtestaat[[#This Row],[Prest. (m2 /jaar) werkdagen]]/Ruimtestaat[[#This Row],[Norm (m2/uur) werkdagen]],0)</f>
        <v>0</v>
      </c>
      <c r="W99" s="136">
        <f>Ruimtestaat[[#This Row],[uren / jaar werkdagen]]*Tariefsopbouw!$E$35</f>
        <v>0</v>
      </c>
      <c r="X99" s="100"/>
      <c r="Y99" s="100">
        <f>IF(Ruimtestaat[[#This Row],[Frequentie weekend]]&gt;0,VALUE(LEFT(X99,1))*Q99,0)</f>
        <v>0</v>
      </c>
      <c r="Z99" s="99">
        <f>IF($Y99&gt;0,VLOOKUP($J99,Ruimtegroepen[],3,FALSE)*VLOOKUP($L99,Vloersoorten[],3,FALSE)*VLOOKUP($X99,Frequenties[],3,FALSE)*VLOOKUP(Ruimtestaat[[#This Row],[Code]],Locaties[],3,FALSE),0)</f>
        <v>0</v>
      </c>
      <c r="AA99" s="99">
        <f>Ruimtestaat[[#This Row],[Uitvoeringen weekend]]*Ruimtestaat[[#This Row],[Oppervlak (netto)]]</f>
        <v>0</v>
      </c>
      <c r="AB99" s="99">
        <f>IF(Z99&gt;0,Ruimtestaat[[#This Row],[Prest. (m2 /jaar) weekend]]/Ruimtestaat[[#This Row],[Norm (m2/uur) weekend]],0)</f>
        <v>0</v>
      </c>
      <c r="AC99" s="136">
        <f>Ruimtestaat[[#This Row],[uren / jaar weekend]]*Tariefsopbouw!$D$40</f>
        <v>0</v>
      </c>
      <c r="AD99" s="135">
        <f>Ruimtestaat[[#This Row],[Prest. (m2 /jaar) weekend]]+Ruimtestaat[[#This Row],[Prest. (m2 /jaar) werkdagen]]</f>
        <v>255</v>
      </c>
      <c r="AE99" s="135">
        <f>Ruimtestaat[[#This Row],[uren / jaar weekend]]+Ruimtestaat[[#This Row],[uren / jaar werkdagen]]</f>
        <v>0</v>
      </c>
      <c r="AF99" s="130">
        <f>Ruimtestaat[[#This Row],[kosten / jaar weekend]]+Ruimtestaat[[#This Row],[kosten / jaar werkdagen]]</f>
        <v>0</v>
      </c>
      <c r="AG99" s="130"/>
      <c r="AH99" s="137" t="str">
        <f>IF(Ruimtestaat[[#This Row],[Frequentie werkdagen]]="","",_xlfn.CONCAT(Ruimtestaat[[#This Row],[Ruimte code]],"-",Ruimtestaat[[#This Row],[Frequentie werkdagen]]," ",Ruimtestaat[[#This Row],[Vloer code]]))</f>
        <v>5-5w S</v>
      </c>
      <c r="AI99" s="142" t="str">
        <f>_xlfn.IFNA(VLOOKUP($AH99,Programma!$F$3:$G$1101,2,0),"")</f>
        <v>_</v>
      </c>
      <c r="AJ99" s="142" t="str">
        <f>_xlfn.IFNA(VLOOKUP($AH99,Programma!$F$3:$H$1101,3,0),"")</f>
        <v>_</v>
      </c>
      <c r="AK99" s="142" t="str">
        <f>_xlfn.IFNA(VLOOKUP($AH99,Programma!$F$3:$I$1101,4,0),"")</f>
        <v>_</v>
      </c>
      <c r="AL99" s="142" t="str">
        <f>_xlfn.IFNA(VLOOKUP($AH99,Programma!$F$3:$J$1101,5,0),"")</f>
        <v>4w</v>
      </c>
      <c r="AM99" s="142" t="str">
        <f>_xlfn.IFNA(VLOOKUP($AH99,Programma!$F$3:$K$1101,6,0),"")</f>
        <v>1w</v>
      </c>
      <c r="AN99" s="142" t="str">
        <f>_xlfn.IFNA(VLOOKUP($AH99,Programma!$F$3:$L$1101,7,0),"")</f>
        <v>_</v>
      </c>
      <c r="AO99" s="142" t="str">
        <f>_xlfn.IFNA(VLOOKUP($AH99,Programma!$F$3:$M$1101,8,0),"")</f>
        <v>_</v>
      </c>
      <c r="AP99" s="142" t="str">
        <f>_xlfn.IFNA(VLOOKUP($AH99,Programma!$F$3:$N$1101,9,0),"")</f>
        <v>_</v>
      </c>
      <c r="AQ99" s="142" t="str">
        <f>_xlfn.IFNA(VLOOKUP($AH99,Programma!$F$3:$O$1101,10,0),"")</f>
        <v>_</v>
      </c>
      <c r="AR99" s="142" t="str">
        <f>_xlfn.IFNA(VLOOKUP($AH99,Programma!$F$3:$P$1101,11,0),"")</f>
        <v>_</v>
      </c>
      <c r="AS99" s="142" t="str">
        <f>_xlfn.IFNA(VLOOKUP($AH99,Programma!$F$3:$Q$1101,12,0),"")</f>
        <v>_</v>
      </c>
      <c r="AT99" s="142" t="str">
        <f>_xlfn.IFNA(VLOOKUP($AH99,Programma!$F$3:$R$1101,13,0),"")</f>
        <v>_</v>
      </c>
      <c r="AU99" s="142" t="str">
        <f>_xlfn.IFNA(VLOOKUP($AH99,Programma!$F$3:$S$1101,14,0),"")</f>
        <v>_</v>
      </c>
      <c r="AV99" s="142" t="str">
        <f>_xlfn.IFNA(VLOOKUP($AH99,Programma!$F$3:$T$1101,15,0),"")</f>
        <v>_</v>
      </c>
      <c r="AW99" s="142" t="str">
        <f>_xlfn.IFNA(VLOOKUP($AH99,Programma!$F$3:$U$1101,16,0),"")</f>
        <v>_</v>
      </c>
      <c r="AX99" s="142" t="str">
        <f>_xlfn.IFNA(VLOOKUP($AH99,Programma!$F$3:$V$1101,17,0),"")</f>
        <v>_</v>
      </c>
      <c r="AY99" s="142" t="str">
        <f>_xlfn.IFNA(VLOOKUP($AH99,Programma!$F$3:$W$1101,18,0),"")</f>
        <v>4w</v>
      </c>
      <c r="AZ99" s="142" t="str">
        <f>_xlfn.IFNA(VLOOKUP($AH99,Programma!$F$3:$X$1101,19,0),"")</f>
        <v>1w</v>
      </c>
      <c r="BA99" s="142" t="str">
        <f>_xlfn.IFNA(VLOOKUP($AH99,Programma!$F$3:$Y$1101,20,0),"")</f>
        <v>_</v>
      </c>
      <c r="BB99" s="138"/>
      <c r="BC99" s="137" t="str">
        <f>IF(Ruimtestaat[[#This Row],[Frequentie weekend]]="","",_xlfn.CONCAT(Ruimtestaat[[#This Row],[Ruimte code]],"-",Ruimtestaat[[#This Row],[Frequentie weekend]]," ",Ruimtestaat[[#This Row],[Vloer code]]))</f>
        <v/>
      </c>
      <c r="BD99" s="142" t="str">
        <f>_xlfn.IFNA(VLOOKUP($BC99,Programma!$F$3:$G$1101,2,0),"")</f>
        <v/>
      </c>
      <c r="BE99" s="142" t="str">
        <f>_xlfn.IFNA(VLOOKUP($BC99,Programma!$F$3:$H$1101,3,0),"")</f>
        <v/>
      </c>
      <c r="BF99" s="142" t="str">
        <f>_xlfn.IFNA(VLOOKUP($BC99,Programma!$F$3:$I$1101,4,0),"")</f>
        <v/>
      </c>
      <c r="BG99" s="142" t="str">
        <f>_xlfn.IFNA(VLOOKUP($BC99,Programma!$F$3:$J$1101,5,0),"")</f>
        <v/>
      </c>
      <c r="BH99" s="142" t="str">
        <f>_xlfn.IFNA(VLOOKUP($BC99,Programma!$F$3:$K$1101,6,0),"")</f>
        <v/>
      </c>
      <c r="BI99" s="142" t="str">
        <f>_xlfn.IFNA(VLOOKUP($BC99,Programma!$F$3:$L$1101,7,0),"")</f>
        <v/>
      </c>
      <c r="BJ99" s="142" t="str">
        <f>_xlfn.IFNA(VLOOKUP($BC99,Programma!$F$3:$M$1101,8,0),"")</f>
        <v/>
      </c>
      <c r="BK99" s="142" t="str">
        <f>_xlfn.IFNA(VLOOKUP($BC99,Programma!$F$3:$N$1101,9,0),"")</f>
        <v/>
      </c>
      <c r="BL99" s="142" t="str">
        <f>_xlfn.IFNA(VLOOKUP($BC99,Programma!$F$3:$O$1101,10,0),"")</f>
        <v/>
      </c>
      <c r="BM99" s="142" t="str">
        <f>_xlfn.IFNA(VLOOKUP($BC99,Programma!$F$3:$P$1101,11,0),"")</f>
        <v/>
      </c>
      <c r="BN99" s="142" t="str">
        <f>_xlfn.IFNA(VLOOKUP($BC99,Programma!$F$3:$Q$1101,12,0),"")</f>
        <v/>
      </c>
      <c r="BO99" s="142" t="str">
        <f>_xlfn.IFNA(VLOOKUP($BC99,Programma!$F$3:$R$1101,13,0),"")</f>
        <v/>
      </c>
      <c r="BP99" s="142" t="str">
        <f>_xlfn.IFNA(VLOOKUP($BC99,Programma!$F$3:$S$1101,14,0),"")</f>
        <v/>
      </c>
      <c r="BQ99" s="142" t="str">
        <f>_xlfn.IFNA(VLOOKUP($BC99,Programma!$F$3:$T$1101,15,0),"")</f>
        <v/>
      </c>
      <c r="BR99" s="142" t="str">
        <f>_xlfn.IFNA(VLOOKUP($BC99,Programma!$F$3:$U$1101,16,0),"")</f>
        <v/>
      </c>
      <c r="BS99" s="142" t="str">
        <f>_xlfn.IFNA(VLOOKUP($BC99,Programma!$F$3:$V$1101,17,0),"")</f>
        <v/>
      </c>
      <c r="BT99" s="142" t="str">
        <f>_xlfn.IFNA(VLOOKUP($BC99,Programma!$F$3:$W$1101,18,0),"")</f>
        <v/>
      </c>
      <c r="BU99" s="142" t="str">
        <f>_xlfn.IFNA(VLOOKUP($BC99,Programma!$F$3:$X$1101,19,0),"")</f>
        <v/>
      </c>
      <c r="BV99" s="142" t="str">
        <f>_xlfn.IFNA(VLOOKUP($BC99,Programma!$F$3:$Y$1101,20,0),"")</f>
        <v/>
      </c>
      <c r="BW99" s="28"/>
      <c r="BX99" s="28"/>
      <c r="BY99" s="28"/>
      <c r="BZ99" s="28"/>
      <c r="CA99" s="28"/>
      <c r="CB99" s="28"/>
      <c r="CC99" s="28"/>
      <c r="CD99" s="28"/>
      <c r="CE99" s="28"/>
      <c r="CF99" s="28"/>
      <c r="CG99" s="28"/>
      <c r="CH99" s="28"/>
      <c r="CI99" s="28"/>
      <c r="CJ99" s="28"/>
      <c r="CK99" s="28"/>
      <c r="CL99" s="28"/>
      <c r="CM99" s="28"/>
      <c r="CN99" s="28"/>
      <c r="CO99" s="28"/>
      <c r="CP99" s="28"/>
      <c r="CQ99" s="28"/>
      <c r="CR99" s="28"/>
      <c r="CS99" s="28"/>
      <c r="CT99" s="28"/>
      <c r="CU99" s="28"/>
      <c r="CV99" s="28"/>
      <c r="CW99" s="28"/>
      <c r="CX99" s="28"/>
      <c r="CY99" s="28"/>
      <c r="CZ99" s="28"/>
      <c r="DA99" s="28"/>
      <c r="DB99" s="28"/>
      <c r="DC99" s="28"/>
      <c r="DD99" s="28"/>
      <c r="DE99" s="28"/>
      <c r="DF99" s="28"/>
      <c r="DG99" s="28"/>
      <c r="DH99" s="28"/>
      <c r="DI99" s="28"/>
      <c r="DJ99" s="28"/>
      <c r="DK99" s="28"/>
      <c r="DL99" s="28"/>
      <c r="DM99" s="28"/>
      <c r="DN99" s="28"/>
      <c r="DO99" s="28"/>
      <c r="DP99" s="28"/>
      <c r="DQ99" s="28"/>
      <c r="DR99" s="28"/>
      <c r="DS99" s="28"/>
      <c r="DT99" s="28"/>
      <c r="DU99" s="28"/>
      <c r="DV99" s="28"/>
      <c r="DW99" s="28"/>
      <c r="DX99" s="28"/>
      <c r="DY99" s="28"/>
      <c r="DZ99" s="28"/>
      <c r="EA99" s="28"/>
      <c r="EB99" s="28"/>
      <c r="EC99" s="28"/>
      <c r="ED99" s="28"/>
      <c r="EE99" s="28"/>
      <c r="EF99" s="28"/>
      <c r="EG99" s="28"/>
      <c r="EH99" s="28"/>
      <c r="EI99" s="28"/>
      <c r="EJ99" s="28"/>
      <c r="EK99" s="28"/>
      <c r="EL99" s="28"/>
      <c r="EM99" s="28"/>
      <c r="EN99" s="28"/>
      <c r="EO99" s="28"/>
      <c r="EP99" s="28"/>
      <c r="EQ99" s="28"/>
      <c r="ER99" s="28"/>
      <c r="ES99" s="28"/>
      <c r="ET99" s="28"/>
      <c r="EU99" s="28"/>
      <c r="EV99" s="28"/>
      <c r="EW99" s="28"/>
      <c r="EX99" s="28"/>
      <c r="EY99" s="28"/>
      <c r="EZ99" s="28"/>
      <c r="FA99" s="28"/>
      <c r="FB99" s="28"/>
      <c r="FC99" s="28"/>
      <c r="FD99" s="28"/>
      <c r="FE99" s="28"/>
      <c r="FF99" s="28"/>
      <c r="FG99" s="28"/>
      <c r="FH99" s="28"/>
      <c r="FI99" s="28"/>
      <c r="FJ99" s="28"/>
      <c r="FK99" s="28"/>
      <c r="FL99" s="28"/>
      <c r="FM99" s="28"/>
      <c r="FN99" s="28"/>
      <c r="FO99" s="28"/>
      <c r="FP99" s="28"/>
      <c r="FQ99" s="28"/>
      <c r="FR99" s="28"/>
      <c r="FS99" s="28"/>
      <c r="FT99" s="28"/>
      <c r="FU99" s="28"/>
      <c r="FV99" s="28"/>
      <c r="FW99" s="28"/>
      <c r="FX99" s="28"/>
      <c r="FY99" s="28"/>
      <c r="FZ99" s="28"/>
      <c r="GA99" s="28"/>
      <c r="GB99" s="28"/>
      <c r="GC99" s="28"/>
      <c r="GD99" s="28"/>
      <c r="GE99" s="28"/>
      <c r="GF99" s="28"/>
      <c r="GG99" s="28"/>
      <c r="GH99" s="28"/>
      <c r="GI99" s="28"/>
      <c r="GJ99" s="28"/>
      <c r="GK99" s="28"/>
      <c r="GL99" s="28"/>
      <c r="GM99" s="28"/>
      <c r="GN99" s="28"/>
      <c r="GO99" s="28"/>
      <c r="GP99" s="28"/>
      <c r="GQ99" s="28"/>
      <c r="GR99" s="28"/>
      <c r="GS99" s="28"/>
      <c r="GT99" s="28"/>
      <c r="GU99" s="28"/>
      <c r="GV99" s="28"/>
      <c r="GW99" s="28"/>
      <c r="GX99" s="28"/>
      <c r="GY99" s="28"/>
      <c r="GZ99" s="28"/>
      <c r="HA99" s="28"/>
      <c r="HB99" s="28"/>
      <c r="HC99" s="28"/>
      <c r="HD99" s="28"/>
      <c r="HE99" s="28"/>
      <c r="HF99" s="28"/>
      <c r="HG99" s="28"/>
      <c r="HH99" s="28"/>
      <c r="HI99" s="28"/>
      <c r="HJ99" s="28"/>
      <c r="HK99" s="28"/>
    </row>
    <row r="100" spans="1:219" ht="15" customHeight="1">
      <c r="A100" s="49">
        <v>1</v>
      </c>
      <c r="B100" s="132" t="str">
        <f>VLOOKUP(Ruimtestaat[[#This Row],[Code]],Locaties[[Code]:[Locatie]],2,FALSE)</f>
        <v>Mirtehuis</v>
      </c>
      <c r="C100" s="132" t="str">
        <f>VLOOKUP(Ruimtestaat[[#This Row],[Code]],Locaties[[#All],[Code]:[Adres]],4,FALSE)</f>
        <v>Weseperweg 6</v>
      </c>
      <c r="D100" s="132" t="str">
        <f>VLOOKUP(Ruimtestaat[[#This Row],[Code]],Locaties[[#All],[Code]:[Postcode]],5,FALSE)</f>
        <v>8111 PK</v>
      </c>
      <c r="E100" s="132" t="str">
        <f>VLOOKUP(Ruimtestaat[[#This Row],[Code]],Locaties[#All],6,FALSE)</f>
        <v>Heeten</v>
      </c>
      <c r="F100" s="100"/>
      <c r="G100" s="100" t="s">
        <v>1677</v>
      </c>
      <c r="H100" s="344"/>
      <c r="I100" s="345" t="s">
        <v>1641</v>
      </c>
      <c r="J100" s="49">
        <v>5</v>
      </c>
      <c r="K100" s="140" t="str">
        <f>VLOOKUP(Ruimtestaat[[#This Row],[Ruimte code]],Ruimtegroepen[[#All],[Code]:[Ruimte omschrijving]],2,FALSE)</f>
        <v>Sanitair</v>
      </c>
      <c r="L100" s="100" t="s">
        <v>101</v>
      </c>
      <c r="M100" s="345" t="s">
        <v>1642</v>
      </c>
      <c r="N100" s="133">
        <v>1</v>
      </c>
      <c r="O100" s="100"/>
      <c r="P100" s="134" t="str">
        <f>VLOOKUP(Ruimtestaat[[#This Row],[Ruimte code]],Ruimtegroepen[],4,FALSE)</f>
        <v>Sa</v>
      </c>
      <c r="Q100" s="100">
        <v>51</v>
      </c>
      <c r="R100" s="100" t="s">
        <v>2</v>
      </c>
      <c r="S100" s="100">
        <f>IF(Q100&gt;0,IF(RIGHT(Ruimtestaat[[#This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00" s="100">
        <f>IF(S100&gt;0,VLOOKUP($J100,Ruimtegroepen[],3,FALSE)*VLOOKUP($L100,Vloersoorten[],3,FALSE)*VLOOKUP($R100,Frequenties[],3,FALSE)*VLOOKUP($A100,Locaties[],3,FALSE),0)</f>
        <v>0</v>
      </c>
      <c r="U100" s="100">
        <f>Ruimtestaat[[#This Row],[Uitvoeringen werkdagen]]*Ruimtestaat[[#This Row],[Oppervlak (netto)]]</f>
        <v>255</v>
      </c>
      <c r="V100" s="135">
        <f>IF(T100&gt;0,Ruimtestaat[[#This Row],[Prest. (m2 /jaar) werkdagen]]/Ruimtestaat[[#This Row],[Norm (m2/uur) werkdagen]],0)</f>
        <v>0</v>
      </c>
      <c r="W100" s="136">
        <f>Ruimtestaat[[#This Row],[uren / jaar werkdagen]]*Tariefsopbouw!$E$35</f>
        <v>0</v>
      </c>
      <c r="X100" s="100"/>
      <c r="Y100" s="100">
        <f>IF(Ruimtestaat[[#This Row],[Frequentie weekend]]&gt;0,VALUE(LEFT(X100,1))*Q100,0)</f>
        <v>0</v>
      </c>
      <c r="Z100" s="99">
        <f>IF($Y100&gt;0,VLOOKUP($J100,Ruimtegroepen[],3,FALSE)*VLOOKUP($L100,Vloersoorten[],3,FALSE)*VLOOKUP($X100,Frequenties[],3,FALSE)*VLOOKUP(Ruimtestaat[[#This Row],[Code]],Locaties[],3,FALSE),0)</f>
        <v>0</v>
      </c>
      <c r="AA100" s="99">
        <f>Ruimtestaat[[#This Row],[Uitvoeringen weekend]]*Ruimtestaat[[#This Row],[Oppervlak (netto)]]</f>
        <v>0</v>
      </c>
      <c r="AB100" s="99">
        <f>IF(Z100&gt;0,Ruimtestaat[[#This Row],[Prest. (m2 /jaar) weekend]]/Ruimtestaat[[#This Row],[Norm (m2/uur) weekend]],0)</f>
        <v>0</v>
      </c>
      <c r="AC100" s="136">
        <f>Ruimtestaat[[#This Row],[uren / jaar weekend]]*Tariefsopbouw!$D$40</f>
        <v>0</v>
      </c>
      <c r="AD100" s="135">
        <f>Ruimtestaat[[#This Row],[Prest. (m2 /jaar) weekend]]+Ruimtestaat[[#This Row],[Prest. (m2 /jaar) werkdagen]]</f>
        <v>255</v>
      </c>
      <c r="AE100" s="135">
        <f>Ruimtestaat[[#This Row],[uren / jaar weekend]]+Ruimtestaat[[#This Row],[uren / jaar werkdagen]]</f>
        <v>0</v>
      </c>
      <c r="AF100" s="130">
        <f>Ruimtestaat[[#This Row],[kosten / jaar weekend]]+Ruimtestaat[[#This Row],[kosten / jaar werkdagen]]</f>
        <v>0</v>
      </c>
      <c r="AG100" s="130"/>
      <c r="AH100" s="137" t="str">
        <f>IF(Ruimtestaat[[#This Row],[Frequentie werkdagen]]="","",_xlfn.CONCAT(Ruimtestaat[[#This Row],[Ruimte code]],"-",Ruimtestaat[[#This Row],[Frequentie werkdagen]]," ",Ruimtestaat[[#This Row],[Vloer code]]))</f>
        <v>5-5w S</v>
      </c>
      <c r="AI100" s="142" t="str">
        <f>_xlfn.IFNA(VLOOKUP($AH100,Programma!$F$3:$G$1101,2,0),"")</f>
        <v>_</v>
      </c>
      <c r="AJ100" s="142" t="str">
        <f>_xlfn.IFNA(VLOOKUP($AH100,Programma!$F$3:$H$1101,3,0),"")</f>
        <v>_</v>
      </c>
      <c r="AK100" s="142" t="str">
        <f>_xlfn.IFNA(VLOOKUP($AH100,Programma!$F$3:$I$1101,4,0),"")</f>
        <v>_</v>
      </c>
      <c r="AL100" s="142" t="str">
        <f>_xlfn.IFNA(VLOOKUP($AH100,Programma!$F$3:$J$1101,5,0),"")</f>
        <v>4w</v>
      </c>
      <c r="AM100" s="142" t="str">
        <f>_xlfn.IFNA(VLOOKUP($AH100,Programma!$F$3:$K$1101,6,0),"")</f>
        <v>1w</v>
      </c>
      <c r="AN100" s="142" t="str">
        <f>_xlfn.IFNA(VLOOKUP($AH100,Programma!$F$3:$L$1101,7,0),"")</f>
        <v>_</v>
      </c>
      <c r="AO100" s="142" t="str">
        <f>_xlfn.IFNA(VLOOKUP($AH100,Programma!$F$3:$M$1101,8,0),"")</f>
        <v>_</v>
      </c>
      <c r="AP100" s="142" t="str">
        <f>_xlfn.IFNA(VLOOKUP($AH100,Programma!$F$3:$N$1101,9,0),"")</f>
        <v>_</v>
      </c>
      <c r="AQ100" s="142" t="str">
        <f>_xlfn.IFNA(VLOOKUP($AH100,Programma!$F$3:$O$1101,10,0),"")</f>
        <v>_</v>
      </c>
      <c r="AR100" s="142" t="str">
        <f>_xlfn.IFNA(VLOOKUP($AH100,Programma!$F$3:$P$1101,11,0),"")</f>
        <v>_</v>
      </c>
      <c r="AS100" s="142" t="str">
        <f>_xlfn.IFNA(VLOOKUP($AH100,Programma!$F$3:$Q$1101,12,0),"")</f>
        <v>_</v>
      </c>
      <c r="AT100" s="142" t="str">
        <f>_xlfn.IFNA(VLOOKUP($AH100,Programma!$F$3:$R$1101,13,0),"")</f>
        <v>_</v>
      </c>
      <c r="AU100" s="142" t="str">
        <f>_xlfn.IFNA(VLOOKUP($AH100,Programma!$F$3:$S$1101,14,0),"")</f>
        <v>_</v>
      </c>
      <c r="AV100" s="142" t="str">
        <f>_xlfn.IFNA(VLOOKUP($AH100,Programma!$F$3:$T$1101,15,0),"")</f>
        <v>_</v>
      </c>
      <c r="AW100" s="142" t="str">
        <f>_xlfn.IFNA(VLOOKUP($AH100,Programma!$F$3:$U$1101,16,0),"")</f>
        <v>_</v>
      </c>
      <c r="AX100" s="142" t="str">
        <f>_xlfn.IFNA(VLOOKUP($AH100,Programma!$F$3:$V$1101,17,0),"")</f>
        <v>_</v>
      </c>
      <c r="AY100" s="142" t="str">
        <f>_xlfn.IFNA(VLOOKUP($AH100,Programma!$F$3:$W$1101,18,0),"")</f>
        <v>4w</v>
      </c>
      <c r="AZ100" s="142" t="str">
        <f>_xlfn.IFNA(VLOOKUP($AH100,Programma!$F$3:$X$1101,19,0),"")</f>
        <v>1w</v>
      </c>
      <c r="BA100" s="142" t="str">
        <f>_xlfn.IFNA(VLOOKUP($AH100,Programma!$F$3:$Y$1101,20,0),"")</f>
        <v>_</v>
      </c>
      <c r="BB100" s="138"/>
      <c r="BC100" s="137" t="str">
        <f>IF(Ruimtestaat[[#This Row],[Frequentie weekend]]="","",_xlfn.CONCAT(Ruimtestaat[[#This Row],[Ruimte code]],"-",Ruimtestaat[[#This Row],[Frequentie weekend]]," ",Ruimtestaat[[#This Row],[Vloer code]]))</f>
        <v/>
      </c>
      <c r="BD100" s="142" t="str">
        <f>_xlfn.IFNA(VLOOKUP($BC100,Programma!$F$3:$G$1101,2,0),"")</f>
        <v/>
      </c>
      <c r="BE100" s="142" t="str">
        <f>_xlfn.IFNA(VLOOKUP($BC100,Programma!$F$3:$H$1101,3,0),"")</f>
        <v/>
      </c>
      <c r="BF100" s="142" t="str">
        <f>_xlfn.IFNA(VLOOKUP($BC100,Programma!$F$3:$I$1101,4,0),"")</f>
        <v/>
      </c>
      <c r="BG100" s="142" t="str">
        <f>_xlfn.IFNA(VLOOKUP($BC100,Programma!$F$3:$J$1101,5,0),"")</f>
        <v/>
      </c>
      <c r="BH100" s="142" t="str">
        <f>_xlfn.IFNA(VLOOKUP($BC100,Programma!$F$3:$K$1101,6,0),"")</f>
        <v/>
      </c>
      <c r="BI100" s="142" t="str">
        <f>_xlfn.IFNA(VLOOKUP($BC100,Programma!$F$3:$L$1101,7,0),"")</f>
        <v/>
      </c>
      <c r="BJ100" s="142" t="str">
        <f>_xlfn.IFNA(VLOOKUP($BC100,Programma!$F$3:$M$1101,8,0),"")</f>
        <v/>
      </c>
      <c r="BK100" s="142" t="str">
        <f>_xlfn.IFNA(VLOOKUP($BC100,Programma!$F$3:$N$1101,9,0),"")</f>
        <v/>
      </c>
      <c r="BL100" s="142" t="str">
        <f>_xlfn.IFNA(VLOOKUP($BC100,Programma!$F$3:$O$1101,10,0),"")</f>
        <v/>
      </c>
      <c r="BM100" s="142" t="str">
        <f>_xlfn.IFNA(VLOOKUP($BC100,Programma!$F$3:$P$1101,11,0),"")</f>
        <v/>
      </c>
      <c r="BN100" s="142" t="str">
        <f>_xlfn.IFNA(VLOOKUP($BC100,Programma!$F$3:$Q$1101,12,0),"")</f>
        <v/>
      </c>
      <c r="BO100" s="142" t="str">
        <f>_xlfn.IFNA(VLOOKUP($BC100,Programma!$F$3:$R$1101,13,0),"")</f>
        <v/>
      </c>
      <c r="BP100" s="142" t="str">
        <f>_xlfn.IFNA(VLOOKUP($BC100,Programma!$F$3:$S$1101,14,0),"")</f>
        <v/>
      </c>
      <c r="BQ100" s="142" t="str">
        <f>_xlfn.IFNA(VLOOKUP($BC100,Programma!$F$3:$T$1101,15,0),"")</f>
        <v/>
      </c>
      <c r="BR100" s="142" t="str">
        <f>_xlfn.IFNA(VLOOKUP($BC100,Programma!$F$3:$U$1101,16,0),"")</f>
        <v/>
      </c>
      <c r="BS100" s="142" t="str">
        <f>_xlfn.IFNA(VLOOKUP($BC100,Programma!$F$3:$V$1101,17,0),"")</f>
        <v/>
      </c>
      <c r="BT100" s="142" t="str">
        <f>_xlfn.IFNA(VLOOKUP($BC100,Programma!$F$3:$W$1101,18,0),"")</f>
        <v/>
      </c>
      <c r="BU100" s="142" t="str">
        <f>_xlfn.IFNA(VLOOKUP($BC100,Programma!$F$3:$X$1101,19,0),"")</f>
        <v/>
      </c>
      <c r="BV100" s="142" t="str">
        <f>_xlfn.IFNA(VLOOKUP($BC100,Programma!$F$3:$Y$1101,20,0),"")</f>
        <v/>
      </c>
      <c r="BW100" s="28"/>
      <c r="BX100" s="28"/>
      <c r="BY100" s="28"/>
      <c r="BZ100" s="28"/>
      <c r="CA100" s="28"/>
      <c r="CB100" s="28"/>
      <c r="CC100" s="28"/>
      <c r="CD100" s="28"/>
      <c r="CE100" s="28"/>
      <c r="CF100" s="28"/>
      <c r="CG100" s="28"/>
      <c r="CH100" s="28"/>
      <c r="CI100" s="28"/>
      <c r="CJ100" s="28"/>
      <c r="CK100" s="28"/>
      <c r="CL100" s="28"/>
      <c r="CM100" s="28"/>
      <c r="CN100" s="28"/>
      <c r="CO100" s="28"/>
      <c r="CP100" s="28"/>
      <c r="CQ100" s="28"/>
      <c r="CR100" s="28"/>
      <c r="CS100" s="28"/>
      <c r="CT100" s="28"/>
      <c r="CU100" s="28"/>
      <c r="CV100" s="28"/>
      <c r="CW100" s="28"/>
      <c r="CX100" s="28"/>
      <c r="CY100" s="28"/>
      <c r="CZ100" s="28"/>
      <c r="DA100" s="28"/>
      <c r="DB100" s="28"/>
      <c r="DC100" s="28"/>
      <c r="DD100" s="28"/>
      <c r="DE100" s="28"/>
      <c r="DF100" s="28"/>
      <c r="DG100" s="28"/>
      <c r="DH100" s="28"/>
      <c r="DI100" s="28"/>
      <c r="DJ100" s="28"/>
      <c r="DK100" s="28"/>
      <c r="DL100" s="28"/>
      <c r="DM100" s="28"/>
      <c r="DN100" s="28"/>
      <c r="DO100" s="28"/>
      <c r="DP100" s="28"/>
      <c r="DQ100" s="28"/>
      <c r="DR100" s="28"/>
      <c r="DS100" s="28"/>
      <c r="DT100" s="28"/>
      <c r="DU100" s="28"/>
      <c r="DV100" s="28"/>
      <c r="DW100" s="28"/>
      <c r="DX100" s="28"/>
      <c r="DY100" s="28"/>
      <c r="DZ100" s="28"/>
      <c r="EA100" s="28"/>
      <c r="EB100" s="28"/>
      <c r="EC100" s="28"/>
      <c r="ED100" s="28"/>
      <c r="EE100" s="28"/>
      <c r="EF100" s="28"/>
      <c r="EG100" s="28"/>
      <c r="EH100" s="28"/>
      <c r="EI100" s="28"/>
      <c r="EJ100" s="28"/>
      <c r="EK100" s="28"/>
      <c r="EL100" s="28"/>
      <c r="EM100" s="28"/>
      <c r="EN100" s="28"/>
      <c r="EO100" s="28"/>
      <c r="EP100" s="28"/>
      <c r="EQ100" s="28"/>
      <c r="ER100" s="28"/>
      <c r="ES100" s="28"/>
      <c r="ET100" s="28"/>
      <c r="EU100" s="28"/>
      <c r="EV100" s="28"/>
      <c r="EW100" s="28"/>
      <c r="EX100" s="28"/>
      <c r="EY100" s="28"/>
      <c r="EZ100" s="28"/>
      <c r="FA100" s="28"/>
      <c r="FB100" s="28"/>
      <c r="FC100" s="28"/>
      <c r="FD100" s="28"/>
      <c r="FE100" s="28"/>
      <c r="FF100" s="28"/>
      <c r="FG100" s="28"/>
      <c r="FH100" s="28"/>
      <c r="FI100" s="28"/>
      <c r="FJ100" s="28"/>
      <c r="FK100" s="28"/>
      <c r="FL100" s="28"/>
      <c r="FM100" s="28"/>
      <c r="FN100" s="28"/>
      <c r="FO100" s="28"/>
      <c r="FP100" s="28"/>
      <c r="FQ100" s="28"/>
      <c r="FR100" s="28"/>
      <c r="FS100" s="28"/>
      <c r="FT100" s="28"/>
      <c r="FU100" s="28"/>
      <c r="FV100" s="28"/>
      <c r="FW100" s="28"/>
      <c r="FX100" s="28"/>
      <c r="FY100" s="28"/>
      <c r="FZ100" s="28"/>
      <c r="GA100" s="28"/>
      <c r="GB100" s="28"/>
      <c r="GC100" s="28"/>
      <c r="GD100" s="28"/>
      <c r="GE100" s="28"/>
      <c r="GF100" s="28"/>
      <c r="GG100" s="28"/>
      <c r="GH100" s="28"/>
      <c r="GI100" s="28"/>
      <c r="GJ100" s="28"/>
      <c r="GK100" s="28"/>
      <c r="GL100" s="28"/>
      <c r="GM100" s="28"/>
      <c r="GN100" s="28"/>
      <c r="GO100" s="28"/>
      <c r="GP100" s="28"/>
      <c r="GQ100" s="28"/>
      <c r="GR100" s="28"/>
      <c r="GS100" s="28"/>
      <c r="GT100" s="28"/>
      <c r="GU100" s="28"/>
      <c r="GV100" s="28"/>
      <c r="GW100" s="28"/>
      <c r="GX100" s="28"/>
      <c r="GY100" s="28"/>
      <c r="GZ100" s="28"/>
      <c r="HA100" s="28"/>
      <c r="HB100" s="28"/>
      <c r="HC100" s="28"/>
      <c r="HD100" s="28"/>
      <c r="HE100" s="28"/>
      <c r="HF100" s="28"/>
      <c r="HG100" s="28"/>
      <c r="HH100" s="28"/>
      <c r="HI100" s="28"/>
      <c r="HJ100" s="28"/>
      <c r="HK100" s="28"/>
    </row>
    <row r="101" spans="1:219" ht="15" customHeight="1">
      <c r="A101" s="49">
        <v>1</v>
      </c>
      <c r="B101" s="132" t="str">
        <f>VLOOKUP(Ruimtestaat[[#This Row],[Code]],Locaties[[Code]:[Locatie]],2,FALSE)</f>
        <v>Mirtehuis</v>
      </c>
      <c r="C101" s="132" t="str">
        <f>VLOOKUP(Ruimtestaat[[#This Row],[Code]],Locaties[[#All],[Code]:[Adres]],4,FALSE)</f>
        <v>Weseperweg 6</v>
      </c>
      <c r="D101" s="132" t="str">
        <f>VLOOKUP(Ruimtestaat[[#This Row],[Code]],Locaties[[#All],[Code]:[Postcode]],5,FALSE)</f>
        <v>8111 PK</v>
      </c>
      <c r="E101" s="132" t="str">
        <f>VLOOKUP(Ruimtestaat[[#This Row],[Code]],Locaties[#All],6,FALSE)</f>
        <v>Heeten</v>
      </c>
      <c r="F101" s="100"/>
      <c r="G101" s="100" t="s">
        <v>1677</v>
      </c>
      <c r="H101" s="344" t="s">
        <v>1680</v>
      </c>
      <c r="I101" s="345" t="s">
        <v>1656</v>
      </c>
      <c r="J101" s="49">
        <v>20</v>
      </c>
      <c r="K101" s="140" t="str">
        <f>VLOOKUP(Ruimtestaat[[#This Row],[Ruimte code]],Ruimtegroepen[[#All],[Code]:[Ruimte omschrijving]],2,FALSE)</f>
        <v>Niet in Onderhoud</v>
      </c>
      <c r="L101" s="100"/>
      <c r="M101" s="345"/>
      <c r="N101" s="133"/>
      <c r="O101" s="139"/>
      <c r="P101" s="134">
        <f>VLOOKUP(Ruimtestaat[[#This Row],[Ruimte code]],Ruimtegroepen[],4,FALSE)</f>
        <v>0</v>
      </c>
      <c r="Q101" s="100"/>
      <c r="R101" s="100"/>
      <c r="S101" s="100">
        <f>IF(Q101&gt;0,IF(RIGHT(Ruimtestaat[[#This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01" s="100">
        <f>IF(S101&gt;0,VLOOKUP($J101,Ruimtegroepen[],3,FALSE)*VLOOKUP($L101,Vloersoorten[],3,FALSE)*VLOOKUP($R101,Frequenties[],3,FALSE)*VLOOKUP($A101,Locaties[],3,FALSE),0)</f>
        <v>0</v>
      </c>
      <c r="U101" s="100">
        <f>Ruimtestaat[[#This Row],[Uitvoeringen werkdagen]]*Ruimtestaat[[#This Row],[Oppervlak (netto)]]</f>
        <v>0</v>
      </c>
      <c r="V101" s="135">
        <f>IF(T101&gt;0,Ruimtestaat[[#This Row],[Prest. (m2 /jaar) werkdagen]]/Ruimtestaat[[#This Row],[Norm (m2/uur) werkdagen]],0)</f>
        <v>0</v>
      </c>
      <c r="W101" s="136">
        <f>Ruimtestaat[[#This Row],[uren / jaar werkdagen]]*Tariefsopbouw!$E$35</f>
        <v>0</v>
      </c>
      <c r="X101" s="100"/>
      <c r="Y101" s="100">
        <f>IF(Ruimtestaat[[#This Row],[Frequentie weekend]]&gt;0,VALUE(LEFT(X101,1))*Q101,0)</f>
        <v>0</v>
      </c>
      <c r="Z101" s="99">
        <f>IF($Y101&gt;0,VLOOKUP($J101,Ruimtegroepen[],3,FALSE)*VLOOKUP($L101,Vloersoorten[],3,FALSE)*VLOOKUP($X101,Frequenties[],3,FALSE)*VLOOKUP(Ruimtestaat[[#This Row],[Code]],Locaties[],3,FALSE),0)</f>
        <v>0</v>
      </c>
      <c r="AA101" s="99">
        <f>Ruimtestaat[[#This Row],[Uitvoeringen weekend]]*Ruimtestaat[[#This Row],[Oppervlak (netto)]]</f>
        <v>0</v>
      </c>
      <c r="AB101" s="99">
        <f>IF(Z101&gt;0,Ruimtestaat[[#This Row],[Prest. (m2 /jaar) weekend]]/Ruimtestaat[[#This Row],[Norm (m2/uur) weekend]],0)</f>
        <v>0</v>
      </c>
      <c r="AC101" s="136">
        <f>Ruimtestaat[[#This Row],[uren / jaar weekend]]*Tariefsopbouw!$D$40</f>
        <v>0</v>
      </c>
      <c r="AD101" s="135">
        <f>Ruimtestaat[[#This Row],[Prest. (m2 /jaar) weekend]]+Ruimtestaat[[#This Row],[Prest. (m2 /jaar) werkdagen]]</f>
        <v>0</v>
      </c>
      <c r="AE101" s="135">
        <f>Ruimtestaat[[#This Row],[uren / jaar weekend]]+Ruimtestaat[[#This Row],[uren / jaar werkdagen]]</f>
        <v>0</v>
      </c>
      <c r="AF101" s="130">
        <f>Ruimtestaat[[#This Row],[kosten / jaar weekend]]+Ruimtestaat[[#This Row],[kosten / jaar werkdagen]]</f>
        <v>0</v>
      </c>
      <c r="AG101" s="130"/>
      <c r="AH101" s="137" t="str">
        <f>IF(Ruimtestaat[[#This Row],[Frequentie werkdagen]]="","",_xlfn.CONCAT(Ruimtestaat[[#This Row],[Ruimte code]],"-",Ruimtestaat[[#This Row],[Frequentie werkdagen]]," ",Ruimtestaat[[#This Row],[Vloer code]]))</f>
        <v/>
      </c>
      <c r="AI101" s="142" t="str">
        <f>_xlfn.IFNA(VLOOKUP($AH101,Programma!$F$3:$G$1101,2,0),"")</f>
        <v/>
      </c>
      <c r="AJ101" s="142" t="str">
        <f>_xlfn.IFNA(VLOOKUP($AH101,Programma!$F$3:$H$1101,3,0),"")</f>
        <v/>
      </c>
      <c r="AK101" s="142" t="str">
        <f>_xlfn.IFNA(VLOOKUP($AH101,Programma!$F$3:$I$1101,4,0),"")</f>
        <v/>
      </c>
      <c r="AL101" s="142" t="str">
        <f>_xlfn.IFNA(VLOOKUP($AH101,Programma!$F$3:$J$1101,5,0),"")</f>
        <v/>
      </c>
      <c r="AM101" s="142" t="str">
        <f>_xlfn.IFNA(VLOOKUP($AH101,Programma!$F$3:$K$1101,6,0),"")</f>
        <v/>
      </c>
      <c r="AN101" s="142" t="str">
        <f>_xlfn.IFNA(VLOOKUP($AH101,Programma!$F$3:$L$1101,7,0),"")</f>
        <v/>
      </c>
      <c r="AO101" s="142" t="str">
        <f>_xlfn.IFNA(VLOOKUP($AH101,Programma!$F$3:$M$1101,8,0),"")</f>
        <v/>
      </c>
      <c r="AP101" s="142" t="str">
        <f>_xlfn.IFNA(VLOOKUP($AH101,Programma!$F$3:$N$1101,9,0),"")</f>
        <v/>
      </c>
      <c r="AQ101" s="142" t="str">
        <f>_xlfn.IFNA(VLOOKUP($AH101,Programma!$F$3:$O$1101,10,0),"")</f>
        <v/>
      </c>
      <c r="AR101" s="142" t="str">
        <f>_xlfn.IFNA(VLOOKUP($AH101,Programma!$F$3:$P$1101,11,0),"")</f>
        <v/>
      </c>
      <c r="AS101" s="142" t="str">
        <f>_xlfn.IFNA(VLOOKUP($AH101,Programma!$F$3:$Q$1101,12,0),"")</f>
        <v/>
      </c>
      <c r="AT101" s="142" t="str">
        <f>_xlfn.IFNA(VLOOKUP($AH101,Programma!$F$3:$R$1101,13,0),"")</f>
        <v/>
      </c>
      <c r="AU101" s="142" t="str">
        <f>_xlfn.IFNA(VLOOKUP($AH101,Programma!$F$3:$S$1101,14,0),"")</f>
        <v/>
      </c>
      <c r="AV101" s="142" t="str">
        <f>_xlfn.IFNA(VLOOKUP($AH101,Programma!$F$3:$T$1101,15,0),"")</f>
        <v/>
      </c>
      <c r="AW101" s="142" t="str">
        <f>_xlfn.IFNA(VLOOKUP($AH101,Programma!$F$3:$U$1101,16,0),"")</f>
        <v/>
      </c>
      <c r="AX101" s="142" t="str">
        <f>_xlfn.IFNA(VLOOKUP($AH101,Programma!$F$3:$V$1101,17,0),"")</f>
        <v/>
      </c>
      <c r="AY101" s="142" t="str">
        <f>_xlfn.IFNA(VLOOKUP($AH101,Programma!$F$3:$W$1101,18,0),"")</f>
        <v/>
      </c>
      <c r="AZ101" s="142" t="str">
        <f>_xlfn.IFNA(VLOOKUP($AH101,Programma!$F$3:$X$1101,19,0),"")</f>
        <v/>
      </c>
      <c r="BA101" s="142" t="str">
        <f>_xlfn.IFNA(VLOOKUP($AH101,Programma!$F$3:$Y$1101,20,0),"")</f>
        <v/>
      </c>
      <c r="BB101" s="138"/>
      <c r="BC101" s="137" t="str">
        <f>IF(Ruimtestaat[[#This Row],[Frequentie weekend]]="","",_xlfn.CONCAT(Ruimtestaat[[#This Row],[Ruimte code]],"-",Ruimtestaat[[#This Row],[Frequentie weekend]]," ",Ruimtestaat[[#This Row],[Vloer code]]))</f>
        <v/>
      </c>
      <c r="BD101" s="142" t="str">
        <f>_xlfn.IFNA(VLOOKUP($BC101,Programma!$F$3:$G$1101,2,0),"")</f>
        <v/>
      </c>
      <c r="BE101" s="142" t="str">
        <f>_xlfn.IFNA(VLOOKUP($BC101,Programma!$F$3:$H$1101,3,0),"")</f>
        <v/>
      </c>
      <c r="BF101" s="142" t="str">
        <f>_xlfn.IFNA(VLOOKUP($BC101,Programma!$F$3:$I$1101,4,0),"")</f>
        <v/>
      </c>
      <c r="BG101" s="142" t="str">
        <f>_xlfn.IFNA(VLOOKUP($BC101,Programma!$F$3:$J$1101,5,0),"")</f>
        <v/>
      </c>
      <c r="BH101" s="142" t="str">
        <f>_xlfn.IFNA(VLOOKUP($BC101,Programma!$F$3:$K$1101,6,0),"")</f>
        <v/>
      </c>
      <c r="BI101" s="142" t="str">
        <f>_xlfn.IFNA(VLOOKUP($BC101,Programma!$F$3:$L$1101,7,0),"")</f>
        <v/>
      </c>
      <c r="BJ101" s="142" t="str">
        <f>_xlfn.IFNA(VLOOKUP($BC101,Programma!$F$3:$M$1101,8,0),"")</f>
        <v/>
      </c>
      <c r="BK101" s="142" t="str">
        <f>_xlfn.IFNA(VLOOKUP($BC101,Programma!$F$3:$N$1101,9,0),"")</f>
        <v/>
      </c>
      <c r="BL101" s="142" t="str">
        <f>_xlfn.IFNA(VLOOKUP($BC101,Programma!$F$3:$O$1101,10,0),"")</f>
        <v/>
      </c>
      <c r="BM101" s="142" t="str">
        <f>_xlfn.IFNA(VLOOKUP($BC101,Programma!$F$3:$P$1101,11,0),"")</f>
        <v/>
      </c>
      <c r="BN101" s="142" t="str">
        <f>_xlfn.IFNA(VLOOKUP($BC101,Programma!$F$3:$Q$1101,12,0),"")</f>
        <v/>
      </c>
      <c r="BO101" s="142" t="str">
        <f>_xlfn.IFNA(VLOOKUP($BC101,Programma!$F$3:$R$1101,13,0),"")</f>
        <v/>
      </c>
      <c r="BP101" s="142" t="str">
        <f>_xlfn.IFNA(VLOOKUP($BC101,Programma!$F$3:$S$1101,14,0),"")</f>
        <v/>
      </c>
      <c r="BQ101" s="142" t="str">
        <f>_xlfn.IFNA(VLOOKUP($BC101,Programma!$F$3:$T$1101,15,0),"")</f>
        <v/>
      </c>
      <c r="BR101" s="142" t="str">
        <f>_xlfn.IFNA(VLOOKUP($BC101,Programma!$F$3:$U$1101,16,0),"")</f>
        <v/>
      </c>
      <c r="BS101" s="142" t="str">
        <f>_xlfn.IFNA(VLOOKUP($BC101,Programma!$F$3:$V$1101,17,0),"")</f>
        <v/>
      </c>
      <c r="BT101" s="142" t="str">
        <f>_xlfn.IFNA(VLOOKUP($BC101,Programma!$F$3:$W$1101,18,0),"")</f>
        <v/>
      </c>
      <c r="BU101" s="142" t="str">
        <f>_xlfn.IFNA(VLOOKUP($BC101,Programma!$F$3:$X$1101,19,0),"")</f>
        <v/>
      </c>
      <c r="BV101" s="142" t="str">
        <f>_xlfn.IFNA(VLOOKUP($BC101,Programma!$F$3:$Y$1101,20,0),"")</f>
        <v/>
      </c>
      <c r="BW101" s="28"/>
      <c r="BX101" s="28"/>
      <c r="BY101" s="28"/>
      <c r="BZ101" s="28"/>
      <c r="CA101" s="28"/>
      <c r="CB101" s="28"/>
      <c r="CC101" s="28"/>
      <c r="CD101" s="28"/>
      <c r="CE101" s="28"/>
      <c r="CF101" s="28"/>
      <c r="CG101" s="28"/>
      <c r="CH101" s="28"/>
      <c r="CI101" s="28"/>
      <c r="CJ101" s="28"/>
      <c r="CK101" s="28"/>
      <c r="CL101" s="28"/>
      <c r="CM101" s="28"/>
      <c r="CN101" s="28"/>
      <c r="CO101" s="28"/>
      <c r="CP101" s="28"/>
      <c r="CQ101" s="28"/>
      <c r="CR101" s="28"/>
      <c r="CS101" s="28"/>
      <c r="CT101" s="28"/>
      <c r="CU101" s="28"/>
      <c r="CV101" s="28"/>
      <c r="CW101" s="28"/>
      <c r="CX101" s="28"/>
      <c r="CY101" s="28"/>
      <c r="CZ101" s="28"/>
      <c r="DA101" s="28"/>
      <c r="DB101" s="28"/>
      <c r="DC101" s="28"/>
      <c r="DD101" s="28"/>
      <c r="DE101" s="28"/>
      <c r="DF101" s="28"/>
      <c r="DG101" s="28"/>
      <c r="DH101" s="28"/>
      <c r="DI101" s="28"/>
      <c r="DJ101" s="28"/>
      <c r="DK101" s="28"/>
      <c r="DL101" s="28"/>
      <c r="DM101" s="28"/>
      <c r="DN101" s="28"/>
      <c r="DO101" s="28"/>
      <c r="DP101" s="28"/>
      <c r="DQ101" s="28"/>
      <c r="DR101" s="28"/>
      <c r="DS101" s="28"/>
      <c r="DT101" s="28"/>
      <c r="DU101" s="28"/>
      <c r="DV101" s="28"/>
      <c r="DW101" s="28"/>
      <c r="DX101" s="28"/>
      <c r="DY101" s="28"/>
      <c r="DZ101" s="28"/>
      <c r="EA101" s="28"/>
      <c r="EB101" s="28"/>
      <c r="EC101" s="28"/>
      <c r="ED101" s="28"/>
      <c r="EE101" s="28"/>
      <c r="EF101" s="28"/>
      <c r="EG101" s="28"/>
      <c r="EH101" s="28"/>
      <c r="EI101" s="28"/>
      <c r="EJ101" s="28"/>
      <c r="EK101" s="28"/>
      <c r="EL101" s="28"/>
      <c r="EM101" s="28"/>
      <c r="EN101" s="28"/>
      <c r="EO101" s="28"/>
      <c r="EP101" s="28"/>
      <c r="EQ101" s="28"/>
      <c r="ER101" s="28"/>
      <c r="ES101" s="28"/>
      <c r="ET101" s="28"/>
      <c r="EU101" s="28"/>
      <c r="EV101" s="28"/>
      <c r="EW101" s="28"/>
      <c r="EX101" s="28"/>
      <c r="EY101" s="28"/>
      <c r="EZ101" s="28"/>
      <c r="FA101" s="28"/>
      <c r="FB101" s="28"/>
      <c r="FC101" s="28"/>
      <c r="FD101" s="28"/>
      <c r="FE101" s="28"/>
      <c r="FF101" s="28"/>
      <c r="FG101" s="28"/>
      <c r="FH101" s="28"/>
      <c r="FI101" s="28"/>
      <c r="FJ101" s="28"/>
      <c r="FK101" s="28"/>
      <c r="FL101" s="28"/>
      <c r="FM101" s="28"/>
      <c r="FN101" s="28"/>
      <c r="FO101" s="28"/>
      <c r="FP101" s="28"/>
      <c r="FQ101" s="28"/>
      <c r="FR101" s="28"/>
      <c r="FS101" s="28"/>
      <c r="FT101" s="28"/>
      <c r="FU101" s="28"/>
      <c r="FV101" s="28"/>
      <c r="FW101" s="28"/>
      <c r="FX101" s="28"/>
      <c r="FY101" s="28"/>
      <c r="FZ101" s="28"/>
      <c r="GA101" s="28"/>
      <c r="GB101" s="28"/>
      <c r="GC101" s="28"/>
      <c r="GD101" s="28"/>
      <c r="GE101" s="28"/>
      <c r="GF101" s="28"/>
      <c r="GG101" s="28"/>
      <c r="GH101" s="28"/>
      <c r="GI101" s="28"/>
      <c r="GJ101" s="28"/>
      <c r="GK101" s="28"/>
      <c r="GL101" s="28"/>
      <c r="GM101" s="28"/>
      <c r="GN101" s="28"/>
      <c r="GO101" s="28"/>
      <c r="GP101" s="28"/>
      <c r="GQ101" s="28"/>
      <c r="GR101" s="28"/>
      <c r="GS101" s="28"/>
      <c r="GT101" s="28"/>
      <c r="GU101" s="28"/>
      <c r="GV101" s="28"/>
      <c r="GW101" s="28"/>
      <c r="GX101" s="28"/>
      <c r="GY101" s="28"/>
      <c r="GZ101" s="28"/>
      <c r="HA101" s="28"/>
      <c r="HB101" s="28"/>
      <c r="HC101" s="28"/>
      <c r="HD101" s="28"/>
      <c r="HE101" s="28"/>
      <c r="HF101" s="28"/>
      <c r="HG101" s="28"/>
      <c r="HH101" s="28"/>
      <c r="HI101" s="28"/>
      <c r="HJ101" s="28"/>
      <c r="HK101" s="28"/>
    </row>
    <row r="102" spans="1:219" ht="15" customHeight="1">
      <c r="A102" s="49">
        <v>1</v>
      </c>
      <c r="B102" s="132" t="str">
        <f>VLOOKUP(Ruimtestaat[[#This Row],[Code]],Locaties[[Code]:[Locatie]],2,FALSE)</f>
        <v>Mirtehuis</v>
      </c>
      <c r="C102" s="132" t="str">
        <f>VLOOKUP(Ruimtestaat[[#This Row],[Code]],Locaties[[#All],[Code]:[Adres]],4,FALSE)</f>
        <v>Weseperweg 6</v>
      </c>
      <c r="D102" s="132" t="str">
        <f>VLOOKUP(Ruimtestaat[[#This Row],[Code]],Locaties[[#All],[Code]:[Postcode]],5,FALSE)</f>
        <v>8111 PK</v>
      </c>
      <c r="E102" s="132" t="str">
        <f>VLOOKUP(Ruimtestaat[[#This Row],[Code]],Locaties[#All],6,FALSE)</f>
        <v>Heeten</v>
      </c>
      <c r="F102" s="100"/>
      <c r="G102" s="100" t="s">
        <v>1677</v>
      </c>
      <c r="H102" s="344"/>
      <c r="I102" s="345" t="s">
        <v>1656</v>
      </c>
      <c r="J102" s="49">
        <v>20</v>
      </c>
      <c r="K102" s="140" t="str">
        <f>VLOOKUP(Ruimtestaat[[#This Row],[Ruimte code]],Ruimtegroepen[[#All],[Code]:[Ruimte omschrijving]],2,FALSE)</f>
        <v>Niet in Onderhoud</v>
      </c>
      <c r="L102" s="100"/>
      <c r="M102" s="345"/>
      <c r="N102" s="133"/>
      <c r="O102" s="139"/>
      <c r="P102" s="134">
        <f>VLOOKUP(Ruimtestaat[[#This Row],[Ruimte code]],Ruimtegroepen[],4,FALSE)</f>
        <v>0</v>
      </c>
      <c r="Q102" s="100"/>
      <c r="R102" s="100"/>
      <c r="S102" s="100">
        <f>IF(Q102&gt;0,IF(RIGHT(Ruimtestaat[[#This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02" s="100">
        <f>IF(S102&gt;0,VLOOKUP($J102,Ruimtegroepen[],3,FALSE)*VLOOKUP($L102,Vloersoorten[],3,FALSE)*VLOOKUP($R102,Frequenties[],3,FALSE)*VLOOKUP($A102,Locaties[],3,FALSE),0)</f>
        <v>0</v>
      </c>
      <c r="U102" s="100">
        <f>Ruimtestaat[[#This Row],[Uitvoeringen werkdagen]]*Ruimtestaat[[#This Row],[Oppervlak (netto)]]</f>
        <v>0</v>
      </c>
      <c r="V102" s="135">
        <f>IF(T102&gt;0,Ruimtestaat[[#This Row],[Prest. (m2 /jaar) werkdagen]]/Ruimtestaat[[#This Row],[Norm (m2/uur) werkdagen]],0)</f>
        <v>0</v>
      </c>
      <c r="W102" s="136">
        <f>Ruimtestaat[[#This Row],[uren / jaar werkdagen]]*Tariefsopbouw!$E$35</f>
        <v>0</v>
      </c>
      <c r="X102" s="100"/>
      <c r="Y102" s="100">
        <f>IF(Ruimtestaat[[#This Row],[Frequentie weekend]]&gt;0,VALUE(LEFT(X102,1))*Q102,0)</f>
        <v>0</v>
      </c>
      <c r="Z102" s="99">
        <f>IF($Y102&gt;0,VLOOKUP($J102,Ruimtegroepen[],3,FALSE)*VLOOKUP($L102,Vloersoorten[],3,FALSE)*VLOOKUP($X102,Frequenties[],3,FALSE)*VLOOKUP(Ruimtestaat[[#This Row],[Code]],Locaties[],3,FALSE),0)</f>
        <v>0</v>
      </c>
      <c r="AA102" s="99">
        <f>Ruimtestaat[[#This Row],[Uitvoeringen weekend]]*Ruimtestaat[[#This Row],[Oppervlak (netto)]]</f>
        <v>0</v>
      </c>
      <c r="AB102" s="99">
        <f>IF(Z102&gt;0,Ruimtestaat[[#This Row],[Prest. (m2 /jaar) weekend]]/Ruimtestaat[[#This Row],[Norm (m2/uur) weekend]],0)</f>
        <v>0</v>
      </c>
      <c r="AC102" s="136">
        <f>Ruimtestaat[[#This Row],[uren / jaar weekend]]*Tariefsopbouw!$D$40</f>
        <v>0</v>
      </c>
      <c r="AD102" s="135">
        <f>Ruimtestaat[[#This Row],[Prest. (m2 /jaar) weekend]]+Ruimtestaat[[#This Row],[Prest. (m2 /jaar) werkdagen]]</f>
        <v>0</v>
      </c>
      <c r="AE102" s="135">
        <f>Ruimtestaat[[#This Row],[uren / jaar weekend]]+Ruimtestaat[[#This Row],[uren / jaar werkdagen]]</f>
        <v>0</v>
      </c>
      <c r="AF102" s="130">
        <f>Ruimtestaat[[#This Row],[kosten / jaar weekend]]+Ruimtestaat[[#This Row],[kosten / jaar werkdagen]]</f>
        <v>0</v>
      </c>
      <c r="AG102" s="130"/>
      <c r="AH102" s="137" t="str">
        <f>IF(Ruimtestaat[[#This Row],[Frequentie werkdagen]]="","",_xlfn.CONCAT(Ruimtestaat[[#This Row],[Ruimte code]],"-",Ruimtestaat[[#This Row],[Frequentie werkdagen]]," ",Ruimtestaat[[#This Row],[Vloer code]]))</f>
        <v/>
      </c>
      <c r="AI102" s="142" t="str">
        <f>_xlfn.IFNA(VLOOKUP($AH102,Programma!$F$3:$G$1101,2,0),"")</f>
        <v/>
      </c>
      <c r="AJ102" s="142" t="str">
        <f>_xlfn.IFNA(VLOOKUP($AH102,Programma!$F$3:$H$1101,3,0),"")</f>
        <v/>
      </c>
      <c r="AK102" s="142" t="str">
        <f>_xlfn.IFNA(VLOOKUP($AH102,Programma!$F$3:$I$1101,4,0),"")</f>
        <v/>
      </c>
      <c r="AL102" s="142" t="str">
        <f>_xlfn.IFNA(VLOOKUP($AH102,Programma!$F$3:$J$1101,5,0),"")</f>
        <v/>
      </c>
      <c r="AM102" s="142" t="str">
        <f>_xlfn.IFNA(VLOOKUP($AH102,Programma!$F$3:$K$1101,6,0),"")</f>
        <v/>
      </c>
      <c r="AN102" s="142" t="str">
        <f>_xlfn.IFNA(VLOOKUP($AH102,Programma!$F$3:$L$1101,7,0),"")</f>
        <v/>
      </c>
      <c r="AO102" s="142" t="str">
        <f>_xlfn.IFNA(VLOOKUP($AH102,Programma!$F$3:$M$1101,8,0),"")</f>
        <v/>
      </c>
      <c r="AP102" s="142" t="str">
        <f>_xlfn.IFNA(VLOOKUP($AH102,Programma!$F$3:$N$1101,9,0),"")</f>
        <v/>
      </c>
      <c r="AQ102" s="142" t="str">
        <f>_xlfn.IFNA(VLOOKUP($AH102,Programma!$F$3:$O$1101,10,0),"")</f>
        <v/>
      </c>
      <c r="AR102" s="142" t="str">
        <f>_xlfn.IFNA(VLOOKUP($AH102,Programma!$F$3:$P$1101,11,0),"")</f>
        <v/>
      </c>
      <c r="AS102" s="142" t="str">
        <f>_xlfn.IFNA(VLOOKUP($AH102,Programma!$F$3:$Q$1101,12,0),"")</f>
        <v/>
      </c>
      <c r="AT102" s="142" t="str">
        <f>_xlfn.IFNA(VLOOKUP($AH102,Programma!$F$3:$R$1101,13,0),"")</f>
        <v/>
      </c>
      <c r="AU102" s="142" t="str">
        <f>_xlfn.IFNA(VLOOKUP($AH102,Programma!$F$3:$S$1101,14,0),"")</f>
        <v/>
      </c>
      <c r="AV102" s="142" t="str">
        <f>_xlfn.IFNA(VLOOKUP($AH102,Programma!$F$3:$T$1101,15,0),"")</f>
        <v/>
      </c>
      <c r="AW102" s="142" t="str">
        <f>_xlfn.IFNA(VLOOKUP($AH102,Programma!$F$3:$U$1101,16,0),"")</f>
        <v/>
      </c>
      <c r="AX102" s="142" t="str">
        <f>_xlfn.IFNA(VLOOKUP($AH102,Programma!$F$3:$V$1101,17,0),"")</f>
        <v/>
      </c>
      <c r="AY102" s="142" t="str">
        <f>_xlfn.IFNA(VLOOKUP($AH102,Programma!$F$3:$W$1101,18,0),"")</f>
        <v/>
      </c>
      <c r="AZ102" s="142" t="str">
        <f>_xlfn.IFNA(VLOOKUP($AH102,Programma!$F$3:$X$1101,19,0),"")</f>
        <v/>
      </c>
      <c r="BA102" s="142" t="str">
        <f>_xlfn.IFNA(VLOOKUP($AH102,Programma!$F$3:$Y$1101,20,0),"")</f>
        <v/>
      </c>
      <c r="BB102" s="138"/>
      <c r="BC102" s="137" t="str">
        <f>IF(Ruimtestaat[[#This Row],[Frequentie weekend]]="","",_xlfn.CONCAT(Ruimtestaat[[#This Row],[Ruimte code]],"-",Ruimtestaat[[#This Row],[Frequentie weekend]]," ",Ruimtestaat[[#This Row],[Vloer code]]))</f>
        <v/>
      </c>
      <c r="BD102" s="142" t="str">
        <f>_xlfn.IFNA(VLOOKUP($BC102,Programma!$F$3:$G$1101,2,0),"")</f>
        <v/>
      </c>
      <c r="BE102" s="142" t="str">
        <f>_xlfn.IFNA(VLOOKUP($BC102,Programma!$F$3:$H$1101,3,0),"")</f>
        <v/>
      </c>
      <c r="BF102" s="142" t="str">
        <f>_xlfn.IFNA(VLOOKUP($BC102,Programma!$F$3:$I$1101,4,0),"")</f>
        <v/>
      </c>
      <c r="BG102" s="142" t="str">
        <f>_xlfn.IFNA(VLOOKUP($BC102,Programma!$F$3:$J$1101,5,0),"")</f>
        <v/>
      </c>
      <c r="BH102" s="142" t="str">
        <f>_xlfn.IFNA(VLOOKUP($BC102,Programma!$F$3:$K$1101,6,0),"")</f>
        <v/>
      </c>
      <c r="BI102" s="142" t="str">
        <f>_xlfn.IFNA(VLOOKUP($BC102,Programma!$F$3:$L$1101,7,0),"")</f>
        <v/>
      </c>
      <c r="BJ102" s="142" t="str">
        <f>_xlfn.IFNA(VLOOKUP($BC102,Programma!$F$3:$M$1101,8,0),"")</f>
        <v/>
      </c>
      <c r="BK102" s="142" t="str">
        <f>_xlfn.IFNA(VLOOKUP($BC102,Programma!$F$3:$N$1101,9,0),"")</f>
        <v/>
      </c>
      <c r="BL102" s="142" t="str">
        <f>_xlfn.IFNA(VLOOKUP($BC102,Programma!$F$3:$O$1101,10,0),"")</f>
        <v/>
      </c>
      <c r="BM102" s="142" t="str">
        <f>_xlfn.IFNA(VLOOKUP($BC102,Programma!$F$3:$P$1101,11,0),"")</f>
        <v/>
      </c>
      <c r="BN102" s="142" t="str">
        <f>_xlfn.IFNA(VLOOKUP($BC102,Programma!$F$3:$Q$1101,12,0),"")</f>
        <v/>
      </c>
      <c r="BO102" s="142" t="str">
        <f>_xlfn.IFNA(VLOOKUP($BC102,Programma!$F$3:$R$1101,13,0),"")</f>
        <v/>
      </c>
      <c r="BP102" s="142" t="str">
        <f>_xlfn.IFNA(VLOOKUP($BC102,Programma!$F$3:$S$1101,14,0),"")</f>
        <v/>
      </c>
      <c r="BQ102" s="142" t="str">
        <f>_xlfn.IFNA(VLOOKUP($BC102,Programma!$F$3:$T$1101,15,0),"")</f>
        <v/>
      </c>
      <c r="BR102" s="142" t="str">
        <f>_xlfn.IFNA(VLOOKUP($BC102,Programma!$F$3:$U$1101,16,0),"")</f>
        <v/>
      </c>
      <c r="BS102" s="142" t="str">
        <f>_xlfn.IFNA(VLOOKUP($BC102,Programma!$F$3:$V$1101,17,0),"")</f>
        <v/>
      </c>
      <c r="BT102" s="142" t="str">
        <f>_xlfn.IFNA(VLOOKUP($BC102,Programma!$F$3:$W$1101,18,0),"")</f>
        <v/>
      </c>
      <c r="BU102" s="142" t="str">
        <f>_xlfn.IFNA(VLOOKUP($BC102,Programma!$F$3:$X$1101,19,0),"")</f>
        <v/>
      </c>
      <c r="BV102" s="142" t="str">
        <f>_xlfn.IFNA(VLOOKUP($BC102,Programma!$F$3:$Y$1101,20,0),"")</f>
        <v/>
      </c>
      <c r="BW102" s="28"/>
      <c r="BX102" s="28"/>
      <c r="BY102" s="28"/>
      <c r="BZ102" s="28"/>
      <c r="CA102" s="28"/>
      <c r="CB102" s="28"/>
      <c r="CC102" s="28"/>
      <c r="CD102" s="28"/>
      <c r="CE102" s="28"/>
      <c r="CF102" s="28"/>
      <c r="CG102" s="28"/>
      <c r="CH102" s="28"/>
      <c r="CI102" s="28"/>
      <c r="CJ102" s="28"/>
      <c r="CK102" s="28"/>
      <c r="CL102" s="28"/>
      <c r="CM102" s="28"/>
      <c r="CN102" s="28"/>
      <c r="CO102" s="28"/>
      <c r="CP102" s="28"/>
      <c r="CQ102" s="28"/>
      <c r="CR102" s="28"/>
      <c r="CS102" s="28"/>
      <c r="CT102" s="28"/>
      <c r="CU102" s="28"/>
      <c r="CV102" s="28"/>
      <c r="CW102" s="28"/>
      <c r="CX102" s="28"/>
      <c r="CY102" s="28"/>
      <c r="CZ102" s="28"/>
      <c r="DA102" s="28"/>
      <c r="DB102" s="28"/>
      <c r="DC102" s="28"/>
      <c r="DD102" s="28"/>
      <c r="DE102" s="28"/>
      <c r="DF102" s="28"/>
      <c r="DG102" s="28"/>
      <c r="DH102" s="28"/>
      <c r="DI102" s="28"/>
      <c r="DJ102" s="28"/>
      <c r="DK102" s="28"/>
      <c r="DL102" s="28"/>
      <c r="DM102" s="28"/>
      <c r="DN102" s="28"/>
      <c r="DO102" s="28"/>
      <c r="DP102" s="28"/>
      <c r="DQ102" s="28"/>
      <c r="DR102" s="28"/>
      <c r="DS102" s="28"/>
      <c r="DT102" s="28"/>
      <c r="DU102" s="28"/>
      <c r="DV102" s="28"/>
      <c r="DW102" s="28"/>
      <c r="DX102" s="28"/>
      <c r="DY102" s="28"/>
      <c r="DZ102" s="28"/>
      <c r="EA102" s="28"/>
      <c r="EB102" s="28"/>
      <c r="EC102" s="28"/>
      <c r="ED102" s="28"/>
      <c r="EE102" s="28"/>
      <c r="EF102" s="28"/>
      <c r="EG102" s="28"/>
      <c r="EH102" s="28"/>
      <c r="EI102" s="28"/>
      <c r="EJ102" s="28"/>
      <c r="EK102" s="28"/>
      <c r="EL102" s="28"/>
      <c r="EM102" s="28"/>
      <c r="EN102" s="28"/>
      <c r="EO102" s="28"/>
      <c r="EP102" s="28"/>
      <c r="EQ102" s="28"/>
      <c r="ER102" s="28"/>
      <c r="ES102" s="28"/>
      <c r="ET102" s="28"/>
      <c r="EU102" s="28"/>
      <c r="EV102" s="28"/>
      <c r="EW102" s="28"/>
      <c r="EX102" s="28"/>
      <c r="EY102" s="28"/>
      <c r="EZ102" s="28"/>
      <c r="FA102" s="28"/>
      <c r="FB102" s="28"/>
      <c r="FC102" s="28"/>
      <c r="FD102" s="28"/>
      <c r="FE102" s="28"/>
      <c r="FF102" s="28"/>
      <c r="FG102" s="28"/>
      <c r="FH102" s="28"/>
      <c r="FI102" s="28"/>
      <c r="FJ102" s="28"/>
      <c r="FK102" s="28"/>
      <c r="FL102" s="28"/>
      <c r="FM102" s="28"/>
      <c r="FN102" s="28"/>
      <c r="FO102" s="28"/>
      <c r="FP102" s="28"/>
      <c r="FQ102" s="28"/>
      <c r="FR102" s="28"/>
      <c r="FS102" s="28"/>
      <c r="FT102" s="28"/>
      <c r="FU102" s="28"/>
      <c r="FV102" s="28"/>
      <c r="FW102" s="28"/>
      <c r="FX102" s="28"/>
      <c r="FY102" s="28"/>
      <c r="FZ102" s="28"/>
      <c r="GA102" s="28"/>
      <c r="GB102" s="28"/>
      <c r="GC102" s="28"/>
      <c r="GD102" s="28"/>
      <c r="GE102" s="28"/>
      <c r="GF102" s="28"/>
      <c r="GG102" s="28"/>
      <c r="GH102" s="28"/>
      <c r="GI102" s="28"/>
      <c r="GJ102" s="28"/>
      <c r="GK102" s="28"/>
      <c r="GL102" s="28"/>
      <c r="GM102" s="28"/>
      <c r="GN102" s="28"/>
      <c r="GO102" s="28"/>
      <c r="GP102" s="28"/>
      <c r="GQ102" s="28"/>
      <c r="GR102" s="28"/>
      <c r="GS102" s="28"/>
      <c r="GT102" s="28"/>
      <c r="GU102" s="28"/>
      <c r="GV102" s="28"/>
      <c r="GW102" s="28"/>
      <c r="GX102" s="28"/>
      <c r="GY102" s="28"/>
      <c r="GZ102" s="28"/>
      <c r="HA102" s="28"/>
      <c r="HB102" s="28"/>
      <c r="HC102" s="28"/>
      <c r="HD102" s="28"/>
      <c r="HE102" s="28"/>
      <c r="HF102" s="28"/>
      <c r="HG102" s="28"/>
      <c r="HH102" s="28"/>
      <c r="HI102" s="28"/>
      <c r="HJ102" s="28"/>
      <c r="HK102" s="28"/>
    </row>
    <row r="103" spans="1:219" ht="15" customHeight="1">
      <c r="A103" s="49">
        <v>1</v>
      </c>
      <c r="B103" s="132" t="str">
        <f>VLOOKUP(Ruimtestaat[[#This Row],[Code]],Locaties[[Code]:[Locatie]],2,FALSE)</f>
        <v>Mirtehuis</v>
      </c>
      <c r="C103" s="132" t="str">
        <f>VLOOKUP(Ruimtestaat[[#This Row],[Code]],Locaties[[#All],[Code]:[Adres]],4,FALSE)</f>
        <v>Weseperweg 6</v>
      </c>
      <c r="D103" s="132" t="str">
        <f>VLOOKUP(Ruimtestaat[[#This Row],[Code]],Locaties[[#All],[Code]:[Postcode]],5,FALSE)</f>
        <v>8111 PK</v>
      </c>
      <c r="E103" s="132" t="str">
        <f>VLOOKUP(Ruimtestaat[[#This Row],[Code]],Locaties[#All],6,FALSE)</f>
        <v>Heeten</v>
      </c>
      <c r="F103" s="100"/>
      <c r="G103" s="100" t="s">
        <v>1677</v>
      </c>
      <c r="H103" s="344" t="s">
        <v>1681</v>
      </c>
      <c r="I103" s="345" t="s">
        <v>1645</v>
      </c>
      <c r="J103" s="49">
        <v>15</v>
      </c>
      <c r="K103" s="140" t="str">
        <f>VLOOKUP(Ruimtestaat[[#This Row],[Ruimte code]],Ruimtegroepen[[#All],[Code]:[Ruimte omschrijving]],2,FALSE)</f>
        <v>Keuken/pantry</v>
      </c>
      <c r="L103" s="100" t="s">
        <v>100</v>
      </c>
      <c r="M103" s="345" t="s">
        <v>1636</v>
      </c>
      <c r="N103" s="133">
        <v>3.42</v>
      </c>
      <c r="O103" s="100"/>
      <c r="P103" s="134" t="str">
        <f>VLOOKUP(Ruimtestaat[[#This Row],[Ruimte code]],Ruimtegroepen[],4,FALSE)</f>
        <v>Ve</v>
      </c>
      <c r="Q103" s="100">
        <v>51</v>
      </c>
      <c r="R103" s="100" t="s">
        <v>2</v>
      </c>
      <c r="S103" s="100">
        <f>IF(Q103&gt;0,IF(RIGHT(Ruimtestaat[[#This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03" s="100">
        <f>IF(S103&gt;0,VLOOKUP($J103,Ruimtegroepen[],3,FALSE)*VLOOKUP($L103,Vloersoorten[],3,FALSE)*VLOOKUP($R103,Frequenties[],3,FALSE)*VLOOKUP($A103,Locaties[],3,FALSE),0)</f>
        <v>0</v>
      </c>
      <c r="U103" s="100">
        <f>Ruimtestaat[[#This Row],[Uitvoeringen werkdagen]]*Ruimtestaat[[#This Row],[Oppervlak (netto)]]</f>
        <v>872.1</v>
      </c>
      <c r="V103" s="135">
        <f>IF(T103&gt;0,Ruimtestaat[[#This Row],[Prest. (m2 /jaar) werkdagen]]/Ruimtestaat[[#This Row],[Norm (m2/uur) werkdagen]],0)</f>
        <v>0</v>
      </c>
      <c r="W103" s="136">
        <f>Ruimtestaat[[#This Row],[uren / jaar werkdagen]]*Tariefsopbouw!$E$35</f>
        <v>0</v>
      </c>
      <c r="X103" s="100"/>
      <c r="Y103" s="100">
        <f>IF(Ruimtestaat[[#This Row],[Frequentie weekend]]&gt;0,VALUE(LEFT(X103,1))*Q103,0)</f>
        <v>0</v>
      </c>
      <c r="Z103" s="99">
        <f>IF($Y103&gt;0,VLOOKUP($J103,Ruimtegroepen[],3,FALSE)*VLOOKUP($L103,Vloersoorten[],3,FALSE)*VLOOKUP($X103,Frequenties[],3,FALSE)*VLOOKUP(Ruimtestaat[[#This Row],[Code]],Locaties[],3,FALSE),0)</f>
        <v>0</v>
      </c>
      <c r="AA103" s="99">
        <f>Ruimtestaat[[#This Row],[Uitvoeringen weekend]]*Ruimtestaat[[#This Row],[Oppervlak (netto)]]</f>
        <v>0</v>
      </c>
      <c r="AB103" s="99">
        <f>IF(Z103&gt;0,Ruimtestaat[[#This Row],[Prest. (m2 /jaar) weekend]]/Ruimtestaat[[#This Row],[Norm (m2/uur) weekend]],0)</f>
        <v>0</v>
      </c>
      <c r="AC103" s="136">
        <f>Ruimtestaat[[#This Row],[uren / jaar weekend]]*Tariefsopbouw!$D$40</f>
        <v>0</v>
      </c>
      <c r="AD103" s="135">
        <f>Ruimtestaat[[#This Row],[Prest. (m2 /jaar) weekend]]+Ruimtestaat[[#This Row],[Prest. (m2 /jaar) werkdagen]]</f>
        <v>872.1</v>
      </c>
      <c r="AE103" s="135">
        <f>Ruimtestaat[[#This Row],[uren / jaar weekend]]+Ruimtestaat[[#This Row],[uren / jaar werkdagen]]</f>
        <v>0</v>
      </c>
      <c r="AF103" s="130">
        <f>Ruimtestaat[[#This Row],[kosten / jaar weekend]]+Ruimtestaat[[#This Row],[kosten / jaar werkdagen]]</f>
        <v>0</v>
      </c>
      <c r="AG103" s="130"/>
      <c r="AH103" s="137" t="str">
        <f>IF(Ruimtestaat[[#This Row],[Frequentie werkdagen]]="","",_xlfn.CONCAT(Ruimtestaat[[#This Row],[Ruimte code]],"-",Ruimtestaat[[#This Row],[Frequentie werkdagen]]," ",Ruimtestaat[[#This Row],[Vloer code]]))</f>
        <v>15-5w L</v>
      </c>
      <c r="AI103" s="142" t="str">
        <f>_xlfn.IFNA(VLOOKUP($AH103,Programma!$F$3:$G$1101,2,0),"")</f>
        <v>_</v>
      </c>
      <c r="AJ103" s="142" t="str">
        <f>_xlfn.IFNA(VLOOKUP($AH103,Programma!$F$3:$H$1101,3,0),"")</f>
        <v>_</v>
      </c>
      <c r="AK103" s="142" t="str">
        <f>_xlfn.IFNA(VLOOKUP($AH103,Programma!$F$3:$I$1101,4,0),"")</f>
        <v>_</v>
      </c>
      <c r="AL103" s="142" t="str">
        <f>_xlfn.IFNA(VLOOKUP($AH103,Programma!$F$3:$J$1101,5,0),"")</f>
        <v>5w</v>
      </c>
      <c r="AM103" s="142" t="str">
        <f>_xlfn.IFNA(VLOOKUP($AH103,Programma!$F$3:$K$1101,6,0),"")</f>
        <v>_</v>
      </c>
      <c r="AN103" s="142" t="str">
        <f>_xlfn.IFNA(VLOOKUP($AH103,Programma!$F$3:$L$1101,7,0),"")</f>
        <v>_</v>
      </c>
      <c r="AO103" s="142" t="str">
        <f>_xlfn.IFNA(VLOOKUP($AH103,Programma!$F$3:$M$1101,8,0),"")</f>
        <v>_</v>
      </c>
      <c r="AP103" s="142" t="str">
        <f>_xlfn.IFNA(VLOOKUP($AH103,Programma!$F$3:$N$1101,9,0),"")</f>
        <v>_</v>
      </c>
      <c r="AQ103" s="142" t="str">
        <f>_xlfn.IFNA(VLOOKUP($AH103,Programma!$F$3:$O$1101,10,0),"")</f>
        <v>5w</v>
      </c>
      <c r="AR103" s="142" t="str">
        <f>_xlfn.IFNA(VLOOKUP($AH103,Programma!$F$3:$P$1101,11,0),"")</f>
        <v>5w</v>
      </c>
      <c r="AS103" s="142" t="str">
        <f>_xlfn.IFNA(VLOOKUP($AH103,Programma!$F$3:$Q$1101,12,0),"")</f>
        <v>1w</v>
      </c>
      <c r="AT103" s="142" t="str">
        <f>_xlfn.IFNA(VLOOKUP($AH103,Programma!$F$3:$R$1101,13,0),"")</f>
        <v>1w</v>
      </c>
      <c r="AU103" s="142" t="str">
        <f>_xlfn.IFNA(VLOOKUP($AH103,Programma!$F$3:$S$1101,14,0),"")</f>
        <v>1m</v>
      </c>
      <c r="AV103" s="142" t="str">
        <f>_xlfn.IFNA(VLOOKUP($AH103,Programma!$F$3:$T$1101,15,0),"")</f>
        <v>2j</v>
      </c>
      <c r="AW103" s="142" t="str">
        <f>_xlfn.IFNA(VLOOKUP($AH103,Programma!$F$3:$U$1101,16,0),"")</f>
        <v>1j</v>
      </c>
      <c r="AX103" s="142" t="str">
        <f>_xlfn.IFNA(VLOOKUP($AH103,Programma!$F$3:$V$1101,17,0),"")</f>
        <v>_</v>
      </c>
      <c r="AY103" s="142" t="str">
        <f>_xlfn.IFNA(VLOOKUP($AH103,Programma!$F$3:$W$1101,18,0),"")</f>
        <v>_</v>
      </c>
      <c r="AZ103" s="142" t="str">
        <f>_xlfn.IFNA(VLOOKUP($AH103,Programma!$F$3:$X$1101,19,0),"")</f>
        <v>_</v>
      </c>
      <c r="BA103" s="142" t="str">
        <f>_xlfn.IFNA(VLOOKUP($AH103,Programma!$F$3:$Y$1101,20,0),"")</f>
        <v>_</v>
      </c>
      <c r="BB103" s="138"/>
      <c r="BC103" s="137" t="str">
        <f>IF(Ruimtestaat[[#This Row],[Frequentie weekend]]="","",_xlfn.CONCAT(Ruimtestaat[[#This Row],[Ruimte code]],"-",Ruimtestaat[[#This Row],[Frequentie weekend]]," ",Ruimtestaat[[#This Row],[Vloer code]]))</f>
        <v/>
      </c>
      <c r="BD103" s="142" t="str">
        <f>_xlfn.IFNA(VLOOKUP($BC103,Programma!$F$3:$G$1101,2,0),"")</f>
        <v/>
      </c>
      <c r="BE103" s="142" t="str">
        <f>_xlfn.IFNA(VLOOKUP($BC103,Programma!$F$3:$H$1101,3,0),"")</f>
        <v/>
      </c>
      <c r="BF103" s="142" t="str">
        <f>_xlfn.IFNA(VLOOKUP($BC103,Programma!$F$3:$I$1101,4,0),"")</f>
        <v/>
      </c>
      <c r="BG103" s="142" t="str">
        <f>_xlfn.IFNA(VLOOKUP($BC103,Programma!$F$3:$J$1101,5,0),"")</f>
        <v/>
      </c>
      <c r="BH103" s="142" t="str">
        <f>_xlfn.IFNA(VLOOKUP($BC103,Programma!$F$3:$K$1101,6,0),"")</f>
        <v/>
      </c>
      <c r="BI103" s="142" t="str">
        <f>_xlfn.IFNA(VLOOKUP($BC103,Programma!$F$3:$L$1101,7,0),"")</f>
        <v/>
      </c>
      <c r="BJ103" s="142" t="str">
        <f>_xlfn.IFNA(VLOOKUP($BC103,Programma!$F$3:$M$1101,8,0),"")</f>
        <v/>
      </c>
      <c r="BK103" s="142" t="str">
        <f>_xlfn.IFNA(VLOOKUP($BC103,Programma!$F$3:$N$1101,9,0),"")</f>
        <v/>
      </c>
      <c r="BL103" s="142" t="str">
        <f>_xlfn.IFNA(VLOOKUP($BC103,Programma!$F$3:$O$1101,10,0),"")</f>
        <v/>
      </c>
      <c r="BM103" s="142" t="str">
        <f>_xlfn.IFNA(VLOOKUP($BC103,Programma!$F$3:$P$1101,11,0),"")</f>
        <v/>
      </c>
      <c r="BN103" s="142" t="str">
        <f>_xlfn.IFNA(VLOOKUP($BC103,Programma!$F$3:$Q$1101,12,0),"")</f>
        <v/>
      </c>
      <c r="BO103" s="142" t="str">
        <f>_xlfn.IFNA(VLOOKUP($BC103,Programma!$F$3:$R$1101,13,0),"")</f>
        <v/>
      </c>
      <c r="BP103" s="142" t="str">
        <f>_xlfn.IFNA(VLOOKUP($BC103,Programma!$F$3:$S$1101,14,0),"")</f>
        <v/>
      </c>
      <c r="BQ103" s="142" t="str">
        <f>_xlfn.IFNA(VLOOKUP($BC103,Programma!$F$3:$T$1101,15,0),"")</f>
        <v/>
      </c>
      <c r="BR103" s="142" t="str">
        <f>_xlfn.IFNA(VLOOKUP($BC103,Programma!$F$3:$U$1101,16,0),"")</f>
        <v/>
      </c>
      <c r="BS103" s="142" t="str">
        <f>_xlfn.IFNA(VLOOKUP($BC103,Programma!$F$3:$V$1101,17,0),"")</f>
        <v/>
      </c>
      <c r="BT103" s="142" t="str">
        <f>_xlfn.IFNA(VLOOKUP($BC103,Programma!$F$3:$W$1101,18,0),"")</f>
        <v/>
      </c>
      <c r="BU103" s="142" t="str">
        <f>_xlfn.IFNA(VLOOKUP($BC103,Programma!$F$3:$X$1101,19,0),"")</f>
        <v/>
      </c>
      <c r="BV103" s="142" t="str">
        <f>_xlfn.IFNA(VLOOKUP($BC103,Programma!$F$3:$Y$1101,20,0),"")</f>
        <v/>
      </c>
      <c r="BW103" s="28"/>
      <c r="BX103" s="28"/>
      <c r="BY103" s="28"/>
      <c r="BZ103" s="28"/>
      <c r="CA103" s="28"/>
      <c r="CB103" s="28"/>
      <c r="CC103" s="28"/>
      <c r="CD103" s="28"/>
      <c r="CE103" s="28"/>
      <c r="CF103" s="28"/>
      <c r="CG103" s="28"/>
      <c r="CH103" s="28"/>
      <c r="CI103" s="28"/>
      <c r="CJ103" s="28"/>
      <c r="CK103" s="28"/>
      <c r="CL103" s="28"/>
      <c r="CM103" s="28"/>
      <c r="CN103" s="28"/>
      <c r="CO103" s="28"/>
      <c r="CP103" s="28"/>
      <c r="CQ103" s="28"/>
      <c r="CR103" s="28"/>
      <c r="CS103" s="28"/>
      <c r="CT103" s="28"/>
      <c r="CU103" s="28"/>
      <c r="CV103" s="28"/>
      <c r="CW103" s="28"/>
      <c r="CX103" s="28"/>
      <c r="CY103" s="28"/>
      <c r="CZ103" s="28"/>
      <c r="DA103" s="28"/>
      <c r="DB103" s="28"/>
      <c r="DC103" s="28"/>
      <c r="DD103" s="28"/>
      <c r="DE103" s="28"/>
      <c r="DF103" s="28"/>
      <c r="DG103" s="28"/>
      <c r="DH103" s="28"/>
      <c r="DI103" s="28"/>
      <c r="DJ103" s="28"/>
      <c r="DK103" s="28"/>
      <c r="DL103" s="28"/>
      <c r="DM103" s="28"/>
      <c r="DN103" s="28"/>
      <c r="DO103" s="28"/>
      <c r="DP103" s="28"/>
      <c r="DQ103" s="28"/>
      <c r="DR103" s="28"/>
      <c r="DS103" s="28"/>
      <c r="DT103" s="28"/>
      <c r="DU103" s="28"/>
      <c r="DV103" s="28"/>
      <c r="DW103" s="28"/>
      <c r="DX103" s="28"/>
      <c r="DY103" s="28"/>
      <c r="DZ103" s="28"/>
      <c r="EA103" s="28"/>
      <c r="EB103" s="28"/>
      <c r="EC103" s="28"/>
      <c r="ED103" s="28"/>
      <c r="EE103" s="28"/>
      <c r="EF103" s="28"/>
      <c r="EG103" s="28"/>
      <c r="EH103" s="28"/>
      <c r="EI103" s="28"/>
      <c r="EJ103" s="28"/>
      <c r="EK103" s="28"/>
      <c r="EL103" s="28"/>
      <c r="EM103" s="28"/>
      <c r="EN103" s="28"/>
      <c r="EO103" s="28"/>
      <c r="EP103" s="28"/>
      <c r="EQ103" s="28"/>
      <c r="ER103" s="28"/>
      <c r="ES103" s="28"/>
      <c r="ET103" s="28"/>
      <c r="EU103" s="28"/>
      <c r="EV103" s="28"/>
      <c r="EW103" s="28"/>
      <c r="EX103" s="28"/>
      <c r="EY103" s="28"/>
      <c r="EZ103" s="28"/>
      <c r="FA103" s="28"/>
      <c r="FB103" s="28"/>
      <c r="FC103" s="28"/>
      <c r="FD103" s="28"/>
      <c r="FE103" s="28"/>
      <c r="FF103" s="28"/>
      <c r="FG103" s="28"/>
      <c r="FH103" s="28"/>
      <c r="FI103" s="28"/>
      <c r="FJ103" s="28"/>
      <c r="FK103" s="28"/>
      <c r="FL103" s="28"/>
      <c r="FM103" s="28"/>
      <c r="FN103" s="28"/>
      <c r="FO103" s="28"/>
      <c r="FP103" s="28"/>
      <c r="FQ103" s="28"/>
      <c r="FR103" s="28"/>
      <c r="FS103" s="28"/>
      <c r="FT103" s="28"/>
      <c r="FU103" s="28"/>
      <c r="FV103" s="28"/>
      <c r="FW103" s="28"/>
      <c r="FX103" s="28"/>
      <c r="FY103" s="28"/>
      <c r="FZ103" s="28"/>
      <c r="GA103" s="28"/>
      <c r="GB103" s="28"/>
      <c r="GC103" s="28"/>
      <c r="GD103" s="28"/>
      <c r="GE103" s="28"/>
      <c r="GF103" s="28"/>
      <c r="GG103" s="28"/>
      <c r="GH103" s="28"/>
      <c r="GI103" s="28"/>
      <c r="GJ103" s="28"/>
      <c r="GK103" s="28"/>
      <c r="GL103" s="28"/>
      <c r="GM103" s="28"/>
      <c r="GN103" s="28"/>
      <c r="GO103" s="28"/>
      <c r="GP103" s="28"/>
      <c r="GQ103" s="28"/>
      <c r="GR103" s="28"/>
      <c r="GS103" s="28"/>
      <c r="GT103" s="28"/>
      <c r="GU103" s="28"/>
      <c r="GV103" s="28"/>
      <c r="GW103" s="28"/>
      <c r="GX103" s="28"/>
      <c r="GY103" s="28"/>
      <c r="GZ103" s="28"/>
      <c r="HA103" s="28"/>
      <c r="HB103" s="28"/>
      <c r="HC103" s="28"/>
      <c r="HD103" s="28"/>
      <c r="HE103" s="28"/>
      <c r="HF103" s="28"/>
      <c r="HG103" s="28"/>
      <c r="HH103" s="28"/>
      <c r="HI103" s="28"/>
      <c r="HJ103" s="28"/>
      <c r="HK103" s="28"/>
    </row>
    <row r="104" spans="1:219" ht="15" customHeight="1">
      <c r="A104" s="49">
        <v>1</v>
      </c>
      <c r="B104" s="132" t="str">
        <f>VLOOKUP(Ruimtestaat[[#This Row],[Code]],Locaties[[Code]:[Locatie]],2,FALSE)</f>
        <v>Mirtehuis</v>
      </c>
      <c r="C104" s="132" t="str">
        <f>VLOOKUP(Ruimtestaat[[#This Row],[Code]],Locaties[[#All],[Code]:[Adres]],4,FALSE)</f>
        <v>Weseperweg 6</v>
      </c>
      <c r="D104" s="132" t="str">
        <f>VLOOKUP(Ruimtestaat[[#This Row],[Code]],Locaties[[#All],[Code]:[Postcode]],5,FALSE)</f>
        <v>8111 PK</v>
      </c>
      <c r="E104" s="132" t="str">
        <f>VLOOKUP(Ruimtestaat[[#This Row],[Code]],Locaties[#All],6,FALSE)</f>
        <v>Heeten</v>
      </c>
      <c r="F104" s="100"/>
      <c r="G104" s="100" t="s">
        <v>1677</v>
      </c>
      <c r="H104" s="344" t="s">
        <v>1682</v>
      </c>
      <c r="I104" s="345" t="s">
        <v>1644</v>
      </c>
      <c r="J104" s="49">
        <v>9</v>
      </c>
      <c r="K104" s="140" t="str">
        <f>VLOOKUP(Ruimtestaat[[#This Row],[Ruimte code]],Ruimtegroepen[[#All],[Code]:[Ruimte omschrijving]],2,FALSE)</f>
        <v>Woonruimte</v>
      </c>
      <c r="L104" s="100" t="s">
        <v>100</v>
      </c>
      <c r="M104" s="345" t="s">
        <v>1636</v>
      </c>
      <c r="N104" s="133">
        <v>31.77</v>
      </c>
      <c r="O104" s="139"/>
      <c r="P104" s="134" t="str">
        <f>VLOOKUP(Ruimtestaat[[#This Row],[Ruimte code]],Ruimtegroepen[],4,FALSE)</f>
        <v>Ve</v>
      </c>
      <c r="Q104" s="100">
        <v>51</v>
      </c>
      <c r="R104" s="100" t="s">
        <v>2</v>
      </c>
      <c r="S104" s="100">
        <f>IF(Q104&gt;0,IF(RIGHT(Ruimtestaat[[#This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04" s="100">
        <f>IF(S104&gt;0,VLOOKUP($J104,Ruimtegroepen[],3,FALSE)*VLOOKUP($L104,Vloersoorten[],3,FALSE)*VLOOKUP($R104,Frequenties[],3,FALSE)*VLOOKUP($A104,Locaties[],3,FALSE),0)</f>
        <v>0</v>
      </c>
      <c r="U104" s="100">
        <f>Ruimtestaat[[#This Row],[Uitvoeringen werkdagen]]*Ruimtestaat[[#This Row],[Oppervlak (netto)]]</f>
        <v>8101.3499999999995</v>
      </c>
      <c r="V104" s="135">
        <f>IF(T104&gt;0,Ruimtestaat[[#This Row],[Prest. (m2 /jaar) werkdagen]]/Ruimtestaat[[#This Row],[Norm (m2/uur) werkdagen]],0)</f>
        <v>0</v>
      </c>
      <c r="W104" s="136">
        <f>Ruimtestaat[[#This Row],[uren / jaar werkdagen]]*Tariefsopbouw!$E$35</f>
        <v>0</v>
      </c>
      <c r="X104" s="100"/>
      <c r="Y104" s="100">
        <f>IF(Ruimtestaat[[#This Row],[Frequentie weekend]]&gt;0,VALUE(LEFT(X104,1))*Q104,0)</f>
        <v>0</v>
      </c>
      <c r="Z104" s="99">
        <f>IF($Y104&gt;0,VLOOKUP($J104,Ruimtegroepen[],3,FALSE)*VLOOKUP($L104,Vloersoorten[],3,FALSE)*VLOOKUP($X104,Frequenties[],3,FALSE)*VLOOKUP(Ruimtestaat[[#This Row],[Code]],Locaties[],3,FALSE),0)</f>
        <v>0</v>
      </c>
      <c r="AA104" s="99">
        <f>Ruimtestaat[[#This Row],[Uitvoeringen weekend]]*Ruimtestaat[[#This Row],[Oppervlak (netto)]]</f>
        <v>0</v>
      </c>
      <c r="AB104" s="99">
        <f>IF(Z104&gt;0,Ruimtestaat[[#This Row],[Prest. (m2 /jaar) weekend]]/Ruimtestaat[[#This Row],[Norm (m2/uur) weekend]],0)</f>
        <v>0</v>
      </c>
      <c r="AC104" s="136">
        <f>Ruimtestaat[[#This Row],[uren / jaar weekend]]*Tariefsopbouw!$D$40</f>
        <v>0</v>
      </c>
      <c r="AD104" s="135">
        <f>Ruimtestaat[[#This Row],[Prest. (m2 /jaar) weekend]]+Ruimtestaat[[#This Row],[Prest. (m2 /jaar) werkdagen]]</f>
        <v>8101.3499999999995</v>
      </c>
      <c r="AE104" s="135">
        <f>Ruimtestaat[[#This Row],[uren / jaar weekend]]+Ruimtestaat[[#This Row],[uren / jaar werkdagen]]</f>
        <v>0</v>
      </c>
      <c r="AF104" s="130">
        <f>Ruimtestaat[[#This Row],[kosten / jaar weekend]]+Ruimtestaat[[#This Row],[kosten / jaar werkdagen]]</f>
        <v>0</v>
      </c>
      <c r="AG104" s="130"/>
      <c r="AH104" s="137" t="str">
        <f>IF(Ruimtestaat[[#This Row],[Frequentie werkdagen]]="","",_xlfn.CONCAT(Ruimtestaat[[#This Row],[Ruimte code]],"-",Ruimtestaat[[#This Row],[Frequentie werkdagen]]," ",Ruimtestaat[[#This Row],[Vloer code]]))</f>
        <v>9-5w L</v>
      </c>
      <c r="AI104" s="142" t="str">
        <f>_xlfn.IFNA(VLOOKUP($AH104,Programma!$F$3:$G$1101,2,0),"")</f>
        <v>_</v>
      </c>
      <c r="AJ104" s="142" t="str">
        <f>_xlfn.IFNA(VLOOKUP($AH104,Programma!$F$3:$H$1101,3,0),"")</f>
        <v>_</v>
      </c>
      <c r="AK104" s="142" t="str">
        <f>_xlfn.IFNA(VLOOKUP($AH104,Programma!$F$3:$I$1101,4,0),"")</f>
        <v>4w</v>
      </c>
      <c r="AL104" s="142" t="str">
        <f>_xlfn.IFNA(VLOOKUP($AH104,Programma!$F$3:$J$1101,5,0),"")</f>
        <v>1w</v>
      </c>
      <c r="AM104" s="142" t="str">
        <f>_xlfn.IFNA(VLOOKUP($AH104,Programma!$F$3:$K$1101,6,0),"")</f>
        <v>_</v>
      </c>
      <c r="AN104" s="142" t="str">
        <f>_xlfn.IFNA(VLOOKUP($AH104,Programma!$F$3:$L$1101,7,0),"")</f>
        <v>_</v>
      </c>
      <c r="AO104" s="142" t="str">
        <f>_xlfn.IFNA(VLOOKUP($AH104,Programma!$F$3:$M$1101,8,0),"")</f>
        <v>_</v>
      </c>
      <c r="AP104" s="142" t="str">
        <f>_xlfn.IFNA(VLOOKUP($AH104,Programma!$F$3:$N$1101,9,0),"")</f>
        <v>_</v>
      </c>
      <c r="AQ104" s="142" t="str">
        <f>_xlfn.IFNA(VLOOKUP($AH104,Programma!$F$3:$O$1101,10,0),"")</f>
        <v>5w</v>
      </c>
      <c r="AR104" s="142" t="str">
        <f>_xlfn.IFNA(VLOOKUP($AH104,Programma!$F$3:$P$1101,11,0),"")</f>
        <v>5w</v>
      </c>
      <c r="AS104" s="142" t="str">
        <f>_xlfn.IFNA(VLOOKUP($AH104,Programma!$F$3:$Q$1101,12,0),"")</f>
        <v>1w</v>
      </c>
      <c r="AT104" s="142" t="str">
        <f>_xlfn.IFNA(VLOOKUP($AH104,Programma!$F$3:$R$1101,13,0),"")</f>
        <v>1w</v>
      </c>
      <c r="AU104" s="142" t="str">
        <f>_xlfn.IFNA(VLOOKUP($AH104,Programma!$F$3:$S$1101,14,0),"")</f>
        <v>1m</v>
      </c>
      <c r="AV104" s="142" t="str">
        <f>_xlfn.IFNA(VLOOKUP($AH104,Programma!$F$3:$T$1101,15,0),"")</f>
        <v>2j</v>
      </c>
      <c r="AW104" s="142" t="str">
        <f>_xlfn.IFNA(VLOOKUP($AH104,Programma!$F$3:$U$1101,16,0),"")</f>
        <v>1j</v>
      </c>
      <c r="AX104" s="142" t="str">
        <f>_xlfn.IFNA(VLOOKUP($AH104,Programma!$F$3:$V$1101,17,0),"")</f>
        <v>_</v>
      </c>
      <c r="AY104" s="142" t="str">
        <f>_xlfn.IFNA(VLOOKUP($AH104,Programma!$F$3:$W$1101,18,0),"")</f>
        <v>_</v>
      </c>
      <c r="AZ104" s="142" t="str">
        <f>_xlfn.IFNA(VLOOKUP($AH104,Programma!$F$3:$X$1101,19,0),"")</f>
        <v>_</v>
      </c>
      <c r="BA104" s="142" t="str">
        <f>_xlfn.IFNA(VLOOKUP($AH104,Programma!$F$3:$Y$1101,20,0),"")</f>
        <v>_</v>
      </c>
      <c r="BB104" s="138"/>
      <c r="BC104" s="137" t="str">
        <f>IF(Ruimtestaat[[#This Row],[Frequentie weekend]]="","",_xlfn.CONCAT(Ruimtestaat[[#This Row],[Ruimte code]],"-",Ruimtestaat[[#This Row],[Frequentie weekend]]," ",Ruimtestaat[[#This Row],[Vloer code]]))</f>
        <v/>
      </c>
      <c r="BD104" s="142" t="str">
        <f>_xlfn.IFNA(VLOOKUP($BC104,Programma!$F$3:$G$1101,2,0),"")</f>
        <v/>
      </c>
      <c r="BE104" s="142" t="str">
        <f>_xlfn.IFNA(VLOOKUP($BC104,Programma!$F$3:$H$1101,3,0),"")</f>
        <v/>
      </c>
      <c r="BF104" s="142" t="str">
        <f>_xlfn.IFNA(VLOOKUP($BC104,Programma!$F$3:$I$1101,4,0),"")</f>
        <v/>
      </c>
      <c r="BG104" s="142" t="str">
        <f>_xlfn.IFNA(VLOOKUP($BC104,Programma!$F$3:$J$1101,5,0),"")</f>
        <v/>
      </c>
      <c r="BH104" s="142" t="str">
        <f>_xlfn.IFNA(VLOOKUP($BC104,Programma!$F$3:$K$1101,6,0),"")</f>
        <v/>
      </c>
      <c r="BI104" s="142" t="str">
        <f>_xlfn.IFNA(VLOOKUP($BC104,Programma!$F$3:$L$1101,7,0),"")</f>
        <v/>
      </c>
      <c r="BJ104" s="142" t="str">
        <f>_xlfn.IFNA(VLOOKUP($BC104,Programma!$F$3:$M$1101,8,0),"")</f>
        <v/>
      </c>
      <c r="BK104" s="142" t="str">
        <f>_xlfn.IFNA(VLOOKUP($BC104,Programma!$F$3:$N$1101,9,0),"")</f>
        <v/>
      </c>
      <c r="BL104" s="142" t="str">
        <f>_xlfn.IFNA(VLOOKUP($BC104,Programma!$F$3:$O$1101,10,0),"")</f>
        <v/>
      </c>
      <c r="BM104" s="142" t="str">
        <f>_xlfn.IFNA(VLOOKUP($BC104,Programma!$F$3:$P$1101,11,0),"")</f>
        <v/>
      </c>
      <c r="BN104" s="142" t="str">
        <f>_xlfn.IFNA(VLOOKUP($BC104,Programma!$F$3:$Q$1101,12,0),"")</f>
        <v/>
      </c>
      <c r="BO104" s="142" t="str">
        <f>_xlfn.IFNA(VLOOKUP($BC104,Programma!$F$3:$R$1101,13,0),"")</f>
        <v/>
      </c>
      <c r="BP104" s="142" t="str">
        <f>_xlfn.IFNA(VLOOKUP($BC104,Programma!$F$3:$S$1101,14,0),"")</f>
        <v/>
      </c>
      <c r="BQ104" s="142" t="str">
        <f>_xlfn.IFNA(VLOOKUP($BC104,Programma!$F$3:$T$1101,15,0),"")</f>
        <v/>
      </c>
      <c r="BR104" s="142" t="str">
        <f>_xlfn.IFNA(VLOOKUP($BC104,Programma!$F$3:$U$1101,16,0),"")</f>
        <v/>
      </c>
      <c r="BS104" s="142" t="str">
        <f>_xlfn.IFNA(VLOOKUP($BC104,Programma!$F$3:$V$1101,17,0),"")</f>
        <v/>
      </c>
      <c r="BT104" s="142" t="str">
        <f>_xlfn.IFNA(VLOOKUP($BC104,Programma!$F$3:$W$1101,18,0),"")</f>
        <v/>
      </c>
      <c r="BU104" s="142" t="str">
        <f>_xlfn.IFNA(VLOOKUP($BC104,Programma!$F$3:$X$1101,19,0),"")</f>
        <v/>
      </c>
      <c r="BV104" s="142" t="str">
        <f>_xlfn.IFNA(VLOOKUP($BC104,Programma!$F$3:$Y$1101,20,0),"")</f>
        <v/>
      </c>
      <c r="BW104" s="28"/>
      <c r="BX104" s="28"/>
      <c r="BY104" s="28"/>
      <c r="BZ104" s="28"/>
      <c r="CA104" s="28"/>
      <c r="CB104" s="28"/>
      <c r="CC104" s="28"/>
      <c r="CD104" s="28"/>
      <c r="CE104" s="28"/>
      <c r="CF104" s="28"/>
      <c r="CG104" s="28"/>
      <c r="CH104" s="28"/>
      <c r="CI104" s="28"/>
      <c r="CJ104" s="28"/>
      <c r="CK104" s="28"/>
      <c r="CL104" s="28"/>
      <c r="CM104" s="28"/>
      <c r="CN104" s="28"/>
      <c r="CO104" s="28"/>
      <c r="CP104" s="28"/>
      <c r="CQ104" s="28"/>
      <c r="CR104" s="28"/>
      <c r="CS104" s="28"/>
      <c r="CT104" s="28"/>
      <c r="CU104" s="28"/>
      <c r="CV104" s="28"/>
      <c r="CW104" s="28"/>
      <c r="CX104" s="28"/>
      <c r="CY104" s="28"/>
      <c r="CZ104" s="28"/>
      <c r="DA104" s="28"/>
      <c r="DB104" s="28"/>
      <c r="DC104" s="28"/>
      <c r="DD104" s="28"/>
      <c r="DE104" s="28"/>
      <c r="DF104" s="28"/>
      <c r="DG104" s="28"/>
      <c r="DH104" s="28"/>
      <c r="DI104" s="28"/>
      <c r="DJ104" s="28"/>
      <c r="DK104" s="28"/>
      <c r="DL104" s="28"/>
      <c r="DM104" s="28"/>
      <c r="DN104" s="28"/>
      <c r="DO104" s="28"/>
      <c r="DP104" s="28"/>
      <c r="DQ104" s="28"/>
      <c r="DR104" s="28"/>
      <c r="DS104" s="28"/>
      <c r="DT104" s="28"/>
      <c r="DU104" s="28"/>
      <c r="DV104" s="28"/>
      <c r="DW104" s="28"/>
      <c r="DX104" s="28"/>
      <c r="DY104" s="28"/>
      <c r="DZ104" s="28"/>
      <c r="EA104" s="28"/>
      <c r="EB104" s="28"/>
      <c r="EC104" s="28"/>
      <c r="ED104" s="28"/>
      <c r="EE104" s="28"/>
      <c r="EF104" s="28"/>
      <c r="EG104" s="28"/>
      <c r="EH104" s="28"/>
      <c r="EI104" s="28"/>
      <c r="EJ104" s="28"/>
      <c r="EK104" s="28"/>
      <c r="EL104" s="28"/>
      <c r="EM104" s="28"/>
      <c r="EN104" s="28"/>
      <c r="EO104" s="28"/>
      <c r="EP104" s="28"/>
      <c r="EQ104" s="28"/>
      <c r="ER104" s="28"/>
      <c r="ES104" s="28"/>
      <c r="ET104" s="28"/>
      <c r="EU104" s="28"/>
      <c r="EV104" s="28"/>
      <c r="EW104" s="28"/>
      <c r="EX104" s="28"/>
      <c r="EY104" s="28"/>
      <c r="EZ104" s="28"/>
      <c r="FA104" s="28"/>
      <c r="FB104" s="28"/>
      <c r="FC104" s="28"/>
      <c r="FD104" s="28"/>
      <c r="FE104" s="28"/>
      <c r="FF104" s="28"/>
      <c r="FG104" s="28"/>
      <c r="FH104" s="28"/>
      <c r="FI104" s="28"/>
      <c r="FJ104" s="28"/>
      <c r="FK104" s="28"/>
      <c r="FL104" s="28"/>
      <c r="FM104" s="28"/>
      <c r="FN104" s="28"/>
      <c r="FO104" s="28"/>
      <c r="FP104" s="28"/>
      <c r="FQ104" s="28"/>
      <c r="FR104" s="28"/>
      <c r="FS104" s="28"/>
      <c r="FT104" s="28"/>
      <c r="FU104" s="28"/>
      <c r="FV104" s="28"/>
      <c r="FW104" s="28"/>
      <c r="FX104" s="28"/>
      <c r="FY104" s="28"/>
      <c r="FZ104" s="28"/>
      <c r="GA104" s="28"/>
      <c r="GB104" s="28"/>
      <c r="GC104" s="28"/>
      <c r="GD104" s="28"/>
      <c r="GE104" s="28"/>
      <c r="GF104" s="28"/>
      <c r="GG104" s="28"/>
      <c r="GH104" s="28"/>
      <c r="GI104" s="28"/>
      <c r="GJ104" s="28"/>
      <c r="GK104" s="28"/>
      <c r="GL104" s="28"/>
      <c r="GM104" s="28"/>
      <c r="GN104" s="28"/>
      <c r="GO104" s="28"/>
      <c r="GP104" s="28"/>
      <c r="GQ104" s="28"/>
      <c r="GR104" s="28"/>
      <c r="GS104" s="28"/>
      <c r="GT104" s="28"/>
      <c r="GU104" s="28"/>
      <c r="GV104" s="28"/>
      <c r="GW104" s="28"/>
      <c r="GX104" s="28"/>
      <c r="GY104" s="28"/>
      <c r="GZ104" s="28"/>
      <c r="HA104" s="28"/>
      <c r="HB104" s="28"/>
      <c r="HC104" s="28"/>
      <c r="HD104" s="28"/>
      <c r="HE104" s="28"/>
      <c r="HF104" s="28"/>
      <c r="HG104" s="28"/>
      <c r="HH104" s="28"/>
      <c r="HI104" s="28"/>
      <c r="HJ104" s="28"/>
      <c r="HK104" s="28"/>
    </row>
    <row r="105" spans="1:219" ht="15" customHeight="1">
      <c r="A105" s="49">
        <v>1</v>
      </c>
      <c r="B105" s="132" t="str">
        <f>VLOOKUP(Ruimtestaat[[#This Row],[Code]],Locaties[[Code]:[Locatie]],2,FALSE)</f>
        <v>Mirtehuis</v>
      </c>
      <c r="C105" s="132" t="str">
        <f>VLOOKUP(Ruimtestaat[[#This Row],[Code]],Locaties[[#All],[Code]:[Adres]],4,FALSE)</f>
        <v>Weseperweg 6</v>
      </c>
      <c r="D105" s="132" t="str">
        <f>VLOOKUP(Ruimtestaat[[#This Row],[Code]],Locaties[[#All],[Code]:[Postcode]],5,FALSE)</f>
        <v>8111 PK</v>
      </c>
      <c r="E105" s="132" t="str">
        <f>VLOOKUP(Ruimtestaat[[#This Row],[Code]],Locaties[#All],6,FALSE)</f>
        <v>Heeten</v>
      </c>
      <c r="F105" s="100"/>
      <c r="G105" s="100" t="s">
        <v>1677</v>
      </c>
      <c r="H105" s="344" t="s">
        <v>1683</v>
      </c>
      <c r="I105" s="345" t="s">
        <v>1656</v>
      </c>
      <c r="J105" s="49">
        <v>20</v>
      </c>
      <c r="K105" s="140" t="str">
        <f>VLOOKUP(Ruimtestaat[[#This Row],[Ruimte code]],Ruimtegroepen[[#All],[Code]:[Ruimte omschrijving]],2,FALSE)</f>
        <v>Niet in Onderhoud</v>
      </c>
      <c r="L105" s="100"/>
      <c r="M105" s="345"/>
      <c r="N105" s="133"/>
      <c r="O105" s="139"/>
      <c r="P105" s="134">
        <f>VLOOKUP(Ruimtestaat[[#This Row],[Ruimte code]],Ruimtegroepen[],4,FALSE)</f>
        <v>0</v>
      </c>
      <c r="Q105" s="100"/>
      <c r="R105" s="100"/>
      <c r="S105" s="100">
        <f>IF(Q105&gt;0,IF(RIGHT(Ruimtestaat[[#This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05" s="100">
        <f>IF(S105&gt;0,VLOOKUP($J105,Ruimtegroepen[],3,FALSE)*VLOOKUP($L105,Vloersoorten[],3,FALSE)*VLOOKUP($R105,Frequenties[],3,FALSE)*VLOOKUP($A105,Locaties[],3,FALSE),0)</f>
        <v>0</v>
      </c>
      <c r="U105" s="100">
        <f>Ruimtestaat[[#This Row],[Uitvoeringen werkdagen]]*Ruimtestaat[[#This Row],[Oppervlak (netto)]]</f>
        <v>0</v>
      </c>
      <c r="V105" s="135">
        <f>IF(T105&gt;0,Ruimtestaat[[#This Row],[Prest. (m2 /jaar) werkdagen]]/Ruimtestaat[[#This Row],[Norm (m2/uur) werkdagen]],0)</f>
        <v>0</v>
      </c>
      <c r="W105" s="136">
        <f>Ruimtestaat[[#This Row],[uren / jaar werkdagen]]*Tariefsopbouw!$E$35</f>
        <v>0</v>
      </c>
      <c r="X105" s="100"/>
      <c r="Y105" s="100">
        <f>IF(Ruimtestaat[[#This Row],[Frequentie weekend]]&gt;0,VALUE(LEFT(X105,1))*Q105,0)</f>
        <v>0</v>
      </c>
      <c r="Z105" s="99">
        <f>IF($Y105&gt;0,VLOOKUP($J105,Ruimtegroepen[],3,FALSE)*VLOOKUP($L105,Vloersoorten[],3,FALSE)*VLOOKUP($X105,Frequenties[],3,FALSE)*VLOOKUP(Ruimtestaat[[#This Row],[Code]],Locaties[],3,FALSE),0)</f>
        <v>0</v>
      </c>
      <c r="AA105" s="99">
        <f>Ruimtestaat[[#This Row],[Uitvoeringen weekend]]*Ruimtestaat[[#This Row],[Oppervlak (netto)]]</f>
        <v>0</v>
      </c>
      <c r="AB105" s="99">
        <f>IF(Z105&gt;0,Ruimtestaat[[#This Row],[Prest. (m2 /jaar) weekend]]/Ruimtestaat[[#This Row],[Norm (m2/uur) weekend]],0)</f>
        <v>0</v>
      </c>
      <c r="AC105" s="136">
        <f>Ruimtestaat[[#This Row],[uren / jaar weekend]]*Tariefsopbouw!$D$40</f>
        <v>0</v>
      </c>
      <c r="AD105" s="135">
        <f>Ruimtestaat[[#This Row],[Prest. (m2 /jaar) weekend]]+Ruimtestaat[[#This Row],[Prest. (m2 /jaar) werkdagen]]</f>
        <v>0</v>
      </c>
      <c r="AE105" s="135">
        <f>Ruimtestaat[[#This Row],[uren / jaar weekend]]+Ruimtestaat[[#This Row],[uren / jaar werkdagen]]</f>
        <v>0</v>
      </c>
      <c r="AF105" s="130">
        <f>Ruimtestaat[[#This Row],[kosten / jaar weekend]]+Ruimtestaat[[#This Row],[kosten / jaar werkdagen]]</f>
        <v>0</v>
      </c>
      <c r="AG105" s="130"/>
      <c r="AH105" s="137" t="str">
        <f>IF(Ruimtestaat[[#This Row],[Frequentie werkdagen]]="","",_xlfn.CONCAT(Ruimtestaat[[#This Row],[Ruimte code]],"-",Ruimtestaat[[#This Row],[Frequentie werkdagen]]," ",Ruimtestaat[[#This Row],[Vloer code]]))</f>
        <v/>
      </c>
      <c r="AI105" s="142" t="str">
        <f>_xlfn.IFNA(VLOOKUP($AH105,Programma!$F$3:$G$1101,2,0),"")</f>
        <v/>
      </c>
      <c r="AJ105" s="142" t="str">
        <f>_xlfn.IFNA(VLOOKUP($AH105,Programma!$F$3:$H$1101,3,0),"")</f>
        <v/>
      </c>
      <c r="AK105" s="142" t="str">
        <f>_xlfn.IFNA(VLOOKUP($AH105,Programma!$F$3:$I$1101,4,0),"")</f>
        <v/>
      </c>
      <c r="AL105" s="142" t="str">
        <f>_xlfn.IFNA(VLOOKUP($AH105,Programma!$F$3:$J$1101,5,0),"")</f>
        <v/>
      </c>
      <c r="AM105" s="142" t="str">
        <f>_xlfn.IFNA(VLOOKUP($AH105,Programma!$F$3:$K$1101,6,0),"")</f>
        <v/>
      </c>
      <c r="AN105" s="142" t="str">
        <f>_xlfn.IFNA(VLOOKUP($AH105,Programma!$F$3:$L$1101,7,0),"")</f>
        <v/>
      </c>
      <c r="AO105" s="142" t="str">
        <f>_xlfn.IFNA(VLOOKUP($AH105,Programma!$F$3:$M$1101,8,0),"")</f>
        <v/>
      </c>
      <c r="AP105" s="142" t="str">
        <f>_xlfn.IFNA(VLOOKUP($AH105,Programma!$F$3:$N$1101,9,0),"")</f>
        <v/>
      </c>
      <c r="AQ105" s="142" t="str">
        <f>_xlfn.IFNA(VLOOKUP($AH105,Programma!$F$3:$O$1101,10,0),"")</f>
        <v/>
      </c>
      <c r="AR105" s="142" t="str">
        <f>_xlfn.IFNA(VLOOKUP($AH105,Programma!$F$3:$P$1101,11,0),"")</f>
        <v/>
      </c>
      <c r="AS105" s="142" t="str">
        <f>_xlfn.IFNA(VLOOKUP($AH105,Programma!$F$3:$Q$1101,12,0),"")</f>
        <v/>
      </c>
      <c r="AT105" s="142" t="str">
        <f>_xlfn.IFNA(VLOOKUP($AH105,Programma!$F$3:$R$1101,13,0),"")</f>
        <v/>
      </c>
      <c r="AU105" s="142" t="str">
        <f>_xlfn.IFNA(VLOOKUP($AH105,Programma!$F$3:$S$1101,14,0),"")</f>
        <v/>
      </c>
      <c r="AV105" s="142" t="str">
        <f>_xlfn.IFNA(VLOOKUP($AH105,Programma!$F$3:$T$1101,15,0),"")</f>
        <v/>
      </c>
      <c r="AW105" s="142" t="str">
        <f>_xlfn.IFNA(VLOOKUP($AH105,Programma!$F$3:$U$1101,16,0),"")</f>
        <v/>
      </c>
      <c r="AX105" s="142" t="str">
        <f>_xlfn.IFNA(VLOOKUP($AH105,Programma!$F$3:$V$1101,17,0),"")</f>
        <v/>
      </c>
      <c r="AY105" s="142" t="str">
        <f>_xlfn.IFNA(VLOOKUP($AH105,Programma!$F$3:$W$1101,18,0),"")</f>
        <v/>
      </c>
      <c r="AZ105" s="142" t="str">
        <f>_xlfn.IFNA(VLOOKUP($AH105,Programma!$F$3:$X$1101,19,0),"")</f>
        <v/>
      </c>
      <c r="BA105" s="142" t="str">
        <f>_xlfn.IFNA(VLOOKUP($AH105,Programma!$F$3:$Y$1101,20,0),"")</f>
        <v/>
      </c>
      <c r="BB105" s="138"/>
      <c r="BC105" s="137" t="str">
        <f>IF(Ruimtestaat[[#This Row],[Frequentie weekend]]="","",_xlfn.CONCAT(Ruimtestaat[[#This Row],[Ruimte code]],"-",Ruimtestaat[[#This Row],[Frequentie weekend]]," ",Ruimtestaat[[#This Row],[Vloer code]]))</f>
        <v/>
      </c>
      <c r="BD105" s="142" t="str">
        <f>_xlfn.IFNA(VLOOKUP($BC105,Programma!$F$3:$G$1101,2,0),"")</f>
        <v/>
      </c>
      <c r="BE105" s="142" t="str">
        <f>_xlfn.IFNA(VLOOKUP($BC105,Programma!$F$3:$H$1101,3,0),"")</f>
        <v/>
      </c>
      <c r="BF105" s="142" t="str">
        <f>_xlfn.IFNA(VLOOKUP($BC105,Programma!$F$3:$I$1101,4,0),"")</f>
        <v/>
      </c>
      <c r="BG105" s="142" t="str">
        <f>_xlfn.IFNA(VLOOKUP($BC105,Programma!$F$3:$J$1101,5,0),"")</f>
        <v/>
      </c>
      <c r="BH105" s="142" t="str">
        <f>_xlfn.IFNA(VLOOKUP($BC105,Programma!$F$3:$K$1101,6,0),"")</f>
        <v/>
      </c>
      <c r="BI105" s="142" t="str">
        <f>_xlfn.IFNA(VLOOKUP($BC105,Programma!$F$3:$L$1101,7,0),"")</f>
        <v/>
      </c>
      <c r="BJ105" s="142" t="str">
        <f>_xlfn.IFNA(VLOOKUP($BC105,Programma!$F$3:$M$1101,8,0),"")</f>
        <v/>
      </c>
      <c r="BK105" s="142" t="str">
        <f>_xlfn.IFNA(VLOOKUP($BC105,Programma!$F$3:$N$1101,9,0),"")</f>
        <v/>
      </c>
      <c r="BL105" s="142" t="str">
        <f>_xlfn.IFNA(VLOOKUP($BC105,Programma!$F$3:$O$1101,10,0),"")</f>
        <v/>
      </c>
      <c r="BM105" s="142" t="str">
        <f>_xlfn.IFNA(VLOOKUP($BC105,Programma!$F$3:$P$1101,11,0),"")</f>
        <v/>
      </c>
      <c r="BN105" s="142" t="str">
        <f>_xlfn.IFNA(VLOOKUP($BC105,Programma!$F$3:$Q$1101,12,0),"")</f>
        <v/>
      </c>
      <c r="BO105" s="142" t="str">
        <f>_xlfn.IFNA(VLOOKUP($BC105,Programma!$F$3:$R$1101,13,0),"")</f>
        <v/>
      </c>
      <c r="BP105" s="142" t="str">
        <f>_xlfn.IFNA(VLOOKUP($BC105,Programma!$F$3:$S$1101,14,0),"")</f>
        <v/>
      </c>
      <c r="BQ105" s="142" t="str">
        <f>_xlfn.IFNA(VLOOKUP($BC105,Programma!$F$3:$T$1101,15,0),"")</f>
        <v/>
      </c>
      <c r="BR105" s="142" t="str">
        <f>_xlfn.IFNA(VLOOKUP($BC105,Programma!$F$3:$U$1101,16,0),"")</f>
        <v/>
      </c>
      <c r="BS105" s="142" t="str">
        <f>_xlfn.IFNA(VLOOKUP($BC105,Programma!$F$3:$V$1101,17,0),"")</f>
        <v/>
      </c>
      <c r="BT105" s="142" t="str">
        <f>_xlfn.IFNA(VLOOKUP($BC105,Programma!$F$3:$W$1101,18,0),"")</f>
        <v/>
      </c>
      <c r="BU105" s="142" t="str">
        <f>_xlfn.IFNA(VLOOKUP($BC105,Programma!$F$3:$X$1101,19,0),"")</f>
        <v/>
      </c>
      <c r="BV105" s="142" t="str">
        <f>_xlfn.IFNA(VLOOKUP($BC105,Programma!$F$3:$Y$1101,20,0),"")</f>
        <v/>
      </c>
      <c r="BW105" s="28"/>
      <c r="BX105" s="28"/>
      <c r="BY105" s="28"/>
      <c r="BZ105" s="28"/>
      <c r="CA105" s="28"/>
      <c r="CB105" s="28"/>
      <c r="CC105" s="28"/>
      <c r="CD105" s="28"/>
      <c r="CE105" s="28"/>
      <c r="CF105" s="28"/>
      <c r="CG105" s="28"/>
      <c r="CH105" s="28"/>
      <c r="CI105" s="28"/>
      <c r="CJ105" s="28"/>
      <c r="CK105" s="28"/>
      <c r="CL105" s="28"/>
      <c r="CM105" s="28"/>
      <c r="CN105" s="28"/>
      <c r="CO105" s="28"/>
      <c r="CP105" s="28"/>
      <c r="CQ105" s="28"/>
      <c r="CR105" s="28"/>
      <c r="CS105" s="28"/>
      <c r="CT105" s="28"/>
      <c r="CU105" s="28"/>
      <c r="CV105" s="28"/>
      <c r="CW105" s="28"/>
      <c r="CX105" s="28"/>
      <c r="CY105" s="28"/>
      <c r="CZ105" s="28"/>
      <c r="DA105" s="28"/>
      <c r="DB105" s="28"/>
      <c r="DC105" s="28"/>
      <c r="DD105" s="28"/>
      <c r="DE105" s="28"/>
      <c r="DF105" s="28"/>
      <c r="DG105" s="28"/>
      <c r="DH105" s="28"/>
      <c r="DI105" s="28"/>
      <c r="DJ105" s="28"/>
      <c r="DK105" s="28"/>
      <c r="DL105" s="28"/>
      <c r="DM105" s="28"/>
      <c r="DN105" s="28"/>
      <c r="DO105" s="28"/>
      <c r="DP105" s="28"/>
      <c r="DQ105" s="28"/>
      <c r="DR105" s="28"/>
      <c r="DS105" s="28"/>
      <c r="DT105" s="28"/>
      <c r="DU105" s="28"/>
      <c r="DV105" s="28"/>
      <c r="DW105" s="28"/>
      <c r="DX105" s="28"/>
      <c r="DY105" s="28"/>
      <c r="DZ105" s="28"/>
      <c r="EA105" s="28"/>
      <c r="EB105" s="28"/>
      <c r="EC105" s="28"/>
      <c r="ED105" s="28"/>
      <c r="EE105" s="28"/>
      <c r="EF105" s="28"/>
      <c r="EG105" s="28"/>
      <c r="EH105" s="28"/>
      <c r="EI105" s="28"/>
      <c r="EJ105" s="28"/>
      <c r="EK105" s="28"/>
      <c r="EL105" s="28"/>
      <c r="EM105" s="28"/>
      <c r="EN105" s="28"/>
      <c r="EO105" s="28"/>
      <c r="EP105" s="28"/>
      <c r="EQ105" s="28"/>
      <c r="ER105" s="28"/>
      <c r="ES105" s="28"/>
      <c r="ET105" s="28"/>
      <c r="EU105" s="28"/>
      <c r="EV105" s="28"/>
      <c r="EW105" s="28"/>
      <c r="EX105" s="28"/>
      <c r="EY105" s="28"/>
      <c r="EZ105" s="28"/>
      <c r="FA105" s="28"/>
      <c r="FB105" s="28"/>
      <c r="FC105" s="28"/>
      <c r="FD105" s="28"/>
      <c r="FE105" s="28"/>
      <c r="FF105" s="28"/>
      <c r="FG105" s="28"/>
      <c r="FH105" s="28"/>
      <c r="FI105" s="28"/>
      <c r="FJ105" s="28"/>
      <c r="FK105" s="28"/>
      <c r="FL105" s="28"/>
      <c r="FM105" s="28"/>
      <c r="FN105" s="28"/>
      <c r="FO105" s="28"/>
      <c r="FP105" s="28"/>
      <c r="FQ105" s="28"/>
      <c r="FR105" s="28"/>
      <c r="FS105" s="28"/>
      <c r="FT105" s="28"/>
      <c r="FU105" s="28"/>
      <c r="FV105" s="28"/>
      <c r="FW105" s="28"/>
      <c r="FX105" s="28"/>
      <c r="FY105" s="28"/>
      <c r="FZ105" s="28"/>
      <c r="GA105" s="28"/>
      <c r="GB105" s="28"/>
      <c r="GC105" s="28"/>
      <c r="GD105" s="28"/>
      <c r="GE105" s="28"/>
      <c r="GF105" s="28"/>
      <c r="GG105" s="28"/>
      <c r="GH105" s="28"/>
      <c r="GI105" s="28"/>
      <c r="GJ105" s="28"/>
      <c r="GK105" s="28"/>
      <c r="GL105" s="28"/>
      <c r="GM105" s="28"/>
      <c r="GN105" s="28"/>
      <c r="GO105" s="28"/>
      <c r="GP105" s="28"/>
      <c r="GQ105" s="28"/>
      <c r="GR105" s="28"/>
      <c r="GS105" s="28"/>
      <c r="GT105" s="28"/>
      <c r="GU105" s="28"/>
      <c r="GV105" s="28"/>
      <c r="GW105" s="28"/>
      <c r="GX105" s="28"/>
      <c r="GY105" s="28"/>
      <c r="GZ105" s="28"/>
      <c r="HA105" s="28"/>
      <c r="HB105" s="28"/>
      <c r="HC105" s="28"/>
      <c r="HD105" s="28"/>
      <c r="HE105" s="28"/>
      <c r="HF105" s="28"/>
      <c r="HG105" s="28"/>
      <c r="HH105" s="28"/>
      <c r="HI105" s="28"/>
      <c r="HJ105" s="28"/>
      <c r="HK105" s="28"/>
    </row>
    <row r="106" spans="1:219" ht="15" customHeight="1">
      <c r="A106" s="49">
        <v>1</v>
      </c>
      <c r="B106" s="132" t="str">
        <f>VLOOKUP(Ruimtestaat[[#This Row],[Code]],Locaties[[Code]:[Locatie]],2,FALSE)</f>
        <v>Mirtehuis</v>
      </c>
      <c r="C106" s="132" t="str">
        <f>VLOOKUP(Ruimtestaat[[#This Row],[Code]],Locaties[[#All],[Code]:[Adres]],4,FALSE)</f>
        <v>Weseperweg 6</v>
      </c>
      <c r="D106" s="132" t="str">
        <f>VLOOKUP(Ruimtestaat[[#This Row],[Code]],Locaties[[#All],[Code]:[Postcode]],5,FALSE)</f>
        <v>8111 PK</v>
      </c>
      <c r="E106" s="132" t="str">
        <f>VLOOKUP(Ruimtestaat[[#This Row],[Code]],Locaties[#All],6,FALSE)</f>
        <v>Heeten</v>
      </c>
      <c r="F106" s="100"/>
      <c r="G106" s="100" t="s">
        <v>1677</v>
      </c>
      <c r="H106" s="344" t="s">
        <v>1684</v>
      </c>
      <c r="I106" s="345" t="s">
        <v>1656</v>
      </c>
      <c r="J106" s="49">
        <v>20</v>
      </c>
      <c r="K106" s="140" t="str">
        <f>VLOOKUP(Ruimtestaat[[#This Row],[Ruimte code]],Ruimtegroepen[[#All],[Code]:[Ruimte omschrijving]],2,FALSE)</f>
        <v>Niet in Onderhoud</v>
      </c>
      <c r="L106" s="100"/>
      <c r="M106" s="345"/>
      <c r="N106" s="133"/>
      <c r="O106" s="100"/>
      <c r="P106" s="134">
        <f>VLOOKUP(Ruimtestaat[[#This Row],[Ruimte code]],Ruimtegroepen[],4,FALSE)</f>
        <v>0</v>
      </c>
      <c r="Q106" s="100"/>
      <c r="R106" s="100"/>
      <c r="S106" s="100">
        <f>IF(Q106&gt;0,IF(RIGHT(Ruimtestaat[[#This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06" s="100">
        <f>IF(S106&gt;0,VLOOKUP($J106,Ruimtegroepen[],3,FALSE)*VLOOKUP($L106,Vloersoorten[],3,FALSE)*VLOOKUP($R106,Frequenties[],3,FALSE)*VLOOKUP($A106,Locaties[],3,FALSE),0)</f>
        <v>0</v>
      </c>
      <c r="U106" s="100">
        <f>Ruimtestaat[[#This Row],[Uitvoeringen werkdagen]]*Ruimtestaat[[#This Row],[Oppervlak (netto)]]</f>
        <v>0</v>
      </c>
      <c r="V106" s="135">
        <f>IF(T106&gt;0,Ruimtestaat[[#This Row],[Prest. (m2 /jaar) werkdagen]]/Ruimtestaat[[#This Row],[Norm (m2/uur) werkdagen]],0)</f>
        <v>0</v>
      </c>
      <c r="W106" s="136">
        <f>Ruimtestaat[[#This Row],[uren / jaar werkdagen]]*Tariefsopbouw!$E$35</f>
        <v>0</v>
      </c>
      <c r="X106" s="100"/>
      <c r="Y106" s="100">
        <f>IF(Ruimtestaat[[#This Row],[Frequentie weekend]]&gt;0,VALUE(LEFT(X106,1))*Q106,0)</f>
        <v>0</v>
      </c>
      <c r="Z106" s="99">
        <f>IF($Y106&gt;0,VLOOKUP($J106,Ruimtegroepen[],3,FALSE)*VLOOKUP($L106,Vloersoorten[],3,FALSE)*VLOOKUP($X106,Frequenties[],3,FALSE)*VLOOKUP(Ruimtestaat[[#This Row],[Code]],Locaties[],3,FALSE),0)</f>
        <v>0</v>
      </c>
      <c r="AA106" s="99">
        <f>Ruimtestaat[[#This Row],[Uitvoeringen weekend]]*Ruimtestaat[[#This Row],[Oppervlak (netto)]]</f>
        <v>0</v>
      </c>
      <c r="AB106" s="99">
        <f>IF(Z106&gt;0,Ruimtestaat[[#This Row],[Prest. (m2 /jaar) weekend]]/Ruimtestaat[[#This Row],[Norm (m2/uur) weekend]],0)</f>
        <v>0</v>
      </c>
      <c r="AC106" s="136">
        <f>Ruimtestaat[[#This Row],[uren / jaar weekend]]*Tariefsopbouw!$D$40</f>
        <v>0</v>
      </c>
      <c r="AD106" s="135">
        <f>Ruimtestaat[[#This Row],[Prest. (m2 /jaar) weekend]]+Ruimtestaat[[#This Row],[Prest. (m2 /jaar) werkdagen]]</f>
        <v>0</v>
      </c>
      <c r="AE106" s="135">
        <f>Ruimtestaat[[#This Row],[uren / jaar weekend]]+Ruimtestaat[[#This Row],[uren / jaar werkdagen]]</f>
        <v>0</v>
      </c>
      <c r="AF106" s="130">
        <f>Ruimtestaat[[#This Row],[kosten / jaar weekend]]+Ruimtestaat[[#This Row],[kosten / jaar werkdagen]]</f>
        <v>0</v>
      </c>
      <c r="AG106" s="130"/>
      <c r="AH106" s="137" t="str">
        <f>IF(Ruimtestaat[[#This Row],[Frequentie werkdagen]]="","",_xlfn.CONCAT(Ruimtestaat[[#This Row],[Ruimte code]],"-",Ruimtestaat[[#This Row],[Frequentie werkdagen]]," ",Ruimtestaat[[#This Row],[Vloer code]]))</f>
        <v/>
      </c>
      <c r="AI106" s="142" t="str">
        <f>_xlfn.IFNA(VLOOKUP($AH106,Programma!$F$3:$G$1101,2,0),"")</f>
        <v/>
      </c>
      <c r="AJ106" s="142" t="str">
        <f>_xlfn.IFNA(VLOOKUP($AH106,Programma!$F$3:$H$1101,3,0),"")</f>
        <v/>
      </c>
      <c r="AK106" s="142" t="str">
        <f>_xlfn.IFNA(VLOOKUP($AH106,Programma!$F$3:$I$1101,4,0),"")</f>
        <v/>
      </c>
      <c r="AL106" s="142" t="str">
        <f>_xlfn.IFNA(VLOOKUP($AH106,Programma!$F$3:$J$1101,5,0),"")</f>
        <v/>
      </c>
      <c r="AM106" s="142" t="str">
        <f>_xlfn.IFNA(VLOOKUP($AH106,Programma!$F$3:$K$1101,6,0),"")</f>
        <v/>
      </c>
      <c r="AN106" s="142" t="str">
        <f>_xlfn.IFNA(VLOOKUP($AH106,Programma!$F$3:$L$1101,7,0),"")</f>
        <v/>
      </c>
      <c r="AO106" s="142" t="str">
        <f>_xlfn.IFNA(VLOOKUP($AH106,Programma!$F$3:$M$1101,8,0),"")</f>
        <v/>
      </c>
      <c r="AP106" s="142" t="str">
        <f>_xlfn.IFNA(VLOOKUP($AH106,Programma!$F$3:$N$1101,9,0),"")</f>
        <v/>
      </c>
      <c r="AQ106" s="142" t="str">
        <f>_xlfn.IFNA(VLOOKUP($AH106,Programma!$F$3:$O$1101,10,0),"")</f>
        <v/>
      </c>
      <c r="AR106" s="142" t="str">
        <f>_xlfn.IFNA(VLOOKUP($AH106,Programma!$F$3:$P$1101,11,0),"")</f>
        <v/>
      </c>
      <c r="AS106" s="142" t="str">
        <f>_xlfn.IFNA(VLOOKUP($AH106,Programma!$F$3:$Q$1101,12,0),"")</f>
        <v/>
      </c>
      <c r="AT106" s="142" t="str">
        <f>_xlfn.IFNA(VLOOKUP($AH106,Programma!$F$3:$R$1101,13,0),"")</f>
        <v/>
      </c>
      <c r="AU106" s="142" t="str">
        <f>_xlfn.IFNA(VLOOKUP($AH106,Programma!$F$3:$S$1101,14,0),"")</f>
        <v/>
      </c>
      <c r="AV106" s="142" t="str">
        <f>_xlfn.IFNA(VLOOKUP($AH106,Programma!$F$3:$T$1101,15,0),"")</f>
        <v/>
      </c>
      <c r="AW106" s="142" t="str">
        <f>_xlfn.IFNA(VLOOKUP($AH106,Programma!$F$3:$U$1101,16,0),"")</f>
        <v/>
      </c>
      <c r="AX106" s="142" t="str">
        <f>_xlfn.IFNA(VLOOKUP($AH106,Programma!$F$3:$V$1101,17,0),"")</f>
        <v/>
      </c>
      <c r="AY106" s="142" t="str">
        <f>_xlfn.IFNA(VLOOKUP($AH106,Programma!$F$3:$W$1101,18,0),"")</f>
        <v/>
      </c>
      <c r="AZ106" s="142" t="str">
        <f>_xlfn.IFNA(VLOOKUP($AH106,Programma!$F$3:$X$1101,19,0),"")</f>
        <v/>
      </c>
      <c r="BA106" s="142" t="str">
        <f>_xlfn.IFNA(VLOOKUP($AH106,Programma!$F$3:$Y$1101,20,0),"")</f>
        <v/>
      </c>
      <c r="BB106" s="138"/>
      <c r="BC106" s="137" t="str">
        <f>IF(Ruimtestaat[[#This Row],[Frequentie weekend]]="","",_xlfn.CONCAT(Ruimtestaat[[#This Row],[Ruimte code]],"-",Ruimtestaat[[#This Row],[Frequentie weekend]]," ",Ruimtestaat[[#This Row],[Vloer code]]))</f>
        <v/>
      </c>
      <c r="BD106" s="142" t="str">
        <f>_xlfn.IFNA(VLOOKUP($BC106,Programma!$F$3:$G$1101,2,0),"")</f>
        <v/>
      </c>
      <c r="BE106" s="142" t="str">
        <f>_xlfn.IFNA(VLOOKUP($BC106,Programma!$F$3:$H$1101,3,0),"")</f>
        <v/>
      </c>
      <c r="BF106" s="142" t="str">
        <f>_xlfn.IFNA(VLOOKUP($BC106,Programma!$F$3:$I$1101,4,0),"")</f>
        <v/>
      </c>
      <c r="BG106" s="142" t="str">
        <f>_xlfn.IFNA(VLOOKUP($BC106,Programma!$F$3:$J$1101,5,0),"")</f>
        <v/>
      </c>
      <c r="BH106" s="142" t="str">
        <f>_xlfn.IFNA(VLOOKUP($BC106,Programma!$F$3:$K$1101,6,0),"")</f>
        <v/>
      </c>
      <c r="BI106" s="142" t="str">
        <f>_xlfn.IFNA(VLOOKUP($BC106,Programma!$F$3:$L$1101,7,0),"")</f>
        <v/>
      </c>
      <c r="BJ106" s="142" t="str">
        <f>_xlfn.IFNA(VLOOKUP($BC106,Programma!$F$3:$M$1101,8,0),"")</f>
        <v/>
      </c>
      <c r="BK106" s="142" t="str">
        <f>_xlfn.IFNA(VLOOKUP($BC106,Programma!$F$3:$N$1101,9,0),"")</f>
        <v/>
      </c>
      <c r="BL106" s="142" t="str">
        <f>_xlfn.IFNA(VLOOKUP($BC106,Programma!$F$3:$O$1101,10,0),"")</f>
        <v/>
      </c>
      <c r="BM106" s="142" t="str">
        <f>_xlfn.IFNA(VLOOKUP($BC106,Programma!$F$3:$P$1101,11,0),"")</f>
        <v/>
      </c>
      <c r="BN106" s="142" t="str">
        <f>_xlfn.IFNA(VLOOKUP($BC106,Programma!$F$3:$Q$1101,12,0),"")</f>
        <v/>
      </c>
      <c r="BO106" s="142" t="str">
        <f>_xlfn.IFNA(VLOOKUP($BC106,Programma!$F$3:$R$1101,13,0),"")</f>
        <v/>
      </c>
      <c r="BP106" s="142" t="str">
        <f>_xlfn.IFNA(VLOOKUP($BC106,Programma!$F$3:$S$1101,14,0),"")</f>
        <v/>
      </c>
      <c r="BQ106" s="142" t="str">
        <f>_xlfn.IFNA(VLOOKUP($BC106,Programma!$F$3:$T$1101,15,0),"")</f>
        <v/>
      </c>
      <c r="BR106" s="142" t="str">
        <f>_xlfn.IFNA(VLOOKUP($BC106,Programma!$F$3:$U$1101,16,0),"")</f>
        <v/>
      </c>
      <c r="BS106" s="142" t="str">
        <f>_xlfn.IFNA(VLOOKUP($BC106,Programma!$F$3:$V$1101,17,0),"")</f>
        <v/>
      </c>
      <c r="BT106" s="142" t="str">
        <f>_xlfn.IFNA(VLOOKUP($BC106,Programma!$F$3:$W$1101,18,0),"")</f>
        <v/>
      </c>
      <c r="BU106" s="142" t="str">
        <f>_xlfn.IFNA(VLOOKUP($BC106,Programma!$F$3:$X$1101,19,0),"")</f>
        <v/>
      </c>
      <c r="BV106" s="142" t="str">
        <f>_xlfn.IFNA(VLOOKUP($BC106,Programma!$F$3:$Y$1101,20,0),"")</f>
        <v/>
      </c>
      <c r="BW106" s="28"/>
      <c r="BX106" s="28"/>
      <c r="BY106" s="28"/>
      <c r="BZ106" s="28"/>
      <c r="CA106" s="28"/>
      <c r="CB106" s="28"/>
      <c r="CC106" s="28"/>
      <c r="CD106" s="28"/>
      <c r="CE106" s="28"/>
      <c r="CF106" s="28"/>
      <c r="CG106" s="28"/>
      <c r="CH106" s="28"/>
      <c r="CI106" s="28"/>
      <c r="CJ106" s="28"/>
      <c r="CK106" s="28"/>
      <c r="CL106" s="28"/>
      <c r="CM106" s="28"/>
      <c r="CN106" s="28"/>
      <c r="CO106" s="28"/>
      <c r="CP106" s="28"/>
      <c r="CQ106" s="28"/>
      <c r="CR106" s="28"/>
      <c r="CS106" s="28"/>
      <c r="CT106" s="28"/>
      <c r="CU106" s="28"/>
      <c r="CV106" s="28"/>
      <c r="CW106" s="28"/>
      <c r="CX106" s="28"/>
      <c r="CY106" s="28"/>
      <c r="CZ106" s="28"/>
      <c r="DA106" s="28"/>
      <c r="DB106" s="28"/>
      <c r="DC106" s="28"/>
      <c r="DD106" s="28"/>
      <c r="DE106" s="28"/>
      <c r="DF106" s="28"/>
      <c r="DG106" s="28"/>
      <c r="DH106" s="28"/>
      <c r="DI106" s="28"/>
      <c r="DJ106" s="28"/>
      <c r="DK106" s="28"/>
      <c r="DL106" s="28"/>
      <c r="DM106" s="28"/>
      <c r="DN106" s="28"/>
      <c r="DO106" s="28"/>
      <c r="DP106" s="28"/>
      <c r="DQ106" s="28"/>
      <c r="DR106" s="28"/>
      <c r="DS106" s="28"/>
      <c r="DT106" s="28"/>
      <c r="DU106" s="28"/>
      <c r="DV106" s="28"/>
      <c r="DW106" s="28"/>
      <c r="DX106" s="28"/>
      <c r="DY106" s="28"/>
      <c r="DZ106" s="28"/>
      <c r="EA106" s="28"/>
      <c r="EB106" s="28"/>
      <c r="EC106" s="28"/>
      <c r="ED106" s="28"/>
      <c r="EE106" s="28"/>
      <c r="EF106" s="28"/>
      <c r="EG106" s="28"/>
      <c r="EH106" s="28"/>
      <c r="EI106" s="28"/>
      <c r="EJ106" s="28"/>
      <c r="EK106" s="28"/>
      <c r="EL106" s="28"/>
      <c r="EM106" s="28"/>
      <c r="EN106" s="28"/>
      <c r="EO106" s="28"/>
      <c r="EP106" s="28"/>
      <c r="EQ106" s="28"/>
      <c r="ER106" s="28"/>
      <c r="ES106" s="28"/>
      <c r="ET106" s="28"/>
      <c r="EU106" s="28"/>
      <c r="EV106" s="28"/>
      <c r="EW106" s="28"/>
      <c r="EX106" s="28"/>
      <c r="EY106" s="28"/>
      <c r="EZ106" s="28"/>
      <c r="FA106" s="28"/>
      <c r="FB106" s="28"/>
      <c r="FC106" s="28"/>
      <c r="FD106" s="28"/>
      <c r="FE106" s="28"/>
      <c r="FF106" s="28"/>
      <c r="FG106" s="28"/>
      <c r="FH106" s="28"/>
      <c r="FI106" s="28"/>
      <c r="FJ106" s="28"/>
      <c r="FK106" s="28"/>
      <c r="FL106" s="28"/>
      <c r="FM106" s="28"/>
      <c r="FN106" s="28"/>
      <c r="FO106" s="28"/>
      <c r="FP106" s="28"/>
      <c r="FQ106" s="28"/>
      <c r="FR106" s="28"/>
      <c r="FS106" s="28"/>
      <c r="FT106" s="28"/>
      <c r="FU106" s="28"/>
      <c r="FV106" s="28"/>
      <c r="FW106" s="28"/>
      <c r="FX106" s="28"/>
      <c r="FY106" s="28"/>
      <c r="FZ106" s="28"/>
      <c r="GA106" s="28"/>
      <c r="GB106" s="28"/>
      <c r="GC106" s="28"/>
      <c r="GD106" s="28"/>
      <c r="GE106" s="28"/>
      <c r="GF106" s="28"/>
      <c r="GG106" s="28"/>
      <c r="GH106" s="28"/>
      <c r="GI106" s="28"/>
      <c r="GJ106" s="28"/>
      <c r="GK106" s="28"/>
      <c r="GL106" s="28"/>
      <c r="GM106" s="28"/>
      <c r="GN106" s="28"/>
      <c r="GO106" s="28"/>
      <c r="GP106" s="28"/>
      <c r="GQ106" s="28"/>
      <c r="GR106" s="28"/>
      <c r="GS106" s="28"/>
      <c r="GT106" s="28"/>
      <c r="GU106" s="28"/>
      <c r="GV106" s="28"/>
      <c r="GW106" s="28"/>
      <c r="GX106" s="28"/>
      <c r="GY106" s="28"/>
      <c r="GZ106" s="28"/>
      <c r="HA106" s="28"/>
      <c r="HB106" s="28"/>
      <c r="HC106" s="28"/>
      <c r="HD106" s="28"/>
      <c r="HE106" s="28"/>
      <c r="HF106" s="28"/>
      <c r="HG106" s="28"/>
      <c r="HH106" s="28"/>
      <c r="HI106" s="28"/>
      <c r="HJ106" s="28"/>
      <c r="HK106" s="28"/>
    </row>
    <row r="107" spans="1:219" ht="15" customHeight="1">
      <c r="A107" s="49">
        <v>1</v>
      </c>
      <c r="B107" s="132" t="str">
        <f>VLOOKUP(Ruimtestaat[[#This Row],[Code]],Locaties[[Code]:[Locatie]],2,FALSE)</f>
        <v>Mirtehuis</v>
      </c>
      <c r="C107" s="132" t="str">
        <f>VLOOKUP(Ruimtestaat[[#This Row],[Code]],Locaties[[#All],[Code]:[Adres]],4,FALSE)</f>
        <v>Weseperweg 6</v>
      </c>
      <c r="D107" s="132" t="str">
        <f>VLOOKUP(Ruimtestaat[[#This Row],[Code]],Locaties[[#All],[Code]:[Postcode]],5,FALSE)</f>
        <v>8111 PK</v>
      </c>
      <c r="E107" s="132" t="str">
        <f>VLOOKUP(Ruimtestaat[[#This Row],[Code]],Locaties[#All],6,FALSE)</f>
        <v>Heeten</v>
      </c>
      <c r="F107" s="100"/>
      <c r="G107" s="100" t="s">
        <v>1677</v>
      </c>
      <c r="H107" s="344"/>
      <c r="I107" s="345" t="s">
        <v>1650</v>
      </c>
      <c r="J107" s="49">
        <v>6</v>
      </c>
      <c r="K107" s="140" t="str">
        <f>VLOOKUP(Ruimtestaat[[#This Row],[Ruimte code]],Ruimtegroepen[[#All],[Code]:[Ruimte omschrijving]],2,FALSE)</f>
        <v>Gangen/hallen</v>
      </c>
      <c r="L107" s="100" t="s">
        <v>99</v>
      </c>
      <c r="M107" s="345" t="s">
        <v>36</v>
      </c>
      <c r="N107" s="133">
        <v>8.6</v>
      </c>
      <c r="O107" s="139"/>
      <c r="P107" s="134" t="str">
        <f>VLOOKUP(Ruimtestaat[[#This Row],[Ruimte code]],Ruimtegroepen[],4,FALSE)</f>
        <v>Ve</v>
      </c>
      <c r="Q107" s="100">
        <v>51</v>
      </c>
      <c r="R107" s="100" t="s">
        <v>2</v>
      </c>
      <c r="S107" s="100">
        <f>IF(Q107&gt;0,IF(RIGHT(Ruimtestaat[[#This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07" s="100">
        <f>IF(S107&gt;0,VLOOKUP($J107,Ruimtegroepen[],3,FALSE)*VLOOKUP($L107,Vloersoorten[],3,FALSE)*VLOOKUP($R107,Frequenties[],3,FALSE)*VLOOKUP($A107,Locaties[],3,FALSE),0)</f>
        <v>0</v>
      </c>
      <c r="U107" s="100">
        <f>Ruimtestaat[[#This Row],[Uitvoeringen werkdagen]]*Ruimtestaat[[#This Row],[Oppervlak (netto)]]</f>
        <v>2193</v>
      </c>
      <c r="V107" s="135">
        <f>IF(T107&gt;0,Ruimtestaat[[#This Row],[Prest. (m2 /jaar) werkdagen]]/Ruimtestaat[[#This Row],[Norm (m2/uur) werkdagen]],0)</f>
        <v>0</v>
      </c>
      <c r="W107" s="136">
        <f>Ruimtestaat[[#This Row],[uren / jaar werkdagen]]*Tariefsopbouw!$E$35</f>
        <v>0</v>
      </c>
      <c r="X107" s="100"/>
      <c r="Y107" s="100">
        <f>IF(Ruimtestaat[[#This Row],[Frequentie weekend]]&gt;0,VALUE(LEFT(X107,1))*Q107,0)</f>
        <v>0</v>
      </c>
      <c r="Z107" s="99">
        <f>IF($Y107&gt;0,VLOOKUP($J107,Ruimtegroepen[],3,FALSE)*VLOOKUP($L107,Vloersoorten[],3,FALSE)*VLOOKUP($X107,Frequenties[],3,FALSE)*VLOOKUP(Ruimtestaat[[#This Row],[Code]],Locaties[],3,FALSE),0)</f>
        <v>0</v>
      </c>
      <c r="AA107" s="99">
        <f>Ruimtestaat[[#This Row],[Uitvoeringen weekend]]*Ruimtestaat[[#This Row],[Oppervlak (netto)]]</f>
        <v>0</v>
      </c>
      <c r="AB107" s="99">
        <f>IF(Z107&gt;0,Ruimtestaat[[#This Row],[Prest. (m2 /jaar) weekend]]/Ruimtestaat[[#This Row],[Norm (m2/uur) weekend]],0)</f>
        <v>0</v>
      </c>
      <c r="AC107" s="136">
        <f>Ruimtestaat[[#This Row],[uren / jaar weekend]]*Tariefsopbouw!$D$40</f>
        <v>0</v>
      </c>
      <c r="AD107" s="135">
        <f>Ruimtestaat[[#This Row],[Prest. (m2 /jaar) weekend]]+Ruimtestaat[[#This Row],[Prest. (m2 /jaar) werkdagen]]</f>
        <v>2193</v>
      </c>
      <c r="AE107" s="135">
        <f>Ruimtestaat[[#This Row],[uren / jaar weekend]]+Ruimtestaat[[#This Row],[uren / jaar werkdagen]]</f>
        <v>0</v>
      </c>
      <c r="AF107" s="130">
        <f>Ruimtestaat[[#This Row],[kosten / jaar weekend]]+Ruimtestaat[[#This Row],[kosten / jaar werkdagen]]</f>
        <v>0</v>
      </c>
      <c r="AG107" s="130"/>
      <c r="AH107" s="137" t="str">
        <f>IF(Ruimtestaat[[#This Row],[Frequentie werkdagen]]="","",_xlfn.CONCAT(Ruimtestaat[[#This Row],[Ruimte code]],"-",Ruimtestaat[[#This Row],[Frequentie werkdagen]]," ",Ruimtestaat[[#This Row],[Vloer code]]))</f>
        <v>6-5w T</v>
      </c>
      <c r="AI107" s="142" t="str">
        <f>_xlfn.IFNA(VLOOKUP($AH107,Programma!$F$3:$G$1101,2,0),"")</f>
        <v>_</v>
      </c>
      <c r="AJ107" s="142" t="str">
        <f>_xlfn.IFNA(VLOOKUP($AH107,Programma!$F$3:$H$1101,3,0),"")</f>
        <v>5w</v>
      </c>
      <c r="AK107" s="142" t="str">
        <f>_xlfn.IFNA(VLOOKUP($AH107,Programma!$F$3:$I$1101,4,0),"")</f>
        <v>_</v>
      </c>
      <c r="AL107" s="142" t="str">
        <f>_xlfn.IFNA(VLOOKUP($AH107,Programma!$F$3:$J$1101,5,0),"")</f>
        <v>_</v>
      </c>
      <c r="AM107" s="142" t="str">
        <f>_xlfn.IFNA(VLOOKUP($AH107,Programma!$F$3:$K$1101,6,0),"")</f>
        <v>_</v>
      </c>
      <c r="AN107" s="142" t="str">
        <f>_xlfn.IFNA(VLOOKUP($AH107,Programma!$F$3:$L$1101,7,0),"")</f>
        <v>_</v>
      </c>
      <c r="AO107" s="142" t="str">
        <f>_xlfn.IFNA(VLOOKUP($AH107,Programma!$F$3:$M$1101,8,0),"")</f>
        <v>_</v>
      </c>
      <c r="AP107" s="142" t="str">
        <f>_xlfn.IFNA(VLOOKUP($AH107,Programma!$F$3:$N$1101,9,0),"")</f>
        <v>_</v>
      </c>
      <c r="AQ107" s="142" t="str">
        <f>_xlfn.IFNA(VLOOKUP($AH107,Programma!$F$3:$O$1101,10,0),"")</f>
        <v>5w</v>
      </c>
      <c r="AR107" s="142" t="str">
        <f>_xlfn.IFNA(VLOOKUP($AH107,Programma!$F$3:$P$1101,11,0),"")</f>
        <v>5w</v>
      </c>
      <c r="AS107" s="142" t="str">
        <f>_xlfn.IFNA(VLOOKUP($AH107,Programma!$F$3:$Q$1101,12,0),"")</f>
        <v>1w</v>
      </c>
      <c r="AT107" s="142" t="str">
        <f>_xlfn.IFNA(VLOOKUP($AH107,Programma!$F$3:$R$1101,13,0),"")</f>
        <v>1w</v>
      </c>
      <c r="AU107" s="142" t="str">
        <f>_xlfn.IFNA(VLOOKUP($AH107,Programma!$F$3:$S$1101,14,0),"")</f>
        <v>1m</v>
      </c>
      <c r="AV107" s="142" t="str">
        <f>_xlfn.IFNA(VLOOKUP($AH107,Programma!$F$3:$T$1101,15,0),"")</f>
        <v>2j</v>
      </c>
      <c r="AW107" s="142" t="str">
        <f>_xlfn.IFNA(VLOOKUP($AH107,Programma!$F$3:$U$1101,16,0),"")</f>
        <v>1j</v>
      </c>
      <c r="AX107" s="142" t="str">
        <f>_xlfn.IFNA(VLOOKUP($AH107,Programma!$F$3:$V$1101,17,0),"")</f>
        <v>_</v>
      </c>
      <c r="AY107" s="142" t="str">
        <f>_xlfn.IFNA(VLOOKUP($AH107,Programma!$F$3:$W$1101,18,0),"")</f>
        <v>_</v>
      </c>
      <c r="AZ107" s="142" t="str">
        <f>_xlfn.IFNA(VLOOKUP($AH107,Programma!$F$3:$X$1101,19,0),"")</f>
        <v>_</v>
      </c>
      <c r="BA107" s="142" t="str">
        <f>_xlfn.IFNA(VLOOKUP($AH107,Programma!$F$3:$Y$1101,20,0),"")</f>
        <v>_</v>
      </c>
      <c r="BB107" s="138"/>
      <c r="BC107" s="137" t="str">
        <f>IF(Ruimtestaat[[#This Row],[Frequentie weekend]]="","",_xlfn.CONCAT(Ruimtestaat[[#This Row],[Ruimte code]],"-",Ruimtestaat[[#This Row],[Frequentie weekend]]," ",Ruimtestaat[[#This Row],[Vloer code]]))</f>
        <v/>
      </c>
      <c r="BD107" s="142" t="str">
        <f>_xlfn.IFNA(VLOOKUP($BC107,Programma!$F$3:$G$1101,2,0),"")</f>
        <v/>
      </c>
      <c r="BE107" s="142" t="str">
        <f>_xlfn.IFNA(VLOOKUP($BC107,Programma!$F$3:$H$1101,3,0),"")</f>
        <v/>
      </c>
      <c r="BF107" s="142" t="str">
        <f>_xlfn.IFNA(VLOOKUP($BC107,Programma!$F$3:$I$1101,4,0),"")</f>
        <v/>
      </c>
      <c r="BG107" s="142" t="str">
        <f>_xlfn.IFNA(VLOOKUP($BC107,Programma!$F$3:$J$1101,5,0),"")</f>
        <v/>
      </c>
      <c r="BH107" s="142" t="str">
        <f>_xlfn.IFNA(VLOOKUP($BC107,Programma!$F$3:$K$1101,6,0),"")</f>
        <v/>
      </c>
      <c r="BI107" s="142" t="str">
        <f>_xlfn.IFNA(VLOOKUP($BC107,Programma!$F$3:$L$1101,7,0),"")</f>
        <v/>
      </c>
      <c r="BJ107" s="142" t="str">
        <f>_xlfn.IFNA(VLOOKUP($BC107,Programma!$F$3:$M$1101,8,0),"")</f>
        <v/>
      </c>
      <c r="BK107" s="142" t="str">
        <f>_xlfn.IFNA(VLOOKUP($BC107,Programma!$F$3:$N$1101,9,0),"")</f>
        <v/>
      </c>
      <c r="BL107" s="142" t="str">
        <f>_xlfn.IFNA(VLOOKUP($BC107,Programma!$F$3:$O$1101,10,0),"")</f>
        <v/>
      </c>
      <c r="BM107" s="142" t="str">
        <f>_xlfn.IFNA(VLOOKUP($BC107,Programma!$F$3:$P$1101,11,0),"")</f>
        <v/>
      </c>
      <c r="BN107" s="142" t="str">
        <f>_xlfn.IFNA(VLOOKUP($BC107,Programma!$F$3:$Q$1101,12,0),"")</f>
        <v/>
      </c>
      <c r="BO107" s="142" t="str">
        <f>_xlfn.IFNA(VLOOKUP($BC107,Programma!$F$3:$R$1101,13,0),"")</f>
        <v/>
      </c>
      <c r="BP107" s="142" t="str">
        <f>_xlfn.IFNA(VLOOKUP($BC107,Programma!$F$3:$S$1101,14,0),"")</f>
        <v/>
      </c>
      <c r="BQ107" s="142" t="str">
        <f>_xlfn.IFNA(VLOOKUP($BC107,Programma!$F$3:$T$1101,15,0),"")</f>
        <v/>
      </c>
      <c r="BR107" s="142" t="str">
        <f>_xlfn.IFNA(VLOOKUP($BC107,Programma!$F$3:$U$1101,16,0),"")</f>
        <v/>
      </c>
      <c r="BS107" s="142" t="str">
        <f>_xlfn.IFNA(VLOOKUP($BC107,Programma!$F$3:$V$1101,17,0),"")</f>
        <v/>
      </c>
      <c r="BT107" s="142" t="str">
        <f>_xlfn.IFNA(VLOOKUP($BC107,Programma!$F$3:$W$1101,18,0),"")</f>
        <v/>
      </c>
      <c r="BU107" s="142" t="str">
        <f>_xlfn.IFNA(VLOOKUP($BC107,Programma!$F$3:$X$1101,19,0),"")</f>
        <v/>
      </c>
      <c r="BV107" s="142" t="str">
        <f>_xlfn.IFNA(VLOOKUP($BC107,Programma!$F$3:$Y$1101,20,0),"")</f>
        <v/>
      </c>
      <c r="BW107" s="28"/>
      <c r="BX107" s="28"/>
      <c r="BY107" s="28"/>
      <c r="BZ107" s="28"/>
      <c r="CA107" s="28"/>
      <c r="CB107" s="28"/>
      <c r="CC107" s="28"/>
      <c r="CD107" s="28"/>
      <c r="CE107" s="28"/>
      <c r="CF107" s="28"/>
      <c r="CG107" s="28"/>
      <c r="CH107" s="28"/>
      <c r="CI107" s="28"/>
      <c r="CJ107" s="28"/>
      <c r="CK107" s="28"/>
      <c r="CL107" s="28"/>
      <c r="CM107" s="28"/>
      <c r="CN107" s="28"/>
      <c r="CO107" s="28"/>
      <c r="CP107" s="28"/>
      <c r="CQ107" s="28"/>
      <c r="CR107" s="28"/>
      <c r="CS107" s="28"/>
      <c r="CT107" s="28"/>
      <c r="CU107" s="28"/>
      <c r="CV107" s="28"/>
      <c r="CW107" s="28"/>
      <c r="CX107" s="28"/>
      <c r="CY107" s="28"/>
      <c r="CZ107" s="28"/>
      <c r="DA107" s="28"/>
      <c r="DB107" s="28"/>
      <c r="DC107" s="28"/>
      <c r="DD107" s="28"/>
      <c r="DE107" s="28"/>
      <c r="DF107" s="28"/>
      <c r="DG107" s="28"/>
      <c r="DH107" s="28"/>
      <c r="DI107" s="28"/>
      <c r="DJ107" s="28"/>
      <c r="DK107" s="28"/>
      <c r="DL107" s="28"/>
      <c r="DM107" s="28"/>
      <c r="DN107" s="28"/>
      <c r="DO107" s="28"/>
      <c r="DP107" s="28"/>
      <c r="DQ107" s="28"/>
      <c r="DR107" s="28"/>
      <c r="DS107" s="28"/>
      <c r="DT107" s="28"/>
      <c r="DU107" s="28"/>
      <c r="DV107" s="28"/>
      <c r="DW107" s="28"/>
      <c r="DX107" s="28"/>
      <c r="DY107" s="28"/>
      <c r="DZ107" s="28"/>
      <c r="EA107" s="28"/>
      <c r="EB107" s="28"/>
      <c r="EC107" s="28"/>
      <c r="ED107" s="28"/>
      <c r="EE107" s="28"/>
      <c r="EF107" s="28"/>
      <c r="EG107" s="28"/>
      <c r="EH107" s="28"/>
      <c r="EI107" s="28"/>
      <c r="EJ107" s="28"/>
      <c r="EK107" s="28"/>
      <c r="EL107" s="28"/>
      <c r="EM107" s="28"/>
      <c r="EN107" s="28"/>
      <c r="EO107" s="28"/>
      <c r="EP107" s="28"/>
      <c r="EQ107" s="28"/>
      <c r="ER107" s="28"/>
      <c r="ES107" s="28"/>
      <c r="ET107" s="28"/>
      <c r="EU107" s="28"/>
      <c r="EV107" s="28"/>
      <c r="EW107" s="28"/>
      <c r="EX107" s="28"/>
      <c r="EY107" s="28"/>
      <c r="EZ107" s="28"/>
      <c r="FA107" s="28"/>
      <c r="FB107" s="28"/>
      <c r="FC107" s="28"/>
      <c r="FD107" s="28"/>
      <c r="FE107" s="28"/>
      <c r="FF107" s="28"/>
      <c r="FG107" s="28"/>
      <c r="FH107" s="28"/>
      <c r="FI107" s="28"/>
      <c r="FJ107" s="28"/>
      <c r="FK107" s="28"/>
      <c r="FL107" s="28"/>
      <c r="FM107" s="28"/>
      <c r="FN107" s="28"/>
      <c r="FO107" s="28"/>
      <c r="FP107" s="28"/>
      <c r="FQ107" s="28"/>
      <c r="FR107" s="28"/>
      <c r="FS107" s="28"/>
      <c r="FT107" s="28"/>
      <c r="FU107" s="28"/>
      <c r="FV107" s="28"/>
      <c r="FW107" s="28"/>
      <c r="FX107" s="28"/>
      <c r="FY107" s="28"/>
      <c r="FZ107" s="28"/>
      <c r="GA107" s="28"/>
      <c r="GB107" s="28"/>
      <c r="GC107" s="28"/>
      <c r="GD107" s="28"/>
      <c r="GE107" s="28"/>
      <c r="GF107" s="28"/>
      <c r="GG107" s="28"/>
      <c r="GH107" s="28"/>
      <c r="GI107" s="28"/>
      <c r="GJ107" s="28"/>
      <c r="GK107" s="28"/>
      <c r="GL107" s="28"/>
      <c r="GM107" s="28"/>
      <c r="GN107" s="28"/>
      <c r="GO107" s="28"/>
      <c r="GP107" s="28"/>
      <c r="GQ107" s="28"/>
      <c r="GR107" s="28"/>
      <c r="GS107" s="28"/>
      <c r="GT107" s="28"/>
      <c r="GU107" s="28"/>
      <c r="GV107" s="28"/>
      <c r="GW107" s="28"/>
      <c r="GX107" s="28"/>
      <c r="GY107" s="28"/>
      <c r="GZ107" s="28"/>
      <c r="HA107" s="28"/>
      <c r="HB107" s="28"/>
      <c r="HC107" s="28"/>
      <c r="HD107" s="28"/>
      <c r="HE107" s="28"/>
      <c r="HF107" s="28"/>
      <c r="HG107" s="28"/>
      <c r="HH107" s="28"/>
      <c r="HI107" s="28"/>
      <c r="HJ107" s="28"/>
      <c r="HK107" s="28"/>
    </row>
    <row r="108" spans="1:219" ht="15" customHeight="1">
      <c r="A108" s="49">
        <v>1</v>
      </c>
      <c r="B108" s="132" t="str">
        <f>VLOOKUP(Ruimtestaat[[#This Row],[Code]],Locaties[[Code]:[Locatie]],2,FALSE)</f>
        <v>Mirtehuis</v>
      </c>
      <c r="C108" s="132" t="str">
        <f>VLOOKUP(Ruimtestaat[[#This Row],[Code]],Locaties[[#All],[Code]:[Adres]],4,FALSE)</f>
        <v>Weseperweg 6</v>
      </c>
      <c r="D108" s="132" t="str">
        <f>VLOOKUP(Ruimtestaat[[#This Row],[Code]],Locaties[[#All],[Code]:[Postcode]],5,FALSE)</f>
        <v>8111 PK</v>
      </c>
      <c r="E108" s="132" t="str">
        <f>VLOOKUP(Ruimtestaat[[#This Row],[Code]],Locaties[#All],6,FALSE)</f>
        <v>Heeten</v>
      </c>
      <c r="F108" s="100"/>
      <c r="G108" s="100" t="s">
        <v>1677</v>
      </c>
      <c r="H108" s="344"/>
      <c r="I108" s="345" t="s">
        <v>1668</v>
      </c>
      <c r="J108" s="49">
        <v>5</v>
      </c>
      <c r="K108" s="140" t="str">
        <f>VLOOKUP(Ruimtestaat[[#This Row],[Ruimte code]],Ruimtegroepen[[#All],[Code]:[Ruimte omschrijving]],2,FALSE)</f>
        <v>Sanitair</v>
      </c>
      <c r="L108" s="100" t="s">
        <v>101</v>
      </c>
      <c r="M108" s="345" t="s">
        <v>1642</v>
      </c>
      <c r="N108" s="133">
        <v>5.4</v>
      </c>
      <c r="O108" s="139"/>
      <c r="P108" s="134" t="str">
        <f>VLOOKUP(Ruimtestaat[[#This Row],[Ruimte code]],Ruimtegroepen[],4,FALSE)</f>
        <v>Sa</v>
      </c>
      <c r="Q108" s="100">
        <v>51</v>
      </c>
      <c r="R108" s="100" t="s">
        <v>2</v>
      </c>
      <c r="S108" s="100">
        <f>IF(Q108&gt;0,IF(RIGHT(Ruimtestaat[[#This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08" s="100">
        <f>IF(S108&gt;0,VLOOKUP($J108,Ruimtegroepen[],3,FALSE)*VLOOKUP($L108,Vloersoorten[],3,FALSE)*VLOOKUP($R108,Frequenties[],3,FALSE)*VLOOKUP($A108,Locaties[],3,FALSE),0)</f>
        <v>0</v>
      </c>
      <c r="U108" s="100">
        <f>Ruimtestaat[[#This Row],[Uitvoeringen werkdagen]]*Ruimtestaat[[#This Row],[Oppervlak (netto)]]</f>
        <v>1377</v>
      </c>
      <c r="V108" s="135">
        <f>IF(T108&gt;0,Ruimtestaat[[#This Row],[Prest. (m2 /jaar) werkdagen]]/Ruimtestaat[[#This Row],[Norm (m2/uur) werkdagen]],0)</f>
        <v>0</v>
      </c>
      <c r="W108" s="136">
        <f>Ruimtestaat[[#This Row],[uren / jaar werkdagen]]*Tariefsopbouw!$E$35</f>
        <v>0</v>
      </c>
      <c r="X108" s="100"/>
      <c r="Y108" s="100">
        <f>IF(Ruimtestaat[[#This Row],[Frequentie weekend]]&gt;0,VALUE(LEFT(X108,1))*Q108,0)</f>
        <v>0</v>
      </c>
      <c r="Z108" s="99">
        <f>IF($Y108&gt;0,VLOOKUP($J108,Ruimtegroepen[],3,FALSE)*VLOOKUP($L108,Vloersoorten[],3,FALSE)*VLOOKUP($X108,Frequenties[],3,FALSE)*VLOOKUP(Ruimtestaat[[#This Row],[Code]],Locaties[],3,FALSE),0)</f>
        <v>0</v>
      </c>
      <c r="AA108" s="99">
        <f>Ruimtestaat[[#This Row],[Uitvoeringen weekend]]*Ruimtestaat[[#This Row],[Oppervlak (netto)]]</f>
        <v>0</v>
      </c>
      <c r="AB108" s="99">
        <f>IF(Z108&gt;0,Ruimtestaat[[#This Row],[Prest. (m2 /jaar) weekend]]/Ruimtestaat[[#This Row],[Norm (m2/uur) weekend]],0)</f>
        <v>0</v>
      </c>
      <c r="AC108" s="136">
        <f>Ruimtestaat[[#This Row],[uren / jaar weekend]]*Tariefsopbouw!$D$40</f>
        <v>0</v>
      </c>
      <c r="AD108" s="135">
        <f>Ruimtestaat[[#This Row],[Prest. (m2 /jaar) weekend]]+Ruimtestaat[[#This Row],[Prest. (m2 /jaar) werkdagen]]</f>
        <v>1377</v>
      </c>
      <c r="AE108" s="135">
        <f>Ruimtestaat[[#This Row],[uren / jaar weekend]]+Ruimtestaat[[#This Row],[uren / jaar werkdagen]]</f>
        <v>0</v>
      </c>
      <c r="AF108" s="130">
        <f>Ruimtestaat[[#This Row],[kosten / jaar weekend]]+Ruimtestaat[[#This Row],[kosten / jaar werkdagen]]</f>
        <v>0</v>
      </c>
      <c r="AG108" s="130"/>
      <c r="AH108" s="137" t="str">
        <f>IF(Ruimtestaat[[#This Row],[Frequentie werkdagen]]="","",_xlfn.CONCAT(Ruimtestaat[[#This Row],[Ruimte code]],"-",Ruimtestaat[[#This Row],[Frequentie werkdagen]]," ",Ruimtestaat[[#This Row],[Vloer code]]))</f>
        <v>5-5w S</v>
      </c>
      <c r="AI108" s="142" t="str">
        <f>_xlfn.IFNA(VLOOKUP($AH108,Programma!$F$3:$G$1101,2,0),"")</f>
        <v>_</v>
      </c>
      <c r="AJ108" s="142" t="str">
        <f>_xlfn.IFNA(VLOOKUP($AH108,Programma!$F$3:$H$1101,3,0),"")</f>
        <v>_</v>
      </c>
      <c r="AK108" s="142" t="str">
        <f>_xlfn.IFNA(VLOOKUP($AH108,Programma!$F$3:$I$1101,4,0),"")</f>
        <v>_</v>
      </c>
      <c r="AL108" s="142" t="str">
        <f>_xlfn.IFNA(VLOOKUP($AH108,Programma!$F$3:$J$1101,5,0),"")</f>
        <v>4w</v>
      </c>
      <c r="AM108" s="142" t="str">
        <f>_xlfn.IFNA(VLOOKUP($AH108,Programma!$F$3:$K$1101,6,0),"")</f>
        <v>1w</v>
      </c>
      <c r="AN108" s="142" t="str">
        <f>_xlfn.IFNA(VLOOKUP($AH108,Programma!$F$3:$L$1101,7,0),"")</f>
        <v>_</v>
      </c>
      <c r="AO108" s="142" t="str">
        <f>_xlfn.IFNA(VLOOKUP($AH108,Programma!$F$3:$M$1101,8,0),"")</f>
        <v>_</v>
      </c>
      <c r="AP108" s="142" t="str">
        <f>_xlfn.IFNA(VLOOKUP($AH108,Programma!$F$3:$N$1101,9,0),"")</f>
        <v>_</v>
      </c>
      <c r="AQ108" s="142" t="str">
        <f>_xlfn.IFNA(VLOOKUP($AH108,Programma!$F$3:$O$1101,10,0),"")</f>
        <v>_</v>
      </c>
      <c r="AR108" s="142" t="str">
        <f>_xlfn.IFNA(VLOOKUP($AH108,Programma!$F$3:$P$1101,11,0),"")</f>
        <v>_</v>
      </c>
      <c r="AS108" s="142" t="str">
        <f>_xlfn.IFNA(VLOOKUP($AH108,Programma!$F$3:$Q$1101,12,0),"")</f>
        <v>_</v>
      </c>
      <c r="AT108" s="142" t="str">
        <f>_xlfn.IFNA(VLOOKUP($AH108,Programma!$F$3:$R$1101,13,0),"")</f>
        <v>_</v>
      </c>
      <c r="AU108" s="142" t="str">
        <f>_xlfn.IFNA(VLOOKUP($AH108,Programma!$F$3:$S$1101,14,0),"")</f>
        <v>_</v>
      </c>
      <c r="AV108" s="142" t="str">
        <f>_xlfn.IFNA(VLOOKUP($AH108,Programma!$F$3:$T$1101,15,0),"")</f>
        <v>_</v>
      </c>
      <c r="AW108" s="142" t="str">
        <f>_xlfn.IFNA(VLOOKUP($AH108,Programma!$F$3:$U$1101,16,0),"")</f>
        <v>_</v>
      </c>
      <c r="AX108" s="142" t="str">
        <f>_xlfn.IFNA(VLOOKUP($AH108,Programma!$F$3:$V$1101,17,0),"")</f>
        <v>_</v>
      </c>
      <c r="AY108" s="142" t="str">
        <f>_xlfn.IFNA(VLOOKUP($AH108,Programma!$F$3:$W$1101,18,0),"")</f>
        <v>4w</v>
      </c>
      <c r="AZ108" s="142" t="str">
        <f>_xlfn.IFNA(VLOOKUP($AH108,Programma!$F$3:$X$1101,19,0),"")</f>
        <v>1w</v>
      </c>
      <c r="BA108" s="142" t="str">
        <f>_xlfn.IFNA(VLOOKUP($AH108,Programma!$F$3:$Y$1101,20,0),"")</f>
        <v>_</v>
      </c>
      <c r="BB108" s="138"/>
      <c r="BC108" s="137" t="str">
        <f>IF(Ruimtestaat[[#This Row],[Frequentie weekend]]="","",_xlfn.CONCAT(Ruimtestaat[[#This Row],[Ruimte code]],"-",Ruimtestaat[[#This Row],[Frequentie weekend]]," ",Ruimtestaat[[#This Row],[Vloer code]]))</f>
        <v/>
      </c>
      <c r="BD108" s="142" t="str">
        <f>_xlfn.IFNA(VLOOKUP($BC108,Programma!$F$3:$G$1101,2,0),"")</f>
        <v/>
      </c>
      <c r="BE108" s="142" t="str">
        <f>_xlfn.IFNA(VLOOKUP($BC108,Programma!$F$3:$H$1101,3,0),"")</f>
        <v/>
      </c>
      <c r="BF108" s="142" t="str">
        <f>_xlfn.IFNA(VLOOKUP($BC108,Programma!$F$3:$I$1101,4,0),"")</f>
        <v/>
      </c>
      <c r="BG108" s="142" t="str">
        <f>_xlfn.IFNA(VLOOKUP($BC108,Programma!$F$3:$J$1101,5,0),"")</f>
        <v/>
      </c>
      <c r="BH108" s="142" t="str">
        <f>_xlfn.IFNA(VLOOKUP($BC108,Programma!$F$3:$K$1101,6,0),"")</f>
        <v/>
      </c>
      <c r="BI108" s="142" t="str">
        <f>_xlfn.IFNA(VLOOKUP($BC108,Programma!$F$3:$L$1101,7,0),"")</f>
        <v/>
      </c>
      <c r="BJ108" s="142" t="str">
        <f>_xlfn.IFNA(VLOOKUP($BC108,Programma!$F$3:$M$1101,8,0),"")</f>
        <v/>
      </c>
      <c r="BK108" s="142" t="str">
        <f>_xlfn.IFNA(VLOOKUP($BC108,Programma!$F$3:$N$1101,9,0),"")</f>
        <v/>
      </c>
      <c r="BL108" s="142" t="str">
        <f>_xlfn.IFNA(VLOOKUP($BC108,Programma!$F$3:$O$1101,10,0),"")</f>
        <v/>
      </c>
      <c r="BM108" s="142" t="str">
        <f>_xlfn.IFNA(VLOOKUP($BC108,Programma!$F$3:$P$1101,11,0),"")</f>
        <v/>
      </c>
      <c r="BN108" s="142" t="str">
        <f>_xlfn.IFNA(VLOOKUP($BC108,Programma!$F$3:$Q$1101,12,0),"")</f>
        <v/>
      </c>
      <c r="BO108" s="142" t="str">
        <f>_xlfn.IFNA(VLOOKUP($BC108,Programma!$F$3:$R$1101,13,0),"")</f>
        <v/>
      </c>
      <c r="BP108" s="142" t="str">
        <f>_xlfn.IFNA(VLOOKUP($BC108,Programma!$F$3:$S$1101,14,0),"")</f>
        <v/>
      </c>
      <c r="BQ108" s="142" t="str">
        <f>_xlfn.IFNA(VLOOKUP($BC108,Programma!$F$3:$T$1101,15,0),"")</f>
        <v/>
      </c>
      <c r="BR108" s="142" t="str">
        <f>_xlfn.IFNA(VLOOKUP($BC108,Programma!$F$3:$U$1101,16,0),"")</f>
        <v/>
      </c>
      <c r="BS108" s="142" t="str">
        <f>_xlfn.IFNA(VLOOKUP($BC108,Programma!$F$3:$V$1101,17,0),"")</f>
        <v/>
      </c>
      <c r="BT108" s="142" t="str">
        <f>_xlfn.IFNA(VLOOKUP($BC108,Programma!$F$3:$W$1101,18,0),"")</f>
        <v/>
      </c>
      <c r="BU108" s="142" t="str">
        <f>_xlfn.IFNA(VLOOKUP($BC108,Programma!$F$3:$X$1101,19,0),"")</f>
        <v/>
      </c>
      <c r="BV108" s="142" t="str">
        <f>_xlfn.IFNA(VLOOKUP($BC108,Programma!$F$3:$Y$1101,20,0),"")</f>
        <v/>
      </c>
      <c r="BW108" s="28"/>
      <c r="BX108" s="28"/>
      <c r="BY108" s="28"/>
      <c r="BZ108" s="28"/>
      <c r="CA108" s="28"/>
      <c r="CB108" s="28"/>
      <c r="CC108" s="28"/>
      <c r="CD108" s="28"/>
      <c r="CE108" s="28"/>
      <c r="CF108" s="28"/>
      <c r="CG108" s="28"/>
      <c r="CH108" s="28"/>
      <c r="CI108" s="28"/>
      <c r="CJ108" s="28"/>
      <c r="CK108" s="28"/>
      <c r="CL108" s="28"/>
      <c r="CM108" s="28"/>
      <c r="CN108" s="28"/>
      <c r="CO108" s="28"/>
      <c r="CP108" s="28"/>
      <c r="CQ108" s="28"/>
      <c r="CR108" s="28"/>
      <c r="CS108" s="28"/>
      <c r="CT108" s="28"/>
      <c r="CU108" s="28"/>
      <c r="CV108" s="28"/>
      <c r="CW108" s="28"/>
      <c r="CX108" s="28"/>
      <c r="CY108" s="28"/>
      <c r="CZ108" s="28"/>
      <c r="DA108" s="28"/>
      <c r="DB108" s="28"/>
      <c r="DC108" s="28"/>
      <c r="DD108" s="28"/>
      <c r="DE108" s="28"/>
      <c r="DF108" s="28"/>
      <c r="DG108" s="28"/>
      <c r="DH108" s="28"/>
      <c r="DI108" s="28"/>
      <c r="DJ108" s="28"/>
      <c r="DK108" s="28"/>
      <c r="DL108" s="28"/>
      <c r="DM108" s="28"/>
      <c r="DN108" s="28"/>
      <c r="DO108" s="28"/>
      <c r="DP108" s="28"/>
      <c r="DQ108" s="28"/>
      <c r="DR108" s="28"/>
      <c r="DS108" s="28"/>
      <c r="DT108" s="28"/>
      <c r="DU108" s="28"/>
      <c r="DV108" s="28"/>
      <c r="DW108" s="28"/>
      <c r="DX108" s="28"/>
      <c r="DY108" s="28"/>
      <c r="DZ108" s="28"/>
      <c r="EA108" s="28"/>
      <c r="EB108" s="28"/>
      <c r="EC108" s="28"/>
      <c r="ED108" s="28"/>
      <c r="EE108" s="28"/>
      <c r="EF108" s="28"/>
      <c r="EG108" s="28"/>
      <c r="EH108" s="28"/>
      <c r="EI108" s="28"/>
      <c r="EJ108" s="28"/>
      <c r="EK108" s="28"/>
      <c r="EL108" s="28"/>
      <c r="EM108" s="28"/>
      <c r="EN108" s="28"/>
      <c r="EO108" s="28"/>
      <c r="EP108" s="28"/>
      <c r="EQ108" s="28"/>
      <c r="ER108" s="28"/>
      <c r="ES108" s="28"/>
      <c r="ET108" s="28"/>
      <c r="EU108" s="28"/>
      <c r="EV108" s="28"/>
      <c r="EW108" s="28"/>
      <c r="EX108" s="28"/>
      <c r="EY108" s="28"/>
      <c r="EZ108" s="28"/>
      <c r="FA108" s="28"/>
      <c r="FB108" s="28"/>
      <c r="FC108" s="28"/>
      <c r="FD108" s="28"/>
      <c r="FE108" s="28"/>
      <c r="FF108" s="28"/>
      <c r="FG108" s="28"/>
      <c r="FH108" s="28"/>
      <c r="FI108" s="28"/>
      <c r="FJ108" s="28"/>
      <c r="FK108" s="28"/>
      <c r="FL108" s="28"/>
      <c r="FM108" s="28"/>
      <c r="FN108" s="28"/>
      <c r="FO108" s="28"/>
      <c r="FP108" s="28"/>
      <c r="FQ108" s="28"/>
      <c r="FR108" s="28"/>
      <c r="FS108" s="28"/>
      <c r="FT108" s="28"/>
      <c r="FU108" s="28"/>
      <c r="FV108" s="28"/>
      <c r="FW108" s="28"/>
      <c r="FX108" s="28"/>
      <c r="FY108" s="28"/>
      <c r="FZ108" s="28"/>
      <c r="GA108" s="28"/>
      <c r="GB108" s="28"/>
      <c r="GC108" s="28"/>
      <c r="GD108" s="28"/>
      <c r="GE108" s="28"/>
      <c r="GF108" s="28"/>
      <c r="GG108" s="28"/>
      <c r="GH108" s="28"/>
      <c r="GI108" s="28"/>
      <c r="GJ108" s="28"/>
      <c r="GK108" s="28"/>
      <c r="GL108" s="28"/>
      <c r="GM108" s="28"/>
      <c r="GN108" s="28"/>
      <c r="GO108" s="28"/>
      <c r="GP108" s="28"/>
      <c r="GQ108" s="28"/>
      <c r="GR108" s="28"/>
      <c r="GS108" s="28"/>
      <c r="GT108" s="28"/>
      <c r="GU108" s="28"/>
      <c r="GV108" s="28"/>
      <c r="GW108" s="28"/>
      <c r="GX108" s="28"/>
      <c r="GY108" s="28"/>
      <c r="GZ108" s="28"/>
      <c r="HA108" s="28"/>
      <c r="HB108" s="28"/>
      <c r="HC108" s="28"/>
      <c r="HD108" s="28"/>
      <c r="HE108" s="28"/>
      <c r="HF108" s="28"/>
      <c r="HG108" s="28"/>
      <c r="HH108" s="28"/>
      <c r="HI108" s="28"/>
      <c r="HJ108" s="28"/>
      <c r="HK108" s="28"/>
    </row>
    <row r="109" spans="1:219" ht="15" customHeight="1">
      <c r="A109" s="49">
        <v>1</v>
      </c>
      <c r="B109" s="132" t="str">
        <f>VLOOKUP(Ruimtestaat[[#This Row],[Code]],Locaties[[Code]:[Locatie]],2,FALSE)</f>
        <v>Mirtehuis</v>
      </c>
      <c r="C109" s="132" t="str">
        <f>VLOOKUP(Ruimtestaat[[#This Row],[Code]],Locaties[[#All],[Code]:[Adres]],4,FALSE)</f>
        <v>Weseperweg 6</v>
      </c>
      <c r="D109" s="132" t="str">
        <f>VLOOKUP(Ruimtestaat[[#This Row],[Code]],Locaties[[#All],[Code]:[Postcode]],5,FALSE)</f>
        <v>8111 PK</v>
      </c>
      <c r="E109" s="132" t="str">
        <f>VLOOKUP(Ruimtestaat[[#This Row],[Code]],Locaties[#All],6,FALSE)</f>
        <v>Heeten</v>
      </c>
      <c r="F109" s="100"/>
      <c r="G109" s="100" t="s">
        <v>1677</v>
      </c>
      <c r="H109" s="344" t="s">
        <v>1685</v>
      </c>
      <c r="I109" s="345" t="s">
        <v>1656</v>
      </c>
      <c r="J109" s="100">
        <v>20</v>
      </c>
      <c r="K109" s="140" t="str">
        <f>VLOOKUP(Ruimtestaat[[#This Row],[Ruimte code]],Ruimtegroepen[[#All],[Code]:[Ruimte omschrijving]],2,FALSE)</f>
        <v>Niet in Onderhoud</v>
      </c>
      <c r="L109" s="100"/>
      <c r="M109" s="345"/>
      <c r="N109" s="133"/>
      <c r="O109" s="100"/>
      <c r="P109" s="134">
        <f>VLOOKUP(Ruimtestaat[[#This Row],[Ruimte code]],Ruimtegroepen[],4,FALSE)</f>
        <v>0</v>
      </c>
      <c r="Q109" s="100"/>
      <c r="R109" s="100"/>
      <c r="S109" s="100">
        <f>IF(Q109&gt;0,IF(RIGHT(Ruimtestaat[[#This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09" s="100">
        <f>IF(S109&gt;0,VLOOKUP($J109,Ruimtegroepen[],3,FALSE)*VLOOKUP($L109,Vloersoorten[],3,FALSE)*VLOOKUP($R109,Frequenties[],3,FALSE)*VLOOKUP($A109,Locaties[],3,FALSE),0)</f>
        <v>0</v>
      </c>
      <c r="U109" s="100">
        <f>Ruimtestaat[[#This Row],[Uitvoeringen werkdagen]]*Ruimtestaat[[#This Row],[Oppervlak (netto)]]</f>
        <v>0</v>
      </c>
      <c r="V109" s="135">
        <f>IF(T109&gt;0,Ruimtestaat[[#This Row],[Prest. (m2 /jaar) werkdagen]]/Ruimtestaat[[#This Row],[Norm (m2/uur) werkdagen]],0)</f>
        <v>0</v>
      </c>
      <c r="W109" s="136">
        <f>Ruimtestaat[[#This Row],[uren / jaar werkdagen]]*Tariefsopbouw!$E$35</f>
        <v>0</v>
      </c>
      <c r="X109" s="100"/>
      <c r="Y109" s="100">
        <f>IF(Ruimtestaat[[#This Row],[Frequentie weekend]]&gt;0,VALUE(LEFT(X109,1))*Q109,0)</f>
        <v>0</v>
      </c>
      <c r="Z109" s="99">
        <f>IF($Y109&gt;0,VLOOKUP($J109,Ruimtegroepen[],3,FALSE)*VLOOKUP($L109,Vloersoorten[],3,FALSE)*VLOOKUP($X109,Frequenties[],3,FALSE)*VLOOKUP(Ruimtestaat[[#This Row],[Code]],Locaties[],3,FALSE),0)</f>
        <v>0</v>
      </c>
      <c r="AA109" s="99">
        <f>Ruimtestaat[[#This Row],[Uitvoeringen weekend]]*Ruimtestaat[[#This Row],[Oppervlak (netto)]]</f>
        <v>0</v>
      </c>
      <c r="AB109" s="99">
        <f>IF(Z109&gt;0,Ruimtestaat[[#This Row],[Prest. (m2 /jaar) weekend]]/Ruimtestaat[[#This Row],[Norm (m2/uur) weekend]],0)</f>
        <v>0</v>
      </c>
      <c r="AC109" s="136">
        <f>Ruimtestaat[[#This Row],[uren / jaar weekend]]*Tariefsopbouw!$D$40</f>
        <v>0</v>
      </c>
      <c r="AD109" s="135">
        <f>Ruimtestaat[[#This Row],[Prest. (m2 /jaar) weekend]]+Ruimtestaat[[#This Row],[Prest. (m2 /jaar) werkdagen]]</f>
        <v>0</v>
      </c>
      <c r="AE109" s="135">
        <f>Ruimtestaat[[#This Row],[uren / jaar weekend]]+Ruimtestaat[[#This Row],[uren / jaar werkdagen]]</f>
        <v>0</v>
      </c>
      <c r="AF109" s="130">
        <f>Ruimtestaat[[#This Row],[kosten / jaar weekend]]+Ruimtestaat[[#This Row],[kosten / jaar werkdagen]]</f>
        <v>0</v>
      </c>
      <c r="AG109" s="130"/>
      <c r="AH109" s="137" t="str">
        <f>IF(Ruimtestaat[[#This Row],[Frequentie werkdagen]]="","",_xlfn.CONCAT(Ruimtestaat[[#This Row],[Ruimte code]],"-",Ruimtestaat[[#This Row],[Frequentie werkdagen]]," ",Ruimtestaat[[#This Row],[Vloer code]]))</f>
        <v/>
      </c>
      <c r="AI109" s="142" t="str">
        <f>_xlfn.IFNA(VLOOKUP($AH109,Programma!$F$3:$G$1101,2,0),"")</f>
        <v/>
      </c>
      <c r="AJ109" s="142" t="str">
        <f>_xlfn.IFNA(VLOOKUP($AH109,Programma!$F$3:$H$1101,3,0),"")</f>
        <v/>
      </c>
      <c r="AK109" s="142" t="str">
        <f>_xlfn.IFNA(VLOOKUP($AH109,Programma!$F$3:$I$1101,4,0),"")</f>
        <v/>
      </c>
      <c r="AL109" s="142" t="str">
        <f>_xlfn.IFNA(VLOOKUP($AH109,Programma!$F$3:$J$1101,5,0),"")</f>
        <v/>
      </c>
      <c r="AM109" s="142" t="str">
        <f>_xlfn.IFNA(VLOOKUP($AH109,Programma!$F$3:$K$1101,6,0),"")</f>
        <v/>
      </c>
      <c r="AN109" s="142" t="str">
        <f>_xlfn.IFNA(VLOOKUP($AH109,Programma!$F$3:$L$1101,7,0),"")</f>
        <v/>
      </c>
      <c r="AO109" s="142" t="str">
        <f>_xlfn.IFNA(VLOOKUP($AH109,Programma!$F$3:$M$1101,8,0),"")</f>
        <v/>
      </c>
      <c r="AP109" s="142" t="str">
        <f>_xlfn.IFNA(VLOOKUP($AH109,Programma!$F$3:$N$1101,9,0),"")</f>
        <v/>
      </c>
      <c r="AQ109" s="142" t="str">
        <f>_xlfn.IFNA(VLOOKUP($AH109,Programma!$F$3:$O$1101,10,0),"")</f>
        <v/>
      </c>
      <c r="AR109" s="142" t="str">
        <f>_xlfn.IFNA(VLOOKUP($AH109,Programma!$F$3:$P$1101,11,0),"")</f>
        <v/>
      </c>
      <c r="AS109" s="142" t="str">
        <f>_xlfn.IFNA(VLOOKUP($AH109,Programma!$F$3:$Q$1101,12,0),"")</f>
        <v/>
      </c>
      <c r="AT109" s="142" t="str">
        <f>_xlfn.IFNA(VLOOKUP($AH109,Programma!$F$3:$R$1101,13,0),"")</f>
        <v/>
      </c>
      <c r="AU109" s="142" t="str">
        <f>_xlfn.IFNA(VLOOKUP($AH109,Programma!$F$3:$S$1101,14,0),"")</f>
        <v/>
      </c>
      <c r="AV109" s="142" t="str">
        <f>_xlfn.IFNA(VLOOKUP($AH109,Programma!$F$3:$T$1101,15,0),"")</f>
        <v/>
      </c>
      <c r="AW109" s="142" t="str">
        <f>_xlfn.IFNA(VLOOKUP($AH109,Programma!$F$3:$U$1101,16,0),"")</f>
        <v/>
      </c>
      <c r="AX109" s="142" t="str">
        <f>_xlfn.IFNA(VLOOKUP($AH109,Programma!$F$3:$V$1101,17,0),"")</f>
        <v/>
      </c>
      <c r="AY109" s="142" t="str">
        <f>_xlfn.IFNA(VLOOKUP($AH109,Programma!$F$3:$W$1101,18,0),"")</f>
        <v/>
      </c>
      <c r="AZ109" s="142" t="str">
        <f>_xlfn.IFNA(VLOOKUP($AH109,Programma!$F$3:$X$1101,19,0),"")</f>
        <v/>
      </c>
      <c r="BA109" s="142" t="str">
        <f>_xlfn.IFNA(VLOOKUP($AH109,Programma!$F$3:$Y$1101,20,0),"")</f>
        <v/>
      </c>
      <c r="BB109" s="138"/>
      <c r="BC109" s="137" t="str">
        <f>IF(Ruimtestaat[[#This Row],[Frequentie weekend]]="","",_xlfn.CONCAT(Ruimtestaat[[#This Row],[Ruimte code]],"-",Ruimtestaat[[#This Row],[Frequentie weekend]]," ",Ruimtestaat[[#This Row],[Vloer code]]))</f>
        <v/>
      </c>
      <c r="BD109" s="142" t="str">
        <f>_xlfn.IFNA(VLOOKUP($BC109,Programma!$F$3:$G$1101,2,0),"")</f>
        <v/>
      </c>
      <c r="BE109" s="142" t="str">
        <f>_xlfn.IFNA(VLOOKUP($BC109,Programma!$F$3:$H$1101,3,0),"")</f>
        <v/>
      </c>
      <c r="BF109" s="142" t="str">
        <f>_xlfn.IFNA(VLOOKUP($BC109,Programma!$F$3:$I$1101,4,0),"")</f>
        <v/>
      </c>
      <c r="BG109" s="142" t="str">
        <f>_xlfn.IFNA(VLOOKUP($BC109,Programma!$F$3:$J$1101,5,0),"")</f>
        <v/>
      </c>
      <c r="BH109" s="142" t="str">
        <f>_xlfn.IFNA(VLOOKUP($BC109,Programma!$F$3:$K$1101,6,0),"")</f>
        <v/>
      </c>
      <c r="BI109" s="142" t="str">
        <f>_xlfn.IFNA(VLOOKUP($BC109,Programma!$F$3:$L$1101,7,0),"")</f>
        <v/>
      </c>
      <c r="BJ109" s="142" t="str">
        <f>_xlfn.IFNA(VLOOKUP($BC109,Programma!$F$3:$M$1101,8,0),"")</f>
        <v/>
      </c>
      <c r="BK109" s="142" t="str">
        <f>_xlfn.IFNA(VLOOKUP($BC109,Programma!$F$3:$N$1101,9,0),"")</f>
        <v/>
      </c>
      <c r="BL109" s="142" t="str">
        <f>_xlfn.IFNA(VLOOKUP($BC109,Programma!$F$3:$O$1101,10,0),"")</f>
        <v/>
      </c>
      <c r="BM109" s="142" t="str">
        <f>_xlfn.IFNA(VLOOKUP($BC109,Programma!$F$3:$P$1101,11,0),"")</f>
        <v/>
      </c>
      <c r="BN109" s="142" t="str">
        <f>_xlfn.IFNA(VLOOKUP($BC109,Programma!$F$3:$Q$1101,12,0),"")</f>
        <v/>
      </c>
      <c r="BO109" s="142" t="str">
        <f>_xlfn.IFNA(VLOOKUP($BC109,Programma!$F$3:$R$1101,13,0),"")</f>
        <v/>
      </c>
      <c r="BP109" s="142" t="str">
        <f>_xlfn.IFNA(VLOOKUP($BC109,Programma!$F$3:$S$1101,14,0),"")</f>
        <v/>
      </c>
      <c r="BQ109" s="142" t="str">
        <f>_xlfn.IFNA(VLOOKUP($BC109,Programma!$F$3:$T$1101,15,0),"")</f>
        <v/>
      </c>
      <c r="BR109" s="142" t="str">
        <f>_xlfn.IFNA(VLOOKUP($BC109,Programma!$F$3:$U$1101,16,0),"")</f>
        <v/>
      </c>
      <c r="BS109" s="142" t="str">
        <f>_xlfn.IFNA(VLOOKUP($BC109,Programma!$F$3:$V$1101,17,0),"")</f>
        <v/>
      </c>
      <c r="BT109" s="142" t="str">
        <f>_xlfn.IFNA(VLOOKUP($BC109,Programma!$F$3:$W$1101,18,0),"")</f>
        <v/>
      </c>
      <c r="BU109" s="142" t="str">
        <f>_xlfn.IFNA(VLOOKUP($BC109,Programma!$F$3:$X$1101,19,0),"")</f>
        <v/>
      </c>
      <c r="BV109" s="142" t="str">
        <f>_xlfn.IFNA(VLOOKUP($BC109,Programma!$F$3:$Y$1101,20,0),"")</f>
        <v/>
      </c>
      <c r="BW109" s="28"/>
      <c r="BX109" s="28"/>
      <c r="BY109" s="28"/>
      <c r="BZ109" s="28"/>
      <c r="CA109" s="28"/>
      <c r="CB109" s="28"/>
      <c r="CC109" s="28"/>
      <c r="CD109" s="28"/>
      <c r="CE109" s="28"/>
      <c r="CF109" s="28"/>
      <c r="CG109" s="28"/>
      <c r="CH109" s="28"/>
      <c r="CI109" s="28"/>
      <c r="CJ109" s="28"/>
      <c r="CK109" s="28"/>
      <c r="CL109" s="28"/>
      <c r="CM109" s="28"/>
      <c r="CN109" s="28"/>
      <c r="CO109" s="28"/>
      <c r="CP109" s="28"/>
      <c r="CQ109" s="28"/>
      <c r="CR109" s="28"/>
      <c r="CS109" s="28"/>
      <c r="CT109" s="28"/>
      <c r="CU109" s="28"/>
      <c r="CV109" s="28"/>
      <c r="CW109" s="28"/>
      <c r="CX109" s="28"/>
      <c r="CY109" s="28"/>
      <c r="CZ109" s="28"/>
      <c r="DA109" s="28"/>
      <c r="DB109" s="28"/>
      <c r="DC109" s="28"/>
      <c r="DD109" s="28"/>
      <c r="DE109" s="28"/>
      <c r="DF109" s="28"/>
      <c r="DG109" s="28"/>
      <c r="DH109" s="28"/>
      <c r="DI109" s="28"/>
      <c r="DJ109" s="28"/>
      <c r="DK109" s="28"/>
      <c r="DL109" s="28"/>
      <c r="DM109" s="28"/>
      <c r="DN109" s="28"/>
      <c r="DO109" s="28"/>
      <c r="DP109" s="28"/>
      <c r="DQ109" s="28"/>
      <c r="DR109" s="28"/>
      <c r="DS109" s="28"/>
      <c r="DT109" s="28"/>
      <c r="DU109" s="28"/>
      <c r="DV109" s="28"/>
      <c r="DW109" s="28"/>
      <c r="DX109" s="28"/>
      <c r="DY109" s="28"/>
      <c r="DZ109" s="28"/>
      <c r="EA109" s="28"/>
      <c r="EB109" s="28"/>
      <c r="EC109" s="28"/>
      <c r="ED109" s="28"/>
      <c r="EE109" s="28"/>
      <c r="EF109" s="28"/>
      <c r="EG109" s="28"/>
      <c r="EH109" s="28"/>
      <c r="EI109" s="28"/>
      <c r="EJ109" s="28"/>
      <c r="EK109" s="28"/>
      <c r="EL109" s="28"/>
      <c r="EM109" s="28"/>
      <c r="EN109" s="28"/>
      <c r="EO109" s="28"/>
      <c r="EP109" s="28"/>
      <c r="EQ109" s="28"/>
      <c r="ER109" s="28"/>
      <c r="ES109" s="28"/>
      <c r="ET109" s="28"/>
      <c r="EU109" s="28"/>
      <c r="EV109" s="28"/>
      <c r="EW109" s="28"/>
      <c r="EX109" s="28"/>
      <c r="EY109" s="28"/>
      <c r="EZ109" s="28"/>
      <c r="FA109" s="28"/>
      <c r="FB109" s="28"/>
      <c r="FC109" s="28"/>
      <c r="FD109" s="28"/>
      <c r="FE109" s="28"/>
      <c r="FF109" s="28"/>
      <c r="FG109" s="28"/>
      <c r="FH109" s="28"/>
      <c r="FI109" s="28"/>
      <c r="FJ109" s="28"/>
      <c r="FK109" s="28"/>
      <c r="FL109" s="28"/>
      <c r="FM109" s="28"/>
      <c r="FN109" s="28"/>
      <c r="FO109" s="28"/>
      <c r="FP109" s="28"/>
      <c r="FQ109" s="28"/>
      <c r="FR109" s="28"/>
      <c r="FS109" s="28"/>
      <c r="FT109" s="28"/>
      <c r="FU109" s="28"/>
      <c r="FV109" s="28"/>
      <c r="FW109" s="28"/>
      <c r="FX109" s="28"/>
      <c r="FY109" s="28"/>
      <c r="FZ109" s="28"/>
      <c r="GA109" s="28"/>
      <c r="GB109" s="28"/>
      <c r="GC109" s="28"/>
      <c r="GD109" s="28"/>
      <c r="GE109" s="28"/>
      <c r="GF109" s="28"/>
      <c r="GG109" s="28"/>
      <c r="GH109" s="28"/>
      <c r="GI109" s="28"/>
      <c r="GJ109" s="28"/>
      <c r="GK109" s="28"/>
      <c r="GL109" s="28"/>
      <c r="GM109" s="28"/>
      <c r="GN109" s="28"/>
      <c r="GO109" s="28"/>
      <c r="GP109" s="28"/>
      <c r="GQ109" s="28"/>
      <c r="GR109" s="28"/>
      <c r="GS109" s="28"/>
      <c r="GT109" s="28"/>
      <c r="GU109" s="28"/>
      <c r="GV109" s="28"/>
      <c r="GW109" s="28"/>
      <c r="GX109" s="28"/>
      <c r="GY109" s="28"/>
      <c r="GZ109" s="28"/>
      <c r="HA109" s="28"/>
      <c r="HB109" s="28"/>
      <c r="HC109" s="28"/>
      <c r="HD109" s="28"/>
      <c r="HE109" s="28"/>
      <c r="HF109" s="28"/>
      <c r="HG109" s="28"/>
      <c r="HH109" s="28"/>
      <c r="HI109" s="28"/>
      <c r="HJ109" s="28"/>
      <c r="HK109" s="28"/>
    </row>
    <row r="110" spans="1:219" ht="15" customHeight="1">
      <c r="A110" s="49">
        <v>1</v>
      </c>
      <c r="B110" s="132" t="str">
        <f>VLOOKUP(Ruimtestaat[[#This Row],[Code]],Locaties[[Code]:[Locatie]],2,FALSE)</f>
        <v>Mirtehuis</v>
      </c>
      <c r="C110" s="132" t="str">
        <f>VLOOKUP(Ruimtestaat[[#This Row],[Code]],Locaties[[#All],[Code]:[Adres]],4,FALSE)</f>
        <v>Weseperweg 6</v>
      </c>
      <c r="D110" s="132" t="str">
        <f>VLOOKUP(Ruimtestaat[[#This Row],[Code]],Locaties[[#All],[Code]:[Postcode]],5,FALSE)</f>
        <v>8111 PK</v>
      </c>
      <c r="E110" s="132" t="str">
        <f>VLOOKUP(Ruimtestaat[[#This Row],[Code]],Locaties[#All],6,FALSE)</f>
        <v>Heeten</v>
      </c>
      <c r="F110" s="100"/>
      <c r="G110" s="100" t="s">
        <v>1677</v>
      </c>
      <c r="H110" s="344" t="s">
        <v>1686</v>
      </c>
      <c r="I110" s="345" t="s">
        <v>1656</v>
      </c>
      <c r="J110" s="49">
        <v>20</v>
      </c>
      <c r="K110" s="140" t="str">
        <f>VLOOKUP(Ruimtestaat[[#This Row],[Ruimte code]],Ruimtegroepen[[#All],[Code]:[Ruimte omschrijving]],2,FALSE)</f>
        <v>Niet in Onderhoud</v>
      </c>
      <c r="L110" s="100"/>
      <c r="M110" s="345"/>
      <c r="N110" s="133"/>
      <c r="O110" s="139"/>
      <c r="P110" s="134">
        <f>VLOOKUP(Ruimtestaat[[#This Row],[Ruimte code]],Ruimtegroepen[],4,FALSE)</f>
        <v>0</v>
      </c>
      <c r="Q110" s="100"/>
      <c r="R110" s="100"/>
      <c r="S110" s="100">
        <f>IF(Q110&gt;0,IF(RIGHT(Ruimtestaat[[#This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10" s="100">
        <f>IF(S110&gt;0,VLOOKUP($J110,Ruimtegroepen[],3,FALSE)*VLOOKUP($L110,Vloersoorten[],3,FALSE)*VLOOKUP($R110,Frequenties[],3,FALSE)*VLOOKUP($A110,Locaties[],3,FALSE),0)</f>
        <v>0</v>
      </c>
      <c r="U110" s="100">
        <f>Ruimtestaat[[#This Row],[Uitvoeringen werkdagen]]*Ruimtestaat[[#This Row],[Oppervlak (netto)]]</f>
        <v>0</v>
      </c>
      <c r="V110" s="135">
        <f>IF(T110&gt;0,Ruimtestaat[[#This Row],[Prest. (m2 /jaar) werkdagen]]/Ruimtestaat[[#This Row],[Norm (m2/uur) werkdagen]],0)</f>
        <v>0</v>
      </c>
      <c r="W110" s="136">
        <f>Ruimtestaat[[#This Row],[uren / jaar werkdagen]]*Tariefsopbouw!$E$35</f>
        <v>0</v>
      </c>
      <c r="X110" s="100"/>
      <c r="Y110" s="100">
        <f>IF(Ruimtestaat[[#This Row],[Frequentie weekend]]&gt;0,VALUE(LEFT(X110,1))*Q110,0)</f>
        <v>0</v>
      </c>
      <c r="Z110" s="99">
        <f>IF($Y110&gt;0,VLOOKUP($J110,Ruimtegroepen[],3,FALSE)*VLOOKUP($L110,Vloersoorten[],3,FALSE)*VLOOKUP($X110,Frequenties[],3,FALSE)*VLOOKUP(Ruimtestaat[[#This Row],[Code]],Locaties[],3,FALSE),0)</f>
        <v>0</v>
      </c>
      <c r="AA110" s="99">
        <f>Ruimtestaat[[#This Row],[Uitvoeringen weekend]]*Ruimtestaat[[#This Row],[Oppervlak (netto)]]</f>
        <v>0</v>
      </c>
      <c r="AB110" s="99">
        <f>IF(Z110&gt;0,Ruimtestaat[[#This Row],[Prest. (m2 /jaar) weekend]]/Ruimtestaat[[#This Row],[Norm (m2/uur) weekend]],0)</f>
        <v>0</v>
      </c>
      <c r="AC110" s="136">
        <f>Ruimtestaat[[#This Row],[uren / jaar weekend]]*Tariefsopbouw!$D$40</f>
        <v>0</v>
      </c>
      <c r="AD110" s="135">
        <f>Ruimtestaat[[#This Row],[Prest. (m2 /jaar) weekend]]+Ruimtestaat[[#This Row],[Prest. (m2 /jaar) werkdagen]]</f>
        <v>0</v>
      </c>
      <c r="AE110" s="135">
        <f>Ruimtestaat[[#This Row],[uren / jaar weekend]]+Ruimtestaat[[#This Row],[uren / jaar werkdagen]]</f>
        <v>0</v>
      </c>
      <c r="AF110" s="130">
        <f>Ruimtestaat[[#This Row],[kosten / jaar weekend]]+Ruimtestaat[[#This Row],[kosten / jaar werkdagen]]</f>
        <v>0</v>
      </c>
      <c r="AG110" s="130"/>
      <c r="AH110" s="137" t="str">
        <f>IF(Ruimtestaat[[#This Row],[Frequentie werkdagen]]="","",_xlfn.CONCAT(Ruimtestaat[[#This Row],[Ruimte code]],"-",Ruimtestaat[[#This Row],[Frequentie werkdagen]]," ",Ruimtestaat[[#This Row],[Vloer code]]))</f>
        <v/>
      </c>
      <c r="AI110" s="142" t="str">
        <f>_xlfn.IFNA(VLOOKUP($AH110,Programma!$F$3:$G$1101,2,0),"")</f>
        <v/>
      </c>
      <c r="AJ110" s="142" t="str">
        <f>_xlfn.IFNA(VLOOKUP($AH110,Programma!$F$3:$H$1101,3,0),"")</f>
        <v/>
      </c>
      <c r="AK110" s="142" t="str">
        <f>_xlfn.IFNA(VLOOKUP($AH110,Programma!$F$3:$I$1101,4,0),"")</f>
        <v/>
      </c>
      <c r="AL110" s="142" t="str">
        <f>_xlfn.IFNA(VLOOKUP($AH110,Programma!$F$3:$J$1101,5,0),"")</f>
        <v/>
      </c>
      <c r="AM110" s="142" t="str">
        <f>_xlfn.IFNA(VLOOKUP($AH110,Programma!$F$3:$K$1101,6,0),"")</f>
        <v/>
      </c>
      <c r="AN110" s="142" t="str">
        <f>_xlfn.IFNA(VLOOKUP($AH110,Programma!$F$3:$L$1101,7,0),"")</f>
        <v/>
      </c>
      <c r="AO110" s="142" t="str">
        <f>_xlfn.IFNA(VLOOKUP($AH110,Programma!$F$3:$M$1101,8,0),"")</f>
        <v/>
      </c>
      <c r="AP110" s="142" t="str">
        <f>_xlfn.IFNA(VLOOKUP($AH110,Programma!$F$3:$N$1101,9,0),"")</f>
        <v/>
      </c>
      <c r="AQ110" s="142" t="str">
        <f>_xlfn.IFNA(VLOOKUP($AH110,Programma!$F$3:$O$1101,10,0),"")</f>
        <v/>
      </c>
      <c r="AR110" s="142" t="str">
        <f>_xlfn.IFNA(VLOOKUP($AH110,Programma!$F$3:$P$1101,11,0),"")</f>
        <v/>
      </c>
      <c r="AS110" s="142" t="str">
        <f>_xlfn.IFNA(VLOOKUP($AH110,Programma!$F$3:$Q$1101,12,0),"")</f>
        <v/>
      </c>
      <c r="AT110" s="142" t="str">
        <f>_xlfn.IFNA(VLOOKUP($AH110,Programma!$F$3:$R$1101,13,0),"")</f>
        <v/>
      </c>
      <c r="AU110" s="142" t="str">
        <f>_xlfn.IFNA(VLOOKUP($AH110,Programma!$F$3:$S$1101,14,0),"")</f>
        <v/>
      </c>
      <c r="AV110" s="142" t="str">
        <f>_xlfn.IFNA(VLOOKUP($AH110,Programma!$F$3:$T$1101,15,0),"")</f>
        <v/>
      </c>
      <c r="AW110" s="142" t="str">
        <f>_xlfn.IFNA(VLOOKUP($AH110,Programma!$F$3:$U$1101,16,0),"")</f>
        <v/>
      </c>
      <c r="AX110" s="142" t="str">
        <f>_xlfn.IFNA(VLOOKUP($AH110,Programma!$F$3:$V$1101,17,0),"")</f>
        <v/>
      </c>
      <c r="AY110" s="142" t="str">
        <f>_xlfn.IFNA(VLOOKUP($AH110,Programma!$F$3:$W$1101,18,0),"")</f>
        <v/>
      </c>
      <c r="AZ110" s="142" t="str">
        <f>_xlfn.IFNA(VLOOKUP($AH110,Programma!$F$3:$X$1101,19,0),"")</f>
        <v/>
      </c>
      <c r="BA110" s="142" t="str">
        <f>_xlfn.IFNA(VLOOKUP($AH110,Programma!$F$3:$Y$1101,20,0),"")</f>
        <v/>
      </c>
      <c r="BB110" s="138"/>
      <c r="BC110" s="137" t="str">
        <f>IF(Ruimtestaat[[#This Row],[Frequentie weekend]]="","",_xlfn.CONCAT(Ruimtestaat[[#This Row],[Ruimte code]],"-",Ruimtestaat[[#This Row],[Frequentie weekend]]," ",Ruimtestaat[[#This Row],[Vloer code]]))</f>
        <v/>
      </c>
      <c r="BD110" s="142" t="str">
        <f>_xlfn.IFNA(VLOOKUP($BC110,Programma!$F$3:$G$1101,2,0),"")</f>
        <v/>
      </c>
      <c r="BE110" s="142" t="str">
        <f>_xlfn.IFNA(VLOOKUP($BC110,Programma!$F$3:$H$1101,3,0),"")</f>
        <v/>
      </c>
      <c r="BF110" s="142" t="str">
        <f>_xlfn.IFNA(VLOOKUP($BC110,Programma!$F$3:$I$1101,4,0),"")</f>
        <v/>
      </c>
      <c r="BG110" s="142" t="str">
        <f>_xlfn.IFNA(VLOOKUP($BC110,Programma!$F$3:$J$1101,5,0),"")</f>
        <v/>
      </c>
      <c r="BH110" s="142" t="str">
        <f>_xlfn.IFNA(VLOOKUP($BC110,Programma!$F$3:$K$1101,6,0),"")</f>
        <v/>
      </c>
      <c r="BI110" s="142" t="str">
        <f>_xlfn.IFNA(VLOOKUP($BC110,Programma!$F$3:$L$1101,7,0),"")</f>
        <v/>
      </c>
      <c r="BJ110" s="142" t="str">
        <f>_xlfn.IFNA(VLOOKUP($BC110,Programma!$F$3:$M$1101,8,0),"")</f>
        <v/>
      </c>
      <c r="BK110" s="142" t="str">
        <f>_xlfn.IFNA(VLOOKUP($BC110,Programma!$F$3:$N$1101,9,0),"")</f>
        <v/>
      </c>
      <c r="BL110" s="142" t="str">
        <f>_xlfn.IFNA(VLOOKUP($BC110,Programma!$F$3:$O$1101,10,0),"")</f>
        <v/>
      </c>
      <c r="BM110" s="142" t="str">
        <f>_xlfn.IFNA(VLOOKUP($BC110,Programma!$F$3:$P$1101,11,0),"")</f>
        <v/>
      </c>
      <c r="BN110" s="142" t="str">
        <f>_xlfn.IFNA(VLOOKUP($BC110,Programma!$F$3:$Q$1101,12,0),"")</f>
        <v/>
      </c>
      <c r="BO110" s="142" t="str">
        <f>_xlfn.IFNA(VLOOKUP($BC110,Programma!$F$3:$R$1101,13,0),"")</f>
        <v/>
      </c>
      <c r="BP110" s="142" t="str">
        <f>_xlfn.IFNA(VLOOKUP($BC110,Programma!$F$3:$S$1101,14,0),"")</f>
        <v/>
      </c>
      <c r="BQ110" s="142" t="str">
        <f>_xlfn.IFNA(VLOOKUP($BC110,Programma!$F$3:$T$1101,15,0),"")</f>
        <v/>
      </c>
      <c r="BR110" s="142" t="str">
        <f>_xlfn.IFNA(VLOOKUP($BC110,Programma!$F$3:$U$1101,16,0),"")</f>
        <v/>
      </c>
      <c r="BS110" s="142" t="str">
        <f>_xlfn.IFNA(VLOOKUP($BC110,Programma!$F$3:$V$1101,17,0),"")</f>
        <v/>
      </c>
      <c r="BT110" s="142" t="str">
        <f>_xlfn.IFNA(VLOOKUP($BC110,Programma!$F$3:$W$1101,18,0),"")</f>
        <v/>
      </c>
      <c r="BU110" s="142" t="str">
        <f>_xlfn.IFNA(VLOOKUP($BC110,Programma!$F$3:$X$1101,19,0),"")</f>
        <v/>
      </c>
      <c r="BV110" s="142" t="str">
        <f>_xlfn.IFNA(VLOOKUP($BC110,Programma!$F$3:$Y$1101,20,0),"")</f>
        <v/>
      </c>
      <c r="BW110" s="28"/>
      <c r="BX110" s="28"/>
      <c r="BY110" s="28"/>
      <c r="BZ110" s="28"/>
      <c r="CA110" s="28"/>
      <c r="CB110" s="28"/>
      <c r="CC110" s="28"/>
      <c r="CD110" s="28"/>
      <c r="CE110" s="28"/>
      <c r="CF110" s="28"/>
      <c r="CG110" s="28"/>
      <c r="CH110" s="28"/>
      <c r="CI110" s="28"/>
      <c r="CJ110" s="28"/>
      <c r="CK110" s="28"/>
      <c r="CL110" s="28"/>
      <c r="CM110" s="28"/>
      <c r="CN110" s="28"/>
      <c r="CO110" s="28"/>
      <c r="CP110" s="28"/>
      <c r="CQ110" s="28"/>
      <c r="CR110" s="28"/>
      <c r="CS110" s="28"/>
      <c r="CT110" s="28"/>
      <c r="CU110" s="28"/>
      <c r="CV110" s="28"/>
      <c r="CW110" s="28"/>
      <c r="CX110" s="28"/>
      <c r="CY110" s="28"/>
      <c r="CZ110" s="28"/>
      <c r="DA110" s="28"/>
      <c r="DB110" s="28"/>
      <c r="DC110" s="28"/>
      <c r="DD110" s="28"/>
      <c r="DE110" s="28"/>
      <c r="DF110" s="28"/>
      <c r="DG110" s="28"/>
      <c r="DH110" s="28"/>
      <c r="DI110" s="28"/>
      <c r="DJ110" s="28"/>
      <c r="DK110" s="28"/>
      <c r="DL110" s="28"/>
      <c r="DM110" s="28"/>
      <c r="DN110" s="28"/>
      <c r="DO110" s="28"/>
      <c r="DP110" s="28"/>
      <c r="DQ110" s="28"/>
      <c r="DR110" s="28"/>
      <c r="DS110" s="28"/>
      <c r="DT110" s="28"/>
      <c r="DU110" s="28"/>
      <c r="DV110" s="28"/>
      <c r="DW110" s="28"/>
      <c r="DX110" s="28"/>
      <c r="DY110" s="28"/>
      <c r="DZ110" s="28"/>
      <c r="EA110" s="28"/>
      <c r="EB110" s="28"/>
      <c r="EC110" s="28"/>
      <c r="ED110" s="28"/>
      <c r="EE110" s="28"/>
      <c r="EF110" s="28"/>
      <c r="EG110" s="28"/>
      <c r="EH110" s="28"/>
      <c r="EI110" s="28"/>
      <c r="EJ110" s="28"/>
      <c r="EK110" s="28"/>
      <c r="EL110" s="28"/>
      <c r="EM110" s="28"/>
      <c r="EN110" s="28"/>
      <c r="EO110" s="28"/>
      <c r="EP110" s="28"/>
      <c r="EQ110" s="28"/>
      <c r="ER110" s="28"/>
      <c r="ES110" s="28"/>
      <c r="ET110" s="28"/>
      <c r="EU110" s="28"/>
      <c r="EV110" s="28"/>
      <c r="EW110" s="28"/>
      <c r="EX110" s="28"/>
      <c r="EY110" s="28"/>
      <c r="EZ110" s="28"/>
      <c r="FA110" s="28"/>
      <c r="FB110" s="28"/>
      <c r="FC110" s="28"/>
      <c r="FD110" s="28"/>
      <c r="FE110" s="28"/>
      <c r="FF110" s="28"/>
      <c r="FG110" s="28"/>
      <c r="FH110" s="28"/>
      <c r="FI110" s="28"/>
      <c r="FJ110" s="28"/>
      <c r="FK110" s="28"/>
      <c r="FL110" s="28"/>
      <c r="FM110" s="28"/>
      <c r="FN110" s="28"/>
      <c r="FO110" s="28"/>
      <c r="FP110" s="28"/>
      <c r="FQ110" s="28"/>
      <c r="FR110" s="28"/>
      <c r="FS110" s="28"/>
      <c r="FT110" s="28"/>
      <c r="FU110" s="28"/>
      <c r="FV110" s="28"/>
      <c r="FW110" s="28"/>
      <c r="FX110" s="28"/>
      <c r="FY110" s="28"/>
      <c r="FZ110" s="28"/>
      <c r="GA110" s="28"/>
      <c r="GB110" s="28"/>
      <c r="GC110" s="28"/>
      <c r="GD110" s="28"/>
      <c r="GE110" s="28"/>
      <c r="GF110" s="28"/>
      <c r="GG110" s="28"/>
      <c r="GH110" s="28"/>
      <c r="GI110" s="28"/>
      <c r="GJ110" s="28"/>
      <c r="GK110" s="28"/>
      <c r="GL110" s="28"/>
      <c r="GM110" s="28"/>
      <c r="GN110" s="28"/>
      <c r="GO110" s="28"/>
      <c r="GP110" s="28"/>
      <c r="GQ110" s="28"/>
      <c r="GR110" s="28"/>
      <c r="GS110" s="28"/>
      <c r="GT110" s="28"/>
      <c r="GU110" s="28"/>
      <c r="GV110" s="28"/>
      <c r="GW110" s="28"/>
      <c r="GX110" s="28"/>
      <c r="GY110" s="28"/>
      <c r="GZ110" s="28"/>
      <c r="HA110" s="28"/>
      <c r="HB110" s="28"/>
      <c r="HC110" s="28"/>
      <c r="HD110" s="28"/>
      <c r="HE110" s="28"/>
      <c r="HF110" s="28"/>
      <c r="HG110" s="28"/>
      <c r="HH110" s="28"/>
      <c r="HI110" s="28"/>
      <c r="HJ110" s="28"/>
      <c r="HK110" s="28"/>
    </row>
    <row r="111" spans="1:219" ht="15" customHeight="1">
      <c r="A111" s="49">
        <v>1</v>
      </c>
      <c r="B111" s="132" t="str">
        <f>VLOOKUP(Ruimtestaat[[#This Row],[Code]],Locaties[[Code]:[Locatie]],2,FALSE)</f>
        <v>Mirtehuis</v>
      </c>
      <c r="C111" s="132" t="str">
        <f>VLOOKUP(Ruimtestaat[[#This Row],[Code]],Locaties[[#All],[Code]:[Adres]],4,FALSE)</f>
        <v>Weseperweg 6</v>
      </c>
      <c r="D111" s="132" t="str">
        <f>VLOOKUP(Ruimtestaat[[#This Row],[Code]],Locaties[[#All],[Code]:[Postcode]],5,FALSE)</f>
        <v>8111 PK</v>
      </c>
      <c r="E111" s="132" t="str">
        <f>VLOOKUP(Ruimtestaat[[#This Row],[Code]],Locaties[#All],6,FALSE)</f>
        <v>Heeten</v>
      </c>
      <c r="F111" s="100"/>
      <c r="G111" s="100" t="s">
        <v>1677</v>
      </c>
      <c r="H111" s="344" t="s">
        <v>1687</v>
      </c>
      <c r="I111" s="345" t="s">
        <v>1656</v>
      </c>
      <c r="J111" s="49">
        <v>20</v>
      </c>
      <c r="K111" s="140" t="str">
        <f>VLOOKUP(Ruimtestaat[[#This Row],[Ruimte code]],Ruimtegroepen[[#All],[Code]:[Ruimte omschrijving]],2,FALSE)</f>
        <v>Niet in Onderhoud</v>
      </c>
      <c r="L111" s="100"/>
      <c r="M111" s="345"/>
      <c r="N111" s="133"/>
      <c r="O111" s="139"/>
      <c r="P111" s="134">
        <f>VLOOKUP(Ruimtestaat[[#This Row],[Ruimte code]],Ruimtegroepen[],4,FALSE)</f>
        <v>0</v>
      </c>
      <c r="Q111" s="100"/>
      <c r="R111" s="100"/>
      <c r="S111" s="100">
        <f>IF(Q111&gt;0,IF(RIGHT(Ruimtestaat[[#This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11" s="100">
        <f>IF(S111&gt;0,VLOOKUP($J111,Ruimtegroepen[],3,FALSE)*VLOOKUP($L111,Vloersoorten[],3,FALSE)*VLOOKUP($R111,Frequenties[],3,FALSE)*VLOOKUP($A111,Locaties[],3,FALSE),0)</f>
        <v>0</v>
      </c>
      <c r="U111" s="100">
        <f>Ruimtestaat[[#This Row],[Uitvoeringen werkdagen]]*Ruimtestaat[[#This Row],[Oppervlak (netto)]]</f>
        <v>0</v>
      </c>
      <c r="V111" s="135">
        <f>IF(T111&gt;0,Ruimtestaat[[#This Row],[Prest. (m2 /jaar) werkdagen]]/Ruimtestaat[[#This Row],[Norm (m2/uur) werkdagen]],0)</f>
        <v>0</v>
      </c>
      <c r="W111" s="136">
        <f>Ruimtestaat[[#This Row],[uren / jaar werkdagen]]*Tariefsopbouw!$E$35</f>
        <v>0</v>
      </c>
      <c r="X111" s="100"/>
      <c r="Y111" s="100">
        <f>IF(Ruimtestaat[[#This Row],[Frequentie weekend]]&gt;0,VALUE(LEFT(X111,1))*Q111,0)</f>
        <v>0</v>
      </c>
      <c r="Z111" s="99">
        <f>IF($Y111&gt;0,VLOOKUP($J111,Ruimtegroepen[],3,FALSE)*VLOOKUP($L111,Vloersoorten[],3,FALSE)*VLOOKUP($X111,Frequenties[],3,FALSE)*VLOOKUP(Ruimtestaat[[#This Row],[Code]],Locaties[],3,FALSE),0)</f>
        <v>0</v>
      </c>
      <c r="AA111" s="99">
        <f>Ruimtestaat[[#This Row],[Uitvoeringen weekend]]*Ruimtestaat[[#This Row],[Oppervlak (netto)]]</f>
        <v>0</v>
      </c>
      <c r="AB111" s="99">
        <f>IF(Z111&gt;0,Ruimtestaat[[#This Row],[Prest. (m2 /jaar) weekend]]/Ruimtestaat[[#This Row],[Norm (m2/uur) weekend]],0)</f>
        <v>0</v>
      </c>
      <c r="AC111" s="136">
        <f>Ruimtestaat[[#This Row],[uren / jaar weekend]]*Tariefsopbouw!$D$40</f>
        <v>0</v>
      </c>
      <c r="AD111" s="135">
        <f>Ruimtestaat[[#This Row],[Prest. (m2 /jaar) weekend]]+Ruimtestaat[[#This Row],[Prest. (m2 /jaar) werkdagen]]</f>
        <v>0</v>
      </c>
      <c r="AE111" s="135">
        <f>Ruimtestaat[[#This Row],[uren / jaar weekend]]+Ruimtestaat[[#This Row],[uren / jaar werkdagen]]</f>
        <v>0</v>
      </c>
      <c r="AF111" s="130">
        <f>Ruimtestaat[[#This Row],[kosten / jaar weekend]]+Ruimtestaat[[#This Row],[kosten / jaar werkdagen]]</f>
        <v>0</v>
      </c>
      <c r="AG111" s="130"/>
      <c r="AH111" s="137" t="str">
        <f>IF(Ruimtestaat[[#This Row],[Frequentie werkdagen]]="","",_xlfn.CONCAT(Ruimtestaat[[#This Row],[Ruimte code]],"-",Ruimtestaat[[#This Row],[Frequentie werkdagen]]," ",Ruimtestaat[[#This Row],[Vloer code]]))</f>
        <v/>
      </c>
      <c r="AI111" s="142" t="str">
        <f>_xlfn.IFNA(VLOOKUP($AH111,Programma!$F$3:$G$1101,2,0),"")</f>
        <v/>
      </c>
      <c r="AJ111" s="142" t="str">
        <f>_xlfn.IFNA(VLOOKUP($AH111,Programma!$F$3:$H$1101,3,0),"")</f>
        <v/>
      </c>
      <c r="AK111" s="142" t="str">
        <f>_xlfn.IFNA(VLOOKUP($AH111,Programma!$F$3:$I$1101,4,0),"")</f>
        <v/>
      </c>
      <c r="AL111" s="142" t="str">
        <f>_xlfn.IFNA(VLOOKUP($AH111,Programma!$F$3:$J$1101,5,0),"")</f>
        <v/>
      </c>
      <c r="AM111" s="142" t="str">
        <f>_xlfn.IFNA(VLOOKUP($AH111,Programma!$F$3:$K$1101,6,0),"")</f>
        <v/>
      </c>
      <c r="AN111" s="142" t="str">
        <f>_xlfn.IFNA(VLOOKUP($AH111,Programma!$F$3:$L$1101,7,0),"")</f>
        <v/>
      </c>
      <c r="AO111" s="142" t="str">
        <f>_xlfn.IFNA(VLOOKUP($AH111,Programma!$F$3:$M$1101,8,0),"")</f>
        <v/>
      </c>
      <c r="AP111" s="142" t="str">
        <f>_xlfn.IFNA(VLOOKUP($AH111,Programma!$F$3:$N$1101,9,0),"")</f>
        <v/>
      </c>
      <c r="AQ111" s="142" t="str">
        <f>_xlfn.IFNA(VLOOKUP($AH111,Programma!$F$3:$O$1101,10,0),"")</f>
        <v/>
      </c>
      <c r="AR111" s="142" t="str">
        <f>_xlfn.IFNA(VLOOKUP($AH111,Programma!$F$3:$P$1101,11,0),"")</f>
        <v/>
      </c>
      <c r="AS111" s="142" t="str">
        <f>_xlfn.IFNA(VLOOKUP($AH111,Programma!$F$3:$Q$1101,12,0),"")</f>
        <v/>
      </c>
      <c r="AT111" s="142" t="str">
        <f>_xlfn.IFNA(VLOOKUP($AH111,Programma!$F$3:$R$1101,13,0),"")</f>
        <v/>
      </c>
      <c r="AU111" s="142" t="str">
        <f>_xlfn.IFNA(VLOOKUP($AH111,Programma!$F$3:$S$1101,14,0),"")</f>
        <v/>
      </c>
      <c r="AV111" s="142" t="str">
        <f>_xlfn.IFNA(VLOOKUP($AH111,Programma!$F$3:$T$1101,15,0),"")</f>
        <v/>
      </c>
      <c r="AW111" s="142" t="str">
        <f>_xlfn.IFNA(VLOOKUP($AH111,Programma!$F$3:$U$1101,16,0),"")</f>
        <v/>
      </c>
      <c r="AX111" s="142" t="str">
        <f>_xlfn.IFNA(VLOOKUP($AH111,Programma!$F$3:$V$1101,17,0),"")</f>
        <v/>
      </c>
      <c r="AY111" s="142" t="str">
        <f>_xlfn.IFNA(VLOOKUP($AH111,Programma!$F$3:$W$1101,18,0),"")</f>
        <v/>
      </c>
      <c r="AZ111" s="142" t="str">
        <f>_xlfn.IFNA(VLOOKUP($AH111,Programma!$F$3:$X$1101,19,0),"")</f>
        <v/>
      </c>
      <c r="BA111" s="142" t="str">
        <f>_xlfn.IFNA(VLOOKUP($AH111,Programma!$F$3:$Y$1101,20,0),"")</f>
        <v/>
      </c>
      <c r="BB111" s="138"/>
      <c r="BC111" s="137" t="str">
        <f>IF(Ruimtestaat[[#This Row],[Frequentie weekend]]="","",_xlfn.CONCAT(Ruimtestaat[[#This Row],[Ruimte code]],"-",Ruimtestaat[[#This Row],[Frequentie weekend]]," ",Ruimtestaat[[#This Row],[Vloer code]]))</f>
        <v/>
      </c>
      <c r="BD111" s="142" t="str">
        <f>_xlfn.IFNA(VLOOKUP($BC111,Programma!$F$3:$G$1101,2,0),"")</f>
        <v/>
      </c>
      <c r="BE111" s="142" t="str">
        <f>_xlfn.IFNA(VLOOKUP($BC111,Programma!$F$3:$H$1101,3,0),"")</f>
        <v/>
      </c>
      <c r="BF111" s="142" t="str">
        <f>_xlfn.IFNA(VLOOKUP($BC111,Programma!$F$3:$I$1101,4,0),"")</f>
        <v/>
      </c>
      <c r="BG111" s="142" t="str">
        <f>_xlfn.IFNA(VLOOKUP($BC111,Programma!$F$3:$J$1101,5,0),"")</f>
        <v/>
      </c>
      <c r="BH111" s="142" t="str">
        <f>_xlfn.IFNA(VLOOKUP($BC111,Programma!$F$3:$K$1101,6,0),"")</f>
        <v/>
      </c>
      <c r="BI111" s="142" t="str">
        <f>_xlfn.IFNA(VLOOKUP($BC111,Programma!$F$3:$L$1101,7,0),"")</f>
        <v/>
      </c>
      <c r="BJ111" s="142" t="str">
        <f>_xlfn.IFNA(VLOOKUP($BC111,Programma!$F$3:$M$1101,8,0),"")</f>
        <v/>
      </c>
      <c r="BK111" s="142" t="str">
        <f>_xlfn.IFNA(VLOOKUP($BC111,Programma!$F$3:$N$1101,9,0),"")</f>
        <v/>
      </c>
      <c r="BL111" s="142" t="str">
        <f>_xlfn.IFNA(VLOOKUP($BC111,Programma!$F$3:$O$1101,10,0),"")</f>
        <v/>
      </c>
      <c r="BM111" s="142" t="str">
        <f>_xlfn.IFNA(VLOOKUP($BC111,Programma!$F$3:$P$1101,11,0),"")</f>
        <v/>
      </c>
      <c r="BN111" s="142" t="str">
        <f>_xlfn.IFNA(VLOOKUP($BC111,Programma!$F$3:$Q$1101,12,0),"")</f>
        <v/>
      </c>
      <c r="BO111" s="142" t="str">
        <f>_xlfn.IFNA(VLOOKUP($BC111,Programma!$F$3:$R$1101,13,0),"")</f>
        <v/>
      </c>
      <c r="BP111" s="142" t="str">
        <f>_xlfn.IFNA(VLOOKUP($BC111,Programma!$F$3:$S$1101,14,0),"")</f>
        <v/>
      </c>
      <c r="BQ111" s="142" t="str">
        <f>_xlfn.IFNA(VLOOKUP($BC111,Programma!$F$3:$T$1101,15,0),"")</f>
        <v/>
      </c>
      <c r="BR111" s="142" t="str">
        <f>_xlfn.IFNA(VLOOKUP($BC111,Programma!$F$3:$U$1101,16,0),"")</f>
        <v/>
      </c>
      <c r="BS111" s="142" t="str">
        <f>_xlfn.IFNA(VLOOKUP($BC111,Programma!$F$3:$V$1101,17,0),"")</f>
        <v/>
      </c>
      <c r="BT111" s="142" t="str">
        <f>_xlfn.IFNA(VLOOKUP($BC111,Programma!$F$3:$W$1101,18,0),"")</f>
        <v/>
      </c>
      <c r="BU111" s="142" t="str">
        <f>_xlfn.IFNA(VLOOKUP($BC111,Programma!$F$3:$X$1101,19,0),"")</f>
        <v/>
      </c>
      <c r="BV111" s="142" t="str">
        <f>_xlfn.IFNA(VLOOKUP($BC111,Programma!$F$3:$Y$1101,20,0),"")</f>
        <v/>
      </c>
      <c r="BW111" s="28"/>
      <c r="BX111" s="28"/>
      <c r="BY111" s="28"/>
      <c r="BZ111" s="28"/>
      <c r="CA111" s="28"/>
      <c r="CB111" s="28"/>
      <c r="CC111" s="28"/>
      <c r="CD111" s="28"/>
      <c r="CE111" s="28"/>
      <c r="CF111" s="28"/>
      <c r="CG111" s="28"/>
      <c r="CH111" s="28"/>
      <c r="CI111" s="28"/>
      <c r="CJ111" s="28"/>
      <c r="CK111" s="28"/>
      <c r="CL111" s="28"/>
      <c r="CM111" s="28"/>
      <c r="CN111" s="28"/>
      <c r="CO111" s="28"/>
      <c r="CP111" s="28"/>
      <c r="CQ111" s="28"/>
      <c r="CR111" s="28"/>
      <c r="CS111" s="28"/>
      <c r="CT111" s="28"/>
      <c r="CU111" s="28"/>
      <c r="CV111" s="28"/>
      <c r="CW111" s="28"/>
      <c r="CX111" s="28"/>
      <c r="CY111" s="28"/>
      <c r="CZ111" s="28"/>
      <c r="DA111" s="28"/>
      <c r="DB111" s="28"/>
      <c r="DC111" s="28"/>
      <c r="DD111" s="28"/>
      <c r="DE111" s="28"/>
      <c r="DF111" s="28"/>
      <c r="DG111" s="28"/>
      <c r="DH111" s="28"/>
      <c r="DI111" s="28"/>
      <c r="DJ111" s="28"/>
      <c r="DK111" s="28"/>
      <c r="DL111" s="28"/>
      <c r="DM111" s="28"/>
      <c r="DN111" s="28"/>
      <c r="DO111" s="28"/>
      <c r="DP111" s="28"/>
      <c r="DQ111" s="28"/>
      <c r="DR111" s="28"/>
      <c r="DS111" s="28"/>
      <c r="DT111" s="28"/>
      <c r="DU111" s="28"/>
      <c r="DV111" s="28"/>
      <c r="DW111" s="28"/>
      <c r="DX111" s="28"/>
      <c r="DY111" s="28"/>
      <c r="DZ111" s="28"/>
      <c r="EA111" s="28"/>
      <c r="EB111" s="28"/>
      <c r="EC111" s="28"/>
      <c r="ED111" s="28"/>
      <c r="EE111" s="28"/>
      <c r="EF111" s="28"/>
      <c r="EG111" s="28"/>
      <c r="EH111" s="28"/>
      <c r="EI111" s="28"/>
      <c r="EJ111" s="28"/>
      <c r="EK111" s="28"/>
      <c r="EL111" s="28"/>
      <c r="EM111" s="28"/>
      <c r="EN111" s="28"/>
      <c r="EO111" s="28"/>
      <c r="EP111" s="28"/>
      <c r="EQ111" s="28"/>
      <c r="ER111" s="28"/>
      <c r="ES111" s="28"/>
      <c r="ET111" s="28"/>
      <c r="EU111" s="28"/>
      <c r="EV111" s="28"/>
      <c r="EW111" s="28"/>
      <c r="EX111" s="28"/>
      <c r="EY111" s="28"/>
      <c r="EZ111" s="28"/>
      <c r="FA111" s="28"/>
      <c r="FB111" s="28"/>
      <c r="FC111" s="28"/>
      <c r="FD111" s="28"/>
      <c r="FE111" s="28"/>
      <c r="FF111" s="28"/>
      <c r="FG111" s="28"/>
      <c r="FH111" s="28"/>
      <c r="FI111" s="28"/>
      <c r="FJ111" s="28"/>
      <c r="FK111" s="28"/>
      <c r="FL111" s="28"/>
      <c r="FM111" s="28"/>
      <c r="FN111" s="28"/>
      <c r="FO111" s="28"/>
      <c r="FP111" s="28"/>
      <c r="FQ111" s="28"/>
      <c r="FR111" s="28"/>
      <c r="FS111" s="28"/>
      <c r="FT111" s="28"/>
      <c r="FU111" s="28"/>
      <c r="FV111" s="28"/>
      <c r="FW111" s="28"/>
      <c r="FX111" s="28"/>
      <c r="FY111" s="28"/>
      <c r="FZ111" s="28"/>
      <c r="GA111" s="28"/>
      <c r="GB111" s="28"/>
      <c r="GC111" s="28"/>
      <c r="GD111" s="28"/>
      <c r="GE111" s="28"/>
      <c r="GF111" s="28"/>
      <c r="GG111" s="28"/>
      <c r="GH111" s="28"/>
      <c r="GI111" s="28"/>
      <c r="GJ111" s="28"/>
      <c r="GK111" s="28"/>
      <c r="GL111" s="28"/>
      <c r="GM111" s="28"/>
      <c r="GN111" s="28"/>
      <c r="GO111" s="28"/>
      <c r="GP111" s="28"/>
      <c r="GQ111" s="28"/>
      <c r="GR111" s="28"/>
      <c r="GS111" s="28"/>
      <c r="GT111" s="28"/>
      <c r="GU111" s="28"/>
      <c r="GV111" s="28"/>
      <c r="GW111" s="28"/>
      <c r="GX111" s="28"/>
      <c r="GY111" s="28"/>
      <c r="GZ111" s="28"/>
      <c r="HA111" s="28"/>
      <c r="HB111" s="28"/>
      <c r="HC111" s="28"/>
      <c r="HD111" s="28"/>
      <c r="HE111" s="28"/>
      <c r="HF111" s="28"/>
      <c r="HG111" s="28"/>
      <c r="HH111" s="28"/>
      <c r="HI111" s="28"/>
      <c r="HJ111" s="28"/>
      <c r="HK111" s="28"/>
    </row>
    <row r="112" spans="1:219" ht="15" customHeight="1">
      <c r="A112" s="49">
        <v>1</v>
      </c>
      <c r="B112" s="132" t="str">
        <f>VLOOKUP(Ruimtestaat[[#This Row],[Code]],Locaties[[Code]:[Locatie]],2,FALSE)</f>
        <v>Mirtehuis</v>
      </c>
      <c r="C112" s="132" t="str">
        <f>VLOOKUP(Ruimtestaat[[#This Row],[Code]],Locaties[[#All],[Code]:[Adres]],4,FALSE)</f>
        <v>Weseperweg 6</v>
      </c>
      <c r="D112" s="132" t="str">
        <f>VLOOKUP(Ruimtestaat[[#This Row],[Code]],Locaties[[#All],[Code]:[Postcode]],5,FALSE)</f>
        <v>8111 PK</v>
      </c>
      <c r="E112" s="132" t="str">
        <f>VLOOKUP(Ruimtestaat[[#This Row],[Code]],Locaties[#All],6,FALSE)</f>
        <v>Heeten</v>
      </c>
      <c r="F112" s="100"/>
      <c r="G112" s="100" t="s">
        <v>1677</v>
      </c>
      <c r="H112" s="344" t="s">
        <v>1688</v>
      </c>
      <c r="I112" s="345" t="s">
        <v>1689</v>
      </c>
      <c r="J112" s="49">
        <v>4</v>
      </c>
      <c r="K112" s="140" t="str">
        <f>VLOOKUP(Ruimtestaat[[#This Row],[Ruimte code]],Ruimtegroepen[[#All],[Code]:[Ruimte omschrijving]],2,FALSE)</f>
        <v>Vergader/spreekkamers</v>
      </c>
      <c r="L112" s="100" t="s">
        <v>100</v>
      </c>
      <c r="M112" s="345" t="s">
        <v>1636</v>
      </c>
      <c r="N112" s="133">
        <v>37</v>
      </c>
      <c r="O112" s="100"/>
      <c r="P112" s="134" t="str">
        <f>VLOOKUP(Ruimtestaat[[#This Row],[Ruimte code]],Ruimtegroepen[],4,FALSE)</f>
        <v>Bu</v>
      </c>
      <c r="Q112" s="100">
        <v>51</v>
      </c>
      <c r="R112" s="100" t="s">
        <v>2</v>
      </c>
      <c r="S112" s="100">
        <f>IF(Q112&gt;0,IF(RIGHT(Ruimtestaat[[#This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12" s="100">
        <f>IF(S112&gt;0,VLOOKUP($J112,Ruimtegroepen[],3,FALSE)*VLOOKUP($L112,Vloersoorten[],3,FALSE)*VLOOKUP($R112,Frequenties[],3,FALSE)*VLOOKUP($A112,Locaties[],3,FALSE),0)</f>
        <v>0</v>
      </c>
      <c r="U112" s="100">
        <f>Ruimtestaat[[#This Row],[Uitvoeringen werkdagen]]*Ruimtestaat[[#This Row],[Oppervlak (netto)]]</f>
        <v>9435</v>
      </c>
      <c r="V112" s="135">
        <f>IF(T112&gt;0,Ruimtestaat[[#This Row],[Prest. (m2 /jaar) werkdagen]]/Ruimtestaat[[#This Row],[Norm (m2/uur) werkdagen]],0)</f>
        <v>0</v>
      </c>
      <c r="W112" s="136">
        <f>Ruimtestaat[[#This Row],[uren / jaar werkdagen]]*Tariefsopbouw!$E$35</f>
        <v>0</v>
      </c>
      <c r="X112" s="100"/>
      <c r="Y112" s="100">
        <f>IF(Ruimtestaat[[#This Row],[Frequentie weekend]]&gt;0,VALUE(LEFT(X112,1))*Q112,0)</f>
        <v>0</v>
      </c>
      <c r="Z112" s="99">
        <f>IF($Y112&gt;0,VLOOKUP($J112,Ruimtegroepen[],3,FALSE)*VLOOKUP($L112,Vloersoorten[],3,FALSE)*VLOOKUP($X112,Frequenties[],3,FALSE)*VLOOKUP(Ruimtestaat[[#This Row],[Code]],Locaties[],3,FALSE),0)</f>
        <v>0</v>
      </c>
      <c r="AA112" s="99">
        <f>Ruimtestaat[[#This Row],[Uitvoeringen weekend]]*Ruimtestaat[[#This Row],[Oppervlak (netto)]]</f>
        <v>0</v>
      </c>
      <c r="AB112" s="99">
        <f>IF(Z112&gt;0,Ruimtestaat[[#This Row],[Prest. (m2 /jaar) weekend]]/Ruimtestaat[[#This Row],[Norm (m2/uur) weekend]],0)</f>
        <v>0</v>
      </c>
      <c r="AC112" s="136">
        <f>Ruimtestaat[[#This Row],[uren / jaar weekend]]*Tariefsopbouw!$D$40</f>
        <v>0</v>
      </c>
      <c r="AD112" s="135">
        <f>Ruimtestaat[[#This Row],[Prest. (m2 /jaar) weekend]]+Ruimtestaat[[#This Row],[Prest. (m2 /jaar) werkdagen]]</f>
        <v>9435</v>
      </c>
      <c r="AE112" s="135">
        <f>Ruimtestaat[[#This Row],[uren / jaar weekend]]+Ruimtestaat[[#This Row],[uren / jaar werkdagen]]</f>
        <v>0</v>
      </c>
      <c r="AF112" s="130">
        <f>Ruimtestaat[[#This Row],[kosten / jaar weekend]]+Ruimtestaat[[#This Row],[kosten / jaar werkdagen]]</f>
        <v>0</v>
      </c>
      <c r="AG112" s="130"/>
      <c r="AH112" s="137" t="str">
        <f>IF(Ruimtestaat[[#This Row],[Frequentie werkdagen]]="","",_xlfn.CONCAT(Ruimtestaat[[#This Row],[Ruimte code]],"-",Ruimtestaat[[#This Row],[Frequentie werkdagen]]," ",Ruimtestaat[[#This Row],[Vloer code]]))</f>
        <v>4-5w L</v>
      </c>
      <c r="AI112" s="142" t="str">
        <f>_xlfn.IFNA(VLOOKUP($AH112,Programma!$F$3:$G$1101,2,0),"")</f>
        <v>_</v>
      </c>
      <c r="AJ112" s="142" t="str">
        <f>_xlfn.IFNA(VLOOKUP($AH112,Programma!$F$3:$H$1101,3,0),"")</f>
        <v>_</v>
      </c>
      <c r="AK112" s="142" t="str">
        <f>_xlfn.IFNA(VLOOKUP($AH112,Programma!$F$3:$I$1101,4,0),"")</f>
        <v>4w</v>
      </c>
      <c r="AL112" s="142" t="str">
        <f>_xlfn.IFNA(VLOOKUP($AH112,Programma!$F$3:$J$1101,5,0),"")</f>
        <v>1w</v>
      </c>
      <c r="AM112" s="142" t="str">
        <f>_xlfn.IFNA(VLOOKUP($AH112,Programma!$F$3:$K$1101,6,0),"")</f>
        <v>_</v>
      </c>
      <c r="AN112" s="142" t="str">
        <f>_xlfn.IFNA(VLOOKUP($AH112,Programma!$F$3:$L$1101,7,0),"")</f>
        <v>_</v>
      </c>
      <c r="AO112" s="142" t="str">
        <f>_xlfn.IFNA(VLOOKUP($AH112,Programma!$F$3:$M$1101,8,0),"")</f>
        <v>_</v>
      </c>
      <c r="AP112" s="142" t="str">
        <f>_xlfn.IFNA(VLOOKUP($AH112,Programma!$F$3:$N$1101,9,0),"")</f>
        <v>_</v>
      </c>
      <c r="AQ112" s="142" t="str">
        <f>_xlfn.IFNA(VLOOKUP($AH112,Programma!$F$3:$O$1101,10,0),"")</f>
        <v>5w</v>
      </c>
      <c r="AR112" s="142" t="str">
        <f>_xlfn.IFNA(VLOOKUP($AH112,Programma!$F$3:$P$1101,11,0),"")</f>
        <v>5w</v>
      </c>
      <c r="AS112" s="142" t="str">
        <f>_xlfn.IFNA(VLOOKUP($AH112,Programma!$F$3:$Q$1101,12,0),"")</f>
        <v>1w</v>
      </c>
      <c r="AT112" s="142" t="str">
        <f>_xlfn.IFNA(VLOOKUP($AH112,Programma!$F$3:$R$1101,13,0),"")</f>
        <v>1w</v>
      </c>
      <c r="AU112" s="142" t="str">
        <f>_xlfn.IFNA(VLOOKUP($AH112,Programma!$F$3:$S$1101,14,0),"")</f>
        <v>1m</v>
      </c>
      <c r="AV112" s="142" t="str">
        <f>_xlfn.IFNA(VLOOKUP($AH112,Programma!$F$3:$T$1101,15,0),"")</f>
        <v>2j</v>
      </c>
      <c r="AW112" s="142" t="str">
        <f>_xlfn.IFNA(VLOOKUP($AH112,Programma!$F$3:$U$1101,16,0),"")</f>
        <v>1j</v>
      </c>
      <c r="AX112" s="142" t="str">
        <f>_xlfn.IFNA(VLOOKUP($AH112,Programma!$F$3:$V$1101,17,0),"")</f>
        <v>_</v>
      </c>
      <c r="AY112" s="142" t="str">
        <f>_xlfn.IFNA(VLOOKUP($AH112,Programma!$F$3:$W$1101,18,0),"")</f>
        <v>_</v>
      </c>
      <c r="AZ112" s="142" t="str">
        <f>_xlfn.IFNA(VLOOKUP($AH112,Programma!$F$3:$X$1101,19,0),"")</f>
        <v>_</v>
      </c>
      <c r="BA112" s="142" t="str">
        <f>_xlfn.IFNA(VLOOKUP($AH112,Programma!$F$3:$Y$1101,20,0),"")</f>
        <v>_</v>
      </c>
      <c r="BB112" s="138"/>
      <c r="BC112" s="137" t="str">
        <f>IF(Ruimtestaat[[#This Row],[Frequentie weekend]]="","",_xlfn.CONCAT(Ruimtestaat[[#This Row],[Ruimte code]],"-",Ruimtestaat[[#This Row],[Frequentie weekend]]," ",Ruimtestaat[[#This Row],[Vloer code]]))</f>
        <v/>
      </c>
      <c r="BD112" s="142" t="str">
        <f>_xlfn.IFNA(VLOOKUP($BC112,Programma!$F$3:$G$1101,2,0),"")</f>
        <v/>
      </c>
      <c r="BE112" s="142" t="str">
        <f>_xlfn.IFNA(VLOOKUP($BC112,Programma!$F$3:$H$1101,3,0),"")</f>
        <v/>
      </c>
      <c r="BF112" s="142" t="str">
        <f>_xlfn.IFNA(VLOOKUP($BC112,Programma!$F$3:$I$1101,4,0),"")</f>
        <v/>
      </c>
      <c r="BG112" s="142" t="str">
        <f>_xlfn.IFNA(VLOOKUP($BC112,Programma!$F$3:$J$1101,5,0),"")</f>
        <v/>
      </c>
      <c r="BH112" s="142" t="str">
        <f>_xlfn.IFNA(VLOOKUP($BC112,Programma!$F$3:$K$1101,6,0),"")</f>
        <v/>
      </c>
      <c r="BI112" s="142" t="str">
        <f>_xlfn.IFNA(VLOOKUP($BC112,Programma!$F$3:$L$1101,7,0),"")</f>
        <v/>
      </c>
      <c r="BJ112" s="142" t="str">
        <f>_xlfn.IFNA(VLOOKUP($BC112,Programma!$F$3:$M$1101,8,0),"")</f>
        <v/>
      </c>
      <c r="BK112" s="142" t="str">
        <f>_xlfn.IFNA(VLOOKUP($BC112,Programma!$F$3:$N$1101,9,0),"")</f>
        <v/>
      </c>
      <c r="BL112" s="142" t="str">
        <f>_xlfn.IFNA(VLOOKUP($BC112,Programma!$F$3:$O$1101,10,0),"")</f>
        <v/>
      </c>
      <c r="BM112" s="142" t="str">
        <f>_xlfn.IFNA(VLOOKUP($BC112,Programma!$F$3:$P$1101,11,0),"")</f>
        <v/>
      </c>
      <c r="BN112" s="142" t="str">
        <f>_xlfn.IFNA(VLOOKUP($BC112,Programma!$F$3:$Q$1101,12,0),"")</f>
        <v/>
      </c>
      <c r="BO112" s="142" t="str">
        <f>_xlfn.IFNA(VLOOKUP($BC112,Programma!$F$3:$R$1101,13,0),"")</f>
        <v/>
      </c>
      <c r="BP112" s="142" t="str">
        <f>_xlfn.IFNA(VLOOKUP($BC112,Programma!$F$3:$S$1101,14,0),"")</f>
        <v/>
      </c>
      <c r="BQ112" s="142" t="str">
        <f>_xlfn.IFNA(VLOOKUP($BC112,Programma!$F$3:$T$1101,15,0),"")</f>
        <v/>
      </c>
      <c r="BR112" s="142" t="str">
        <f>_xlfn.IFNA(VLOOKUP($BC112,Programma!$F$3:$U$1101,16,0),"")</f>
        <v/>
      </c>
      <c r="BS112" s="142" t="str">
        <f>_xlfn.IFNA(VLOOKUP($BC112,Programma!$F$3:$V$1101,17,0),"")</f>
        <v/>
      </c>
      <c r="BT112" s="142" t="str">
        <f>_xlfn.IFNA(VLOOKUP($BC112,Programma!$F$3:$W$1101,18,0),"")</f>
        <v/>
      </c>
      <c r="BU112" s="142" t="str">
        <f>_xlfn.IFNA(VLOOKUP($BC112,Programma!$F$3:$X$1101,19,0),"")</f>
        <v/>
      </c>
      <c r="BV112" s="142" t="str">
        <f>_xlfn.IFNA(VLOOKUP($BC112,Programma!$F$3:$Y$1101,20,0),"")</f>
        <v/>
      </c>
      <c r="BW112" s="28"/>
      <c r="BX112" s="28"/>
      <c r="BY112" s="28"/>
      <c r="BZ112" s="28"/>
      <c r="CA112" s="28"/>
      <c r="CB112" s="28"/>
      <c r="CC112" s="28"/>
      <c r="CD112" s="28"/>
      <c r="CE112" s="28"/>
      <c r="CF112" s="28"/>
      <c r="CG112" s="28"/>
      <c r="CH112" s="28"/>
      <c r="CI112" s="28"/>
      <c r="CJ112" s="28"/>
      <c r="CK112" s="28"/>
      <c r="CL112" s="28"/>
      <c r="CM112" s="28"/>
      <c r="CN112" s="28"/>
      <c r="CO112" s="28"/>
      <c r="CP112" s="28"/>
      <c r="CQ112" s="28"/>
      <c r="CR112" s="28"/>
      <c r="CS112" s="28"/>
      <c r="CT112" s="28"/>
      <c r="CU112" s="28"/>
      <c r="CV112" s="28"/>
      <c r="CW112" s="28"/>
      <c r="CX112" s="28"/>
      <c r="CY112" s="28"/>
      <c r="CZ112" s="28"/>
      <c r="DA112" s="28"/>
      <c r="DB112" s="28"/>
      <c r="DC112" s="28"/>
      <c r="DD112" s="28"/>
      <c r="DE112" s="28"/>
      <c r="DF112" s="28"/>
      <c r="DG112" s="28"/>
      <c r="DH112" s="28"/>
      <c r="DI112" s="28"/>
      <c r="DJ112" s="28"/>
      <c r="DK112" s="28"/>
      <c r="DL112" s="28"/>
      <c r="DM112" s="28"/>
      <c r="DN112" s="28"/>
      <c r="DO112" s="28"/>
      <c r="DP112" s="28"/>
      <c r="DQ112" s="28"/>
      <c r="DR112" s="28"/>
      <c r="DS112" s="28"/>
      <c r="DT112" s="28"/>
      <c r="DU112" s="28"/>
      <c r="DV112" s="28"/>
      <c r="DW112" s="28"/>
      <c r="DX112" s="28"/>
      <c r="DY112" s="28"/>
      <c r="DZ112" s="28"/>
      <c r="EA112" s="28"/>
      <c r="EB112" s="28"/>
      <c r="EC112" s="28"/>
      <c r="ED112" s="28"/>
      <c r="EE112" s="28"/>
      <c r="EF112" s="28"/>
      <c r="EG112" s="28"/>
      <c r="EH112" s="28"/>
      <c r="EI112" s="28"/>
      <c r="EJ112" s="28"/>
      <c r="EK112" s="28"/>
      <c r="EL112" s="28"/>
      <c r="EM112" s="28"/>
      <c r="EN112" s="28"/>
      <c r="EO112" s="28"/>
      <c r="EP112" s="28"/>
      <c r="EQ112" s="28"/>
      <c r="ER112" s="28"/>
      <c r="ES112" s="28"/>
      <c r="ET112" s="28"/>
      <c r="EU112" s="28"/>
      <c r="EV112" s="28"/>
      <c r="EW112" s="28"/>
      <c r="EX112" s="28"/>
      <c r="EY112" s="28"/>
      <c r="EZ112" s="28"/>
      <c r="FA112" s="28"/>
      <c r="FB112" s="28"/>
      <c r="FC112" s="28"/>
      <c r="FD112" s="28"/>
      <c r="FE112" s="28"/>
      <c r="FF112" s="28"/>
      <c r="FG112" s="28"/>
      <c r="FH112" s="28"/>
      <c r="FI112" s="28"/>
      <c r="FJ112" s="28"/>
      <c r="FK112" s="28"/>
      <c r="FL112" s="28"/>
      <c r="FM112" s="28"/>
      <c r="FN112" s="28"/>
      <c r="FO112" s="28"/>
      <c r="FP112" s="28"/>
      <c r="FQ112" s="28"/>
      <c r="FR112" s="28"/>
      <c r="FS112" s="28"/>
      <c r="FT112" s="28"/>
      <c r="FU112" s="28"/>
      <c r="FV112" s="28"/>
      <c r="FW112" s="28"/>
      <c r="FX112" s="28"/>
      <c r="FY112" s="28"/>
      <c r="FZ112" s="28"/>
      <c r="GA112" s="28"/>
      <c r="GB112" s="28"/>
      <c r="GC112" s="28"/>
      <c r="GD112" s="28"/>
      <c r="GE112" s="28"/>
      <c r="GF112" s="28"/>
      <c r="GG112" s="28"/>
      <c r="GH112" s="28"/>
      <c r="GI112" s="28"/>
      <c r="GJ112" s="28"/>
      <c r="GK112" s="28"/>
      <c r="GL112" s="28"/>
      <c r="GM112" s="28"/>
      <c r="GN112" s="28"/>
      <c r="GO112" s="28"/>
      <c r="GP112" s="28"/>
      <c r="GQ112" s="28"/>
      <c r="GR112" s="28"/>
      <c r="GS112" s="28"/>
      <c r="GT112" s="28"/>
      <c r="GU112" s="28"/>
      <c r="GV112" s="28"/>
      <c r="GW112" s="28"/>
      <c r="GX112" s="28"/>
      <c r="GY112" s="28"/>
      <c r="GZ112" s="28"/>
      <c r="HA112" s="28"/>
      <c r="HB112" s="28"/>
      <c r="HC112" s="28"/>
      <c r="HD112" s="28"/>
      <c r="HE112" s="28"/>
      <c r="HF112" s="28"/>
      <c r="HG112" s="28"/>
      <c r="HH112" s="28"/>
      <c r="HI112" s="28"/>
      <c r="HJ112" s="28"/>
      <c r="HK112" s="28"/>
    </row>
    <row r="113" spans="1:219" ht="15" customHeight="1">
      <c r="A113" s="49">
        <v>1</v>
      </c>
      <c r="B113" s="132" t="str">
        <f>VLOOKUP(Ruimtestaat[[#This Row],[Code]],Locaties[[Code]:[Locatie]],2,FALSE)</f>
        <v>Mirtehuis</v>
      </c>
      <c r="C113" s="132" t="str">
        <f>VLOOKUP(Ruimtestaat[[#This Row],[Code]],Locaties[[#All],[Code]:[Adres]],4,FALSE)</f>
        <v>Weseperweg 6</v>
      </c>
      <c r="D113" s="132" t="str">
        <f>VLOOKUP(Ruimtestaat[[#This Row],[Code]],Locaties[[#All],[Code]:[Postcode]],5,FALSE)</f>
        <v>8111 PK</v>
      </c>
      <c r="E113" s="132" t="str">
        <f>VLOOKUP(Ruimtestaat[[#This Row],[Code]],Locaties[#All],6,FALSE)</f>
        <v>Heeten</v>
      </c>
      <c r="F113" s="100"/>
      <c r="G113" s="100" t="s">
        <v>1677</v>
      </c>
      <c r="H113" s="141"/>
      <c r="I113" s="140" t="s">
        <v>1635</v>
      </c>
      <c r="J113" s="49">
        <v>10</v>
      </c>
      <c r="K113" s="140" t="str">
        <f>VLOOKUP(Ruimtestaat[[#This Row],[Ruimte code]],Ruimtegroepen[[#All],[Code]:[Ruimte omschrijving]],2,FALSE)</f>
        <v>Trappenhuizen/lift</v>
      </c>
      <c r="L113" s="100" t="s">
        <v>100</v>
      </c>
      <c r="M113" s="345" t="s">
        <v>1636</v>
      </c>
      <c r="N113" s="133">
        <v>1.99</v>
      </c>
      <c r="O113" s="139"/>
      <c r="P113" s="134" t="str">
        <f>VLOOKUP(Ruimtestaat[[#This Row],[Ruimte code]],Ruimtegroepen[],4,FALSE)</f>
        <v>Ve</v>
      </c>
      <c r="Q113" s="100">
        <v>51</v>
      </c>
      <c r="R113" s="100" t="s">
        <v>18</v>
      </c>
      <c r="S113" s="100">
        <f>IF(Q113&gt;0,IF(RIGHT(Ruimtestaat[[#This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153</v>
      </c>
      <c r="T113" s="100">
        <f>IF(S113&gt;0,VLOOKUP($J113,Ruimtegroepen[],3,FALSE)*VLOOKUP($L113,Vloersoorten[],3,FALSE)*VLOOKUP($R113,Frequenties[],3,FALSE)*VLOOKUP($A113,Locaties[],3,FALSE),0)</f>
        <v>0</v>
      </c>
      <c r="U113" s="100">
        <f>Ruimtestaat[[#This Row],[Uitvoeringen werkdagen]]*Ruimtestaat[[#This Row],[Oppervlak (netto)]]</f>
        <v>304.46999999999997</v>
      </c>
      <c r="V113" s="135">
        <f>IF(T113&gt;0,Ruimtestaat[[#This Row],[Prest. (m2 /jaar) werkdagen]]/Ruimtestaat[[#This Row],[Norm (m2/uur) werkdagen]],0)</f>
        <v>0</v>
      </c>
      <c r="W113" s="136">
        <f>Ruimtestaat[[#This Row],[uren / jaar werkdagen]]*Tariefsopbouw!$E$35</f>
        <v>0</v>
      </c>
      <c r="X113" s="100"/>
      <c r="Y113" s="100">
        <f>IF(Ruimtestaat[[#This Row],[Frequentie weekend]]&gt;0,VALUE(LEFT(X113,1))*Q113,0)</f>
        <v>0</v>
      </c>
      <c r="Z113" s="99">
        <f>IF($Y113&gt;0,VLOOKUP($J113,Ruimtegroepen[],3,FALSE)*VLOOKUP($L113,Vloersoorten[],3,FALSE)*VLOOKUP($X113,Frequenties[],3,FALSE)*VLOOKUP(Ruimtestaat[[#This Row],[Code]],Locaties[],3,FALSE),0)</f>
        <v>0</v>
      </c>
      <c r="AA113" s="99">
        <f>Ruimtestaat[[#This Row],[Uitvoeringen weekend]]*Ruimtestaat[[#This Row],[Oppervlak (netto)]]</f>
        <v>0</v>
      </c>
      <c r="AB113" s="99">
        <f>IF(Z113&gt;0,Ruimtestaat[[#This Row],[Prest. (m2 /jaar) weekend]]/Ruimtestaat[[#This Row],[Norm (m2/uur) weekend]],0)</f>
        <v>0</v>
      </c>
      <c r="AC113" s="136">
        <f>Ruimtestaat[[#This Row],[uren / jaar weekend]]*Tariefsopbouw!$D$40</f>
        <v>0</v>
      </c>
      <c r="AD113" s="135">
        <f>Ruimtestaat[[#This Row],[Prest. (m2 /jaar) weekend]]+Ruimtestaat[[#This Row],[Prest. (m2 /jaar) werkdagen]]</f>
        <v>304.46999999999997</v>
      </c>
      <c r="AE113" s="135">
        <f>Ruimtestaat[[#This Row],[uren / jaar weekend]]+Ruimtestaat[[#This Row],[uren / jaar werkdagen]]</f>
        <v>0</v>
      </c>
      <c r="AF113" s="130">
        <f>Ruimtestaat[[#This Row],[kosten / jaar weekend]]+Ruimtestaat[[#This Row],[kosten / jaar werkdagen]]</f>
        <v>0</v>
      </c>
      <c r="AG113" s="130"/>
      <c r="AH113" s="137" t="str">
        <f>IF(Ruimtestaat[[#This Row],[Frequentie werkdagen]]="","",_xlfn.CONCAT(Ruimtestaat[[#This Row],[Ruimte code]],"-",Ruimtestaat[[#This Row],[Frequentie werkdagen]]," ",Ruimtestaat[[#This Row],[Vloer code]]))</f>
        <v>10-3w L</v>
      </c>
      <c r="AI113" s="142" t="str">
        <f>_xlfn.IFNA(VLOOKUP($AH113,Programma!$F$3:$G$1101,2,0),"")</f>
        <v>_</v>
      </c>
      <c r="AJ113" s="142" t="str">
        <f>_xlfn.IFNA(VLOOKUP($AH113,Programma!$F$3:$H$1101,3,0),"")</f>
        <v>_</v>
      </c>
      <c r="AK113" s="142" t="str">
        <f>_xlfn.IFNA(VLOOKUP($AH113,Programma!$F$3:$I$1101,4,0),"")</f>
        <v>2w</v>
      </c>
      <c r="AL113" s="142" t="str">
        <f>_xlfn.IFNA(VLOOKUP($AH113,Programma!$F$3:$J$1101,5,0),"")</f>
        <v>1w</v>
      </c>
      <c r="AM113" s="142" t="str">
        <f>_xlfn.IFNA(VLOOKUP($AH113,Programma!$F$3:$K$1101,6,0),"")</f>
        <v>_</v>
      </c>
      <c r="AN113" s="142" t="str">
        <f>_xlfn.IFNA(VLOOKUP($AH113,Programma!$F$3:$L$1101,7,0),"")</f>
        <v>_</v>
      </c>
      <c r="AO113" s="142" t="str">
        <f>_xlfn.IFNA(VLOOKUP($AH113,Programma!$F$3:$M$1101,8,0),"")</f>
        <v>_</v>
      </c>
      <c r="AP113" s="142" t="str">
        <f>_xlfn.IFNA(VLOOKUP($AH113,Programma!$F$3:$N$1101,9,0),"")</f>
        <v>_</v>
      </c>
      <c r="AQ113" s="142" t="str">
        <f>_xlfn.IFNA(VLOOKUP($AH113,Programma!$F$3:$O$1101,10,0),"")</f>
        <v>3w</v>
      </c>
      <c r="AR113" s="142" t="str">
        <f>_xlfn.IFNA(VLOOKUP($AH113,Programma!$F$3:$P$1101,11,0),"")</f>
        <v>3w</v>
      </c>
      <c r="AS113" s="142" t="str">
        <f>_xlfn.IFNA(VLOOKUP($AH113,Programma!$F$3:$Q$1101,12,0),"")</f>
        <v>1w</v>
      </c>
      <c r="AT113" s="142" t="str">
        <f>_xlfn.IFNA(VLOOKUP($AH113,Programma!$F$3:$R$1101,13,0),"")</f>
        <v>1w</v>
      </c>
      <c r="AU113" s="142" t="str">
        <f>_xlfn.IFNA(VLOOKUP($AH113,Programma!$F$3:$S$1101,14,0),"")</f>
        <v>1m</v>
      </c>
      <c r="AV113" s="142" t="str">
        <f>_xlfn.IFNA(VLOOKUP($AH113,Programma!$F$3:$T$1101,15,0),"")</f>
        <v>2j</v>
      </c>
      <c r="AW113" s="142" t="str">
        <f>_xlfn.IFNA(VLOOKUP($AH113,Programma!$F$3:$U$1101,16,0),"")</f>
        <v>1j</v>
      </c>
      <c r="AX113" s="142" t="str">
        <f>_xlfn.IFNA(VLOOKUP($AH113,Programma!$F$3:$V$1101,17,0),"")</f>
        <v>_</v>
      </c>
      <c r="AY113" s="142" t="str">
        <f>_xlfn.IFNA(VLOOKUP($AH113,Programma!$F$3:$W$1101,18,0),"")</f>
        <v>_</v>
      </c>
      <c r="AZ113" s="142" t="str">
        <f>_xlfn.IFNA(VLOOKUP($AH113,Programma!$F$3:$X$1101,19,0),"")</f>
        <v>_</v>
      </c>
      <c r="BA113" s="142" t="str">
        <f>_xlfn.IFNA(VLOOKUP($AH113,Programma!$F$3:$Y$1101,20,0),"")</f>
        <v>_</v>
      </c>
      <c r="BB113" s="138"/>
      <c r="BC113" s="137" t="str">
        <f>IF(Ruimtestaat[[#This Row],[Frequentie weekend]]="","",_xlfn.CONCAT(Ruimtestaat[[#This Row],[Ruimte code]],"-",Ruimtestaat[[#This Row],[Frequentie weekend]]," ",Ruimtestaat[[#This Row],[Vloer code]]))</f>
        <v/>
      </c>
      <c r="BD113" s="142" t="str">
        <f>_xlfn.IFNA(VLOOKUP($BC113,Programma!$F$3:$G$1101,2,0),"")</f>
        <v/>
      </c>
      <c r="BE113" s="142" t="str">
        <f>_xlfn.IFNA(VLOOKUP($BC113,Programma!$F$3:$H$1101,3,0),"")</f>
        <v/>
      </c>
      <c r="BF113" s="142" t="str">
        <f>_xlfn.IFNA(VLOOKUP($BC113,Programma!$F$3:$I$1101,4,0),"")</f>
        <v/>
      </c>
      <c r="BG113" s="142" t="str">
        <f>_xlfn.IFNA(VLOOKUP($BC113,Programma!$F$3:$J$1101,5,0),"")</f>
        <v/>
      </c>
      <c r="BH113" s="142" t="str">
        <f>_xlfn.IFNA(VLOOKUP($BC113,Programma!$F$3:$K$1101,6,0),"")</f>
        <v/>
      </c>
      <c r="BI113" s="142" t="str">
        <f>_xlfn.IFNA(VLOOKUP($BC113,Programma!$F$3:$L$1101,7,0),"")</f>
        <v/>
      </c>
      <c r="BJ113" s="142" t="str">
        <f>_xlfn.IFNA(VLOOKUP($BC113,Programma!$F$3:$M$1101,8,0),"")</f>
        <v/>
      </c>
      <c r="BK113" s="142" t="str">
        <f>_xlfn.IFNA(VLOOKUP($BC113,Programma!$F$3:$N$1101,9,0),"")</f>
        <v/>
      </c>
      <c r="BL113" s="142" t="str">
        <f>_xlfn.IFNA(VLOOKUP($BC113,Programma!$F$3:$O$1101,10,0),"")</f>
        <v/>
      </c>
      <c r="BM113" s="142" t="str">
        <f>_xlfn.IFNA(VLOOKUP($BC113,Programma!$F$3:$P$1101,11,0),"")</f>
        <v/>
      </c>
      <c r="BN113" s="142" t="str">
        <f>_xlfn.IFNA(VLOOKUP($BC113,Programma!$F$3:$Q$1101,12,0),"")</f>
        <v/>
      </c>
      <c r="BO113" s="142" t="str">
        <f>_xlfn.IFNA(VLOOKUP($BC113,Programma!$F$3:$R$1101,13,0),"")</f>
        <v/>
      </c>
      <c r="BP113" s="142" t="str">
        <f>_xlfn.IFNA(VLOOKUP($BC113,Programma!$F$3:$S$1101,14,0),"")</f>
        <v/>
      </c>
      <c r="BQ113" s="142" t="str">
        <f>_xlfn.IFNA(VLOOKUP($BC113,Programma!$F$3:$T$1101,15,0),"")</f>
        <v/>
      </c>
      <c r="BR113" s="142" t="str">
        <f>_xlfn.IFNA(VLOOKUP($BC113,Programma!$F$3:$U$1101,16,0),"")</f>
        <v/>
      </c>
      <c r="BS113" s="142" t="str">
        <f>_xlfn.IFNA(VLOOKUP($BC113,Programma!$F$3:$V$1101,17,0),"")</f>
        <v/>
      </c>
      <c r="BT113" s="142" t="str">
        <f>_xlfn.IFNA(VLOOKUP($BC113,Programma!$F$3:$W$1101,18,0),"")</f>
        <v/>
      </c>
      <c r="BU113" s="142" t="str">
        <f>_xlfn.IFNA(VLOOKUP($BC113,Programma!$F$3:$X$1101,19,0),"")</f>
        <v/>
      </c>
      <c r="BV113" s="142" t="str">
        <f>_xlfn.IFNA(VLOOKUP($BC113,Programma!$F$3:$Y$1101,20,0),"")</f>
        <v/>
      </c>
      <c r="BW113" s="28"/>
      <c r="BX113" s="28"/>
      <c r="BY113" s="28"/>
      <c r="BZ113" s="28"/>
      <c r="CA113" s="28"/>
      <c r="CB113" s="28"/>
      <c r="CC113" s="28"/>
      <c r="CD113" s="28"/>
      <c r="CE113" s="28"/>
      <c r="CF113" s="28"/>
      <c r="CG113" s="28"/>
      <c r="CH113" s="28"/>
      <c r="CI113" s="28"/>
      <c r="CJ113" s="28"/>
      <c r="CK113" s="28"/>
      <c r="CL113" s="28"/>
      <c r="CM113" s="28"/>
      <c r="CN113" s="28"/>
      <c r="CO113" s="28"/>
      <c r="CP113" s="28"/>
      <c r="CQ113" s="28"/>
      <c r="CR113" s="28"/>
      <c r="CS113" s="28"/>
      <c r="CT113" s="28"/>
      <c r="CU113" s="28"/>
      <c r="CV113" s="28"/>
      <c r="CW113" s="28"/>
      <c r="CX113" s="28"/>
      <c r="CY113" s="28"/>
      <c r="CZ113" s="28"/>
      <c r="DA113" s="28"/>
      <c r="DB113" s="28"/>
      <c r="DC113" s="28"/>
      <c r="DD113" s="28"/>
      <c r="DE113" s="28"/>
      <c r="DF113" s="28"/>
      <c r="DG113" s="28"/>
      <c r="DH113" s="28"/>
      <c r="DI113" s="28"/>
      <c r="DJ113" s="28"/>
      <c r="DK113" s="28"/>
      <c r="DL113" s="28"/>
      <c r="DM113" s="28"/>
      <c r="DN113" s="28"/>
      <c r="DO113" s="28"/>
      <c r="DP113" s="28"/>
      <c r="DQ113" s="28"/>
      <c r="DR113" s="28"/>
      <c r="DS113" s="28"/>
      <c r="DT113" s="28"/>
      <c r="DU113" s="28"/>
      <c r="DV113" s="28"/>
      <c r="DW113" s="28"/>
      <c r="DX113" s="28"/>
      <c r="DY113" s="28"/>
      <c r="DZ113" s="28"/>
      <c r="EA113" s="28"/>
      <c r="EB113" s="28"/>
      <c r="EC113" s="28"/>
      <c r="ED113" s="28"/>
      <c r="EE113" s="28"/>
      <c r="EF113" s="28"/>
      <c r="EG113" s="28"/>
      <c r="EH113" s="28"/>
      <c r="EI113" s="28"/>
      <c r="EJ113" s="28"/>
      <c r="EK113" s="28"/>
      <c r="EL113" s="28"/>
      <c r="EM113" s="28"/>
      <c r="EN113" s="28"/>
      <c r="EO113" s="28"/>
      <c r="EP113" s="28"/>
      <c r="EQ113" s="28"/>
      <c r="ER113" s="28"/>
      <c r="ES113" s="28"/>
      <c r="ET113" s="28"/>
      <c r="EU113" s="28"/>
      <c r="EV113" s="28"/>
      <c r="EW113" s="28"/>
      <c r="EX113" s="28"/>
      <c r="EY113" s="28"/>
      <c r="EZ113" s="28"/>
      <c r="FA113" s="28"/>
      <c r="FB113" s="28"/>
      <c r="FC113" s="28"/>
      <c r="FD113" s="28"/>
      <c r="FE113" s="28"/>
      <c r="FF113" s="28"/>
      <c r="FG113" s="28"/>
      <c r="FH113" s="28"/>
      <c r="FI113" s="28"/>
      <c r="FJ113" s="28"/>
      <c r="FK113" s="28"/>
      <c r="FL113" s="28"/>
      <c r="FM113" s="28"/>
      <c r="FN113" s="28"/>
      <c r="FO113" s="28"/>
      <c r="FP113" s="28"/>
      <c r="FQ113" s="28"/>
      <c r="FR113" s="28"/>
      <c r="FS113" s="28"/>
      <c r="FT113" s="28"/>
      <c r="FU113" s="28"/>
      <c r="FV113" s="28"/>
      <c r="FW113" s="28"/>
      <c r="FX113" s="28"/>
      <c r="FY113" s="28"/>
      <c r="FZ113" s="28"/>
      <c r="GA113" s="28"/>
      <c r="GB113" s="28"/>
      <c r="GC113" s="28"/>
      <c r="GD113" s="28"/>
      <c r="GE113" s="28"/>
      <c r="GF113" s="28"/>
      <c r="GG113" s="28"/>
      <c r="GH113" s="28"/>
      <c r="GI113" s="28"/>
      <c r="GJ113" s="28"/>
      <c r="GK113" s="28"/>
      <c r="GL113" s="28"/>
      <c r="GM113" s="28"/>
      <c r="GN113" s="28"/>
      <c r="GO113" s="28"/>
      <c r="GP113" s="28"/>
      <c r="GQ113" s="28"/>
      <c r="GR113" s="28"/>
      <c r="GS113" s="28"/>
      <c r="GT113" s="28"/>
      <c r="GU113" s="28"/>
      <c r="GV113" s="28"/>
      <c r="GW113" s="28"/>
      <c r="GX113" s="28"/>
      <c r="GY113" s="28"/>
      <c r="GZ113" s="28"/>
      <c r="HA113" s="28"/>
      <c r="HB113" s="28"/>
      <c r="HC113" s="28"/>
      <c r="HD113" s="28"/>
      <c r="HE113" s="28"/>
      <c r="HF113" s="28"/>
      <c r="HG113" s="28"/>
      <c r="HH113" s="28"/>
      <c r="HI113" s="28"/>
      <c r="HJ113" s="28"/>
      <c r="HK113" s="28"/>
    </row>
    <row r="114" spans="1:219" ht="15" customHeight="1">
      <c r="A114" s="49">
        <v>1</v>
      </c>
      <c r="B114" s="132" t="str">
        <f>VLOOKUP(Ruimtestaat[[#This Row],[Code]],Locaties[[Code]:[Locatie]],2,FALSE)</f>
        <v>Mirtehuis</v>
      </c>
      <c r="C114" s="132" t="str">
        <f>VLOOKUP(Ruimtestaat[[#This Row],[Code]],Locaties[[#All],[Code]:[Adres]],4,FALSE)</f>
        <v>Weseperweg 6</v>
      </c>
      <c r="D114" s="132" t="str">
        <f>VLOOKUP(Ruimtestaat[[#This Row],[Code]],Locaties[[#All],[Code]:[Postcode]],5,FALSE)</f>
        <v>8111 PK</v>
      </c>
      <c r="E114" s="132" t="str">
        <f>VLOOKUP(Ruimtestaat[[#This Row],[Code]],Locaties[#All],6,FALSE)</f>
        <v>Heeten</v>
      </c>
      <c r="F114" s="100"/>
      <c r="G114" s="100" t="s">
        <v>1677</v>
      </c>
      <c r="H114" s="49">
        <v>14</v>
      </c>
      <c r="I114" s="140" t="s">
        <v>1650</v>
      </c>
      <c r="J114" s="49">
        <v>20</v>
      </c>
      <c r="K114" s="140" t="str">
        <f>VLOOKUP(Ruimtestaat[[#This Row],[Ruimte code]],Ruimtegroepen[[#All],[Code]:[Ruimte omschrijving]],2,FALSE)</f>
        <v>Niet in Onderhoud</v>
      </c>
      <c r="L114" s="100"/>
      <c r="M114" s="345"/>
      <c r="N114" s="133"/>
      <c r="O114" s="139"/>
      <c r="P114" s="134">
        <f>VLOOKUP(Ruimtestaat[[#This Row],[Ruimte code]],Ruimtegroepen[],4,FALSE)</f>
        <v>0</v>
      </c>
      <c r="Q114" s="100"/>
      <c r="R114" s="100"/>
      <c r="S114" s="100">
        <f>IF(Q114&gt;0,IF(RIGHT(Ruimtestaat[[#This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14" s="100">
        <f>IF(S114&gt;0,VLOOKUP($J114,Ruimtegroepen[],3,FALSE)*VLOOKUP($L114,Vloersoorten[],3,FALSE)*VLOOKUP($R114,Frequenties[],3,FALSE)*VLOOKUP($A114,Locaties[],3,FALSE),0)</f>
        <v>0</v>
      </c>
      <c r="U114" s="100">
        <f>Ruimtestaat[[#This Row],[Uitvoeringen werkdagen]]*Ruimtestaat[[#This Row],[Oppervlak (netto)]]</f>
        <v>0</v>
      </c>
      <c r="V114" s="135">
        <f>IF(T114&gt;0,Ruimtestaat[[#This Row],[Prest. (m2 /jaar) werkdagen]]/Ruimtestaat[[#This Row],[Norm (m2/uur) werkdagen]],0)</f>
        <v>0</v>
      </c>
      <c r="W114" s="136">
        <f>Ruimtestaat[[#This Row],[uren / jaar werkdagen]]*Tariefsopbouw!$E$35</f>
        <v>0</v>
      </c>
      <c r="X114" s="100"/>
      <c r="Y114" s="100">
        <f>IF(Ruimtestaat[[#This Row],[Frequentie weekend]]&gt;0,VALUE(LEFT(X114,1))*Q114,0)</f>
        <v>0</v>
      </c>
      <c r="Z114" s="99">
        <f>IF($Y114&gt;0,VLOOKUP($J114,Ruimtegroepen[],3,FALSE)*VLOOKUP($L114,Vloersoorten[],3,FALSE)*VLOOKUP($X114,Frequenties[],3,FALSE)*VLOOKUP(Ruimtestaat[[#This Row],[Code]],Locaties[],3,FALSE),0)</f>
        <v>0</v>
      </c>
      <c r="AA114" s="99">
        <f>Ruimtestaat[[#This Row],[Uitvoeringen weekend]]*Ruimtestaat[[#This Row],[Oppervlak (netto)]]</f>
        <v>0</v>
      </c>
      <c r="AB114" s="99">
        <f>IF(Z114&gt;0,Ruimtestaat[[#This Row],[Prest. (m2 /jaar) weekend]]/Ruimtestaat[[#This Row],[Norm (m2/uur) weekend]],0)</f>
        <v>0</v>
      </c>
      <c r="AC114" s="136">
        <f>Ruimtestaat[[#This Row],[uren / jaar weekend]]*Tariefsopbouw!$D$40</f>
        <v>0</v>
      </c>
      <c r="AD114" s="135">
        <f>Ruimtestaat[[#This Row],[Prest. (m2 /jaar) weekend]]+Ruimtestaat[[#This Row],[Prest. (m2 /jaar) werkdagen]]</f>
        <v>0</v>
      </c>
      <c r="AE114" s="135">
        <f>Ruimtestaat[[#This Row],[uren / jaar weekend]]+Ruimtestaat[[#This Row],[uren / jaar werkdagen]]</f>
        <v>0</v>
      </c>
      <c r="AF114" s="130">
        <f>Ruimtestaat[[#This Row],[kosten / jaar weekend]]+Ruimtestaat[[#This Row],[kosten / jaar werkdagen]]</f>
        <v>0</v>
      </c>
      <c r="AG114" s="130"/>
      <c r="AH114" s="137" t="str">
        <f>IF(Ruimtestaat[[#This Row],[Frequentie werkdagen]]="","",_xlfn.CONCAT(Ruimtestaat[[#This Row],[Ruimte code]],"-",Ruimtestaat[[#This Row],[Frequentie werkdagen]]," ",Ruimtestaat[[#This Row],[Vloer code]]))</f>
        <v/>
      </c>
      <c r="AI114" s="142" t="str">
        <f>_xlfn.IFNA(VLOOKUP($AH114,Programma!$F$3:$G$1101,2,0),"")</f>
        <v/>
      </c>
      <c r="AJ114" s="142" t="str">
        <f>_xlfn.IFNA(VLOOKUP($AH114,Programma!$F$3:$H$1101,3,0),"")</f>
        <v/>
      </c>
      <c r="AK114" s="142" t="str">
        <f>_xlfn.IFNA(VLOOKUP($AH114,Programma!$F$3:$I$1101,4,0),"")</f>
        <v/>
      </c>
      <c r="AL114" s="142" t="str">
        <f>_xlfn.IFNA(VLOOKUP($AH114,Programma!$F$3:$J$1101,5,0),"")</f>
        <v/>
      </c>
      <c r="AM114" s="142" t="str">
        <f>_xlfn.IFNA(VLOOKUP($AH114,Programma!$F$3:$K$1101,6,0),"")</f>
        <v/>
      </c>
      <c r="AN114" s="142" t="str">
        <f>_xlfn.IFNA(VLOOKUP($AH114,Programma!$F$3:$L$1101,7,0),"")</f>
        <v/>
      </c>
      <c r="AO114" s="142" t="str">
        <f>_xlfn.IFNA(VLOOKUP($AH114,Programma!$F$3:$M$1101,8,0),"")</f>
        <v/>
      </c>
      <c r="AP114" s="142" t="str">
        <f>_xlfn.IFNA(VLOOKUP($AH114,Programma!$F$3:$N$1101,9,0),"")</f>
        <v/>
      </c>
      <c r="AQ114" s="142" t="str">
        <f>_xlfn.IFNA(VLOOKUP($AH114,Programma!$F$3:$O$1101,10,0),"")</f>
        <v/>
      </c>
      <c r="AR114" s="142" t="str">
        <f>_xlfn.IFNA(VLOOKUP($AH114,Programma!$F$3:$P$1101,11,0),"")</f>
        <v/>
      </c>
      <c r="AS114" s="142" t="str">
        <f>_xlfn.IFNA(VLOOKUP($AH114,Programma!$F$3:$Q$1101,12,0),"")</f>
        <v/>
      </c>
      <c r="AT114" s="142" t="str">
        <f>_xlfn.IFNA(VLOOKUP($AH114,Programma!$F$3:$R$1101,13,0),"")</f>
        <v/>
      </c>
      <c r="AU114" s="142" t="str">
        <f>_xlfn.IFNA(VLOOKUP($AH114,Programma!$F$3:$S$1101,14,0),"")</f>
        <v/>
      </c>
      <c r="AV114" s="142" t="str">
        <f>_xlfn.IFNA(VLOOKUP($AH114,Programma!$F$3:$T$1101,15,0),"")</f>
        <v/>
      </c>
      <c r="AW114" s="142" t="str">
        <f>_xlfn.IFNA(VLOOKUP($AH114,Programma!$F$3:$U$1101,16,0),"")</f>
        <v/>
      </c>
      <c r="AX114" s="142" t="str">
        <f>_xlfn.IFNA(VLOOKUP($AH114,Programma!$F$3:$V$1101,17,0),"")</f>
        <v/>
      </c>
      <c r="AY114" s="142" t="str">
        <f>_xlfn.IFNA(VLOOKUP($AH114,Programma!$F$3:$W$1101,18,0),"")</f>
        <v/>
      </c>
      <c r="AZ114" s="142" t="str">
        <f>_xlfn.IFNA(VLOOKUP($AH114,Programma!$F$3:$X$1101,19,0),"")</f>
        <v/>
      </c>
      <c r="BA114" s="142" t="str">
        <f>_xlfn.IFNA(VLOOKUP($AH114,Programma!$F$3:$Y$1101,20,0),"")</f>
        <v/>
      </c>
      <c r="BB114" s="138"/>
      <c r="BC114" s="137" t="str">
        <f>IF(Ruimtestaat[[#This Row],[Frequentie weekend]]="","",_xlfn.CONCAT(Ruimtestaat[[#This Row],[Ruimte code]],"-",Ruimtestaat[[#This Row],[Frequentie weekend]]," ",Ruimtestaat[[#This Row],[Vloer code]]))</f>
        <v/>
      </c>
      <c r="BD114" s="142" t="str">
        <f>_xlfn.IFNA(VLOOKUP($BC114,Programma!$F$3:$G$1101,2,0),"")</f>
        <v/>
      </c>
      <c r="BE114" s="142" t="str">
        <f>_xlfn.IFNA(VLOOKUP($BC114,Programma!$F$3:$H$1101,3,0),"")</f>
        <v/>
      </c>
      <c r="BF114" s="142" t="str">
        <f>_xlfn.IFNA(VLOOKUP($BC114,Programma!$F$3:$I$1101,4,0),"")</f>
        <v/>
      </c>
      <c r="BG114" s="142" t="str">
        <f>_xlfn.IFNA(VLOOKUP($BC114,Programma!$F$3:$J$1101,5,0),"")</f>
        <v/>
      </c>
      <c r="BH114" s="142" t="str">
        <f>_xlfn.IFNA(VLOOKUP($BC114,Programma!$F$3:$K$1101,6,0),"")</f>
        <v/>
      </c>
      <c r="BI114" s="142" t="str">
        <f>_xlfn.IFNA(VLOOKUP($BC114,Programma!$F$3:$L$1101,7,0),"")</f>
        <v/>
      </c>
      <c r="BJ114" s="142" t="str">
        <f>_xlfn.IFNA(VLOOKUP($BC114,Programma!$F$3:$M$1101,8,0),"")</f>
        <v/>
      </c>
      <c r="BK114" s="142" t="str">
        <f>_xlfn.IFNA(VLOOKUP($BC114,Programma!$F$3:$N$1101,9,0),"")</f>
        <v/>
      </c>
      <c r="BL114" s="142" t="str">
        <f>_xlfn.IFNA(VLOOKUP($BC114,Programma!$F$3:$O$1101,10,0),"")</f>
        <v/>
      </c>
      <c r="BM114" s="142" t="str">
        <f>_xlfn.IFNA(VLOOKUP($BC114,Programma!$F$3:$P$1101,11,0),"")</f>
        <v/>
      </c>
      <c r="BN114" s="142" t="str">
        <f>_xlfn.IFNA(VLOOKUP($BC114,Programma!$F$3:$Q$1101,12,0),"")</f>
        <v/>
      </c>
      <c r="BO114" s="142" t="str">
        <f>_xlfn.IFNA(VLOOKUP($BC114,Programma!$F$3:$R$1101,13,0),"")</f>
        <v/>
      </c>
      <c r="BP114" s="142" t="str">
        <f>_xlfn.IFNA(VLOOKUP($BC114,Programma!$F$3:$S$1101,14,0),"")</f>
        <v/>
      </c>
      <c r="BQ114" s="142" t="str">
        <f>_xlfn.IFNA(VLOOKUP($BC114,Programma!$F$3:$T$1101,15,0),"")</f>
        <v/>
      </c>
      <c r="BR114" s="142" t="str">
        <f>_xlfn.IFNA(VLOOKUP($BC114,Programma!$F$3:$U$1101,16,0),"")</f>
        <v/>
      </c>
      <c r="BS114" s="142" t="str">
        <f>_xlfn.IFNA(VLOOKUP($BC114,Programma!$F$3:$V$1101,17,0),"")</f>
        <v/>
      </c>
      <c r="BT114" s="142" t="str">
        <f>_xlfn.IFNA(VLOOKUP($BC114,Programma!$F$3:$W$1101,18,0),"")</f>
        <v/>
      </c>
      <c r="BU114" s="142" t="str">
        <f>_xlfn.IFNA(VLOOKUP($BC114,Programma!$F$3:$X$1101,19,0),"")</f>
        <v/>
      </c>
      <c r="BV114" s="142" t="str">
        <f>_xlfn.IFNA(VLOOKUP($BC114,Programma!$F$3:$Y$1101,20,0),"")</f>
        <v/>
      </c>
      <c r="BW114" s="28"/>
      <c r="BX114" s="28"/>
      <c r="BY114" s="28"/>
      <c r="BZ114" s="28"/>
      <c r="CA114" s="28"/>
      <c r="CB114" s="28"/>
      <c r="CC114" s="28"/>
      <c r="CD114" s="28"/>
      <c r="CE114" s="28"/>
      <c r="CF114" s="28"/>
      <c r="CG114" s="28"/>
      <c r="CH114" s="28"/>
      <c r="CI114" s="28"/>
      <c r="CJ114" s="28"/>
      <c r="CK114" s="28"/>
      <c r="CL114" s="28"/>
      <c r="CM114" s="28"/>
      <c r="CN114" s="28"/>
      <c r="CO114" s="28"/>
      <c r="CP114" s="28"/>
      <c r="CQ114" s="28"/>
      <c r="CR114" s="28"/>
      <c r="CS114" s="28"/>
      <c r="CT114" s="28"/>
      <c r="CU114" s="28"/>
      <c r="CV114" s="28"/>
      <c r="CW114" s="28"/>
      <c r="CX114" s="28"/>
      <c r="CY114" s="28"/>
      <c r="CZ114" s="28"/>
      <c r="DA114" s="28"/>
      <c r="DB114" s="28"/>
      <c r="DC114" s="28"/>
      <c r="DD114" s="28"/>
      <c r="DE114" s="28"/>
      <c r="DF114" s="28"/>
      <c r="DG114" s="28"/>
      <c r="DH114" s="28"/>
      <c r="DI114" s="28"/>
      <c r="DJ114" s="28"/>
      <c r="DK114" s="28"/>
      <c r="DL114" s="28"/>
      <c r="DM114" s="28"/>
      <c r="DN114" s="28"/>
      <c r="DO114" s="28"/>
      <c r="DP114" s="28"/>
      <c r="DQ114" s="28"/>
      <c r="DR114" s="28"/>
      <c r="DS114" s="28"/>
      <c r="DT114" s="28"/>
      <c r="DU114" s="28"/>
      <c r="DV114" s="28"/>
      <c r="DW114" s="28"/>
      <c r="DX114" s="28"/>
      <c r="DY114" s="28"/>
      <c r="DZ114" s="28"/>
      <c r="EA114" s="28"/>
      <c r="EB114" s="28"/>
      <c r="EC114" s="28"/>
      <c r="ED114" s="28"/>
      <c r="EE114" s="28"/>
      <c r="EF114" s="28"/>
      <c r="EG114" s="28"/>
      <c r="EH114" s="28"/>
      <c r="EI114" s="28"/>
      <c r="EJ114" s="28"/>
      <c r="EK114" s="28"/>
      <c r="EL114" s="28"/>
      <c r="EM114" s="28"/>
      <c r="EN114" s="28"/>
      <c r="EO114" s="28"/>
      <c r="EP114" s="28"/>
      <c r="EQ114" s="28"/>
      <c r="ER114" s="28"/>
      <c r="ES114" s="28"/>
      <c r="ET114" s="28"/>
      <c r="EU114" s="28"/>
      <c r="EV114" s="28"/>
      <c r="EW114" s="28"/>
      <c r="EX114" s="28"/>
      <c r="EY114" s="28"/>
      <c r="EZ114" s="28"/>
      <c r="FA114" s="28"/>
      <c r="FB114" s="28"/>
      <c r="FC114" s="28"/>
      <c r="FD114" s="28"/>
      <c r="FE114" s="28"/>
      <c r="FF114" s="28"/>
      <c r="FG114" s="28"/>
      <c r="FH114" s="28"/>
      <c r="FI114" s="28"/>
      <c r="FJ114" s="28"/>
      <c r="FK114" s="28"/>
      <c r="FL114" s="28"/>
      <c r="FM114" s="28"/>
      <c r="FN114" s="28"/>
      <c r="FO114" s="28"/>
      <c r="FP114" s="28"/>
      <c r="FQ114" s="28"/>
      <c r="FR114" s="28"/>
      <c r="FS114" s="28"/>
      <c r="FT114" s="28"/>
      <c r="FU114" s="28"/>
      <c r="FV114" s="28"/>
      <c r="FW114" s="28"/>
      <c r="FX114" s="28"/>
      <c r="FY114" s="28"/>
      <c r="FZ114" s="28"/>
      <c r="GA114" s="28"/>
      <c r="GB114" s="28"/>
      <c r="GC114" s="28"/>
      <c r="GD114" s="28"/>
      <c r="GE114" s="28"/>
      <c r="GF114" s="28"/>
      <c r="GG114" s="28"/>
      <c r="GH114" s="28"/>
      <c r="GI114" s="28"/>
      <c r="GJ114" s="28"/>
      <c r="GK114" s="28"/>
      <c r="GL114" s="28"/>
      <c r="GM114" s="28"/>
      <c r="GN114" s="28"/>
      <c r="GO114" s="28"/>
      <c r="GP114" s="28"/>
      <c r="GQ114" s="28"/>
      <c r="GR114" s="28"/>
      <c r="GS114" s="28"/>
      <c r="GT114" s="28"/>
      <c r="GU114" s="28"/>
      <c r="GV114" s="28"/>
      <c r="GW114" s="28"/>
      <c r="GX114" s="28"/>
      <c r="GY114" s="28"/>
      <c r="GZ114" s="28"/>
      <c r="HA114" s="28"/>
      <c r="HB114" s="28"/>
      <c r="HC114" s="28"/>
      <c r="HD114" s="28"/>
      <c r="HE114" s="28"/>
      <c r="HF114" s="28"/>
      <c r="HG114" s="28"/>
      <c r="HH114" s="28"/>
      <c r="HI114" s="28"/>
      <c r="HJ114" s="28"/>
      <c r="HK114" s="28"/>
    </row>
    <row r="115" spans="1:219" ht="15" customHeight="1">
      <c r="A115" s="49">
        <v>1</v>
      </c>
      <c r="B115" s="132" t="str">
        <f>VLOOKUP(Ruimtestaat[[#This Row],[Code]],Locaties[[Code]:[Locatie]],2,FALSE)</f>
        <v>Mirtehuis</v>
      </c>
      <c r="C115" s="132" t="str">
        <f>VLOOKUP(Ruimtestaat[[#This Row],[Code]],Locaties[[#All],[Code]:[Adres]],4,FALSE)</f>
        <v>Weseperweg 6</v>
      </c>
      <c r="D115" s="132" t="str">
        <f>VLOOKUP(Ruimtestaat[[#This Row],[Code]],Locaties[[#All],[Code]:[Postcode]],5,FALSE)</f>
        <v>8111 PK</v>
      </c>
      <c r="E115" s="132" t="str">
        <f>VLOOKUP(Ruimtestaat[[#This Row],[Code]],Locaties[#All],6,FALSE)</f>
        <v>Heeten</v>
      </c>
      <c r="F115" s="100"/>
      <c r="G115" s="100" t="s">
        <v>1677</v>
      </c>
      <c r="I115" s="140" t="s">
        <v>1656</v>
      </c>
      <c r="J115" s="49">
        <v>20</v>
      </c>
      <c r="K115" s="140" t="str">
        <f>VLOOKUP(Ruimtestaat[[#This Row],[Ruimte code]],Ruimtegroepen[[#All],[Code]:[Ruimte omschrijving]],2,FALSE)</f>
        <v>Niet in Onderhoud</v>
      </c>
      <c r="L115" s="100"/>
      <c r="M115" s="345"/>
      <c r="N115" s="133"/>
      <c r="O115" s="100"/>
      <c r="P115" s="134">
        <f>VLOOKUP(Ruimtestaat[[#This Row],[Ruimte code]],Ruimtegroepen[],4,FALSE)</f>
        <v>0</v>
      </c>
      <c r="Q115" s="100"/>
      <c r="R115" s="100"/>
      <c r="S115" s="100">
        <f>IF(Q115&gt;0,IF(RIGHT(Ruimtestaat[[#This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15" s="100">
        <f>IF(S115&gt;0,VLOOKUP($J115,Ruimtegroepen[],3,FALSE)*VLOOKUP($L115,Vloersoorten[],3,FALSE)*VLOOKUP($R115,Frequenties[],3,FALSE)*VLOOKUP($A115,Locaties[],3,FALSE),0)</f>
        <v>0</v>
      </c>
      <c r="U115" s="100">
        <f>Ruimtestaat[[#This Row],[Uitvoeringen werkdagen]]*Ruimtestaat[[#This Row],[Oppervlak (netto)]]</f>
        <v>0</v>
      </c>
      <c r="V115" s="135">
        <f>IF(T115&gt;0,Ruimtestaat[[#This Row],[Prest. (m2 /jaar) werkdagen]]/Ruimtestaat[[#This Row],[Norm (m2/uur) werkdagen]],0)</f>
        <v>0</v>
      </c>
      <c r="W115" s="136">
        <f>Ruimtestaat[[#This Row],[uren / jaar werkdagen]]*Tariefsopbouw!$E$35</f>
        <v>0</v>
      </c>
      <c r="X115" s="100"/>
      <c r="Y115" s="100">
        <f>IF(Ruimtestaat[[#This Row],[Frequentie weekend]]&gt;0,VALUE(LEFT(X115,1))*Q115,0)</f>
        <v>0</v>
      </c>
      <c r="Z115" s="99">
        <f>IF($Y115&gt;0,VLOOKUP($J115,Ruimtegroepen[],3,FALSE)*VLOOKUP($L115,Vloersoorten[],3,FALSE)*VLOOKUP($X115,Frequenties[],3,FALSE)*VLOOKUP(Ruimtestaat[[#This Row],[Code]],Locaties[],3,FALSE),0)</f>
        <v>0</v>
      </c>
      <c r="AA115" s="99">
        <f>Ruimtestaat[[#This Row],[Uitvoeringen weekend]]*Ruimtestaat[[#This Row],[Oppervlak (netto)]]</f>
        <v>0</v>
      </c>
      <c r="AB115" s="99">
        <f>IF(Z115&gt;0,Ruimtestaat[[#This Row],[Prest. (m2 /jaar) weekend]]/Ruimtestaat[[#This Row],[Norm (m2/uur) weekend]],0)</f>
        <v>0</v>
      </c>
      <c r="AC115" s="136">
        <f>Ruimtestaat[[#This Row],[uren / jaar weekend]]*Tariefsopbouw!$D$40</f>
        <v>0</v>
      </c>
      <c r="AD115" s="135">
        <f>Ruimtestaat[[#This Row],[Prest. (m2 /jaar) weekend]]+Ruimtestaat[[#This Row],[Prest. (m2 /jaar) werkdagen]]</f>
        <v>0</v>
      </c>
      <c r="AE115" s="135">
        <f>Ruimtestaat[[#This Row],[uren / jaar weekend]]+Ruimtestaat[[#This Row],[uren / jaar werkdagen]]</f>
        <v>0</v>
      </c>
      <c r="AF115" s="130">
        <f>Ruimtestaat[[#This Row],[kosten / jaar weekend]]+Ruimtestaat[[#This Row],[kosten / jaar werkdagen]]</f>
        <v>0</v>
      </c>
      <c r="AG115" s="130"/>
      <c r="AH115" s="137" t="str">
        <f>IF(Ruimtestaat[[#This Row],[Frequentie werkdagen]]="","",_xlfn.CONCAT(Ruimtestaat[[#This Row],[Ruimte code]],"-",Ruimtestaat[[#This Row],[Frequentie werkdagen]]," ",Ruimtestaat[[#This Row],[Vloer code]]))</f>
        <v/>
      </c>
      <c r="AI115" s="142" t="str">
        <f>_xlfn.IFNA(VLOOKUP($AH115,Programma!$F$3:$G$1101,2,0),"")</f>
        <v/>
      </c>
      <c r="AJ115" s="142" t="str">
        <f>_xlfn.IFNA(VLOOKUP($AH115,Programma!$F$3:$H$1101,3,0),"")</f>
        <v/>
      </c>
      <c r="AK115" s="142" t="str">
        <f>_xlfn.IFNA(VLOOKUP($AH115,Programma!$F$3:$I$1101,4,0),"")</f>
        <v/>
      </c>
      <c r="AL115" s="142" t="str">
        <f>_xlfn.IFNA(VLOOKUP($AH115,Programma!$F$3:$J$1101,5,0),"")</f>
        <v/>
      </c>
      <c r="AM115" s="142" t="str">
        <f>_xlfn.IFNA(VLOOKUP($AH115,Programma!$F$3:$K$1101,6,0),"")</f>
        <v/>
      </c>
      <c r="AN115" s="142" t="str">
        <f>_xlfn.IFNA(VLOOKUP($AH115,Programma!$F$3:$L$1101,7,0),"")</f>
        <v/>
      </c>
      <c r="AO115" s="142" t="str">
        <f>_xlfn.IFNA(VLOOKUP($AH115,Programma!$F$3:$M$1101,8,0),"")</f>
        <v/>
      </c>
      <c r="AP115" s="142" t="str">
        <f>_xlfn.IFNA(VLOOKUP($AH115,Programma!$F$3:$N$1101,9,0),"")</f>
        <v/>
      </c>
      <c r="AQ115" s="142" t="str">
        <f>_xlfn.IFNA(VLOOKUP($AH115,Programma!$F$3:$O$1101,10,0),"")</f>
        <v/>
      </c>
      <c r="AR115" s="142" t="str">
        <f>_xlfn.IFNA(VLOOKUP($AH115,Programma!$F$3:$P$1101,11,0),"")</f>
        <v/>
      </c>
      <c r="AS115" s="142" t="str">
        <f>_xlfn.IFNA(VLOOKUP($AH115,Programma!$F$3:$Q$1101,12,0),"")</f>
        <v/>
      </c>
      <c r="AT115" s="142" t="str">
        <f>_xlfn.IFNA(VLOOKUP($AH115,Programma!$F$3:$R$1101,13,0),"")</f>
        <v/>
      </c>
      <c r="AU115" s="142" t="str">
        <f>_xlfn.IFNA(VLOOKUP($AH115,Programma!$F$3:$S$1101,14,0),"")</f>
        <v/>
      </c>
      <c r="AV115" s="142" t="str">
        <f>_xlfn.IFNA(VLOOKUP($AH115,Programma!$F$3:$T$1101,15,0),"")</f>
        <v/>
      </c>
      <c r="AW115" s="142" t="str">
        <f>_xlfn.IFNA(VLOOKUP($AH115,Programma!$F$3:$U$1101,16,0),"")</f>
        <v/>
      </c>
      <c r="AX115" s="142" t="str">
        <f>_xlfn.IFNA(VLOOKUP($AH115,Programma!$F$3:$V$1101,17,0),"")</f>
        <v/>
      </c>
      <c r="AY115" s="142" t="str">
        <f>_xlfn.IFNA(VLOOKUP($AH115,Programma!$F$3:$W$1101,18,0),"")</f>
        <v/>
      </c>
      <c r="AZ115" s="142" t="str">
        <f>_xlfn.IFNA(VLOOKUP($AH115,Programma!$F$3:$X$1101,19,0),"")</f>
        <v/>
      </c>
      <c r="BA115" s="142" t="str">
        <f>_xlfn.IFNA(VLOOKUP($AH115,Programma!$F$3:$Y$1101,20,0),"")</f>
        <v/>
      </c>
      <c r="BB115" s="138"/>
      <c r="BC115" s="137" t="str">
        <f>IF(Ruimtestaat[[#This Row],[Frequentie weekend]]="","",_xlfn.CONCAT(Ruimtestaat[[#This Row],[Ruimte code]],"-",Ruimtestaat[[#This Row],[Frequentie weekend]]," ",Ruimtestaat[[#This Row],[Vloer code]]))</f>
        <v/>
      </c>
      <c r="BD115" s="142" t="str">
        <f>_xlfn.IFNA(VLOOKUP($BC115,Programma!$F$3:$G$1101,2,0),"")</f>
        <v/>
      </c>
      <c r="BE115" s="142" t="str">
        <f>_xlfn.IFNA(VLOOKUP($BC115,Programma!$F$3:$H$1101,3,0),"")</f>
        <v/>
      </c>
      <c r="BF115" s="142" t="str">
        <f>_xlfn.IFNA(VLOOKUP($BC115,Programma!$F$3:$I$1101,4,0),"")</f>
        <v/>
      </c>
      <c r="BG115" s="142" t="str">
        <f>_xlfn.IFNA(VLOOKUP($BC115,Programma!$F$3:$J$1101,5,0),"")</f>
        <v/>
      </c>
      <c r="BH115" s="142" t="str">
        <f>_xlfn.IFNA(VLOOKUP($BC115,Programma!$F$3:$K$1101,6,0),"")</f>
        <v/>
      </c>
      <c r="BI115" s="142" t="str">
        <f>_xlfn.IFNA(VLOOKUP($BC115,Programma!$F$3:$L$1101,7,0),"")</f>
        <v/>
      </c>
      <c r="BJ115" s="142" t="str">
        <f>_xlfn.IFNA(VLOOKUP($BC115,Programma!$F$3:$M$1101,8,0),"")</f>
        <v/>
      </c>
      <c r="BK115" s="142" t="str">
        <f>_xlfn.IFNA(VLOOKUP($BC115,Programma!$F$3:$N$1101,9,0),"")</f>
        <v/>
      </c>
      <c r="BL115" s="142" t="str">
        <f>_xlfn.IFNA(VLOOKUP($BC115,Programma!$F$3:$O$1101,10,0),"")</f>
        <v/>
      </c>
      <c r="BM115" s="142" t="str">
        <f>_xlfn.IFNA(VLOOKUP($BC115,Programma!$F$3:$P$1101,11,0),"")</f>
        <v/>
      </c>
      <c r="BN115" s="142" t="str">
        <f>_xlfn.IFNA(VLOOKUP($BC115,Programma!$F$3:$Q$1101,12,0),"")</f>
        <v/>
      </c>
      <c r="BO115" s="142" t="str">
        <f>_xlfn.IFNA(VLOOKUP($BC115,Programma!$F$3:$R$1101,13,0),"")</f>
        <v/>
      </c>
      <c r="BP115" s="142" t="str">
        <f>_xlfn.IFNA(VLOOKUP($BC115,Programma!$F$3:$S$1101,14,0),"")</f>
        <v/>
      </c>
      <c r="BQ115" s="142" t="str">
        <f>_xlfn.IFNA(VLOOKUP($BC115,Programma!$F$3:$T$1101,15,0),"")</f>
        <v/>
      </c>
      <c r="BR115" s="142" t="str">
        <f>_xlfn.IFNA(VLOOKUP($BC115,Programma!$F$3:$U$1101,16,0),"")</f>
        <v/>
      </c>
      <c r="BS115" s="142" t="str">
        <f>_xlfn.IFNA(VLOOKUP($BC115,Programma!$F$3:$V$1101,17,0),"")</f>
        <v/>
      </c>
      <c r="BT115" s="142" t="str">
        <f>_xlfn.IFNA(VLOOKUP($BC115,Programma!$F$3:$W$1101,18,0),"")</f>
        <v/>
      </c>
      <c r="BU115" s="142" t="str">
        <f>_xlfn.IFNA(VLOOKUP($BC115,Programma!$F$3:$X$1101,19,0),"")</f>
        <v/>
      </c>
      <c r="BV115" s="142" t="str">
        <f>_xlfn.IFNA(VLOOKUP($BC115,Programma!$F$3:$Y$1101,20,0),"")</f>
        <v/>
      </c>
      <c r="BW115" s="28"/>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c r="DG115" s="28"/>
      <c r="DH115" s="28"/>
      <c r="DI115" s="28"/>
      <c r="DJ115" s="28"/>
      <c r="DK115" s="28"/>
      <c r="DL115" s="28"/>
      <c r="DM115" s="28"/>
      <c r="DN115" s="28"/>
      <c r="DO115" s="28"/>
      <c r="DP115" s="28"/>
      <c r="DQ115" s="28"/>
      <c r="DR115" s="28"/>
      <c r="DS115" s="28"/>
      <c r="DT115" s="28"/>
      <c r="DU115" s="28"/>
      <c r="DV115" s="28"/>
      <c r="DW115" s="28"/>
      <c r="DX115" s="28"/>
      <c r="DY115" s="28"/>
      <c r="DZ115" s="28"/>
      <c r="EA115" s="28"/>
      <c r="EB115" s="28"/>
      <c r="EC115" s="28"/>
      <c r="ED115" s="28"/>
      <c r="EE115" s="28"/>
      <c r="EF115" s="28"/>
      <c r="EG115" s="28"/>
      <c r="EH115" s="28"/>
      <c r="EI115" s="28"/>
      <c r="EJ115" s="28"/>
      <c r="EK115" s="28"/>
      <c r="EL115" s="28"/>
      <c r="EM115" s="28"/>
      <c r="EN115" s="28"/>
      <c r="EO115" s="28"/>
      <c r="EP115" s="28"/>
      <c r="EQ115" s="28"/>
      <c r="ER115" s="28"/>
      <c r="ES115" s="28"/>
      <c r="ET115" s="28"/>
      <c r="EU115" s="28"/>
      <c r="EV115" s="28"/>
      <c r="EW115" s="28"/>
      <c r="EX115" s="28"/>
      <c r="EY115" s="28"/>
      <c r="EZ115" s="28"/>
      <c r="FA115" s="28"/>
      <c r="FB115" s="28"/>
      <c r="FC115" s="28"/>
      <c r="FD115" s="28"/>
      <c r="FE115" s="28"/>
      <c r="FF115" s="28"/>
      <c r="FG115" s="28"/>
      <c r="FH115" s="28"/>
      <c r="FI115" s="28"/>
      <c r="FJ115" s="28"/>
      <c r="FK115" s="28"/>
      <c r="FL115" s="28"/>
      <c r="FM115" s="28"/>
      <c r="FN115" s="28"/>
      <c r="FO115" s="28"/>
      <c r="FP115" s="28"/>
      <c r="FQ115" s="28"/>
      <c r="FR115" s="28"/>
      <c r="FS115" s="28"/>
      <c r="FT115" s="28"/>
      <c r="FU115" s="28"/>
      <c r="FV115" s="28"/>
      <c r="FW115" s="28"/>
      <c r="FX115" s="28"/>
      <c r="FY115" s="28"/>
      <c r="FZ115" s="28"/>
      <c r="GA115" s="28"/>
      <c r="GB115" s="28"/>
      <c r="GC115" s="28"/>
      <c r="GD115" s="28"/>
      <c r="GE115" s="28"/>
      <c r="GF115" s="28"/>
      <c r="GG115" s="28"/>
      <c r="GH115" s="28"/>
      <c r="GI115" s="28"/>
      <c r="GJ115" s="28"/>
      <c r="GK115" s="28"/>
      <c r="GL115" s="28"/>
      <c r="GM115" s="28"/>
      <c r="GN115" s="28"/>
      <c r="GO115" s="28"/>
      <c r="GP115" s="28"/>
      <c r="GQ115" s="28"/>
      <c r="GR115" s="28"/>
      <c r="GS115" s="28"/>
      <c r="GT115" s="28"/>
      <c r="GU115" s="28"/>
      <c r="GV115" s="28"/>
      <c r="GW115" s="28"/>
      <c r="GX115" s="28"/>
      <c r="GY115" s="28"/>
      <c r="GZ115" s="28"/>
      <c r="HA115" s="28"/>
      <c r="HB115" s="28"/>
      <c r="HC115" s="28"/>
      <c r="HD115" s="28"/>
      <c r="HE115" s="28"/>
      <c r="HF115" s="28"/>
      <c r="HG115" s="28"/>
      <c r="HH115" s="28"/>
      <c r="HI115" s="28"/>
      <c r="HJ115" s="28"/>
      <c r="HK115" s="28"/>
    </row>
    <row r="116" spans="1:219" ht="15" customHeight="1">
      <c r="A116" s="49">
        <v>1</v>
      </c>
      <c r="B116" s="132" t="str">
        <f>VLOOKUP(Ruimtestaat[[#This Row],[Code]],Locaties[[Code]:[Locatie]],2,FALSE)</f>
        <v>Mirtehuis</v>
      </c>
      <c r="C116" s="132" t="str">
        <f>VLOOKUP(Ruimtestaat[[#This Row],[Code]],Locaties[[#All],[Code]:[Adres]],4,FALSE)</f>
        <v>Weseperweg 6</v>
      </c>
      <c r="D116" s="132" t="str">
        <f>VLOOKUP(Ruimtestaat[[#This Row],[Code]],Locaties[[#All],[Code]:[Postcode]],5,FALSE)</f>
        <v>8111 PK</v>
      </c>
      <c r="E116" s="132" t="str">
        <f>VLOOKUP(Ruimtestaat[[#This Row],[Code]],Locaties[#All],6,FALSE)</f>
        <v>Heeten</v>
      </c>
      <c r="F116" s="100"/>
      <c r="G116" s="100" t="s">
        <v>1677</v>
      </c>
      <c r="I116" s="140" t="s">
        <v>1668</v>
      </c>
      <c r="J116" s="49">
        <v>20</v>
      </c>
      <c r="K116" s="140" t="str">
        <f>VLOOKUP(Ruimtestaat[[#This Row],[Ruimte code]],Ruimtegroepen[[#All],[Code]:[Ruimte omschrijving]],2,FALSE)</f>
        <v>Niet in Onderhoud</v>
      </c>
      <c r="L116" s="100"/>
      <c r="M116" s="345"/>
      <c r="N116" s="133"/>
      <c r="O116" s="139"/>
      <c r="P116" s="134">
        <f>VLOOKUP(Ruimtestaat[[#This Row],[Ruimte code]],Ruimtegroepen[],4,FALSE)</f>
        <v>0</v>
      </c>
      <c r="Q116" s="100"/>
      <c r="R116" s="100"/>
      <c r="S116" s="100">
        <f>IF(Q116&gt;0,IF(RIGHT(Ruimtestaat[[#This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16" s="100">
        <f>IF(S116&gt;0,VLOOKUP($J116,Ruimtegroepen[],3,FALSE)*VLOOKUP($L116,Vloersoorten[],3,FALSE)*VLOOKUP($R116,Frequenties[],3,FALSE)*VLOOKUP($A116,Locaties[],3,FALSE),0)</f>
        <v>0</v>
      </c>
      <c r="U116" s="100">
        <f>Ruimtestaat[[#This Row],[Uitvoeringen werkdagen]]*Ruimtestaat[[#This Row],[Oppervlak (netto)]]</f>
        <v>0</v>
      </c>
      <c r="V116" s="135">
        <f>IF(T116&gt;0,Ruimtestaat[[#This Row],[Prest. (m2 /jaar) werkdagen]]/Ruimtestaat[[#This Row],[Norm (m2/uur) werkdagen]],0)</f>
        <v>0</v>
      </c>
      <c r="W116" s="136">
        <f>Ruimtestaat[[#This Row],[uren / jaar werkdagen]]*Tariefsopbouw!$E$35</f>
        <v>0</v>
      </c>
      <c r="X116" s="100"/>
      <c r="Y116" s="100">
        <f>IF(Ruimtestaat[[#This Row],[Frequentie weekend]]&gt;0,VALUE(LEFT(X116,1))*Q116,0)</f>
        <v>0</v>
      </c>
      <c r="Z116" s="99">
        <f>IF($Y116&gt;0,VLOOKUP($J116,Ruimtegroepen[],3,FALSE)*VLOOKUP($L116,Vloersoorten[],3,FALSE)*VLOOKUP($X116,Frequenties[],3,FALSE)*VLOOKUP(Ruimtestaat[[#This Row],[Code]],Locaties[],3,FALSE),0)</f>
        <v>0</v>
      </c>
      <c r="AA116" s="99">
        <f>Ruimtestaat[[#This Row],[Uitvoeringen weekend]]*Ruimtestaat[[#This Row],[Oppervlak (netto)]]</f>
        <v>0</v>
      </c>
      <c r="AB116" s="99">
        <f>IF(Z116&gt;0,Ruimtestaat[[#This Row],[Prest. (m2 /jaar) weekend]]/Ruimtestaat[[#This Row],[Norm (m2/uur) weekend]],0)</f>
        <v>0</v>
      </c>
      <c r="AC116" s="136">
        <f>Ruimtestaat[[#This Row],[uren / jaar weekend]]*Tariefsopbouw!$D$40</f>
        <v>0</v>
      </c>
      <c r="AD116" s="135">
        <f>Ruimtestaat[[#This Row],[Prest. (m2 /jaar) weekend]]+Ruimtestaat[[#This Row],[Prest. (m2 /jaar) werkdagen]]</f>
        <v>0</v>
      </c>
      <c r="AE116" s="135">
        <f>Ruimtestaat[[#This Row],[uren / jaar weekend]]+Ruimtestaat[[#This Row],[uren / jaar werkdagen]]</f>
        <v>0</v>
      </c>
      <c r="AF116" s="130">
        <f>Ruimtestaat[[#This Row],[kosten / jaar weekend]]+Ruimtestaat[[#This Row],[kosten / jaar werkdagen]]</f>
        <v>0</v>
      </c>
      <c r="AG116" s="130"/>
      <c r="AH116" s="137" t="str">
        <f>IF(Ruimtestaat[[#This Row],[Frequentie werkdagen]]="","",_xlfn.CONCAT(Ruimtestaat[[#This Row],[Ruimte code]],"-",Ruimtestaat[[#This Row],[Frequentie werkdagen]]," ",Ruimtestaat[[#This Row],[Vloer code]]))</f>
        <v/>
      </c>
      <c r="AI116" s="142" t="str">
        <f>_xlfn.IFNA(VLOOKUP($AH116,Programma!$F$3:$G$1101,2,0),"")</f>
        <v/>
      </c>
      <c r="AJ116" s="142" t="str">
        <f>_xlfn.IFNA(VLOOKUP($AH116,Programma!$F$3:$H$1101,3,0),"")</f>
        <v/>
      </c>
      <c r="AK116" s="142" t="str">
        <f>_xlfn.IFNA(VLOOKUP($AH116,Programma!$F$3:$I$1101,4,0),"")</f>
        <v/>
      </c>
      <c r="AL116" s="142" t="str">
        <f>_xlfn.IFNA(VLOOKUP($AH116,Programma!$F$3:$J$1101,5,0),"")</f>
        <v/>
      </c>
      <c r="AM116" s="142" t="str">
        <f>_xlfn.IFNA(VLOOKUP($AH116,Programma!$F$3:$K$1101,6,0),"")</f>
        <v/>
      </c>
      <c r="AN116" s="142" t="str">
        <f>_xlfn.IFNA(VLOOKUP($AH116,Programma!$F$3:$L$1101,7,0),"")</f>
        <v/>
      </c>
      <c r="AO116" s="142" t="str">
        <f>_xlfn.IFNA(VLOOKUP($AH116,Programma!$F$3:$M$1101,8,0),"")</f>
        <v/>
      </c>
      <c r="AP116" s="142" t="str">
        <f>_xlfn.IFNA(VLOOKUP($AH116,Programma!$F$3:$N$1101,9,0),"")</f>
        <v/>
      </c>
      <c r="AQ116" s="142" t="str">
        <f>_xlfn.IFNA(VLOOKUP($AH116,Programma!$F$3:$O$1101,10,0),"")</f>
        <v/>
      </c>
      <c r="AR116" s="142" t="str">
        <f>_xlfn.IFNA(VLOOKUP($AH116,Programma!$F$3:$P$1101,11,0),"")</f>
        <v/>
      </c>
      <c r="AS116" s="142" t="str">
        <f>_xlfn.IFNA(VLOOKUP($AH116,Programma!$F$3:$Q$1101,12,0),"")</f>
        <v/>
      </c>
      <c r="AT116" s="142" t="str">
        <f>_xlfn.IFNA(VLOOKUP($AH116,Programma!$F$3:$R$1101,13,0),"")</f>
        <v/>
      </c>
      <c r="AU116" s="142" t="str">
        <f>_xlfn.IFNA(VLOOKUP($AH116,Programma!$F$3:$S$1101,14,0),"")</f>
        <v/>
      </c>
      <c r="AV116" s="142" t="str">
        <f>_xlfn.IFNA(VLOOKUP($AH116,Programma!$F$3:$T$1101,15,0),"")</f>
        <v/>
      </c>
      <c r="AW116" s="142" t="str">
        <f>_xlfn.IFNA(VLOOKUP($AH116,Programma!$F$3:$U$1101,16,0),"")</f>
        <v/>
      </c>
      <c r="AX116" s="142" t="str">
        <f>_xlfn.IFNA(VLOOKUP($AH116,Programma!$F$3:$V$1101,17,0),"")</f>
        <v/>
      </c>
      <c r="AY116" s="142" t="str">
        <f>_xlfn.IFNA(VLOOKUP($AH116,Programma!$F$3:$W$1101,18,0),"")</f>
        <v/>
      </c>
      <c r="AZ116" s="142" t="str">
        <f>_xlfn.IFNA(VLOOKUP($AH116,Programma!$F$3:$X$1101,19,0),"")</f>
        <v/>
      </c>
      <c r="BA116" s="142" t="str">
        <f>_xlfn.IFNA(VLOOKUP($AH116,Programma!$F$3:$Y$1101,20,0),"")</f>
        <v/>
      </c>
      <c r="BB116" s="138"/>
      <c r="BC116" s="137" t="str">
        <f>IF(Ruimtestaat[[#This Row],[Frequentie weekend]]="","",_xlfn.CONCAT(Ruimtestaat[[#This Row],[Ruimte code]],"-",Ruimtestaat[[#This Row],[Frequentie weekend]]," ",Ruimtestaat[[#This Row],[Vloer code]]))</f>
        <v/>
      </c>
      <c r="BD116" s="142" t="str">
        <f>_xlfn.IFNA(VLOOKUP($BC116,Programma!$F$3:$G$1101,2,0),"")</f>
        <v/>
      </c>
      <c r="BE116" s="142" t="str">
        <f>_xlfn.IFNA(VLOOKUP($BC116,Programma!$F$3:$H$1101,3,0),"")</f>
        <v/>
      </c>
      <c r="BF116" s="142" t="str">
        <f>_xlfn.IFNA(VLOOKUP($BC116,Programma!$F$3:$I$1101,4,0),"")</f>
        <v/>
      </c>
      <c r="BG116" s="142" t="str">
        <f>_xlfn.IFNA(VLOOKUP($BC116,Programma!$F$3:$J$1101,5,0),"")</f>
        <v/>
      </c>
      <c r="BH116" s="142" t="str">
        <f>_xlfn.IFNA(VLOOKUP($BC116,Programma!$F$3:$K$1101,6,0),"")</f>
        <v/>
      </c>
      <c r="BI116" s="142" t="str">
        <f>_xlfn.IFNA(VLOOKUP($BC116,Programma!$F$3:$L$1101,7,0),"")</f>
        <v/>
      </c>
      <c r="BJ116" s="142" t="str">
        <f>_xlfn.IFNA(VLOOKUP($BC116,Programma!$F$3:$M$1101,8,0),"")</f>
        <v/>
      </c>
      <c r="BK116" s="142" t="str">
        <f>_xlfn.IFNA(VLOOKUP($BC116,Programma!$F$3:$N$1101,9,0),"")</f>
        <v/>
      </c>
      <c r="BL116" s="142" t="str">
        <f>_xlfn.IFNA(VLOOKUP($BC116,Programma!$F$3:$O$1101,10,0),"")</f>
        <v/>
      </c>
      <c r="BM116" s="142" t="str">
        <f>_xlfn.IFNA(VLOOKUP($BC116,Programma!$F$3:$P$1101,11,0),"")</f>
        <v/>
      </c>
      <c r="BN116" s="142" t="str">
        <f>_xlfn.IFNA(VLOOKUP($BC116,Programma!$F$3:$Q$1101,12,0),"")</f>
        <v/>
      </c>
      <c r="BO116" s="142" t="str">
        <f>_xlfn.IFNA(VLOOKUP($BC116,Programma!$F$3:$R$1101,13,0),"")</f>
        <v/>
      </c>
      <c r="BP116" s="142" t="str">
        <f>_xlfn.IFNA(VLOOKUP($BC116,Programma!$F$3:$S$1101,14,0),"")</f>
        <v/>
      </c>
      <c r="BQ116" s="142" t="str">
        <f>_xlfn.IFNA(VLOOKUP($BC116,Programma!$F$3:$T$1101,15,0),"")</f>
        <v/>
      </c>
      <c r="BR116" s="142" t="str">
        <f>_xlfn.IFNA(VLOOKUP($BC116,Programma!$F$3:$U$1101,16,0),"")</f>
        <v/>
      </c>
      <c r="BS116" s="142" t="str">
        <f>_xlfn.IFNA(VLOOKUP($BC116,Programma!$F$3:$V$1101,17,0),"")</f>
        <v/>
      </c>
      <c r="BT116" s="142" t="str">
        <f>_xlfn.IFNA(VLOOKUP($BC116,Programma!$F$3:$W$1101,18,0),"")</f>
        <v/>
      </c>
      <c r="BU116" s="142" t="str">
        <f>_xlfn.IFNA(VLOOKUP($BC116,Programma!$F$3:$X$1101,19,0),"")</f>
        <v/>
      </c>
      <c r="BV116" s="142" t="str">
        <f>_xlfn.IFNA(VLOOKUP($BC116,Programma!$F$3:$Y$1101,20,0),"")</f>
        <v/>
      </c>
      <c r="BW116" s="28"/>
      <c r="BX116" s="28"/>
      <c r="BY116" s="28"/>
      <c r="BZ116" s="28"/>
      <c r="CA116" s="28"/>
      <c r="CB116" s="28"/>
      <c r="CC116" s="28"/>
      <c r="CD116" s="28"/>
      <c r="CE116" s="28"/>
      <c r="CF116" s="28"/>
      <c r="CG116" s="28"/>
      <c r="CH116" s="28"/>
      <c r="CI116" s="28"/>
      <c r="CJ116" s="28"/>
      <c r="CK116" s="28"/>
      <c r="CL116" s="28"/>
      <c r="CM116" s="28"/>
      <c r="CN116" s="28"/>
      <c r="CO116" s="28"/>
      <c r="CP116" s="28"/>
      <c r="CQ116" s="28"/>
      <c r="CR116" s="28"/>
      <c r="CS116" s="28"/>
      <c r="CT116" s="28"/>
      <c r="CU116" s="28"/>
      <c r="CV116" s="28"/>
      <c r="CW116" s="28"/>
      <c r="CX116" s="28"/>
      <c r="CY116" s="28"/>
      <c r="CZ116" s="28"/>
      <c r="DA116" s="28"/>
      <c r="DB116" s="28"/>
      <c r="DC116" s="28"/>
      <c r="DD116" s="28"/>
      <c r="DE116" s="28"/>
      <c r="DF116" s="28"/>
      <c r="DG116" s="28"/>
      <c r="DH116" s="28"/>
      <c r="DI116" s="28"/>
      <c r="DJ116" s="28"/>
      <c r="DK116" s="28"/>
      <c r="DL116" s="28"/>
      <c r="DM116" s="28"/>
      <c r="DN116" s="28"/>
      <c r="DO116" s="28"/>
      <c r="DP116" s="28"/>
      <c r="DQ116" s="28"/>
      <c r="DR116" s="28"/>
      <c r="DS116" s="28"/>
      <c r="DT116" s="28"/>
      <c r="DU116" s="28"/>
      <c r="DV116" s="28"/>
      <c r="DW116" s="28"/>
      <c r="DX116" s="28"/>
      <c r="DY116" s="28"/>
      <c r="DZ116" s="28"/>
      <c r="EA116" s="28"/>
      <c r="EB116" s="28"/>
      <c r="EC116" s="28"/>
      <c r="ED116" s="28"/>
      <c r="EE116" s="28"/>
      <c r="EF116" s="28"/>
      <c r="EG116" s="28"/>
      <c r="EH116" s="28"/>
      <c r="EI116" s="28"/>
      <c r="EJ116" s="28"/>
      <c r="EK116" s="28"/>
      <c r="EL116" s="28"/>
      <c r="EM116" s="28"/>
      <c r="EN116" s="28"/>
      <c r="EO116" s="28"/>
      <c r="EP116" s="28"/>
      <c r="EQ116" s="28"/>
      <c r="ER116" s="28"/>
      <c r="ES116" s="28"/>
      <c r="ET116" s="28"/>
      <c r="EU116" s="28"/>
      <c r="EV116" s="28"/>
      <c r="EW116" s="28"/>
      <c r="EX116" s="28"/>
      <c r="EY116" s="28"/>
      <c r="EZ116" s="28"/>
      <c r="FA116" s="28"/>
      <c r="FB116" s="28"/>
      <c r="FC116" s="28"/>
      <c r="FD116" s="28"/>
      <c r="FE116" s="28"/>
      <c r="FF116" s="28"/>
      <c r="FG116" s="28"/>
      <c r="FH116" s="28"/>
      <c r="FI116" s="28"/>
      <c r="FJ116" s="28"/>
      <c r="FK116" s="28"/>
      <c r="FL116" s="28"/>
      <c r="FM116" s="28"/>
      <c r="FN116" s="28"/>
      <c r="FO116" s="28"/>
      <c r="FP116" s="28"/>
      <c r="FQ116" s="28"/>
      <c r="FR116" s="28"/>
      <c r="FS116" s="28"/>
      <c r="FT116" s="28"/>
      <c r="FU116" s="28"/>
      <c r="FV116" s="28"/>
      <c r="FW116" s="28"/>
      <c r="FX116" s="28"/>
      <c r="FY116" s="28"/>
      <c r="FZ116" s="28"/>
      <c r="GA116" s="28"/>
      <c r="GB116" s="28"/>
      <c r="GC116" s="28"/>
      <c r="GD116" s="28"/>
      <c r="GE116" s="28"/>
      <c r="GF116" s="28"/>
      <c r="GG116" s="28"/>
      <c r="GH116" s="28"/>
      <c r="GI116" s="28"/>
      <c r="GJ116" s="28"/>
      <c r="GK116" s="28"/>
      <c r="GL116" s="28"/>
      <c r="GM116" s="28"/>
      <c r="GN116" s="28"/>
      <c r="GO116" s="28"/>
      <c r="GP116" s="28"/>
      <c r="GQ116" s="28"/>
      <c r="GR116" s="28"/>
      <c r="GS116" s="28"/>
      <c r="GT116" s="28"/>
      <c r="GU116" s="28"/>
      <c r="GV116" s="28"/>
      <c r="GW116" s="28"/>
      <c r="GX116" s="28"/>
      <c r="GY116" s="28"/>
      <c r="GZ116" s="28"/>
      <c r="HA116" s="28"/>
      <c r="HB116" s="28"/>
      <c r="HC116" s="28"/>
      <c r="HD116" s="28"/>
      <c r="HE116" s="28"/>
      <c r="HF116" s="28"/>
      <c r="HG116" s="28"/>
      <c r="HH116" s="28"/>
      <c r="HI116" s="28"/>
      <c r="HJ116" s="28"/>
      <c r="HK116" s="28"/>
    </row>
    <row r="117" spans="1:219" ht="15" customHeight="1">
      <c r="A117" s="49">
        <v>1</v>
      </c>
      <c r="B117" s="132" t="str">
        <f>VLOOKUP(Ruimtestaat[[#This Row],[Code]],Locaties[[Code]:[Locatie]],2,FALSE)</f>
        <v>Mirtehuis</v>
      </c>
      <c r="C117" s="132" t="str">
        <f>VLOOKUP(Ruimtestaat[[#This Row],[Code]],Locaties[[#All],[Code]:[Adres]],4,FALSE)</f>
        <v>Weseperweg 6</v>
      </c>
      <c r="D117" s="132" t="str">
        <f>VLOOKUP(Ruimtestaat[[#This Row],[Code]],Locaties[[#All],[Code]:[Postcode]],5,FALSE)</f>
        <v>8111 PK</v>
      </c>
      <c r="E117" s="132" t="str">
        <f>VLOOKUP(Ruimtestaat[[#This Row],[Code]],Locaties[#All],6,FALSE)</f>
        <v>Heeten</v>
      </c>
      <c r="F117" s="100"/>
      <c r="G117" s="100" t="s">
        <v>1677</v>
      </c>
      <c r="I117" s="140" t="s">
        <v>1656</v>
      </c>
      <c r="J117" s="49">
        <v>20</v>
      </c>
      <c r="K117" s="140" t="str">
        <f>VLOOKUP(Ruimtestaat[[#This Row],[Ruimte code]],Ruimtegroepen[[#All],[Code]:[Ruimte omschrijving]],2,FALSE)</f>
        <v>Niet in Onderhoud</v>
      </c>
      <c r="L117" s="100"/>
      <c r="M117" s="345"/>
      <c r="N117" s="133"/>
      <c r="O117" s="139"/>
      <c r="P117" s="134">
        <f>VLOOKUP(Ruimtestaat[[#This Row],[Ruimte code]],Ruimtegroepen[],4,FALSE)</f>
        <v>0</v>
      </c>
      <c r="Q117" s="100"/>
      <c r="R117" s="100"/>
      <c r="S117" s="100">
        <f>IF(Q117&gt;0,IF(RIGHT(Ruimtestaat[[#This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17" s="100">
        <f>IF(S117&gt;0,VLOOKUP($J117,Ruimtegroepen[],3,FALSE)*VLOOKUP($L117,Vloersoorten[],3,FALSE)*VLOOKUP($R117,Frequenties[],3,FALSE)*VLOOKUP($A117,Locaties[],3,FALSE),0)</f>
        <v>0</v>
      </c>
      <c r="U117" s="100">
        <f>Ruimtestaat[[#This Row],[Uitvoeringen werkdagen]]*Ruimtestaat[[#This Row],[Oppervlak (netto)]]</f>
        <v>0</v>
      </c>
      <c r="V117" s="135">
        <f>IF(T117&gt;0,Ruimtestaat[[#This Row],[Prest. (m2 /jaar) werkdagen]]/Ruimtestaat[[#This Row],[Norm (m2/uur) werkdagen]],0)</f>
        <v>0</v>
      </c>
      <c r="W117" s="136">
        <f>Ruimtestaat[[#This Row],[uren / jaar werkdagen]]*Tariefsopbouw!$E$35</f>
        <v>0</v>
      </c>
      <c r="X117" s="100"/>
      <c r="Y117" s="100">
        <f>IF(Ruimtestaat[[#This Row],[Frequentie weekend]]&gt;0,VALUE(LEFT(X117,1))*Q117,0)</f>
        <v>0</v>
      </c>
      <c r="Z117" s="99">
        <f>IF($Y117&gt;0,VLOOKUP($J117,Ruimtegroepen[],3,FALSE)*VLOOKUP($L117,Vloersoorten[],3,FALSE)*VLOOKUP($X117,Frequenties[],3,FALSE)*VLOOKUP(Ruimtestaat[[#This Row],[Code]],Locaties[],3,FALSE),0)</f>
        <v>0</v>
      </c>
      <c r="AA117" s="99">
        <f>Ruimtestaat[[#This Row],[Uitvoeringen weekend]]*Ruimtestaat[[#This Row],[Oppervlak (netto)]]</f>
        <v>0</v>
      </c>
      <c r="AB117" s="99">
        <f>IF(Z117&gt;0,Ruimtestaat[[#This Row],[Prest. (m2 /jaar) weekend]]/Ruimtestaat[[#This Row],[Norm (m2/uur) weekend]],0)</f>
        <v>0</v>
      </c>
      <c r="AC117" s="136">
        <f>Ruimtestaat[[#This Row],[uren / jaar weekend]]*Tariefsopbouw!$D$40</f>
        <v>0</v>
      </c>
      <c r="AD117" s="135">
        <f>Ruimtestaat[[#This Row],[Prest. (m2 /jaar) weekend]]+Ruimtestaat[[#This Row],[Prest. (m2 /jaar) werkdagen]]</f>
        <v>0</v>
      </c>
      <c r="AE117" s="135">
        <f>Ruimtestaat[[#This Row],[uren / jaar weekend]]+Ruimtestaat[[#This Row],[uren / jaar werkdagen]]</f>
        <v>0</v>
      </c>
      <c r="AF117" s="130">
        <f>Ruimtestaat[[#This Row],[kosten / jaar weekend]]+Ruimtestaat[[#This Row],[kosten / jaar werkdagen]]</f>
        <v>0</v>
      </c>
      <c r="AG117" s="130"/>
      <c r="AH117" s="137" t="str">
        <f>IF(Ruimtestaat[[#This Row],[Frequentie werkdagen]]="","",_xlfn.CONCAT(Ruimtestaat[[#This Row],[Ruimte code]],"-",Ruimtestaat[[#This Row],[Frequentie werkdagen]]," ",Ruimtestaat[[#This Row],[Vloer code]]))</f>
        <v/>
      </c>
      <c r="AI117" s="142" t="str">
        <f>_xlfn.IFNA(VLOOKUP($AH117,Programma!$F$3:$G$1101,2,0),"")</f>
        <v/>
      </c>
      <c r="AJ117" s="142" t="str">
        <f>_xlfn.IFNA(VLOOKUP($AH117,Programma!$F$3:$H$1101,3,0),"")</f>
        <v/>
      </c>
      <c r="AK117" s="142" t="str">
        <f>_xlfn.IFNA(VLOOKUP($AH117,Programma!$F$3:$I$1101,4,0),"")</f>
        <v/>
      </c>
      <c r="AL117" s="142" t="str">
        <f>_xlfn.IFNA(VLOOKUP($AH117,Programma!$F$3:$J$1101,5,0),"")</f>
        <v/>
      </c>
      <c r="AM117" s="142" t="str">
        <f>_xlfn.IFNA(VLOOKUP($AH117,Programma!$F$3:$K$1101,6,0),"")</f>
        <v/>
      </c>
      <c r="AN117" s="142" t="str">
        <f>_xlfn.IFNA(VLOOKUP($AH117,Programma!$F$3:$L$1101,7,0),"")</f>
        <v/>
      </c>
      <c r="AO117" s="142" t="str">
        <f>_xlfn.IFNA(VLOOKUP($AH117,Programma!$F$3:$M$1101,8,0),"")</f>
        <v/>
      </c>
      <c r="AP117" s="142" t="str">
        <f>_xlfn.IFNA(VLOOKUP($AH117,Programma!$F$3:$N$1101,9,0),"")</f>
        <v/>
      </c>
      <c r="AQ117" s="142" t="str">
        <f>_xlfn.IFNA(VLOOKUP($AH117,Programma!$F$3:$O$1101,10,0),"")</f>
        <v/>
      </c>
      <c r="AR117" s="142" t="str">
        <f>_xlfn.IFNA(VLOOKUP($AH117,Programma!$F$3:$P$1101,11,0),"")</f>
        <v/>
      </c>
      <c r="AS117" s="142" t="str">
        <f>_xlfn.IFNA(VLOOKUP($AH117,Programma!$F$3:$Q$1101,12,0),"")</f>
        <v/>
      </c>
      <c r="AT117" s="142" t="str">
        <f>_xlfn.IFNA(VLOOKUP($AH117,Programma!$F$3:$R$1101,13,0),"")</f>
        <v/>
      </c>
      <c r="AU117" s="142" t="str">
        <f>_xlfn.IFNA(VLOOKUP($AH117,Programma!$F$3:$S$1101,14,0),"")</f>
        <v/>
      </c>
      <c r="AV117" s="142" t="str">
        <f>_xlfn.IFNA(VLOOKUP($AH117,Programma!$F$3:$T$1101,15,0),"")</f>
        <v/>
      </c>
      <c r="AW117" s="142" t="str">
        <f>_xlfn.IFNA(VLOOKUP($AH117,Programma!$F$3:$U$1101,16,0),"")</f>
        <v/>
      </c>
      <c r="AX117" s="142" t="str">
        <f>_xlfn.IFNA(VLOOKUP($AH117,Programma!$F$3:$V$1101,17,0),"")</f>
        <v/>
      </c>
      <c r="AY117" s="142" t="str">
        <f>_xlfn.IFNA(VLOOKUP($AH117,Programma!$F$3:$W$1101,18,0),"")</f>
        <v/>
      </c>
      <c r="AZ117" s="142" t="str">
        <f>_xlfn.IFNA(VLOOKUP($AH117,Programma!$F$3:$X$1101,19,0),"")</f>
        <v/>
      </c>
      <c r="BA117" s="142" t="str">
        <f>_xlfn.IFNA(VLOOKUP($AH117,Programma!$F$3:$Y$1101,20,0),"")</f>
        <v/>
      </c>
      <c r="BB117" s="138"/>
      <c r="BC117" s="137" t="str">
        <f>IF(Ruimtestaat[[#This Row],[Frequentie weekend]]="","",_xlfn.CONCAT(Ruimtestaat[[#This Row],[Ruimte code]],"-",Ruimtestaat[[#This Row],[Frequentie weekend]]," ",Ruimtestaat[[#This Row],[Vloer code]]))</f>
        <v/>
      </c>
      <c r="BD117" s="142" t="str">
        <f>_xlfn.IFNA(VLOOKUP($BC117,Programma!$F$3:$G$1101,2,0),"")</f>
        <v/>
      </c>
      <c r="BE117" s="142" t="str">
        <f>_xlfn.IFNA(VLOOKUP($BC117,Programma!$F$3:$H$1101,3,0),"")</f>
        <v/>
      </c>
      <c r="BF117" s="142" t="str">
        <f>_xlfn.IFNA(VLOOKUP($BC117,Programma!$F$3:$I$1101,4,0),"")</f>
        <v/>
      </c>
      <c r="BG117" s="142" t="str">
        <f>_xlfn.IFNA(VLOOKUP($BC117,Programma!$F$3:$J$1101,5,0),"")</f>
        <v/>
      </c>
      <c r="BH117" s="142" t="str">
        <f>_xlfn.IFNA(VLOOKUP($BC117,Programma!$F$3:$K$1101,6,0),"")</f>
        <v/>
      </c>
      <c r="BI117" s="142" t="str">
        <f>_xlfn.IFNA(VLOOKUP($BC117,Programma!$F$3:$L$1101,7,0),"")</f>
        <v/>
      </c>
      <c r="BJ117" s="142" t="str">
        <f>_xlfn.IFNA(VLOOKUP($BC117,Programma!$F$3:$M$1101,8,0),"")</f>
        <v/>
      </c>
      <c r="BK117" s="142" t="str">
        <f>_xlfn.IFNA(VLOOKUP($BC117,Programma!$F$3:$N$1101,9,0),"")</f>
        <v/>
      </c>
      <c r="BL117" s="142" t="str">
        <f>_xlfn.IFNA(VLOOKUP($BC117,Programma!$F$3:$O$1101,10,0),"")</f>
        <v/>
      </c>
      <c r="BM117" s="142" t="str">
        <f>_xlfn.IFNA(VLOOKUP($BC117,Programma!$F$3:$P$1101,11,0),"")</f>
        <v/>
      </c>
      <c r="BN117" s="142" t="str">
        <f>_xlfn.IFNA(VLOOKUP($BC117,Programma!$F$3:$Q$1101,12,0),"")</f>
        <v/>
      </c>
      <c r="BO117" s="142" t="str">
        <f>_xlfn.IFNA(VLOOKUP($BC117,Programma!$F$3:$R$1101,13,0),"")</f>
        <v/>
      </c>
      <c r="BP117" s="142" t="str">
        <f>_xlfn.IFNA(VLOOKUP($BC117,Programma!$F$3:$S$1101,14,0),"")</f>
        <v/>
      </c>
      <c r="BQ117" s="142" t="str">
        <f>_xlfn.IFNA(VLOOKUP($BC117,Programma!$F$3:$T$1101,15,0),"")</f>
        <v/>
      </c>
      <c r="BR117" s="142" t="str">
        <f>_xlfn.IFNA(VLOOKUP($BC117,Programma!$F$3:$U$1101,16,0),"")</f>
        <v/>
      </c>
      <c r="BS117" s="142" t="str">
        <f>_xlfn.IFNA(VLOOKUP($BC117,Programma!$F$3:$V$1101,17,0),"")</f>
        <v/>
      </c>
      <c r="BT117" s="142" t="str">
        <f>_xlfn.IFNA(VLOOKUP($BC117,Programma!$F$3:$W$1101,18,0),"")</f>
        <v/>
      </c>
      <c r="BU117" s="142" t="str">
        <f>_xlfn.IFNA(VLOOKUP($BC117,Programma!$F$3:$X$1101,19,0),"")</f>
        <v/>
      </c>
      <c r="BV117" s="142" t="str">
        <f>_xlfn.IFNA(VLOOKUP($BC117,Programma!$F$3:$Y$1101,20,0),"")</f>
        <v/>
      </c>
      <c r="BW117" s="28"/>
      <c r="BX117" s="28"/>
      <c r="BY117" s="28"/>
      <c r="BZ117" s="28"/>
      <c r="CA117" s="28"/>
      <c r="CB117" s="28"/>
      <c r="CC117" s="28"/>
      <c r="CD117" s="28"/>
      <c r="CE117" s="28"/>
      <c r="CF117" s="28"/>
      <c r="CG117" s="28"/>
      <c r="CH117" s="28"/>
      <c r="CI117" s="28"/>
      <c r="CJ117" s="28"/>
      <c r="CK117" s="28"/>
      <c r="CL117" s="28"/>
      <c r="CM117" s="28"/>
      <c r="CN117" s="28"/>
      <c r="CO117" s="28"/>
      <c r="CP117" s="28"/>
      <c r="CQ117" s="28"/>
      <c r="CR117" s="28"/>
      <c r="CS117" s="28"/>
      <c r="CT117" s="28"/>
      <c r="CU117" s="28"/>
      <c r="CV117" s="28"/>
      <c r="CW117" s="28"/>
      <c r="CX117" s="28"/>
      <c r="CY117" s="28"/>
      <c r="CZ117" s="28"/>
      <c r="DA117" s="28"/>
      <c r="DB117" s="28"/>
      <c r="DC117" s="28"/>
      <c r="DD117" s="28"/>
      <c r="DE117" s="28"/>
      <c r="DF117" s="28"/>
      <c r="DG117" s="28"/>
      <c r="DH117" s="28"/>
      <c r="DI117" s="28"/>
      <c r="DJ117" s="28"/>
      <c r="DK117" s="28"/>
      <c r="DL117" s="28"/>
      <c r="DM117" s="28"/>
      <c r="DN117" s="28"/>
      <c r="DO117" s="28"/>
      <c r="DP117" s="28"/>
      <c r="DQ117" s="28"/>
      <c r="DR117" s="28"/>
      <c r="DS117" s="28"/>
      <c r="DT117" s="28"/>
      <c r="DU117" s="28"/>
      <c r="DV117" s="28"/>
      <c r="DW117" s="28"/>
      <c r="DX117" s="28"/>
      <c r="DY117" s="28"/>
      <c r="DZ117" s="28"/>
      <c r="EA117" s="28"/>
      <c r="EB117" s="28"/>
      <c r="EC117" s="28"/>
      <c r="ED117" s="28"/>
      <c r="EE117" s="28"/>
      <c r="EF117" s="28"/>
      <c r="EG117" s="28"/>
      <c r="EH117" s="28"/>
      <c r="EI117" s="28"/>
      <c r="EJ117" s="28"/>
      <c r="EK117" s="28"/>
      <c r="EL117" s="28"/>
      <c r="EM117" s="28"/>
      <c r="EN117" s="28"/>
      <c r="EO117" s="28"/>
      <c r="EP117" s="28"/>
      <c r="EQ117" s="28"/>
      <c r="ER117" s="28"/>
      <c r="ES117" s="28"/>
      <c r="ET117" s="28"/>
      <c r="EU117" s="28"/>
      <c r="EV117" s="28"/>
      <c r="EW117" s="28"/>
      <c r="EX117" s="28"/>
      <c r="EY117" s="28"/>
      <c r="EZ117" s="28"/>
      <c r="FA117" s="28"/>
      <c r="FB117" s="28"/>
      <c r="FC117" s="28"/>
      <c r="FD117" s="28"/>
      <c r="FE117" s="28"/>
      <c r="FF117" s="28"/>
      <c r="FG117" s="28"/>
      <c r="FH117" s="28"/>
      <c r="FI117" s="28"/>
      <c r="FJ117" s="28"/>
      <c r="FK117" s="28"/>
      <c r="FL117" s="28"/>
      <c r="FM117" s="28"/>
      <c r="FN117" s="28"/>
      <c r="FO117" s="28"/>
      <c r="FP117" s="28"/>
      <c r="FQ117" s="28"/>
      <c r="FR117" s="28"/>
      <c r="FS117" s="28"/>
      <c r="FT117" s="28"/>
      <c r="FU117" s="28"/>
      <c r="FV117" s="28"/>
      <c r="FW117" s="28"/>
      <c r="FX117" s="28"/>
      <c r="FY117" s="28"/>
      <c r="FZ117" s="28"/>
      <c r="GA117" s="28"/>
      <c r="GB117" s="28"/>
      <c r="GC117" s="28"/>
      <c r="GD117" s="28"/>
      <c r="GE117" s="28"/>
      <c r="GF117" s="28"/>
      <c r="GG117" s="28"/>
      <c r="GH117" s="28"/>
      <c r="GI117" s="28"/>
      <c r="GJ117" s="28"/>
      <c r="GK117" s="28"/>
      <c r="GL117" s="28"/>
      <c r="GM117" s="28"/>
      <c r="GN117" s="28"/>
      <c r="GO117" s="28"/>
      <c r="GP117" s="28"/>
      <c r="GQ117" s="28"/>
      <c r="GR117" s="28"/>
      <c r="GS117" s="28"/>
      <c r="GT117" s="28"/>
      <c r="GU117" s="28"/>
      <c r="GV117" s="28"/>
      <c r="GW117" s="28"/>
      <c r="GX117" s="28"/>
      <c r="GY117" s="28"/>
      <c r="GZ117" s="28"/>
      <c r="HA117" s="28"/>
      <c r="HB117" s="28"/>
      <c r="HC117" s="28"/>
      <c r="HD117" s="28"/>
      <c r="HE117" s="28"/>
      <c r="HF117" s="28"/>
      <c r="HG117" s="28"/>
      <c r="HH117" s="28"/>
      <c r="HI117" s="28"/>
      <c r="HJ117" s="28"/>
      <c r="HK117" s="28"/>
    </row>
    <row r="118" spans="1:219" ht="15" customHeight="1">
      <c r="A118" s="49">
        <v>1</v>
      </c>
      <c r="B118" s="132" t="str">
        <f>VLOOKUP(Ruimtestaat[[#This Row],[Code]],Locaties[[Code]:[Locatie]],2,FALSE)</f>
        <v>Mirtehuis</v>
      </c>
      <c r="C118" s="132" t="str">
        <f>VLOOKUP(Ruimtestaat[[#This Row],[Code]],Locaties[[#All],[Code]:[Adres]],4,FALSE)</f>
        <v>Weseperweg 6</v>
      </c>
      <c r="D118" s="132" t="str">
        <f>VLOOKUP(Ruimtestaat[[#This Row],[Code]],Locaties[[#All],[Code]:[Postcode]],5,FALSE)</f>
        <v>8111 PK</v>
      </c>
      <c r="E118" s="132" t="str">
        <f>VLOOKUP(Ruimtestaat[[#This Row],[Code]],Locaties[#All],6,FALSE)</f>
        <v>Heeten</v>
      </c>
      <c r="F118" s="100"/>
      <c r="G118" s="100" t="s">
        <v>1677</v>
      </c>
      <c r="H118" s="49">
        <v>13</v>
      </c>
      <c r="I118" s="140" t="s">
        <v>1650</v>
      </c>
      <c r="J118" s="49">
        <v>20</v>
      </c>
      <c r="K118" s="140" t="str">
        <f>VLOOKUP(Ruimtestaat[[#This Row],[Ruimte code]],Ruimtegroepen[[#All],[Code]:[Ruimte omschrijving]],2,FALSE)</f>
        <v>Niet in Onderhoud</v>
      </c>
      <c r="L118" s="100"/>
      <c r="M118" s="345"/>
      <c r="N118" s="133"/>
      <c r="O118" s="100"/>
      <c r="P118" s="134">
        <f>VLOOKUP(Ruimtestaat[[#This Row],[Ruimte code]],Ruimtegroepen[],4,FALSE)</f>
        <v>0</v>
      </c>
      <c r="Q118" s="100"/>
      <c r="R118" s="100"/>
      <c r="S118" s="100">
        <f>IF(Q118&gt;0,IF(RIGHT(Ruimtestaat[[#This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18" s="100">
        <f>IF(S118&gt;0,VLOOKUP($J118,Ruimtegroepen[],3,FALSE)*VLOOKUP($L118,Vloersoorten[],3,FALSE)*VLOOKUP($R118,Frequenties[],3,FALSE)*VLOOKUP($A118,Locaties[],3,FALSE),0)</f>
        <v>0</v>
      </c>
      <c r="U118" s="100">
        <f>Ruimtestaat[[#This Row],[Uitvoeringen werkdagen]]*Ruimtestaat[[#This Row],[Oppervlak (netto)]]</f>
        <v>0</v>
      </c>
      <c r="V118" s="135">
        <f>IF(T118&gt;0,Ruimtestaat[[#This Row],[Prest. (m2 /jaar) werkdagen]]/Ruimtestaat[[#This Row],[Norm (m2/uur) werkdagen]],0)</f>
        <v>0</v>
      </c>
      <c r="W118" s="136">
        <f>Ruimtestaat[[#This Row],[uren / jaar werkdagen]]*Tariefsopbouw!$E$35</f>
        <v>0</v>
      </c>
      <c r="X118" s="100"/>
      <c r="Y118" s="100">
        <f>IF(Ruimtestaat[[#This Row],[Frequentie weekend]]&gt;0,VALUE(LEFT(X118,1))*Q118,0)</f>
        <v>0</v>
      </c>
      <c r="Z118" s="99">
        <f>IF($Y118&gt;0,VLOOKUP($J118,Ruimtegroepen[],3,FALSE)*VLOOKUP($L118,Vloersoorten[],3,FALSE)*VLOOKUP($X118,Frequenties[],3,FALSE)*VLOOKUP(Ruimtestaat[[#This Row],[Code]],Locaties[],3,FALSE),0)</f>
        <v>0</v>
      </c>
      <c r="AA118" s="99">
        <f>Ruimtestaat[[#This Row],[Uitvoeringen weekend]]*Ruimtestaat[[#This Row],[Oppervlak (netto)]]</f>
        <v>0</v>
      </c>
      <c r="AB118" s="99">
        <f>IF(Z118&gt;0,Ruimtestaat[[#This Row],[Prest. (m2 /jaar) weekend]]/Ruimtestaat[[#This Row],[Norm (m2/uur) weekend]],0)</f>
        <v>0</v>
      </c>
      <c r="AC118" s="136">
        <f>Ruimtestaat[[#This Row],[uren / jaar weekend]]*Tariefsopbouw!$D$40</f>
        <v>0</v>
      </c>
      <c r="AD118" s="135">
        <f>Ruimtestaat[[#This Row],[Prest. (m2 /jaar) weekend]]+Ruimtestaat[[#This Row],[Prest. (m2 /jaar) werkdagen]]</f>
        <v>0</v>
      </c>
      <c r="AE118" s="135">
        <f>Ruimtestaat[[#This Row],[uren / jaar weekend]]+Ruimtestaat[[#This Row],[uren / jaar werkdagen]]</f>
        <v>0</v>
      </c>
      <c r="AF118" s="130">
        <f>Ruimtestaat[[#This Row],[kosten / jaar weekend]]+Ruimtestaat[[#This Row],[kosten / jaar werkdagen]]</f>
        <v>0</v>
      </c>
      <c r="AG118" s="130"/>
      <c r="AH118" s="137" t="str">
        <f>IF(Ruimtestaat[[#This Row],[Frequentie werkdagen]]="","",_xlfn.CONCAT(Ruimtestaat[[#This Row],[Ruimte code]],"-",Ruimtestaat[[#This Row],[Frequentie werkdagen]]," ",Ruimtestaat[[#This Row],[Vloer code]]))</f>
        <v/>
      </c>
      <c r="AI118" s="142" t="str">
        <f>_xlfn.IFNA(VLOOKUP($AH118,Programma!$F$3:$G$1101,2,0),"")</f>
        <v/>
      </c>
      <c r="AJ118" s="142" t="str">
        <f>_xlfn.IFNA(VLOOKUP($AH118,Programma!$F$3:$H$1101,3,0),"")</f>
        <v/>
      </c>
      <c r="AK118" s="142" t="str">
        <f>_xlfn.IFNA(VLOOKUP($AH118,Programma!$F$3:$I$1101,4,0),"")</f>
        <v/>
      </c>
      <c r="AL118" s="142" t="str">
        <f>_xlfn.IFNA(VLOOKUP($AH118,Programma!$F$3:$J$1101,5,0),"")</f>
        <v/>
      </c>
      <c r="AM118" s="142" t="str">
        <f>_xlfn.IFNA(VLOOKUP($AH118,Programma!$F$3:$K$1101,6,0),"")</f>
        <v/>
      </c>
      <c r="AN118" s="142" t="str">
        <f>_xlfn.IFNA(VLOOKUP($AH118,Programma!$F$3:$L$1101,7,0),"")</f>
        <v/>
      </c>
      <c r="AO118" s="142" t="str">
        <f>_xlfn.IFNA(VLOOKUP($AH118,Programma!$F$3:$M$1101,8,0),"")</f>
        <v/>
      </c>
      <c r="AP118" s="142" t="str">
        <f>_xlfn.IFNA(VLOOKUP($AH118,Programma!$F$3:$N$1101,9,0),"")</f>
        <v/>
      </c>
      <c r="AQ118" s="142" t="str">
        <f>_xlfn.IFNA(VLOOKUP($AH118,Programma!$F$3:$O$1101,10,0),"")</f>
        <v/>
      </c>
      <c r="AR118" s="142" t="str">
        <f>_xlfn.IFNA(VLOOKUP($AH118,Programma!$F$3:$P$1101,11,0),"")</f>
        <v/>
      </c>
      <c r="AS118" s="142" t="str">
        <f>_xlfn.IFNA(VLOOKUP($AH118,Programma!$F$3:$Q$1101,12,0),"")</f>
        <v/>
      </c>
      <c r="AT118" s="142" t="str">
        <f>_xlfn.IFNA(VLOOKUP($AH118,Programma!$F$3:$R$1101,13,0),"")</f>
        <v/>
      </c>
      <c r="AU118" s="142" t="str">
        <f>_xlfn.IFNA(VLOOKUP($AH118,Programma!$F$3:$S$1101,14,0),"")</f>
        <v/>
      </c>
      <c r="AV118" s="142" t="str">
        <f>_xlfn.IFNA(VLOOKUP($AH118,Programma!$F$3:$T$1101,15,0),"")</f>
        <v/>
      </c>
      <c r="AW118" s="142" t="str">
        <f>_xlfn.IFNA(VLOOKUP($AH118,Programma!$F$3:$U$1101,16,0),"")</f>
        <v/>
      </c>
      <c r="AX118" s="142" t="str">
        <f>_xlfn.IFNA(VLOOKUP($AH118,Programma!$F$3:$V$1101,17,0),"")</f>
        <v/>
      </c>
      <c r="AY118" s="142" t="str">
        <f>_xlfn.IFNA(VLOOKUP($AH118,Programma!$F$3:$W$1101,18,0),"")</f>
        <v/>
      </c>
      <c r="AZ118" s="142" t="str">
        <f>_xlfn.IFNA(VLOOKUP($AH118,Programma!$F$3:$X$1101,19,0),"")</f>
        <v/>
      </c>
      <c r="BA118" s="142" t="str">
        <f>_xlfn.IFNA(VLOOKUP($AH118,Programma!$F$3:$Y$1101,20,0),"")</f>
        <v/>
      </c>
      <c r="BB118" s="138"/>
      <c r="BC118" s="137" t="str">
        <f>IF(Ruimtestaat[[#This Row],[Frequentie weekend]]="","",_xlfn.CONCAT(Ruimtestaat[[#This Row],[Ruimte code]],"-",Ruimtestaat[[#This Row],[Frequentie weekend]]," ",Ruimtestaat[[#This Row],[Vloer code]]))</f>
        <v/>
      </c>
      <c r="BD118" s="142" t="str">
        <f>_xlfn.IFNA(VLOOKUP($BC118,Programma!$F$3:$G$1101,2,0),"")</f>
        <v/>
      </c>
      <c r="BE118" s="142" t="str">
        <f>_xlfn.IFNA(VLOOKUP($BC118,Programma!$F$3:$H$1101,3,0),"")</f>
        <v/>
      </c>
      <c r="BF118" s="142" t="str">
        <f>_xlfn.IFNA(VLOOKUP($BC118,Programma!$F$3:$I$1101,4,0),"")</f>
        <v/>
      </c>
      <c r="BG118" s="142" t="str">
        <f>_xlfn.IFNA(VLOOKUP($BC118,Programma!$F$3:$J$1101,5,0),"")</f>
        <v/>
      </c>
      <c r="BH118" s="142" t="str">
        <f>_xlfn.IFNA(VLOOKUP($BC118,Programma!$F$3:$K$1101,6,0),"")</f>
        <v/>
      </c>
      <c r="BI118" s="142" t="str">
        <f>_xlfn.IFNA(VLOOKUP($BC118,Programma!$F$3:$L$1101,7,0),"")</f>
        <v/>
      </c>
      <c r="BJ118" s="142" t="str">
        <f>_xlfn.IFNA(VLOOKUP($BC118,Programma!$F$3:$M$1101,8,0),"")</f>
        <v/>
      </c>
      <c r="BK118" s="142" t="str">
        <f>_xlfn.IFNA(VLOOKUP($BC118,Programma!$F$3:$N$1101,9,0),"")</f>
        <v/>
      </c>
      <c r="BL118" s="142" t="str">
        <f>_xlfn.IFNA(VLOOKUP($BC118,Programma!$F$3:$O$1101,10,0),"")</f>
        <v/>
      </c>
      <c r="BM118" s="142" t="str">
        <f>_xlfn.IFNA(VLOOKUP($BC118,Programma!$F$3:$P$1101,11,0),"")</f>
        <v/>
      </c>
      <c r="BN118" s="142" t="str">
        <f>_xlfn.IFNA(VLOOKUP($BC118,Programma!$F$3:$Q$1101,12,0),"")</f>
        <v/>
      </c>
      <c r="BO118" s="142" t="str">
        <f>_xlfn.IFNA(VLOOKUP($BC118,Programma!$F$3:$R$1101,13,0),"")</f>
        <v/>
      </c>
      <c r="BP118" s="142" t="str">
        <f>_xlfn.IFNA(VLOOKUP($BC118,Programma!$F$3:$S$1101,14,0),"")</f>
        <v/>
      </c>
      <c r="BQ118" s="142" t="str">
        <f>_xlfn.IFNA(VLOOKUP($BC118,Programma!$F$3:$T$1101,15,0),"")</f>
        <v/>
      </c>
      <c r="BR118" s="142" t="str">
        <f>_xlfn.IFNA(VLOOKUP($BC118,Programma!$F$3:$U$1101,16,0),"")</f>
        <v/>
      </c>
      <c r="BS118" s="142" t="str">
        <f>_xlfn.IFNA(VLOOKUP($BC118,Programma!$F$3:$V$1101,17,0),"")</f>
        <v/>
      </c>
      <c r="BT118" s="142" t="str">
        <f>_xlfn.IFNA(VLOOKUP($BC118,Programma!$F$3:$W$1101,18,0),"")</f>
        <v/>
      </c>
      <c r="BU118" s="142" t="str">
        <f>_xlfn.IFNA(VLOOKUP($BC118,Programma!$F$3:$X$1101,19,0),"")</f>
        <v/>
      </c>
      <c r="BV118" s="142" t="str">
        <f>_xlfn.IFNA(VLOOKUP($BC118,Programma!$F$3:$Y$1101,20,0),"")</f>
        <v/>
      </c>
      <c r="BW118" s="28"/>
      <c r="BX118" s="28"/>
      <c r="BY118" s="28"/>
      <c r="BZ118" s="28"/>
      <c r="CA118" s="28"/>
      <c r="CB118" s="28"/>
      <c r="CC118" s="28"/>
      <c r="CD118" s="28"/>
      <c r="CE118" s="28"/>
      <c r="CF118" s="28"/>
      <c r="CG118" s="28"/>
      <c r="CH118" s="28"/>
      <c r="CI118" s="28"/>
      <c r="CJ118" s="28"/>
      <c r="CK118" s="28"/>
      <c r="CL118" s="28"/>
      <c r="CM118" s="28"/>
      <c r="CN118" s="28"/>
      <c r="CO118" s="28"/>
      <c r="CP118" s="28"/>
      <c r="CQ118" s="28"/>
      <c r="CR118" s="28"/>
      <c r="CS118" s="28"/>
      <c r="CT118" s="28"/>
      <c r="CU118" s="28"/>
      <c r="CV118" s="28"/>
      <c r="CW118" s="28"/>
      <c r="CX118" s="28"/>
      <c r="CY118" s="28"/>
      <c r="CZ118" s="28"/>
      <c r="DA118" s="28"/>
      <c r="DB118" s="28"/>
      <c r="DC118" s="28"/>
      <c r="DD118" s="28"/>
      <c r="DE118" s="28"/>
      <c r="DF118" s="28"/>
      <c r="DG118" s="28"/>
      <c r="DH118" s="28"/>
      <c r="DI118" s="28"/>
      <c r="DJ118" s="28"/>
      <c r="DK118" s="28"/>
      <c r="DL118" s="28"/>
      <c r="DM118" s="28"/>
      <c r="DN118" s="28"/>
      <c r="DO118" s="28"/>
      <c r="DP118" s="28"/>
      <c r="DQ118" s="28"/>
      <c r="DR118" s="28"/>
      <c r="DS118" s="28"/>
      <c r="DT118" s="28"/>
      <c r="DU118" s="28"/>
      <c r="DV118" s="28"/>
      <c r="DW118" s="28"/>
      <c r="DX118" s="28"/>
      <c r="DY118" s="28"/>
      <c r="DZ118" s="28"/>
      <c r="EA118" s="28"/>
      <c r="EB118" s="28"/>
      <c r="EC118" s="28"/>
      <c r="ED118" s="28"/>
      <c r="EE118" s="28"/>
      <c r="EF118" s="28"/>
      <c r="EG118" s="28"/>
      <c r="EH118" s="28"/>
      <c r="EI118" s="28"/>
      <c r="EJ118" s="28"/>
      <c r="EK118" s="28"/>
      <c r="EL118" s="28"/>
      <c r="EM118" s="28"/>
      <c r="EN118" s="28"/>
      <c r="EO118" s="28"/>
      <c r="EP118" s="28"/>
      <c r="EQ118" s="28"/>
      <c r="ER118" s="28"/>
      <c r="ES118" s="28"/>
      <c r="ET118" s="28"/>
      <c r="EU118" s="28"/>
      <c r="EV118" s="28"/>
      <c r="EW118" s="28"/>
      <c r="EX118" s="28"/>
      <c r="EY118" s="28"/>
      <c r="EZ118" s="28"/>
      <c r="FA118" s="28"/>
      <c r="FB118" s="28"/>
      <c r="FC118" s="28"/>
      <c r="FD118" s="28"/>
      <c r="FE118" s="28"/>
      <c r="FF118" s="28"/>
      <c r="FG118" s="28"/>
      <c r="FH118" s="28"/>
      <c r="FI118" s="28"/>
      <c r="FJ118" s="28"/>
      <c r="FK118" s="28"/>
      <c r="FL118" s="28"/>
      <c r="FM118" s="28"/>
      <c r="FN118" s="28"/>
      <c r="FO118" s="28"/>
      <c r="FP118" s="28"/>
      <c r="FQ118" s="28"/>
      <c r="FR118" s="28"/>
      <c r="FS118" s="28"/>
      <c r="FT118" s="28"/>
      <c r="FU118" s="28"/>
      <c r="FV118" s="28"/>
      <c r="FW118" s="28"/>
      <c r="FX118" s="28"/>
      <c r="FY118" s="28"/>
      <c r="FZ118" s="28"/>
      <c r="GA118" s="28"/>
      <c r="GB118" s="28"/>
      <c r="GC118" s="28"/>
      <c r="GD118" s="28"/>
      <c r="GE118" s="28"/>
      <c r="GF118" s="28"/>
      <c r="GG118" s="28"/>
      <c r="GH118" s="28"/>
      <c r="GI118" s="28"/>
      <c r="GJ118" s="28"/>
      <c r="GK118" s="28"/>
      <c r="GL118" s="28"/>
      <c r="GM118" s="28"/>
      <c r="GN118" s="28"/>
      <c r="GO118" s="28"/>
      <c r="GP118" s="28"/>
      <c r="GQ118" s="28"/>
      <c r="GR118" s="28"/>
      <c r="GS118" s="28"/>
      <c r="GT118" s="28"/>
      <c r="GU118" s="28"/>
      <c r="GV118" s="28"/>
      <c r="GW118" s="28"/>
      <c r="GX118" s="28"/>
      <c r="GY118" s="28"/>
      <c r="GZ118" s="28"/>
      <c r="HA118" s="28"/>
      <c r="HB118" s="28"/>
      <c r="HC118" s="28"/>
      <c r="HD118" s="28"/>
      <c r="HE118" s="28"/>
      <c r="HF118" s="28"/>
      <c r="HG118" s="28"/>
      <c r="HH118" s="28"/>
      <c r="HI118" s="28"/>
      <c r="HJ118" s="28"/>
      <c r="HK118" s="28"/>
    </row>
    <row r="119" spans="1:219" ht="15" customHeight="1">
      <c r="A119" s="49">
        <v>1</v>
      </c>
      <c r="B119" s="132" t="str">
        <f>VLOOKUP(Ruimtestaat[[#This Row],[Code]],Locaties[[Code]:[Locatie]],2,FALSE)</f>
        <v>Mirtehuis</v>
      </c>
      <c r="C119" s="132" t="str">
        <f>VLOOKUP(Ruimtestaat[[#This Row],[Code]],Locaties[[#All],[Code]:[Adres]],4,FALSE)</f>
        <v>Weseperweg 6</v>
      </c>
      <c r="D119" s="132" t="str">
        <f>VLOOKUP(Ruimtestaat[[#This Row],[Code]],Locaties[[#All],[Code]:[Postcode]],5,FALSE)</f>
        <v>8111 PK</v>
      </c>
      <c r="E119" s="132" t="str">
        <f>VLOOKUP(Ruimtestaat[[#This Row],[Code]],Locaties[#All],6,FALSE)</f>
        <v>Heeten</v>
      </c>
      <c r="F119" s="100"/>
      <c r="G119" s="100" t="s">
        <v>1677</v>
      </c>
      <c r="I119" s="140" t="s">
        <v>1656</v>
      </c>
      <c r="J119" s="49">
        <v>20</v>
      </c>
      <c r="K119" s="140" t="str">
        <f>VLOOKUP(Ruimtestaat[[#This Row],[Ruimte code]],Ruimtegroepen[[#All],[Code]:[Ruimte omschrijving]],2,FALSE)</f>
        <v>Niet in Onderhoud</v>
      </c>
      <c r="L119" s="100"/>
      <c r="M119" s="345"/>
      <c r="N119" s="133"/>
      <c r="O119" s="139"/>
      <c r="P119" s="134">
        <f>VLOOKUP(Ruimtestaat[[#This Row],[Ruimte code]],Ruimtegroepen[],4,FALSE)</f>
        <v>0</v>
      </c>
      <c r="Q119" s="100"/>
      <c r="R119" s="100"/>
      <c r="S119" s="100">
        <f>IF(Q119&gt;0,IF(RIGHT(Ruimtestaat[[#This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19" s="100">
        <f>IF(S119&gt;0,VLOOKUP($J119,Ruimtegroepen[],3,FALSE)*VLOOKUP($L119,Vloersoorten[],3,FALSE)*VLOOKUP($R119,Frequenties[],3,FALSE)*VLOOKUP($A119,Locaties[],3,FALSE),0)</f>
        <v>0</v>
      </c>
      <c r="U119" s="100">
        <f>Ruimtestaat[[#This Row],[Uitvoeringen werkdagen]]*Ruimtestaat[[#This Row],[Oppervlak (netto)]]</f>
        <v>0</v>
      </c>
      <c r="V119" s="135">
        <f>IF(T119&gt;0,Ruimtestaat[[#This Row],[Prest. (m2 /jaar) werkdagen]]/Ruimtestaat[[#This Row],[Norm (m2/uur) werkdagen]],0)</f>
        <v>0</v>
      </c>
      <c r="W119" s="136">
        <f>Ruimtestaat[[#This Row],[uren / jaar werkdagen]]*Tariefsopbouw!$E$35</f>
        <v>0</v>
      </c>
      <c r="X119" s="100"/>
      <c r="Y119" s="100">
        <f>IF(Ruimtestaat[[#This Row],[Frequentie weekend]]&gt;0,VALUE(LEFT(X119,1))*Q119,0)</f>
        <v>0</v>
      </c>
      <c r="Z119" s="99">
        <f>IF($Y119&gt;0,VLOOKUP($J119,Ruimtegroepen[],3,FALSE)*VLOOKUP($L119,Vloersoorten[],3,FALSE)*VLOOKUP($X119,Frequenties[],3,FALSE)*VLOOKUP(Ruimtestaat[[#This Row],[Code]],Locaties[],3,FALSE),0)</f>
        <v>0</v>
      </c>
      <c r="AA119" s="99">
        <f>Ruimtestaat[[#This Row],[Uitvoeringen weekend]]*Ruimtestaat[[#This Row],[Oppervlak (netto)]]</f>
        <v>0</v>
      </c>
      <c r="AB119" s="99">
        <f>IF(Z119&gt;0,Ruimtestaat[[#This Row],[Prest. (m2 /jaar) weekend]]/Ruimtestaat[[#This Row],[Norm (m2/uur) weekend]],0)</f>
        <v>0</v>
      </c>
      <c r="AC119" s="136">
        <f>Ruimtestaat[[#This Row],[uren / jaar weekend]]*Tariefsopbouw!$D$40</f>
        <v>0</v>
      </c>
      <c r="AD119" s="135">
        <f>Ruimtestaat[[#This Row],[Prest. (m2 /jaar) weekend]]+Ruimtestaat[[#This Row],[Prest. (m2 /jaar) werkdagen]]</f>
        <v>0</v>
      </c>
      <c r="AE119" s="135">
        <f>Ruimtestaat[[#This Row],[uren / jaar weekend]]+Ruimtestaat[[#This Row],[uren / jaar werkdagen]]</f>
        <v>0</v>
      </c>
      <c r="AF119" s="130">
        <f>Ruimtestaat[[#This Row],[kosten / jaar weekend]]+Ruimtestaat[[#This Row],[kosten / jaar werkdagen]]</f>
        <v>0</v>
      </c>
      <c r="AG119" s="130"/>
      <c r="AH119" s="137" t="str">
        <f>IF(Ruimtestaat[[#This Row],[Frequentie werkdagen]]="","",_xlfn.CONCAT(Ruimtestaat[[#This Row],[Ruimte code]],"-",Ruimtestaat[[#This Row],[Frequentie werkdagen]]," ",Ruimtestaat[[#This Row],[Vloer code]]))</f>
        <v/>
      </c>
      <c r="AI119" s="142" t="str">
        <f>_xlfn.IFNA(VLOOKUP($AH119,Programma!$F$3:$G$1101,2,0),"")</f>
        <v/>
      </c>
      <c r="AJ119" s="142" t="str">
        <f>_xlfn.IFNA(VLOOKUP($AH119,Programma!$F$3:$H$1101,3,0),"")</f>
        <v/>
      </c>
      <c r="AK119" s="142" t="str">
        <f>_xlfn.IFNA(VLOOKUP($AH119,Programma!$F$3:$I$1101,4,0),"")</f>
        <v/>
      </c>
      <c r="AL119" s="142" t="str">
        <f>_xlfn.IFNA(VLOOKUP($AH119,Programma!$F$3:$J$1101,5,0),"")</f>
        <v/>
      </c>
      <c r="AM119" s="142" t="str">
        <f>_xlfn.IFNA(VLOOKUP($AH119,Programma!$F$3:$K$1101,6,0),"")</f>
        <v/>
      </c>
      <c r="AN119" s="142" t="str">
        <f>_xlfn.IFNA(VLOOKUP($AH119,Programma!$F$3:$L$1101,7,0),"")</f>
        <v/>
      </c>
      <c r="AO119" s="142" t="str">
        <f>_xlfn.IFNA(VLOOKUP($AH119,Programma!$F$3:$M$1101,8,0),"")</f>
        <v/>
      </c>
      <c r="AP119" s="142" t="str">
        <f>_xlfn.IFNA(VLOOKUP($AH119,Programma!$F$3:$N$1101,9,0),"")</f>
        <v/>
      </c>
      <c r="AQ119" s="142" t="str">
        <f>_xlfn.IFNA(VLOOKUP($AH119,Programma!$F$3:$O$1101,10,0),"")</f>
        <v/>
      </c>
      <c r="AR119" s="142" t="str">
        <f>_xlfn.IFNA(VLOOKUP($AH119,Programma!$F$3:$P$1101,11,0),"")</f>
        <v/>
      </c>
      <c r="AS119" s="142" t="str">
        <f>_xlfn.IFNA(VLOOKUP($AH119,Programma!$F$3:$Q$1101,12,0),"")</f>
        <v/>
      </c>
      <c r="AT119" s="142" t="str">
        <f>_xlfn.IFNA(VLOOKUP($AH119,Programma!$F$3:$R$1101,13,0),"")</f>
        <v/>
      </c>
      <c r="AU119" s="142" t="str">
        <f>_xlfn.IFNA(VLOOKUP($AH119,Programma!$F$3:$S$1101,14,0),"")</f>
        <v/>
      </c>
      <c r="AV119" s="142" t="str">
        <f>_xlfn.IFNA(VLOOKUP($AH119,Programma!$F$3:$T$1101,15,0),"")</f>
        <v/>
      </c>
      <c r="AW119" s="142" t="str">
        <f>_xlfn.IFNA(VLOOKUP($AH119,Programma!$F$3:$U$1101,16,0),"")</f>
        <v/>
      </c>
      <c r="AX119" s="142" t="str">
        <f>_xlfn.IFNA(VLOOKUP($AH119,Programma!$F$3:$V$1101,17,0),"")</f>
        <v/>
      </c>
      <c r="AY119" s="142" t="str">
        <f>_xlfn.IFNA(VLOOKUP($AH119,Programma!$F$3:$W$1101,18,0),"")</f>
        <v/>
      </c>
      <c r="AZ119" s="142" t="str">
        <f>_xlfn.IFNA(VLOOKUP($AH119,Programma!$F$3:$X$1101,19,0),"")</f>
        <v/>
      </c>
      <c r="BA119" s="142" t="str">
        <f>_xlfn.IFNA(VLOOKUP($AH119,Programma!$F$3:$Y$1101,20,0),"")</f>
        <v/>
      </c>
      <c r="BB119" s="138"/>
      <c r="BC119" s="137" t="str">
        <f>IF(Ruimtestaat[[#This Row],[Frequentie weekend]]="","",_xlfn.CONCAT(Ruimtestaat[[#This Row],[Ruimte code]],"-",Ruimtestaat[[#This Row],[Frequentie weekend]]," ",Ruimtestaat[[#This Row],[Vloer code]]))</f>
        <v/>
      </c>
      <c r="BD119" s="142" t="str">
        <f>_xlfn.IFNA(VLOOKUP($BC119,Programma!$F$3:$G$1101,2,0),"")</f>
        <v/>
      </c>
      <c r="BE119" s="142" t="str">
        <f>_xlfn.IFNA(VLOOKUP($BC119,Programma!$F$3:$H$1101,3,0),"")</f>
        <v/>
      </c>
      <c r="BF119" s="142" t="str">
        <f>_xlfn.IFNA(VLOOKUP($BC119,Programma!$F$3:$I$1101,4,0),"")</f>
        <v/>
      </c>
      <c r="BG119" s="142" t="str">
        <f>_xlfn.IFNA(VLOOKUP($BC119,Programma!$F$3:$J$1101,5,0),"")</f>
        <v/>
      </c>
      <c r="BH119" s="142" t="str">
        <f>_xlfn.IFNA(VLOOKUP($BC119,Programma!$F$3:$K$1101,6,0),"")</f>
        <v/>
      </c>
      <c r="BI119" s="142" t="str">
        <f>_xlfn.IFNA(VLOOKUP($BC119,Programma!$F$3:$L$1101,7,0),"")</f>
        <v/>
      </c>
      <c r="BJ119" s="142" t="str">
        <f>_xlfn.IFNA(VLOOKUP($BC119,Programma!$F$3:$M$1101,8,0),"")</f>
        <v/>
      </c>
      <c r="BK119" s="142" t="str">
        <f>_xlfn.IFNA(VLOOKUP($BC119,Programma!$F$3:$N$1101,9,0),"")</f>
        <v/>
      </c>
      <c r="BL119" s="142" t="str">
        <f>_xlfn.IFNA(VLOOKUP($BC119,Programma!$F$3:$O$1101,10,0),"")</f>
        <v/>
      </c>
      <c r="BM119" s="142" t="str">
        <f>_xlfn.IFNA(VLOOKUP($BC119,Programma!$F$3:$P$1101,11,0),"")</f>
        <v/>
      </c>
      <c r="BN119" s="142" t="str">
        <f>_xlfn.IFNA(VLOOKUP($BC119,Programma!$F$3:$Q$1101,12,0),"")</f>
        <v/>
      </c>
      <c r="BO119" s="142" t="str">
        <f>_xlfn.IFNA(VLOOKUP($BC119,Programma!$F$3:$R$1101,13,0),"")</f>
        <v/>
      </c>
      <c r="BP119" s="142" t="str">
        <f>_xlfn.IFNA(VLOOKUP($BC119,Programma!$F$3:$S$1101,14,0),"")</f>
        <v/>
      </c>
      <c r="BQ119" s="142" t="str">
        <f>_xlfn.IFNA(VLOOKUP($BC119,Programma!$F$3:$T$1101,15,0),"")</f>
        <v/>
      </c>
      <c r="BR119" s="142" t="str">
        <f>_xlfn.IFNA(VLOOKUP($BC119,Programma!$F$3:$U$1101,16,0),"")</f>
        <v/>
      </c>
      <c r="BS119" s="142" t="str">
        <f>_xlfn.IFNA(VLOOKUP($BC119,Programma!$F$3:$V$1101,17,0),"")</f>
        <v/>
      </c>
      <c r="BT119" s="142" t="str">
        <f>_xlfn.IFNA(VLOOKUP($BC119,Programma!$F$3:$W$1101,18,0),"")</f>
        <v/>
      </c>
      <c r="BU119" s="142" t="str">
        <f>_xlfn.IFNA(VLOOKUP($BC119,Programma!$F$3:$X$1101,19,0),"")</f>
        <v/>
      </c>
      <c r="BV119" s="142" t="str">
        <f>_xlfn.IFNA(VLOOKUP($BC119,Programma!$F$3:$Y$1101,20,0),"")</f>
        <v/>
      </c>
      <c r="BW119" s="28"/>
      <c r="BX119" s="28"/>
      <c r="BY119" s="28"/>
      <c r="BZ119" s="28"/>
      <c r="CA119" s="28"/>
      <c r="CB119" s="28"/>
      <c r="CC119" s="28"/>
      <c r="CD119" s="28"/>
      <c r="CE119" s="28"/>
      <c r="CF119" s="28"/>
      <c r="CG119" s="28"/>
      <c r="CH119" s="28"/>
      <c r="CI119" s="28"/>
      <c r="CJ119" s="28"/>
      <c r="CK119" s="28"/>
      <c r="CL119" s="28"/>
      <c r="CM119" s="28"/>
      <c r="CN119" s="28"/>
      <c r="CO119" s="28"/>
      <c r="CP119" s="28"/>
      <c r="CQ119" s="28"/>
      <c r="CR119" s="28"/>
      <c r="CS119" s="28"/>
      <c r="CT119" s="28"/>
      <c r="CU119" s="28"/>
      <c r="CV119" s="28"/>
      <c r="CW119" s="28"/>
      <c r="CX119" s="28"/>
      <c r="CY119" s="28"/>
      <c r="CZ119" s="28"/>
      <c r="DA119" s="28"/>
      <c r="DB119" s="28"/>
      <c r="DC119" s="28"/>
      <c r="DD119" s="28"/>
      <c r="DE119" s="28"/>
      <c r="DF119" s="28"/>
      <c r="DG119" s="28"/>
      <c r="DH119" s="28"/>
      <c r="DI119" s="28"/>
      <c r="DJ119" s="28"/>
      <c r="DK119" s="28"/>
      <c r="DL119" s="28"/>
      <c r="DM119" s="28"/>
      <c r="DN119" s="28"/>
      <c r="DO119" s="28"/>
      <c r="DP119" s="28"/>
      <c r="DQ119" s="28"/>
      <c r="DR119" s="28"/>
      <c r="DS119" s="28"/>
      <c r="DT119" s="28"/>
      <c r="DU119" s="28"/>
      <c r="DV119" s="28"/>
      <c r="DW119" s="28"/>
      <c r="DX119" s="28"/>
      <c r="DY119" s="28"/>
      <c r="DZ119" s="28"/>
      <c r="EA119" s="28"/>
      <c r="EB119" s="28"/>
      <c r="EC119" s="28"/>
      <c r="ED119" s="28"/>
      <c r="EE119" s="28"/>
      <c r="EF119" s="28"/>
      <c r="EG119" s="28"/>
      <c r="EH119" s="28"/>
      <c r="EI119" s="28"/>
      <c r="EJ119" s="28"/>
      <c r="EK119" s="28"/>
      <c r="EL119" s="28"/>
      <c r="EM119" s="28"/>
      <c r="EN119" s="28"/>
      <c r="EO119" s="28"/>
      <c r="EP119" s="28"/>
      <c r="EQ119" s="28"/>
      <c r="ER119" s="28"/>
      <c r="ES119" s="28"/>
      <c r="ET119" s="28"/>
      <c r="EU119" s="28"/>
      <c r="EV119" s="28"/>
      <c r="EW119" s="28"/>
      <c r="EX119" s="28"/>
      <c r="EY119" s="28"/>
      <c r="EZ119" s="28"/>
      <c r="FA119" s="28"/>
      <c r="FB119" s="28"/>
      <c r="FC119" s="28"/>
      <c r="FD119" s="28"/>
      <c r="FE119" s="28"/>
      <c r="FF119" s="28"/>
      <c r="FG119" s="28"/>
      <c r="FH119" s="28"/>
      <c r="FI119" s="28"/>
      <c r="FJ119" s="28"/>
      <c r="FK119" s="28"/>
      <c r="FL119" s="28"/>
      <c r="FM119" s="28"/>
      <c r="FN119" s="28"/>
      <c r="FO119" s="28"/>
      <c r="FP119" s="28"/>
      <c r="FQ119" s="28"/>
      <c r="FR119" s="28"/>
      <c r="FS119" s="28"/>
      <c r="FT119" s="28"/>
      <c r="FU119" s="28"/>
      <c r="FV119" s="28"/>
      <c r="FW119" s="28"/>
      <c r="FX119" s="28"/>
      <c r="FY119" s="28"/>
      <c r="FZ119" s="28"/>
      <c r="GA119" s="28"/>
      <c r="GB119" s="28"/>
      <c r="GC119" s="28"/>
      <c r="GD119" s="28"/>
      <c r="GE119" s="28"/>
      <c r="GF119" s="28"/>
      <c r="GG119" s="28"/>
      <c r="GH119" s="28"/>
      <c r="GI119" s="28"/>
      <c r="GJ119" s="28"/>
      <c r="GK119" s="28"/>
      <c r="GL119" s="28"/>
      <c r="GM119" s="28"/>
      <c r="GN119" s="28"/>
      <c r="GO119" s="28"/>
      <c r="GP119" s="28"/>
      <c r="GQ119" s="28"/>
      <c r="GR119" s="28"/>
      <c r="GS119" s="28"/>
      <c r="GT119" s="28"/>
      <c r="GU119" s="28"/>
      <c r="GV119" s="28"/>
      <c r="GW119" s="28"/>
      <c r="GX119" s="28"/>
      <c r="GY119" s="28"/>
      <c r="GZ119" s="28"/>
      <c r="HA119" s="28"/>
      <c r="HB119" s="28"/>
      <c r="HC119" s="28"/>
      <c r="HD119" s="28"/>
      <c r="HE119" s="28"/>
      <c r="HF119" s="28"/>
      <c r="HG119" s="28"/>
      <c r="HH119" s="28"/>
      <c r="HI119" s="28"/>
      <c r="HJ119" s="28"/>
      <c r="HK119" s="28"/>
    </row>
    <row r="120" spans="1:219" ht="15" customHeight="1">
      <c r="A120" s="49">
        <v>1</v>
      </c>
      <c r="B120" s="132" t="str">
        <f>VLOOKUP(Ruimtestaat[[#This Row],[Code]],Locaties[[Code]:[Locatie]],2,FALSE)</f>
        <v>Mirtehuis</v>
      </c>
      <c r="C120" s="132" t="str">
        <f>VLOOKUP(Ruimtestaat[[#This Row],[Code]],Locaties[[#All],[Code]:[Adres]],4,FALSE)</f>
        <v>Weseperweg 6</v>
      </c>
      <c r="D120" s="132" t="str">
        <f>VLOOKUP(Ruimtestaat[[#This Row],[Code]],Locaties[[#All],[Code]:[Postcode]],5,FALSE)</f>
        <v>8111 PK</v>
      </c>
      <c r="E120" s="132" t="str">
        <f>VLOOKUP(Ruimtestaat[[#This Row],[Code]],Locaties[#All],6,FALSE)</f>
        <v>Heeten</v>
      </c>
      <c r="F120" s="100"/>
      <c r="G120" s="100" t="s">
        <v>1677</v>
      </c>
      <c r="I120" s="140" t="s">
        <v>1668</v>
      </c>
      <c r="J120" s="49">
        <v>20</v>
      </c>
      <c r="K120" s="140" t="str">
        <f>VLOOKUP(Ruimtestaat[[#This Row],[Ruimte code]],Ruimtegroepen[[#All],[Code]:[Ruimte omschrijving]],2,FALSE)</f>
        <v>Niet in Onderhoud</v>
      </c>
      <c r="L120" s="100"/>
      <c r="M120" s="345"/>
      <c r="N120" s="133"/>
      <c r="O120" s="139"/>
      <c r="P120" s="134">
        <f>VLOOKUP(Ruimtestaat[[#This Row],[Ruimte code]],Ruimtegroepen[],4,FALSE)</f>
        <v>0</v>
      </c>
      <c r="Q120" s="100"/>
      <c r="R120" s="100"/>
      <c r="S120" s="100">
        <f>IF(Q120&gt;0,IF(RIGHT(Ruimtestaat[[#This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20" s="100">
        <f>IF(S120&gt;0,VLOOKUP($J120,Ruimtegroepen[],3,FALSE)*VLOOKUP($L120,Vloersoorten[],3,FALSE)*VLOOKUP($R120,Frequenties[],3,FALSE)*VLOOKUP($A120,Locaties[],3,FALSE),0)</f>
        <v>0</v>
      </c>
      <c r="U120" s="100">
        <f>Ruimtestaat[[#This Row],[Uitvoeringen werkdagen]]*Ruimtestaat[[#This Row],[Oppervlak (netto)]]</f>
        <v>0</v>
      </c>
      <c r="V120" s="135">
        <f>IF(T120&gt;0,Ruimtestaat[[#This Row],[Prest. (m2 /jaar) werkdagen]]/Ruimtestaat[[#This Row],[Norm (m2/uur) werkdagen]],0)</f>
        <v>0</v>
      </c>
      <c r="W120" s="136">
        <f>Ruimtestaat[[#This Row],[uren / jaar werkdagen]]*Tariefsopbouw!$E$35</f>
        <v>0</v>
      </c>
      <c r="X120" s="100"/>
      <c r="Y120" s="100">
        <f>IF(Ruimtestaat[[#This Row],[Frequentie weekend]]&gt;0,VALUE(LEFT(X120,1))*Q120,0)</f>
        <v>0</v>
      </c>
      <c r="Z120" s="99">
        <f>IF($Y120&gt;0,VLOOKUP($J120,Ruimtegroepen[],3,FALSE)*VLOOKUP($L120,Vloersoorten[],3,FALSE)*VLOOKUP($X120,Frequenties[],3,FALSE)*VLOOKUP(Ruimtestaat[[#This Row],[Code]],Locaties[],3,FALSE),0)</f>
        <v>0</v>
      </c>
      <c r="AA120" s="99">
        <f>Ruimtestaat[[#This Row],[Uitvoeringen weekend]]*Ruimtestaat[[#This Row],[Oppervlak (netto)]]</f>
        <v>0</v>
      </c>
      <c r="AB120" s="99">
        <f>IF(Z120&gt;0,Ruimtestaat[[#This Row],[Prest. (m2 /jaar) weekend]]/Ruimtestaat[[#This Row],[Norm (m2/uur) weekend]],0)</f>
        <v>0</v>
      </c>
      <c r="AC120" s="136">
        <f>Ruimtestaat[[#This Row],[uren / jaar weekend]]*Tariefsopbouw!$D$40</f>
        <v>0</v>
      </c>
      <c r="AD120" s="135">
        <f>Ruimtestaat[[#This Row],[Prest. (m2 /jaar) weekend]]+Ruimtestaat[[#This Row],[Prest. (m2 /jaar) werkdagen]]</f>
        <v>0</v>
      </c>
      <c r="AE120" s="135">
        <f>Ruimtestaat[[#This Row],[uren / jaar weekend]]+Ruimtestaat[[#This Row],[uren / jaar werkdagen]]</f>
        <v>0</v>
      </c>
      <c r="AF120" s="130">
        <f>Ruimtestaat[[#This Row],[kosten / jaar weekend]]+Ruimtestaat[[#This Row],[kosten / jaar werkdagen]]</f>
        <v>0</v>
      </c>
      <c r="AG120" s="130"/>
      <c r="AH120" s="137" t="str">
        <f>IF(Ruimtestaat[[#This Row],[Frequentie werkdagen]]="","",_xlfn.CONCAT(Ruimtestaat[[#This Row],[Ruimte code]],"-",Ruimtestaat[[#This Row],[Frequentie werkdagen]]," ",Ruimtestaat[[#This Row],[Vloer code]]))</f>
        <v/>
      </c>
      <c r="AI120" s="142" t="str">
        <f>_xlfn.IFNA(VLOOKUP($AH120,Programma!$F$3:$G$1101,2,0),"")</f>
        <v/>
      </c>
      <c r="AJ120" s="142" t="str">
        <f>_xlfn.IFNA(VLOOKUP($AH120,Programma!$F$3:$H$1101,3,0),"")</f>
        <v/>
      </c>
      <c r="AK120" s="142" t="str">
        <f>_xlfn.IFNA(VLOOKUP($AH120,Programma!$F$3:$I$1101,4,0),"")</f>
        <v/>
      </c>
      <c r="AL120" s="142" t="str">
        <f>_xlfn.IFNA(VLOOKUP($AH120,Programma!$F$3:$J$1101,5,0),"")</f>
        <v/>
      </c>
      <c r="AM120" s="142" t="str">
        <f>_xlfn.IFNA(VLOOKUP($AH120,Programma!$F$3:$K$1101,6,0),"")</f>
        <v/>
      </c>
      <c r="AN120" s="142" t="str">
        <f>_xlfn.IFNA(VLOOKUP($AH120,Programma!$F$3:$L$1101,7,0),"")</f>
        <v/>
      </c>
      <c r="AO120" s="142" t="str">
        <f>_xlfn.IFNA(VLOOKUP($AH120,Programma!$F$3:$M$1101,8,0),"")</f>
        <v/>
      </c>
      <c r="AP120" s="142" t="str">
        <f>_xlfn.IFNA(VLOOKUP($AH120,Programma!$F$3:$N$1101,9,0),"")</f>
        <v/>
      </c>
      <c r="AQ120" s="142" t="str">
        <f>_xlfn.IFNA(VLOOKUP($AH120,Programma!$F$3:$O$1101,10,0),"")</f>
        <v/>
      </c>
      <c r="AR120" s="142" t="str">
        <f>_xlfn.IFNA(VLOOKUP($AH120,Programma!$F$3:$P$1101,11,0),"")</f>
        <v/>
      </c>
      <c r="AS120" s="142" t="str">
        <f>_xlfn.IFNA(VLOOKUP($AH120,Programma!$F$3:$Q$1101,12,0),"")</f>
        <v/>
      </c>
      <c r="AT120" s="142" t="str">
        <f>_xlfn.IFNA(VLOOKUP($AH120,Programma!$F$3:$R$1101,13,0),"")</f>
        <v/>
      </c>
      <c r="AU120" s="142" t="str">
        <f>_xlfn.IFNA(VLOOKUP($AH120,Programma!$F$3:$S$1101,14,0),"")</f>
        <v/>
      </c>
      <c r="AV120" s="142" t="str">
        <f>_xlfn.IFNA(VLOOKUP($AH120,Programma!$F$3:$T$1101,15,0),"")</f>
        <v/>
      </c>
      <c r="AW120" s="142" t="str">
        <f>_xlfn.IFNA(VLOOKUP($AH120,Programma!$F$3:$U$1101,16,0),"")</f>
        <v/>
      </c>
      <c r="AX120" s="142" t="str">
        <f>_xlfn.IFNA(VLOOKUP($AH120,Programma!$F$3:$V$1101,17,0),"")</f>
        <v/>
      </c>
      <c r="AY120" s="142" t="str">
        <f>_xlfn.IFNA(VLOOKUP($AH120,Programma!$F$3:$W$1101,18,0),"")</f>
        <v/>
      </c>
      <c r="AZ120" s="142" t="str">
        <f>_xlfn.IFNA(VLOOKUP($AH120,Programma!$F$3:$X$1101,19,0),"")</f>
        <v/>
      </c>
      <c r="BA120" s="142" t="str">
        <f>_xlfn.IFNA(VLOOKUP($AH120,Programma!$F$3:$Y$1101,20,0),"")</f>
        <v/>
      </c>
      <c r="BB120" s="138"/>
      <c r="BC120" s="137" t="str">
        <f>IF(Ruimtestaat[[#This Row],[Frequentie weekend]]="","",_xlfn.CONCAT(Ruimtestaat[[#This Row],[Ruimte code]],"-",Ruimtestaat[[#This Row],[Frequentie weekend]]," ",Ruimtestaat[[#This Row],[Vloer code]]))</f>
        <v/>
      </c>
      <c r="BD120" s="142" t="str">
        <f>_xlfn.IFNA(VLOOKUP($BC120,Programma!$F$3:$G$1101,2,0),"")</f>
        <v/>
      </c>
      <c r="BE120" s="142" t="str">
        <f>_xlfn.IFNA(VLOOKUP($BC120,Programma!$F$3:$H$1101,3,0),"")</f>
        <v/>
      </c>
      <c r="BF120" s="142" t="str">
        <f>_xlfn.IFNA(VLOOKUP($BC120,Programma!$F$3:$I$1101,4,0),"")</f>
        <v/>
      </c>
      <c r="BG120" s="142" t="str">
        <f>_xlfn.IFNA(VLOOKUP($BC120,Programma!$F$3:$J$1101,5,0),"")</f>
        <v/>
      </c>
      <c r="BH120" s="142" t="str">
        <f>_xlfn.IFNA(VLOOKUP($BC120,Programma!$F$3:$K$1101,6,0),"")</f>
        <v/>
      </c>
      <c r="BI120" s="142" t="str">
        <f>_xlfn.IFNA(VLOOKUP($BC120,Programma!$F$3:$L$1101,7,0),"")</f>
        <v/>
      </c>
      <c r="BJ120" s="142" t="str">
        <f>_xlfn.IFNA(VLOOKUP($BC120,Programma!$F$3:$M$1101,8,0),"")</f>
        <v/>
      </c>
      <c r="BK120" s="142" t="str">
        <f>_xlfn.IFNA(VLOOKUP($BC120,Programma!$F$3:$N$1101,9,0),"")</f>
        <v/>
      </c>
      <c r="BL120" s="142" t="str">
        <f>_xlfn.IFNA(VLOOKUP($BC120,Programma!$F$3:$O$1101,10,0),"")</f>
        <v/>
      </c>
      <c r="BM120" s="142" t="str">
        <f>_xlfn.IFNA(VLOOKUP($BC120,Programma!$F$3:$P$1101,11,0),"")</f>
        <v/>
      </c>
      <c r="BN120" s="142" t="str">
        <f>_xlfn.IFNA(VLOOKUP($BC120,Programma!$F$3:$Q$1101,12,0),"")</f>
        <v/>
      </c>
      <c r="BO120" s="142" t="str">
        <f>_xlfn.IFNA(VLOOKUP($BC120,Programma!$F$3:$R$1101,13,0),"")</f>
        <v/>
      </c>
      <c r="BP120" s="142" t="str">
        <f>_xlfn.IFNA(VLOOKUP($BC120,Programma!$F$3:$S$1101,14,0),"")</f>
        <v/>
      </c>
      <c r="BQ120" s="142" t="str">
        <f>_xlfn.IFNA(VLOOKUP($BC120,Programma!$F$3:$T$1101,15,0),"")</f>
        <v/>
      </c>
      <c r="BR120" s="142" t="str">
        <f>_xlfn.IFNA(VLOOKUP($BC120,Programma!$F$3:$U$1101,16,0),"")</f>
        <v/>
      </c>
      <c r="BS120" s="142" t="str">
        <f>_xlfn.IFNA(VLOOKUP($BC120,Programma!$F$3:$V$1101,17,0),"")</f>
        <v/>
      </c>
      <c r="BT120" s="142" t="str">
        <f>_xlfn.IFNA(VLOOKUP($BC120,Programma!$F$3:$W$1101,18,0),"")</f>
        <v/>
      </c>
      <c r="BU120" s="142" t="str">
        <f>_xlfn.IFNA(VLOOKUP($BC120,Programma!$F$3:$X$1101,19,0),"")</f>
        <v/>
      </c>
      <c r="BV120" s="142" t="str">
        <f>_xlfn.IFNA(VLOOKUP($BC120,Programma!$F$3:$Y$1101,20,0),"")</f>
        <v/>
      </c>
      <c r="BW120" s="28"/>
      <c r="BX120" s="28"/>
      <c r="BY120" s="28"/>
      <c r="BZ120" s="28"/>
      <c r="CA120" s="28"/>
      <c r="CB120" s="28"/>
      <c r="CC120" s="28"/>
      <c r="CD120" s="28"/>
      <c r="CE120" s="28"/>
      <c r="CF120" s="28"/>
      <c r="CG120" s="28"/>
      <c r="CH120" s="28"/>
      <c r="CI120" s="28"/>
      <c r="CJ120" s="28"/>
      <c r="CK120" s="28"/>
      <c r="CL120" s="28"/>
      <c r="CM120" s="28"/>
      <c r="CN120" s="28"/>
      <c r="CO120" s="28"/>
      <c r="CP120" s="28"/>
      <c r="CQ120" s="28"/>
      <c r="CR120" s="28"/>
      <c r="CS120" s="28"/>
      <c r="CT120" s="28"/>
      <c r="CU120" s="28"/>
      <c r="CV120" s="28"/>
      <c r="CW120" s="28"/>
      <c r="CX120" s="28"/>
      <c r="CY120" s="28"/>
      <c r="CZ120" s="28"/>
      <c r="DA120" s="28"/>
      <c r="DB120" s="28"/>
      <c r="DC120" s="28"/>
      <c r="DD120" s="28"/>
      <c r="DE120" s="28"/>
      <c r="DF120" s="28"/>
      <c r="DG120" s="28"/>
      <c r="DH120" s="28"/>
      <c r="DI120" s="28"/>
      <c r="DJ120" s="28"/>
      <c r="DK120" s="28"/>
      <c r="DL120" s="28"/>
      <c r="DM120" s="28"/>
      <c r="DN120" s="28"/>
      <c r="DO120" s="28"/>
      <c r="DP120" s="28"/>
      <c r="DQ120" s="28"/>
      <c r="DR120" s="28"/>
      <c r="DS120" s="28"/>
      <c r="DT120" s="28"/>
      <c r="DU120" s="28"/>
      <c r="DV120" s="28"/>
      <c r="DW120" s="28"/>
      <c r="DX120" s="28"/>
      <c r="DY120" s="28"/>
      <c r="DZ120" s="28"/>
      <c r="EA120" s="28"/>
      <c r="EB120" s="28"/>
      <c r="EC120" s="28"/>
      <c r="ED120" s="28"/>
      <c r="EE120" s="28"/>
      <c r="EF120" s="28"/>
      <c r="EG120" s="28"/>
      <c r="EH120" s="28"/>
      <c r="EI120" s="28"/>
      <c r="EJ120" s="28"/>
      <c r="EK120" s="28"/>
      <c r="EL120" s="28"/>
      <c r="EM120" s="28"/>
      <c r="EN120" s="28"/>
      <c r="EO120" s="28"/>
      <c r="EP120" s="28"/>
      <c r="EQ120" s="28"/>
      <c r="ER120" s="28"/>
      <c r="ES120" s="28"/>
      <c r="ET120" s="28"/>
      <c r="EU120" s="28"/>
      <c r="EV120" s="28"/>
      <c r="EW120" s="28"/>
      <c r="EX120" s="28"/>
      <c r="EY120" s="28"/>
      <c r="EZ120" s="28"/>
      <c r="FA120" s="28"/>
      <c r="FB120" s="28"/>
      <c r="FC120" s="28"/>
      <c r="FD120" s="28"/>
      <c r="FE120" s="28"/>
      <c r="FF120" s="28"/>
      <c r="FG120" s="28"/>
      <c r="FH120" s="28"/>
      <c r="FI120" s="28"/>
      <c r="FJ120" s="28"/>
      <c r="FK120" s="28"/>
      <c r="FL120" s="28"/>
      <c r="FM120" s="28"/>
      <c r="FN120" s="28"/>
      <c r="FO120" s="28"/>
      <c r="FP120" s="28"/>
      <c r="FQ120" s="28"/>
      <c r="FR120" s="28"/>
      <c r="FS120" s="28"/>
      <c r="FT120" s="28"/>
      <c r="FU120" s="28"/>
      <c r="FV120" s="28"/>
      <c r="FW120" s="28"/>
      <c r="FX120" s="28"/>
      <c r="FY120" s="28"/>
      <c r="FZ120" s="28"/>
      <c r="GA120" s="28"/>
      <c r="GB120" s="28"/>
      <c r="GC120" s="28"/>
      <c r="GD120" s="28"/>
      <c r="GE120" s="28"/>
      <c r="GF120" s="28"/>
      <c r="GG120" s="28"/>
      <c r="GH120" s="28"/>
      <c r="GI120" s="28"/>
      <c r="GJ120" s="28"/>
      <c r="GK120" s="28"/>
      <c r="GL120" s="28"/>
      <c r="GM120" s="28"/>
      <c r="GN120" s="28"/>
      <c r="GO120" s="28"/>
      <c r="GP120" s="28"/>
      <c r="GQ120" s="28"/>
      <c r="GR120" s="28"/>
      <c r="GS120" s="28"/>
      <c r="GT120" s="28"/>
      <c r="GU120" s="28"/>
      <c r="GV120" s="28"/>
      <c r="GW120" s="28"/>
      <c r="GX120" s="28"/>
      <c r="GY120" s="28"/>
      <c r="GZ120" s="28"/>
      <c r="HA120" s="28"/>
      <c r="HB120" s="28"/>
      <c r="HC120" s="28"/>
      <c r="HD120" s="28"/>
      <c r="HE120" s="28"/>
      <c r="HF120" s="28"/>
      <c r="HG120" s="28"/>
      <c r="HH120" s="28"/>
      <c r="HI120" s="28"/>
      <c r="HJ120" s="28"/>
      <c r="HK120" s="28"/>
    </row>
    <row r="121" spans="1:219" ht="15" customHeight="1">
      <c r="A121" s="49">
        <v>1</v>
      </c>
      <c r="B121" s="132" t="str">
        <f>VLOOKUP(Ruimtestaat[[#This Row],[Code]],Locaties[[Code]:[Locatie]],2,FALSE)</f>
        <v>Mirtehuis</v>
      </c>
      <c r="C121" s="132" t="str">
        <f>VLOOKUP(Ruimtestaat[[#This Row],[Code]],Locaties[[#All],[Code]:[Adres]],4,FALSE)</f>
        <v>Weseperweg 6</v>
      </c>
      <c r="D121" s="132" t="str">
        <f>VLOOKUP(Ruimtestaat[[#This Row],[Code]],Locaties[[#All],[Code]:[Postcode]],5,FALSE)</f>
        <v>8111 PK</v>
      </c>
      <c r="E121" s="132" t="str">
        <f>VLOOKUP(Ruimtestaat[[#This Row],[Code]],Locaties[#All],6,FALSE)</f>
        <v>Heeten</v>
      </c>
      <c r="F121" s="100"/>
      <c r="G121" s="100" t="s">
        <v>1677</v>
      </c>
      <c r="I121" s="140" t="s">
        <v>1656</v>
      </c>
      <c r="J121" s="49">
        <v>20</v>
      </c>
      <c r="K121" s="140" t="str">
        <f>VLOOKUP(Ruimtestaat[[#This Row],[Ruimte code]],Ruimtegroepen[[#All],[Code]:[Ruimte omschrijving]],2,FALSE)</f>
        <v>Niet in Onderhoud</v>
      </c>
      <c r="L121" s="100"/>
      <c r="M121" s="345"/>
      <c r="N121" s="133"/>
      <c r="O121" s="100"/>
      <c r="P121" s="134">
        <f>VLOOKUP(Ruimtestaat[[#This Row],[Ruimte code]],Ruimtegroepen[],4,FALSE)</f>
        <v>0</v>
      </c>
      <c r="Q121" s="100"/>
      <c r="R121" s="100"/>
      <c r="S121" s="100">
        <f>IF(Q121&gt;0,IF(RIGHT(Ruimtestaat[[#This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21" s="100">
        <f>IF(S121&gt;0,VLOOKUP($J121,Ruimtegroepen[],3,FALSE)*VLOOKUP($L121,Vloersoorten[],3,FALSE)*VLOOKUP($R121,Frequenties[],3,FALSE)*VLOOKUP($A121,Locaties[],3,FALSE),0)</f>
        <v>0</v>
      </c>
      <c r="U121" s="100">
        <f>Ruimtestaat[[#This Row],[Uitvoeringen werkdagen]]*Ruimtestaat[[#This Row],[Oppervlak (netto)]]</f>
        <v>0</v>
      </c>
      <c r="V121" s="135">
        <f>IF(T121&gt;0,Ruimtestaat[[#This Row],[Prest. (m2 /jaar) werkdagen]]/Ruimtestaat[[#This Row],[Norm (m2/uur) werkdagen]],0)</f>
        <v>0</v>
      </c>
      <c r="W121" s="136">
        <f>Ruimtestaat[[#This Row],[uren / jaar werkdagen]]*Tariefsopbouw!$E$35</f>
        <v>0</v>
      </c>
      <c r="X121" s="100"/>
      <c r="Y121" s="100">
        <f>IF(Ruimtestaat[[#This Row],[Frequentie weekend]]&gt;0,VALUE(LEFT(X121,1))*Q121,0)</f>
        <v>0</v>
      </c>
      <c r="Z121" s="99">
        <f>IF($Y121&gt;0,VLOOKUP($J121,Ruimtegroepen[],3,FALSE)*VLOOKUP($L121,Vloersoorten[],3,FALSE)*VLOOKUP($X121,Frequenties[],3,FALSE)*VLOOKUP(Ruimtestaat[[#This Row],[Code]],Locaties[],3,FALSE),0)</f>
        <v>0</v>
      </c>
      <c r="AA121" s="99">
        <f>Ruimtestaat[[#This Row],[Uitvoeringen weekend]]*Ruimtestaat[[#This Row],[Oppervlak (netto)]]</f>
        <v>0</v>
      </c>
      <c r="AB121" s="99">
        <f>IF(Z121&gt;0,Ruimtestaat[[#This Row],[Prest. (m2 /jaar) weekend]]/Ruimtestaat[[#This Row],[Norm (m2/uur) weekend]],0)</f>
        <v>0</v>
      </c>
      <c r="AC121" s="136">
        <f>Ruimtestaat[[#This Row],[uren / jaar weekend]]*Tariefsopbouw!$D$40</f>
        <v>0</v>
      </c>
      <c r="AD121" s="135">
        <f>Ruimtestaat[[#This Row],[Prest. (m2 /jaar) weekend]]+Ruimtestaat[[#This Row],[Prest. (m2 /jaar) werkdagen]]</f>
        <v>0</v>
      </c>
      <c r="AE121" s="135">
        <f>Ruimtestaat[[#This Row],[uren / jaar weekend]]+Ruimtestaat[[#This Row],[uren / jaar werkdagen]]</f>
        <v>0</v>
      </c>
      <c r="AF121" s="130">
        <f>Ruimtestaat[[#This Row],[kosten / jaar weekend]]+Ruimtestaat[[#This Row],[kosten / jaar werkdagen]]</f>
        <v>0</v>
      </c>
      <c r="AG121" s="130"/>
      <c r="AH121" s="137" t="str">
        <f>IF(Ruimtestaat[[#This Row],[Frequentie werkdagen]]="","",_xlfn.CONCAT(Ruimtestaat[[#This Row],[Ruimte code]],"-",Ruimtestaat[[#This Row],[Frequentie werkdagen]]," ",Ruimtestaat[[#This Row],[Vloer code]]))</f>
        <v/>
      </c>
      <c r="AI121" s="142" t="str">
        <f>_xlfn.IFNA(VLOOKUP($AH121,Programma!$F$3:$G$1101,2,0),"")</f>
        <v/>
      </c>
      <c r="AJ121" s="142" t="str">
        <f>_xlfn.IFNA(VLOOKUP($AH121,Programma!$F$3:$H$1101,3,0),"")</f>
        <v/>
      </c>
      <c r="AK121" s="142" t="str">
        <f>_xlfn.IFNA(VLOOKUP($AH121,Programma!$F$3:$I$1101,4,0),"")</f>
        <v/>
      </c>
      <c r="AL121" s="142" t="str">
        <f>_xlfn.IFNA(VLOOKUP($AH121,Programma!$F$3:$J$1101,5,0),"")</f>
        <v/>
      </c>
      <c r="AM121" s="142" t="str">
        <f>_xlfn.IFNA(VLOOKUP($AH121,Programma!$F$3:$K$1101,6,0),"")</f>
        <v/>
      </c>
      <c r="AN121" s="142" t="str">
        <f>_xlfn.IFNA(VLOOKUP($AH121,Programma!$F$3:$L$1101,7,0),"")</f>
        <v/>
      </c>
      <c r="AO121" s="142" t="str">
        <f>_xlfn.IFNA(VLOOKUP($AH121,Programma!$F$3:$M$1101,8,0),"")</f>
        <v/>
      </c>
      <c r="AP121" s="142" t="str">
        <f>_xlfn.IFNA(VLOOKUP($AH121,Programma!$F$3:$N$1101,9,0),"")</f>
        <v/>
      </c>
      <c r="AQ121" s="142" t="str">
        <f>_xlfn.IFNA(VLOOKUP($AH121,Programma!$F$3:$O$1101,10,0),"")</f>
        <v/>
      </c>
      <c r="AR121" s="142" t="str">
        <f>_xlfn.IFNA(VLOOKUP($AH121,Programma!$F$3:$P$1101,11,0),"")</f>
        <v/>
      </c>
      <c r="AS121" s="142" t="str">
        <f>_xlfn.IFNA(VLOOKUP($AH121,Programma!$F$3:$Q$1101,12,0),"")</f>
        <v/>
      </c>
      <c r="AT121" s="142" t="str">
        <f>_xlfn.IFNA(VLOOKUP($AH121,Programma!$F$3:$R$1101,13,0),"")</f>
        <v/>
      </c>
      <c r="AU121" s="142" t="str">
        <f>_xlfn.IFNA(VLOOKUP($AH121,Programma!$F$3:$S$1101,14,0),"")</f>
        <v/>
      </c>
      <c r="AV121" s="142" t="str">
        <f>_xlfn.IFNA(VLOOKUP($AH121,Programma!$F$3:$T$1101,15,0),"")</f>
        <v/>
      </c>
      <c r="AW121" s="142" t="str">
        <f>_xlfn.IFNA(VLOOKUP($AH121,Programma!$F$3:$U$1101,16,0),"")</f>
        <v/>
      </c>
      <c r="AX121" s="142" t="str">
        <f>_xlfn.IFNA(VLOOKUP($AH121,Programma!$F$3:$V$1101,17,0),"")</f>
        <v/>
      </c>
      <c r="AY121" s="142" t="str">
        <f>_xlfn.IFNA(VLOOKUP($AH121,Programma!$F$3:$W$1101,18,0),"")</f>
        <v/>
      </c>
      <c r="AZ121" s="142" t="str">
        <f>_xlfn.IFNA(VLOOKUP($AH121,Programma!$F$3:$X$1101,19,0),"")</f>
        <v/>
      </c>
      <c r="BA121" s="142" t="str">
        <f>_xlfn.IFNA(VLOOKUP($AH121,Programma!$F$3:$Y$1101,20,0),"")</f>
        <v/>
      </c>
      <c r="BB121" s="138"/>
      <c r="BC121" s="137" t="str">
        <f>IF(Ruimtestaat[[#This Row],[Frequentie weekend]]="","",_xlfn.CONCAT(Ruimtestaat[[#This Row],[Ruimte code]],"-",Ruimtestaat[[#This Row],[Frequentie weekend]]," ",Ruimtestaat[[#This Row],[Vloer code]]))</f>
        <v/>
      </c>
      <c r="BD121" s="142" t="str">
        <f>_xlfn.IFNA(VLOOKUP($BC121,Programma!$F$3:$G$1101,2,0),"")</f>
        <v/>
      </c>
      <c r="BE121" s="142" t="str">
        <f>_xlfn.IFNA(VLOOKUP($BC121,Programma!$F$3:$H$1101,3,0),"")</f>
        <v/>
      </c>
      <c r="BF121" s="142" t="str">
        <f>_xlfn.IFNA(VLOOKUP($BC121,Programma!$F$3:$I$1101,4,0),"")</f>
        <v/>
      </c>
      <c r="BG121" s="142" t="str">
        <f>_xlfn.IFNA(VLOOKUP($BC121,Programma!$F$3:$J$1101,5,0),"")</f>
        <v/>
      </c>
      <c r="BH121" s="142" t="str">
        <f>_xlfn.IFNA(VLOOKUP($BC121,Programma!$F$3:$K$1101,6,0),"")</f>
        <v/>
      </c>
      <c r="BI121" s="142" t="str">
        <f>_xlfn.IFNA(VLOOKUP($BC121,Programma!$F$3:$L$1101,7,0),"")</f>
        <v/>
      </c>
      <c r="BJ121" s="142" t="str">
        <f>_xlfn.IFNA(VLOOKUP($BC121,Programma!$F$3:$M$1101,8,0),"")</f>
        <v/>
      </c>
      <c r="BK121" s="142" t="str">
        <f>_xlfn.IFNA(VLOOKUP($BC121,Programma!$F$3:$N$1101,9,0),"")</f>
        <v/>
      </c>
      <c r="BL121" s="142" t="str">
        <f>_xlfn.IFNA(VLOOKUP($BC121,Programma!$F$3:$O$1101,10,0),"")</f>
        <v/>
      </c>
      <c r="BM121" s="142" t="str">
        <f>_xlfn.IFNA(VLOOKUP($BC121,Programma!$F$3:$P$1101,11,0),"")</f>
        <v/>
      </c>
      <c r="BN121" s="142" t="str">
        <f>_xlfn.IFNA(VLOOKUP($BC121,Programma!$F$3:$Q$1101,12,0),"")</f>
        <v/>
      </c>
      <c r="BO121" s="142" t="str">
        <f>_xlfn.IFNA(VLOOKUP($BC121,Programma!$F$3:$R$1101,13,0),"")</f>
        <v/>
      </c>
      <c r="BP121" s="142" t="str">
        <f>_xlfn.IFNA(VLOOKUP($BC121,Programma!$F$3:$S$1101,14,0),"")</f>
        <v/>
      </c>
      <c r="BQ121" s="142" t="str">
        <f>_xlfn.IFNA(VLOOKUP($BC121,Programma!$F$3:$T$1101,15,0),"")</f>
        <v/>
      </c>
      <c r="BR121" s="142" t="str">
        <f>_xlfn.IFNA(VLOOKUP($BC121,Programma!$F$3:$U$1101,16,0),"")</f>
        <v/>
      </c>
      <c r="BS121" s="142" t="str">
        <f>_xlfn.IFNA(VLOOKUP($BC121,Programma!$F$3:$V$1101,17,0),"")</f>
        <v/>
      </c>
      <c r="BT121" s="142" t="str">
        <f>_xlfn.IFNA(VLOOKUP($BC121,Programma!$F$3:$W$1101,18,0),"")</f>
        <v/>
      </c>
      <c r="BU121" s="142" t="str">
        <f>_xlfn.IFNA(VLOOKUP($BC121,Programma!$F$3:$X$1101,19,0),"")</f>
        <v/>
      </c>
      <c r="BV121" s="142" t="str">
        <f>_xlfn.IFNA(VLOOKUP($BC121,Programma!$F$3:$Y$1101,20,0),"")</f>
        <v/>
      </c>
      <c r="BW121" s="28"/>
      <c r="BX121" s="28"/>
      <c r="BY121" s="28"/>
      <c r="BZ121" s="28"/>
      <c r="CA121" s="28"/>
      <c r="CB121" s="28"/>
      <c r="CC121" s="28"/>
      <c r="CD121" s="28"/>
      <c r="CE121" s="28"/>
      <c r="CF121" s="28"/>
      <c r="CG121" s="28"/>
      <c r="CH121" s="28"/>
      <c r="CI121" s="28"/>
      <c r="CJ121" s="28"/>
      <c r="CK121" s="28"/>
      <c r="CL121" s="28"/>
      <c r="CM121" s="28"/>
      <c r="CN121" s="28"/>
      <c r="CO121" s="28"/>
      <c r="CP121" s="28"/>
      <c r="CQ121" s="28"/>
      <c r="CR121" s="28"/>
      <c r="CS121" s="28"/>
      <c r="CT121" s="28"/>
      <c r="CU121" s="28"/>
      <c r="CV121" s="28"/>
      <c r="CW121" s="28"/>
      <c r="CX121" s="28"/>
      <c r="CY121" s="28"/>
      <c r="CZ121" s="28"/>
      <c r="DA121" s="28"/>
      <c r="DB121" s="28"/>
      <c r="DC121" s="28"/>
      <c r="DD121" s="28"/>
      <c r="DE121" s="28"/>
      <c r="DF121" s="28"/>
      <c r="DG121" s="28"/>
      <c r="DH121" s="28"/>
      <c r="DI121" s="28"/>
      <c r="DJ121" s="28"/>
      <c r="DK121" s="28"/>
      <c r="DL121" s="28"/>
      <c r="DM121" s="28"/>
      <c r="DN121" s="28"/>
      <c r="DO121" s="28"/>
      <c r="DP121" s="28"/>
      <c r="DQ121" s="28"/>
      <c r="DR121" s="28"/>
      <c r="DS121" s="28"/>
      <c r="DT121" s="28"/>
      <c r="DU121" s="28"/>
      <c r="DV121" s="28"/>
      <c r="DW121" s="28"/>
      <c r="DX121" s="28"/>
      <c r="DY121" s="28"/>
      <c r="DZ121" s="28"/>
      <c r="EA121" s="28"/>
      <c r="EB121" s="28"/>
      <c r="EC121" s="28"/>
      <c r="ED121" s="28"/>
      <c r="EE121" s="28"/>
      <c r="EF121" s="28"/>
      <c r="EG121" s="28"/>
      <c r="EH121" s="28"/>
      <c r="EI121" s="28"/>
      <c r="EJ121" s="28"/>
      <c r="EK121" s="28"/>
      <c r="EL121" s="28"/>
      <c r="EM121" s="28"/>
      <c r="EN121" s="28"/>
      <c r="EO121" s="28"/>
      <c r="EP121" s="28"/>
      <c r="EQ121" s="28"/>
      <c r="ER121" s="28"/>
      <c r="ES121" s="28"/>
      <c r="ET121" s="28"/>
      <c r="EU121" s="28"/>
      <c r="EV121" s="28"/>
      <c r="EW121" s="28"/>
      <c r="EX121" s="28"/>
      <c r="EY121" s="28"/>
      <c r="EZ121" s="28"/>
      <c r="FA121" s="28"/>
      <c r="FB121" s="28"/>
      <c r="FC121" s="28"/>
      <c r="FD121" s="28"/>
      <c r="FE121" s="28"/>
      <c r="FF121" s="28"/>
      <c r="FG121" s="28"/>
      <c r="FH121" s="28"/>
      <c r="FI121" s="28"/>
      <c r="FJ121" s="28"/>
      <c r="FK121" s="28"/>
      <c r="FL121" s="28"/>
      <c r="FM121" s="28"/>
      <c r="FN121" s="28"/>
      <c r="FO121" s="28"/>
      <c r="FP121" s="28"/>
      <c r="FQ121" s="28"/>
      <c r="FR121" s="28"/>
      <c r="FS121" s="28"/>
      <c r="FT121" s="28"/>
      <c r="FU121" s="28"/>
      <c r="FV121" s="28"/>
      <c r="FW121" s="28"/>
      <c r="FX121" s="28"/>
      <c r="FY121" s="28"/>
      <c r="FZ121" s="28"/>
      <c r="GA121" s="28"/>
      <c r="GB121" s="28"/>
      <c r="GC121" s="28"/>
      <c r="GD121" s="28"/>
      <c r="GE121" s="28"/>
      <c r="GF121" s="28"/>
      <c r="GG121" s="28"/>
      <c r="GH121" s="28"/>
      <c r="GI121" s="28"/>
      <c r="GJ121" s="28"/>
      <c r="GK121" s="28"/>
      <c r="GL121" s="28"/>
      <c r="GM121" s="28"/>
      <c r="GN121" s="28"/>
      <c r="GO121" s="28"/>
      <c r="GP121" s="28"/>
      <c r="GQ121" s="28"/>
      <c r="GR121" s="28"/>
      <c r="GS121" s="28"/>
      <c r="GT121" s="28"/>
      <c r="GU121" s="28"/>
      <c r="GV121" s="28"/>
      <c r="GW121" s="28"/>
      <c r="GX121" s="28"/>
      <c r="GY121" s="28"/>
      <c r="GZ121" s="28"/>
      <c r="HA121" s="28"/>
      <c r="HB121" s="28"/>
      <c r="HC121" s="28"/>
      <c r="HD121" s="28"/>
      <c r="HE121" s="28"/>
      <c r="HF121" s="28"/>
      <c r="HG121" s="28"/>
      <c r="HH121" s="28"/>
      <c r="HI121" s="28"/>
      <c r="HJ121" s="28"/>
      <c r="HK121" s="28"/>
    </row>
    <row r="122" spans="1:219" ht="15" customHeight="1">
      <c r="A122" s="49">
        <v>1</v>
      </c>
      <c r="B122" s="132" t="str">
        <f>VLOOKUP(Ruimtestaat[[#This Row],[Code]],Locaties[[Code]:[Locatie]],2,FALSE)</f>
        <v>Mirtehuis</v>
      </c>
      <c r="C122" s="132" t="str">
        <f>VLOOKUP(Ruimtestaat[[#This Row],[Code]],Locaties[[#All],[Code]:[Adres]],4,FALSE)</f>
        <v>Weseperweg 6</v>
      </c>
      <c r="D122" s="132" t="str">
        <f>VLOOKUP(Ruimtestaat[[#This Row],[Code]],Locaties[[#All],[Code]:[Postcode]],5,FALSE)</f>
        <v>8111 PK</v>
      </c>
      <c r="E122" s="132" t="str">
        <f>VLOOKUP(Ruimtestaat[[#This Row],[Code]],Locaties[#All],6,FALSE)</f>
        <v>Heeten</v>
      </c>
      <c r="F122" s="100"/>
      <c r="G122" s="100" t="s">
        <v>1677</v>
      </c>
      <c r="H122" s="49">
        <v>12</v>
      </c>
      <c r="I122" s="140" t="s">
        <v>1650</v>
      </c>
      <c r="J122" s="49">
        <v>20</v>
      </c>
      <c r="K122" s="140" t="str">
        <f>VLOOKUP(Ruimtestaat[[#This Row],[Ruimte code]],Ruimtegroepen[[#All],[Code]:[Ruimte omschrijving]],2,FALSE)</f>
        <v>Niet in Onderhoud</v>
      </c>
      <c r="L122" s="100"/>
      <c r="M122" s="345"/>
      <c r="N122" s="133"/>
      <c r="O122" s="139"/>
      <c r="P122" s="134">
        <f>VLOOKUP(Ruimtestaat[[#This Row],[Ruimte code]],Ruimtegroepen[],4,FALSE)</f>
        <v>0</v>
      </c>
      <c r="Q122" s="100"/>
      <c r="R122" s="100"/>
      <c r="S122" s="100">
        <f>IF(Q122&gt;0,IF(RIGHT(Ruimtestaat[[#This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22" s="100">
        <f>IF(S122&gt;0,VLOOKUP($J122,Ruimtegroepen[],3,FALSE)*VLOOKUP($L122,Vloersoorten[],3,FALSE)*VLOOKUP($R122,Frequenties[],3,FALSE)*VLOOKUP($A122,Locaties[],3,FALSE),0)</f>
        <v>0</v>
      </c>
      <c r="U122" s="100">
        <f>Ruimtestaat[[#This Row],[Uitvoeringen werkdagen]]*Ruimtestaat[[#This Row],[Oppervlak (netto)]]</f>
        <v>0</v>
      </c>
      <c r="V122" s="135">
        <f>IF(T122&gt;0,Ruimtestaat[[#This Row],[Prest. (m2 /jaar) werkdagen]]/Ruimtestaat[[#This Row],[Norm (m2/uur) werkdagen]],0)</f>
        <v>0</v>
      </c>
      <c r="W122" s="136">
        <f>Ruimtestaat[[#This Row],[uren / jaar werkdagen]]*Tariefsopbouw!$E$35</f>
        <v>0</v>
      </c>
      <c r="X122" s="100"/>
      <c r="Y122" s="100">
        <f>IF(Ruimtestaat[[#This Row],[Frequentie weekend]]&gt;0,VALUE(LEFT(X122,1))*Q122,0)</f>
        <v>0</v>
      </c>
      <c r="Z122" s="99">
        <f>IF($Y122&gt;0,VLOOKUP($J122,Ruimtegroepen[],3,FALSE)*VLOOKUP($L122,Vloersoorten[],3,FALSE)*VLOOKUP($X122,Frequenties[],3,FALSE)*VLOOKUP(Ruimtestaat[[#This Row],[Code]],Locaties[],3,FALSE),0)</f>
        <v>0</v>
      </c>
      <c r="AA122" s="99">
        <f>Ruimtestaat[[#This Row],[Uitvoeringen weekend]]*Ruimtestaat[[#This Row],[Oppervlak (netto)]]</f>
        <v>0</v>
      </c>
      <c r="AB122" s="99">
        <f>IF(Z122&gt;0,Ruimtestaat[[#This Row],[Prest. (m2 /jaar) weekend]]/Ruimtestaat[[#This Row],[Norm (m2/uur) weekend]],0)</f>
        <v>0</v>
      </c>
      <c r="AC122" s="136">
        <f>Ruimtestaat[[#This Row],[uren / jaar weekend]]*Tariefsopbouw!$D$40</f>
        <v>0</v>
      </c>
      <c r="AD122" s="135">
        <f>Ruimtestaat[[#This Row],[Prest. (m2 /jaar) weekend]]+Ruimtestaat[[#This Row],[Prest. (m2 /jaar) werkdagen]]</f>
        <v>0</v>
      </c>
      <c r="AE122" s="135">
        <f>Ruimtestaat[[#This Row],[uren / jaar weekend]]+Ruimtestaat[[#This Row],[uren / jaar werkdagen]]</f>
        <v>0</v>
      </c>
      <c r="AF122" s="130">
        <f>Ruimtestaat[[#This Row],[kosten / jaar weekend]]+Ruimtestaat[[#This Row],[kosten / jaar werkdagen]]</f>
        <v>0</v>
      </c>
      <c r="AG122" s="130"/>
      <c r="AH122" s="137" t="str">
        <f>IF(Ruimtestaat[[#This Row],[Frequentie werkdagen]]="","",_xlfn.CONCAT(Ruimtestaat[[#This Row],[Ruimte code]],"-",Ruimtestaat[[#This Row],[Frequentie werkdagen]]," ",Ruimtestaat[[#This Row],[Vloer code]]))</f>
        <v/>
      </c>
      <c r="AI122" s="142" t="str">
        <f>_xlfn.IFNA(VLOOKUP($AH122,Programma!$F$3:$G$1101,2,0),"")</f>
        <v/>
      </c>
      <c r="AJ122" s="142" t="str">
        <f>_xlfn.IFNA(VLOOKUP($AH122,Programma!$F$3:$H$1101,3,0),"")</f>
        <v/>
      </c>
      <c r="AK122" s="142" t="str">
        <f>_xlfn.IFNA(VLOOKUP($AH122,Programma!$F$3:$I$1101,4,0),"")</f>
        <v/>
      </c>
      <c r="AL122" s="142" t="str">
        <f>_xlfn.IFNA(VLOOKUP($AH122,Programma!$F$3:$J$1101,5,0),"")</f>
        <v/>
      </c>
      <c r="AM122" s="142" t="str">
        <f>_xlfn.IFNA(VLOOKUP($AH122,Programma!$F$3:$K$1101,6,0),"")</f>
        <v/>
      </c>
      <c r="AN122" s="142" t="str">
        <f>_xlfn.IFNA(VLOOKUP($AH122,Programma!$F$3:$L$1101,7,0),"")</f>
        <v/>
      </c>
      <c r="AO122" s="142" t="str">
        <f>_xlfn.IFNA(VLOOKUP($AH122,Programma!$F$3:$M$1101,8,0),"")</f>
        <v/>
      </c>
      <c r="AP122" s="142" t="str">
        <f>_xlfn.IFNA(VLOOKUP($AH122,Programma!$F$3:$N$1101,9,0),"")</f>
        <v/>
      </c>
      <c r="AQ122" s="142" t="str">
        <f>_xlfn.IFNA(VLOOKUP($AH122,Programma!$F$3:$O$1101,10,0),"")</f>
        <v/>
      </c>
      <c r="AR122" s="142" t="str">
        <f>_xlfn.IFNA(VLOOKUP($AH122,Programma!$F$3:$P$1101,11,0),"")</f>
        <v/>
      </c>
      <c r="AS122" s="142" t="str">
        <f>_xlfn.IFNA(VLOOKUP($AH122,Programma!$F$3:$Q$1101,12,0),"")</f>
        <v/>
      </c>
      <c r="AT122" s="142" t="str">
        <f>_xlfn.IFNA(VLOOKUP($AH122,Programma!$F$3:$R$1101,13,0),"")</f>
        <v/>
      </c>
      <c r="AU122" s="142" t="str">
        <f>_xlfn.IFNA(VLOOKUP($AH122,Programma!$F$3:$S$1101,14,0),"")</f>
        <v/>
      </c>
      <c r="AV122" s="142" t="str">
        <f>_xlfn.IFNA(VLOOKUP($AH122,Programma!$F$3:$T$1101,15,0),"")</f>
        <v/>
      </c>
      <c r="AW122" s="142" t="str">
        <f>_xlfn.IFNA(VLOOKUP($AH122,Programma!$F$3:$U$1101,16,0),"")</f>
        <v/>
      </c>
      <c r="AX122" s="142" t="str">
        <f>_xlfn.IFNA(VLOOKUP($AH122,Programma!$F$3:$V$1101,17,0),"")</f>
        <v/>
      </c>
      <c r="AY122" s="142" t="str">
        <f>_xlfn.IFNA(VLOOKUP($AH122,Programma!$F$3:$W$1101,18,0),"")</f>
        <v/>
      </c>
      <c r="AZ122" s="142" t="str">
        <f>_xlfn.IFNA(VLOOKUP($AH122,Programma!$F$3:$X$1101,19,0),"")</f>
        <v/>
      </c>
      <c r="BA122" s="142" t="str">
        <f>_xlfn.IFNA(VLOOKUP($AH122,Programma!$F$3:$Y$1101,20,0),"")</f>
        <v/>
      </c>
      <c r="BB122" s="138"/>
      <c r="BC122" s="137" t="str">
        <f>IF(Ruimtestaat[[#This Row],[Frequentie weekend]]="","",_xlfn.CONCAT(Ruimtestaat[[#This Row],[Ruimte code]],"-",Ruimtestaat[[#This Row],[Frequentie weekend]]," ",Ruimtestaat[[#This Row],[Vloer code]]))</f>
        <v/>
      </c>
      <c r="BD122" s="142" t="str">
        <f>_xlfn.IFNA(VLOOKUP($BC122,Programma!$F$3:$G$1101,2,0),"")</f>
        <v/>
      </c>
      <c r="BE122" s="142" t="str">
        <f>_xlfn.IFNA(VLOOKUP($BC122,Programma!$F$3:$H$1101,3,0),"")</f>
        <v/>
      </c>
      <c r="BF122" s="142" t="str">
        <f>_xlfn.IFNA(VLOOKUP($BC122,Programma!$F$3:$I$1101,4,0),"")</f>
        <v/>
      </c>
      <c r="BG122" s="142" t="str">
        <f>_xlfn.IFNA(VLOOKUP($BC122,Programma!$F$3:$J$1101,5,0),"")</f>
        <v/>
      </c>
      <c r="BH122" s="142" t="str">
        <f>_xlfn.IFNA(VLOOKUP($BC122,Programma!$F$3:$K$1101,6,0),"")</f>
        <v/>
      </c>
      <c r="BI122" s="142" t="str">
        <f>_xlfn.IFNA(VLOOKUP($BC122,Programma!$F$3:$L$1101,7,0),"")</f>
        <v/>
      </c>
      <c r="BJ122" s="142" t="str">
        <f>_xlfn.IFNA(VLOOKUP($BC122,Programma!$F$3:$M$1101,8,0),"")</f>
        <v/>
      </c>
      <c r="BK122" s="142" t="str">
        <f>_xlfn.IFNA(VLOOKUP($BC122,Programma!$F$3:$N$1101,9,0),"")</f>
        <v/>
      </c>
      <c r="BL122" s="142" t="str">
        <f>_xlfn.IFNA(VLOOKUP($BC122,Programma!$F$3:$O$1101,10,0),"")</f>
        <v/>
      </c>
      <c r="BM122" s="142" t="str">
        <f>_xlfn.IFNA(VLOOKUP($BC122,Programma!$F$3:$P$1101,11,0),"")</f>
        <v/>
      </c>
      <c r="BN122" s="142" t="str">
        <f>_xlfn.IFNA(VLOOKUP($BC122,Programma!$F$3:$Q$1101,12,0),"")</f>
        <v/>
      </c>
      <c r="BO122" s="142" t="str">
        <f>_xlfn.IFNA(VLOOKUP($BC122,Programma!$F$3:$R$1101,13,0),"")</f>
        <v/>
      </c>
      <c r="BP122" s="142" t="str">
        <f>_xlfn.IFNA(VLOOKUP($BC122,Programma!$F$3:$S$1101,14,0),"")</f>
        <v/>
      </c>
      <c r="BQ122" s="142" t="str">
        <f>_xlfn.IFNA(VLOOKUP($BC122,Programma!$F$3:$T$1101,15,0),"")</f>
        <v/>
      </c>
      <c r="BR122" s="142" t="str">
        <f>_xlfn.IFNA(VLOOKUP($BC122,Programma!$F$3:$U$1101,16,0),"")</f>
        <v/>
      </c>
      <c r="BS122" s="142" t="str">
        <f>_xlfn.IFNA(VLOOKUP($BC122,Programma!$F$3:$V$1101,17,0),"")</f>
        <v/>
      </c>
      <c r="BT122" s="142" t="str">
        <f>_xlfn.IFNA(VLOOKUP($BC122,Programma!$F$3:$W$1101,18,0),"")</f>
        <v/>
      </c>
      <c r="BU122" s="142" t="str">
        <f>_xlfn.IFNA(VLOOKUP($BC122,Programma!$F$3:$X$1101,19,0),"")</f>
        <v/>
      </c>
      <c r="BV122" s="142" t="str">
        <f>_xlfn.IFNA(VLOOKUP($BC122,Programma!$F$3:$Y$1101,20,0),"")</f>
        <v/>
      </c>
      <c r="BW122" s="28"/>
      <c r="BX122" s="28"/>
      <c r="BY122" s="28"/>
      <c r="BZ122" s="28"/>
      <c r="CA122" s="28"/>
      <c r="CB122" s="28"/>
      <c r="CC122" s="28"/>
      <c r="CD122" s="28"/>
      <c r="CE122" s="28"/>
      <c r="CF122" s="28"/>
      <c r="CG122" s="28"/>
      <c r="CH122" s="28"/>
      <c r="CI122" s="28"/>
      <c r="CJ122" s="28"/>
      <c r="CK122" s="28"/>
      <c r="CL122" s="28"/>
      <c r="CM122" s="28"/>
      <c r="CN122" s="28"/>
      <c r="CO122" s="28"/>
      <c r="CP122" s="28"/>
      <c r="CQ122" s="28"/>
      <c r="CR122" s="28"/>
      <c r="CS122" s="28"/>
      <c r="CT122" s="28"/>
      <c r="CU122" s="28"/>
      <c r="CV122" s="28"/>
      <c r="CW122" s="28"/>
      <c r="CX122" s="28"/>
      <c r="CY122" s="28"/>
      <c r="CZ122" s="28"/>
      <c r="DA122" s="28"/>
      <c r="DB122" s="28"/>
      <c r="DC122" s="28"/>
      <c r="DD122" s="28"/>
      <c r="DE122" s="28"/>
      <c r="DF122" s="28"/>
      <c r="DG122" s="28"/>
      <c r="DH122" s="28"/>
      <c r="DI122" s="28"/>
      <c r="DJ122" s="28"/>
      <c r="DK122" s="28"/>
      <c r="DL122" s="28"/>
      <c r="DM122" s="28"/>
      <c r="DN122" s="28"/>
      <c r="DO122" s="28"/>
      <c r="DP122" s="28"/>
      <c r="DQ122" s="28"/>
      <c r="DR122" s="28"/>
      <c r="DS122" s="28"/>
      <c r="DT122" s="28"/>
      <c r="DU122" s="28"/>
      <c r="DV122" s="28"/>
      <c r="DW122" s="28"/>
      <c r="DX122" s="28"/>
      <c r="DY122" s="28"/>
      <c r="DZ122" s="28"/>
      <c r="EA122" s="28"/>
      <c r="EB122" s="28"/>
      <c r="EC122" s="28"/>
      <c r="ED122" s="28"/>
      <c r="EE122" s="28"/>
      <c r="EF122" s="28"/>
      <c r="EG122" s="28"/>
      <c r="EH122" s="28"/>
      <c r="EI122" s="28"/>
      <c r="EJ122" s="28"/>
      <c r="EK122" s="28"/>
      <c r="EL122" s="28"/>
      <c r="EM122" s="28"/>
      <c r="EN122" s="28"/>
      <c r="EO122" s="28"/>
      <c r="EP122" s="28"/>
      <c r="EQ122" s="28"/>
      <c r="ER122" s="28"/>
      <c r="ES122" s="28"/>
      <c r="ET122" s="28"/>
      <c r="EU122" s="28"/>
      <c r="EV122" s="28"/>
      <c r="EW122" s="28"/>
      <c r="EX122" s="28"/>
      <c r="EY122" s="28"/>
      <c r="EZ122" s="28"/>
      <c r="FA122" s="28"/>
      <c r="FB122" s="28"/>
      <c r="FC122" s="28"/>
      <c r="FD122" s="28"/>
      <c r="FE122" s="28"/>
      <c r="FF122" s="28"/>
      <c r="FG122" s="28"/>
      <c r="FH122" s="28"/>
      <c r="FI122" s="28"/>
      <c r="FJ122" s="28"/>
      <c r="FK122" s="28"/>
      <c r="FL122" s="28"/>
      <c r="FM122" s="28"/>
      <c r="FN122" s="28"/>
      <c r="FO122" s="28"/>
      <c r="FP122" s="28"/>
      <c r="FQ122" s="28"/>
      <c r="FR122" s="28"/>
      <c r="FS122" s="28"/>
      <c r="FT122" s="28"/>
      <c r="FU122" s="28"/>
      <c r="FV122" s="28"/>
      <c r="FW122" s="28"/>
      <c r="FX122" s="28"/>
      <c r="FY122" s="28"/>
      <c r="FZ122" s="28"/>
      <c r="GA122" s="28"/>
      <c r="GB122" s="28"/>
      <c r="GC122" s="28"/>
      <c r="GD122" s="28"/>
      <c r="GE122" s="28"/>
      <c r="GF122" s="28"/>
      <c r="GG122" s="28"/>
      <c r="GH122" s="28"/>
      <c r="GI122" s="28"/>
      <c r="GJ122" s="28"/>
      <c r="GK122" s="28"/>
      <c r="GL122" s="28"/>
      <c r="GM122" s="28"/>
      <c r="GN122" s="28"/>
      <c r="GO122" s="28"/>
      <c r="GP122" s="28"/>
      <c r="GQ122" s="28"/>
      <c r="GR122" s="28"/>
      <c r="GS122" s="28"/>
      <c r="GT122" s="28"/>
      <c r="GU122" s="28"/>
      <c r="GV122" s="28"/>
      <c r="GW122" s="28"/>
      <c r="GX122" s="28"/>
      <c r="GY122" s="28"/>
      <c r="GZ122" s="28"/>
      <c r="HA122" s="28"/>
      <c r="HB122" s="28"/>
      <c r="HC122" s="28"/>
      <c r="HD122" s="28"/>
      <c r="HE122" s="28"/>
      <c r="HF122" s="28"/>
      <c r="HG122" s="28"/>
      <c r="HH122" s="28"/>
      <c r="HI122" s="28"/>
      <c r="HJ122" s="28"/>
      <c r="HK122" s="28"/>
    </row>
    <row r="123" spans="1:219" ht="15" customHeight="1">
      <c r="A123" s="49">
        <v>1</v>
      </c>
      <c r="B123" s="132" t="str">
        <f>VLOOKUP(Ruimtestaat[[#This Row],[Code]],Locaties[[Code]:[Locatie]],2,FALSE)</f>
        <v>Mirtehuis</v>
      </c>
      <c r="C123" s="132" t="str">
        <f>VLOOKUP(Ruimtestaat[[#This Row],[Code]],Locaties[[#All],[Code]:[Adres]],4,FALSE)</f>
        <v>Weseperweg 6</v>
      </c>
      <c r="D123" s="132" t="str">
        <f>VLOOKUP(Ruimtestaat[[#This Row],[Code]],Locaties[[#All],[Code]:[Postcode]],5,FALSE)</f>
        <v>8111 PK</v>
      </c>
      <c r="E123" s="132" t="str">
        <f>VLOOKUP(Ruimtestaat[[#This Row],[Code]],Locaties[#All],6,FALSE)</f>
        <v>Heeten</v>
      </c>
      <c r="F123" s="100"/>
      <c r="G123" s="100" t="s">
        <v>1677</v>
      </c>
      <c r="I123" s="140" t="s">
        <v>1656</v>
      </c>
      <c r="J123" s="49">
        <v>20</v>
      </c>
      <c r="K123" s="140" t="str">
        <f>VLOOKUP(Ruimtestaat[[#This Row],[Ruimte code]],Ruimtegroepen[[#All],[Code]:[Ruimte omschrijving]],2,FALSE)</f>
        <v>Niet in Onderhoud</v>
      </c>
      <c r="L123" s="100"/>
      <c r="M123" s="345"/>
      <c r="N123" s="133"/>
      <c r="O123" s="139"/>
      <c r="P123" s="134">
        <f>VLOOKUP(Ruimtestaat[[#This Row],[Ruimte code]],Ruimtegroepen[],4,FALSE)</f>
        <v>0</v>
      </c>
      <c r="Q123" s="100"/>
      <c r="R123" s="100"/>
      <c r="S123" s="100">
        <f>IF(Q123&gt;0,IF(RIGHT(Ruimtestaat[[#This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23" s="100">
        <f>IF(S123&gt;0,VLOOKUP($J123,Ruimtegroepen[],3,FALSE)*VLOOKUP($L123,Vloersoorten[],3,FALSE)*VLOOKUP($R123,Frequenties[],3,FALSE)*VLOOKUP($A123,Locaties[],3,FALSE),0)</f>
        <v>0</v>
      </c>
      <c r="U123" s="100">
        <f>Ruimtestaat[[#This Row],[Uitvoeringen werkdagen]]*Ruimtestaat[[#This Row],[Oppervlak (netto)]]</f>
        <v>0</v>
      </c>
      <c r="V123" s="135">
        <f>IF(T123&gt;0,Ruimtestaat[[#This Row],[Prest. (m2 /jaar) werkdagen]]/Ruimtestaat[[#This Row],[Norm (m2/uur) werkdagen]],0)</f>
        <v>0</v>
      </c>
      <c r="W123" s="136">
        <f>Ruimtestaat[[#This Row],[uren / jaar werkdagen]]*Tariefsopbouw!$E$35</f>
        <v>0</v>
      </c>
      <c r="X123" s="100"/>
      <c r="Y123" s="100">
        <f>IF(Ruimtestaat[[#This Row],[Frequentie weekend]]&gt;0,VALUE(LEFT(X123,1))*Q123,0)</f>
        <v>0</v>
      </c>
      <c r="Z123" s="99">
        <f>IF($Y123&gt;0,VLOOKUP($J123,Ruimtegroepen[],3,FALSE)*VLOOKUP($L123,Vloersoorten[],3,FALSE)*VLOOKUP($X123,Frequenties[],3,FALSE)*VLOOKUP(Ruimtestaat[[#This Row],[Code]],Locaties[],3,FALSE),0)</f>
        <v>0</v>
      </c>
      <c r="AA123" s="99">
        <f>Ruimtestaat[[#This Row],[Uitvoeringen weekend]]*Ruimtestaat[[#This Row],[Oppervlak (netto)]]</f>
        <v>0</v>
      </c>
      <c r="AB123" s="99">
        <f>IF(Z123&gt;0,Ruimtestaat[[#This Row],[Prest. (m2 /jaar) weekend]]/Ruimtestaat[[#This Row],[Norm (m2/uur) weekend]],0)</f>
        <v>0</v>
      </c>
      <c r="AC123" s="136">
        <f>Ruimtestaat[[#This Row],[uren / jaar weekend]]*Tariefsopbouw!$D$40</f>
        <v>0</v>
      </c>
      <c r="AD123" s="135">
        <f>Ruimtestaat[[#This Row],[Prest. (m2 /jaar) weekend]]+Ruimtestaat[[#This Row],[Prest. (m2 /jaar) werkdagen]]</f>
        <v>0</v>
      </c>
      <c r="AE123" s="135">
        <f>Ruimtestaat[[#This Row],[uren / jaar weekend]]+Ruimtestaat[[#This Row],[uren / jaar werkdagen]]</f>
        <v>0</v>
      </c>
      <c r="AF123" s="130">
        <f>Ruimtestaat[[#This Row],[kosten / jaar weekend]]+Ruimtestaat[[#This Row],[kosten / jaar werkdagen]]</f>
        <v>0</v>
      </c>
      <c r="AG123" s="130"/>
      <c r="AH123" s="137" t="str">
        <f>IF(Ruimtestaat[[#This Row],[Frequentie werkdagen]]="","",_xlfn.CONCAT(Ruimtestaat[[#This Row],[Ruimte code]],"-",Ruimtestaat[[#This Row],[Frequentie werkdagen]]," ",Ruimtestaat[[#This Row],[Vloer code]]))</f>
        <v/>
      </c>
      <c r="AI123" s="142" t="str">
        <f>_xlfn.IFNA(VLOOKUP($AH123,Programma!$F$3:$G$1101,2,0),"")</f>
        <v/>
      </c>
      <c r="AJ123" s="142" t="str">
        <f>_xlfn.IFNA(VLOOKUP($AH123,Programma!$F$3:$H$1101,3,0),"")</f>
        <v/>
      </c>
      <c r="AK123" s="142" t="str">
        <f>_xlfn.IFNA(VLOOKUP($AH123,Programma!$F$3:$I$1101,4,0),"")</f>
        <v/>
      </c>
      <c r="AL123" s="142" t="str">
        <f>_xlfn.IFNA(VLOOKUP($AH123,Programma!$F$3:$J$1101,5,0),"")</f>
        <v/>
      </c>
      <c r="AM123" s="142" t="str">
        <f>_xlfn.IFNA(VLOOKUP($AH123,Programma!$F$3:$K$1101,6,0),"")</f>
        <v/>
      </c>
      <c r="AN123" s="142" t="str">
        <f>_xlfn.IFNA(VLOOKUP($AH123,Programma!$F$3:$L$1101,7,0),"")</f>
        <v/>
      </c>
      <c r="AO123" s="142" t="str">
        <f>_xlfn.IFNA(VLOOKUP($AH123,Programma!$F$3:$M$1101,8,0),"")</f>
        <v/>
      </c>
      <c r="AP123" s="142" t="str">
        <f>_xlfn.IFNA(VLOOKUP($AH123,Programma!$F$3:$N$1101,9,0),"")</f>
        <v/>
      </c>
      <c r="AQ123" s="142" t="str">
        <f>_xlfn.IFNA(VLOOKUP($AH123,Programma!$F$3:$O$1101,10,0),"")</f>
        <v/>
      </c>
      <c r="AR123" s="142" t="str">
        <f>_xlfn.IFNA(VLOOKUP($AH123,Programma!$F$3:$P$1101,11,0),"")</f>
        <v/>
      </c>
      <c r="AS123" s="142" t="str">
        <f>_xlfn.IFNA(VLOOKUP($AH123,Programma!$F$3:$Q$1101,12,0),"")</f>
        <v/>
      </c>
      <c r="AT123" s="142" t="str">
        <f>_xlfn.IFNA(VLOOKUP($AH123,Programma!$F$3:$R$1101,13,0),"")</f>
        <v/>
      </c>
      <c r="AU123" s="142" t="str">
        <f>_xlfn.IFNA(VLOOKUP($AH123,Programma!$F$3:$S$1101,14,0),"")</f>
        <v/>
      </c>
      <c r="AV123" s="142" t="str">
        <f>_xlfn.IFNA(VLOOKUP($AH123,Programma!$F$3:$T$1101,15,0),"")</f>
        <v/>
      </c>
      <c r="AW123" s="142" t="str">
        <f>_xlfn.IFNA(VLOOKUP($AH123,Programma!$F$3:$U$1101,16,0),"")</f>
        <v/>
      </c>
      <c r="AX123" s="142" t="str">
        <f>_xlfn.IFNA(VLOOKUP($AH123,Programma!$F$3:$V$1101,17,0),"")</f>
        <v/>
      </c>
      <c r="AY123" s="142" t="str">
        <f>_xlfn.IFNA(VLOOKUP($AH123,Programma!$F$3:$W$1101,18,0),"")</f>
        <v/>
      </c>
      <c r="AZ123" s="142" t="str">
        <f>_xlfn.IFNA(VLOOKUP($AH123,Programma!$F$3:$X$1101,19,0),"")</f>
        <v/>
      </c>
      <c r="BA123" s="142" t="str">
        <f>_xlfn.IFNA(VLOOKUP($AH123,Programma!$F$3:$Y$1101,20,0),"")</f>
        <v/>
      </c>
      <c r="BB123" s="138"/>
      <c r="BC123" s="137" t="str">
        <f>IF(Ruimtestaat[[#This Row],[Frequentie weekend]]="","",_xlfn.CONCAT(Ruimtestaat[[#This Row],[Ruimte code]],"-",Ruimtestaat[[#This Row],[Frequentie weekend]]," ",Ruimtestaat[[#This Row],[Vloer code]]))</f>
        <v/>
      </c>
      <c r="BD123" s="142" t="str">
        <f>_xlfn.IFNA(VLOOKUP($BC123,Programma!$F$3:$G$1101,2,0),"")</f>
        <v/>
      </c>
      <c r="BE123" s="142" t="str">
        <f>_xlfn.IFNA(VLOOKUP($BC123,Programma!$F$3:$H$1101,3,0),"")</f>
        <v/>
      </c>
      <c r="BF123" s="142" t="str">
        <f>_xlfn.IFNA(VLOOKUP($BC123,Programma!$F$3:$I$1101,4,0),"")</f>
        <v/>
      </c>
      <c r="BG123" s="142" t="str">
        <f>_xlfn.IFNA(VLOOKUP($BC123,Programma!$F$3:$J$1101,5,0),"")</f>
        <v/>
      </c>
      <c r="BH123" s="142" t="str">
        <f>_xlfn.IFNA(VLOOKUP($BC123,Programma!$F$3:$K$1101,6,0),"")</f>
        <v/>
      </c>
      <c r="BI123" s="142" t="str">
        <f>_xlfn.IFNA(VLOOKUP($BC123,Programma!$F$3:$L$1101,7,0),"")</f>
        <v/>
      </c>
      <c r="BJ123" s="142" t="str">
        <f>_xlfn.IFNA(VLOOKUP($BC123,Programma!$F$3:$M$1101,8,0),"")</f>
        <v/>
      </c>
      <c r="BK123" s="142" t="str">
        <f>_xlfn.IFNA(VLOOKUP($BC123,Programma!$F$3:$N$1101,9,0),"")</f>
        <v/>
      </c>
      <c r="BL123" s="142" t="str">
        <f>_xlfn.IFNA(VLOOKUP($BC123,Programma!$F$3:$O$1101,10,0),"")</f>
        <v/>
      </c>
      <c r="BM123" s="142" t="str">
        <f>_xlfn.IFNA(VLOOKUP($BC123,Programma!$F$3:$P$1101,11,0),"")</f>
        <v/>
      </c>
      <c r="BN123" s="142" t="str">
        <f>_xlfn.IFNA(VLOOKUP($BC123,Programma!$F$3:$Q$1101,12,0),"")</f>
        <v/>
      </c>
      <c r="BO123" s="142" t="str">
        <f>_xlfn.IFNA(VLOOKUP($BC123,Programma!$F$3:$R$1101,13,0),"")</f>
        <v/>
      </c>
      <c r="BP123" s="142" t="str">
        <f>_xlfn.IFNA(VLOOKUP($BC123,Programma!$F$3:$S$1101,14,0),"")</f>
        <v/>
      </c>
      <c r="BQ123" s="142" t="str">
        <f>_xlfn.IFNA(VLOOKUP($BC123,Programma!$F$3:$T$1101,15,0),"")</f>
        <v/>
      </c>
      <c r="BR123" s="142" t="str">
        <f>_xlfn.IFNA(VLOOKUP($BC123,Programma!$F$3:$U$1101,16,0),"")</f>
        <v/>
      </c>
      <c r="BS123" s="142" t="str">
        <f>_xlfn.IFNA(VLOOKUP($BC123,Programma!$F$3:$V$1101,17,0),"")</f>
        <v/>
      </c>
      <c r="BT123" s="142" t="str">
        <f>_xlfn.IFNA(VLOOKUP($BC123,Programma!$F$3:$W$1101,18,0),"")</f>
        <v/>
      </c>
      <c r="BU123" s="142" t="str">
        <f>_xlfn.IFNA(VLOOKUP($BC123,Programma!$F$3:$X$1101,19,0),"")</f>
        <v/>
      </c>
      <c r="BV123" s="142" t="str">
        <f>_xlfn.IFNA(VLOOKUP($BC123,Programma!$F$3:$Y$1101,20,0),"")</f>
        <v/>
      </c>
      <c r="BW123" s="28"/>
      <c r="BX123" s="28"/>
      <c r="BY123" s="28"/>
      <c r="BZ123" s="28"/>
      <c r="CA123" s="28"/>
      <c r="CB123" s="28"/>
      <c r="CC123" s="28"/>
      <c r="CD123" s="28"/>
      <c r="CE123" s="28"/>
      <c r="CF123" s="28"/>
      <c r="CG123" s="28"/>
      <c r="CH123" s="28"/>
      <c r="CI123" s="28"/>
      <c r="CJ123" s="28"/>
      <c r="CK123" s="28"/>
      <c r="CL123" s="28"/>
      <c r="CM123" s="28"/>
      <c r="CN123" s="28"/>
      <c r="CO123" s="28"/>
      <c r="CP123" s="28"/>
      <c r="CQ123" s="28"/>
      <c r="CR123" s="28"/>
      <c r="CS123" s="28"/>
      <c r="CT123" s="28"/>
      <c r="CU123" s="28"/>
      <c r="CV123" s="28"/>
      <c r="CW123" s="28"/>
      <c r="CX123" s="28"/>
      <c r="CY123" s="28"/>
      <c r="CZ123" s="28"/>
      <c r="DA123" s="28"/>
      <c r="DB123" s="28"/>
      <c r="DC123" s="28"/>
      <c r="DD123" s="28"/>
      <c r="DE123" s="28"/>
      <c r="DF123" s="28"/>
      <c r="DG123" s="28"/>
      <c r="DH123" s="28"/>
      <c r="DI123" s="28"/>
      <c r="DJ123" s="28"/>
      <c r="DK123" s="28"/>
      <c r="DL123" s="28"/>
      <c r="DM123" s="28"/>
      <c r="DN123" s="28"/>
      <c r="DO123" s="28"/>
      <c r="DP123" s="28"/>
      <c r="DQ123" s="28"/>
      <c r="DR123" s="28"/>
      <c r="DS123" s="28"/>
      <c r="DT123" s="28"/>
      <c r="DU123" s="28"/>
      <c r="DV123" s="28"/>
      <c r="DW123" s="28"/>
      <c r="DX123" s="28"/>
      <c r="DY123" s="28"/>
      <c r="DZ123" s="28"/>
      <c r="EA123" s="28"/>
      <c r="EB123" s="28"/>
      <c r="EC123" s="28"/>
      <c r="ED123" s="28"/>
      <c r="EE123" s="28"/>
      <c r="EF123" s="28"/>
      <c r="EG123" s="28"/>
      <c r="EH123" s="28"/>
      <c r="EI123" s="28"/>
      <c r="EJ123" s="28"/>
      <c r="EK123" s="28"/>
      <c r="EL123" s="28"/>
      <c r="EM123" s="28"/>
      <c r="EN123" s="28"/>
      <c r="EO123" s="28"/>
      <c r="EP123" s="28"/>
      <c r="EQ123" s="28"/>
      <c r="ER123" s="28"/>
      <c r="ES123" s="28"/>
      <c r="ET123" s="28"/>
      <c r="EU123" s="28"/>
      <c r="EV123" s="28"/>
      <c r="EW123" s="28"/>
      <c r="EX123" s="28"/>
      <c r="EY123" s="28"/>
      <c r="EZ123" s="28"/>
      <c r="FA123" s="28"/>
      <c r="FB123" s="28"/>
      <c r="FC123" s="28"/>
      <c r="FD123" s="28"/>
      <c r="FE123" s="28"/>
      <c r="FF123" s="28"/>
      <c r="FG123" s="28"/>
      <c r="FH123" s="28"/>
      <c r="FI123" s="28"/>
      <c r="FJ123" s="28"/>
      <c r="FK123" s="28"/>
      <c r="FL123" s="28"/>
      <c r="FM123" s="28"/>
      <c r="FN123" s="28"/>
      <c r="FO123" s="28"/>
      <c r="FP123" s="28"/>
      <c r="FQ123" s="28"/>
      <c r="FR123" s="28"/>
      <c r="FS123" s="28"/>
      <c r="FT123" s="28"/>
      <c r="FU123" s="28"/>
      <c r="FV123" s="28"/>
      <c r="FW123" s="28"/>
      <c r="FX123" s="28"/>
      <c r="FY123" s="28"/>
      <c r="FZ123" s="28"/>
      <c r="GA123" s="28"/>
      <c r="GB123" s="28"/>
      <c r="GC123" s="28"/>
      <c r="GD123" s="28"/>
      <c r="GE123" s="28"/>
      <c r="GF123" s="28"/>
      <c r="GG123" s="28"/>
      <c r="GH123" s="28"/>
      <c r="GI123" s="28"/>
      <c r="GJ123" s="28"/>
      <c r="GK123" s="28"/>
      <c r="GL123" s="28"/>
      <c r="GM123" s="28"/>
      <c r="GN123" s="28"/>
      <c r="GO123" s="28"/>
      <c r="GP123" s="28"/>
      <c r="GQ123" s="28"/>
      <c r="GR123" s="28"/>
      <c r="GS123" s="28"/>
      <c r="GT123" s="28"/>
      <c r="GU123" s="28"/>
      <c r="GV123" s="28"/>
      <c r="GW123" s="28"/>
      <c r="GX123" s="28"/>
      <c r="GY123" s="28"/>
      <c r="GZ123" s="28"/>
      <c r="HA123" s="28"/>
      <c r="HB123" s="28"/>
      <c r="HC123" s="28"/>
      <c r="HD123" s="28"/>
      <c r="HE123" s="28"/>
      <c r="HF123" s="28"/>
      <c r="HG123" s="28"/>
      <c r="HH123" s="28"/>
      <c r="HI123" s="28"/>
      <c r="HJ123" s="28"/>
      <c r="HK123" s="28"/>
    </row>
    <row r="124" spans="1:219" ht="15" customHeight="1">
      <c r="A124" s="49">
        <v>1</v>
      </c>
      <c r="B124" s="132" t="str">
        <f>VLOOKUP(Ruimtestaat[[#This Row],[Code]],Locaties[[Code]:[Locatie]],2,FALSE)</f>
        <v>Mirtehuis</v>
      </c>
      <c r="C124" s="132" t="str">
        <f>VLOOKUP(Ruimtestaat[[#This Row],[Code]],Locaties[[#All],[Code]:[Adres]],4,FALSE)</f>
        <v>Weseperweg 6</v>
      </c>
      <c r="D124" s="132" t="str">
        <f>VLOOKUP(Ruimtestaat[[#This Row],[Code]],Locaties[[#All],[Code]:[Postcode]],5,FALSE)</f>
        <v>8111 PK</v>
      </c>
      <c r="E124" s="132" t="str">
        <f>VLOOKUP(Ruimtestaat[[#This Row],[Code]],Locaties[#All],6,FALSE)</f>
        <v>Heeten</v>
      </c>
      <c r="F124" s="100"/>
      <c r="G124" s="100" t="s">
        <v>1677</v>
      </c>
      <c r="I124" s="140" t="s">
        <v>1668</v>
      </c>
      <c r="J124" s="49">
        <v>20</v>
      </c>
      <c r="K124" s="140" t="str">
        <f>VLOOKUP(Ruimtestaat[[#This Row],[Ruimte code]],Ruimtegroepen[[#All],[Code]:[Ruimte omschrijving]],2,FALSE)</f>
        <v>Niet in Onderhoud</v>
      </c>
      <c r="L124" s="100"/>
      <c r="M124" s="345"/>
      <c r="N124" s="133"/>
      <c r="O124" s="100"/>
      <c r="P124" s="134">
        <f>VLOOKUP(Ruimtestaat[[#This Row],[Ruimte code]],Ruimtegroepen[],4,FALSE)</f>
        <v>0</v>
      </c>
      <c r="Q124" s="100"/>
      <c r="R124" s="100"/>
      <c r="S124" s="100">
        <f>IF(Q124&gt;0,IF(RIGHT(Ruimtestaat[[#This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24" s="100">
        <f>IF(S124&gt;0,VLOOKUP($J124,Ruimtegroepen[],3,FALSE)*VLOOKUP($L124,Vloersoorten[],3,FALSE)*VLOOKUP($R124,Frequenties[],3,FALSE)*VLOOKUP($A124,Locaties[],3,FALSE),0)</f>
        <v>0</v>
      </c>
      <c r="U124" s="100">
        <f>Ruimtestaat[[#This Row],[Uitvoeringen werkdagen]]*Ruimtestaat[[#This Row],[Oppervlak (netto)]]</f>
        <v>0</v>
      </c>
      <c r="V124" s="135">
        <f>IF(T124&gt;0,Ruimtestaat[[#This Row],[Prest. (m2 /jaar) werkdagen]]/Ruimtestaat[[#This Row],[Norm (m2/uur) werkdagen]],0)</f>
        <v>0</v>
      </c>
      <c r="W124" s="136">
        <f>Ruimtestaat[[#This Row],[uren / jaar werkdagen]]*Tariefsopbouw!$E$35</f>
        <v>0</v>
      </c>
      <c r="X124" s="100"/>
      <c r="Y124" s="100">
        <f>IF(Ruimtestaat[[#This Row],[Frequentie weekend]]&gt;0,VALUE(LEFT(X124,1))*Q124,0)</f>
        <v>0</v>
      </c>
      <c r="Z124" s="99">
        <f>IF($Y124&gt;0,VLOOKUP($J124,Ruimtegroepen[],3,FALSE)*VLOOKUP($L124,Vloersoorten[],3,FALSE)*VLOOKUP($X124,Frequenties[],3,FALSE)*VLOOKUP(Ruimtestaat[[#This Row],[Code]],Locaties[],3,FALSE),0)</f>
        <v>0</v>
      </c>
      <c r="AA124" s="99">
        <f>Ruimtestaat[[#This Row],[Uitvoeringen weekend]]*Ruimtestaat[[#This Row],[Oppervlak (netto)]]</f>
        <v>0</v>
      </c>
      <c r="AB124" s="99">
        <f>IF(Z124&gt;0,Ruimtestaat[[#This Row],[Prest. (m2 /jaar) weekend]]/Ruimtestaat[[#This Row],[Norm (m2/uur) weekend]],0)</f>
        <v>0</v>
      </c>
      <c r="AC124" s="136">
        <f>Ruimtestaat[[#This Row],[uren / jaar weekend]]*Tariefsopbouw!$D$40</f>
        <v>0</v>
      </c>
      <c r="AD124" s="135">
        <f>Ruimtestaat[[#This Row],[Prest. (m2 /jaar) weekend]]+Ruimtestaat[[#This Row],[Prest. (m2 /jaar) werkdagen]]</f>
        <v>0</v>
      </c>
      <c r="AE124" s="135">
        <f>Ruimtestaat[[#This Row],[uren / jaar weekend]]+Ruimtestaat[[#This Row],[uren / jaar werkdagen]]</f>
        <v>0</v>
      </c>
      <c r="AF124" s="130">
        <f>Ruimtestaat[[#This Row],[kosten / jaar weekend]]+Ruimtestaat[[#This Row],[kosten / jaar werkdagen]]</f>
        <v>0</v>
      </c>
      <c r="AG124" s="130"/>
      <c r="AH124" s="137" t="str">
        <f>IF(Ruimtestaat[[#This Row],[Frequentie werkdagen]]="","",_xlfn.CONCAT(Ruimtestaat[[#This Row],[Ruimte code]],"-",Ruimtestaat[[#This Row],[Frequentie werkdagen]]," ",Ruimtestaat[[#This Row],[Vloer code]]))</f>
        <v/>
      </c>
      <c r="AI124" s="142" t="str">
        <f>_xlfn.IFNA(VLOOKUP($AH124,Programma!$F$3:$G$1101,2,0),"")</f>
        <v/>
      </c>
      <c r="AJ124" s="142" t="str">
        <f>_xlfn.IFNA(VLOOKUP($AH124,Programma!$F$3:$H$1101,3,0),"")</f>
        <v/>
      </c>
      <c r="AK124" s="142" t="str">
        <f>_xlfn.IFNA(VLOOKUP($AH124,Programma!$F$3:$I$1101,4,0),"")</f>
        <v/>
      </c>
      <c r="AL124" s="142" t="str">
        <f>_xlfn.IFNA(VLOOKUP($AH124,Programma!$F$3:$J$1101,5,0),"")</f>
        <v/>
      </c>
      <c r="AM124" s="142" t="str">
        <f>_xlfn.IFNA(VLOOKUP($AH124,Programma!$F$3:$K$1101,6,0),"")</f>
        <v/>
      </c>
      <c r="AN124" s="142" t="str">
        <f>_xlfn.IFNA(VLOOKUP($AH124,Programma!$F$3:$L$1101,7,0),"")</f>
        <v/>
      </c>
      <c r="AO124" s="142" t="str">
        <f>_xlfn.IFNA(VLOOKUP($AH124,Programma!$F$3:$M$1101,8,0),"")</f>
        <v/>
      </c>
      <c r="AP124" s="142" t="str">
        <f>_xlfn.IFNA(VLOOKUP($AH124,Programma!$F$3:$N$1101,9,0),"")</f>
        <v/>
      </c>
      <c r="AQ124" s="142" t="str">
        <f>_xlfn.IFNA(VLOOKUP($AH124,Programma!$F$3:$O$1101,10,0),"")</f>
        <v/>
      </c>
      <c r="AR124" s="142" t="str">
        <f>_xlfn.IFNA(VLOOKUP($AH124,Programma!$F$3:$P$1101,11,0),"")</f>
        <v/>
      </c>
      <c r="AS124" s="142" t="str">
        <f>_xlfn.IFNA(VLOOKUP($AH124,Programma!$F$3:$Q$1101,12,0),"")</f>
        <v/>
      </c>
      <c r="AT124" s="142" t="str">
        <f>_xlfn.IFNA(VLOOKUP($AH124,Programma!$F$3:$R$1101,13,0),"")</f>
        <v/>
      </c>
      <c r="AU124" s="142" t="str">
        <f>_xlfn.IFNA(VLOOKUP($AH124,Programma!$F$3:$S$1101,14,0),"")</f>
        <v/>
      </c>
      <c r="AV124" s="142" t="str">
        <f>_xlfn.IFNA(VLOOKUP($AH124,Programma!$F$3:$T$1101,15,0),"")</f>
        <v/>
      </c>
      <c r="AW124" s="142" t="str">
        <f>_xlfn.IFNA(VLOOKUP($AH124,Programma!$F$3:$U$1101,16,0),"")</f>
        <v/>
      </c>
      <c r="AX124" s="142" t="str">
        <f>_xlfn.IFNA(VLOOKUP($AH124,Programma!$F$3:$V$1101,17,0),"")</f>
        <v/>
      </c>
      <c r="AY124" s="142" t="str">
        <f>_xlfn.IFNA(VLOOKUP($AH124,Programma!$F$3:$W$1101,18,0),"")</f>
        <v/>
      </c>
      <c r="AZ124" s="142" t="str">
        <f>_xlfn.IFNA(VLOOKUP($AH124,Programma!$F$3:$X$1101,19,0),"")</f>
        <v/>
      </c>
      <c r="BA124" s="142" t="str">
        <f>_xlfn.IFNA(VLOOKUP($AH124,Programma!$F$3:$Y$1101,20,0),"")</f>
        <v/>
      </c>
      <c r="BB124" s="138"/>
      <c r="BC124" s="137" t="str">
        <f>IF(Ruimtestaat[[#This Row],[Frequentie weekend]]="","",_xlfn.CONCAT(Ruimtestaat[[#This Row],[Ruimte code]],"-",Ruimtestaat[[#This Row],[Frequentie weekend]]," ",Ruimtestaat[[#This Row],[Vloer code]]))</f>
        <v/>
      </c>
      <c r="BD124" s="142" t="str">
        <f>_xlfn.IFNA(VLOOKUP($BC124,Programma!$F$3:$G$1101,2,0),"")</f>
        <v/>
      </c>
      <c r="BE124" s="142" t="str">
        <f>_xlfn.IFNA(VLOOKUP($BC124,Programma!$F$3:$H$1101,3,0),"")</f>
        <v/>
      </c>
      <c r="BF124" s="142" t="str">
        <f>_xlfn.IFNA(VLOOKUP($BC124,Programma!$F$3:$I$1101,4,0),"")</f>
        <v/>
      </c>
      <c r="BG124" s="142" t="str">
        <f>_xlfn.IFNA(VLOOKUP($BC124,Programma!$F$3:$J$1101,5,0),"")</f>
        <v/>
      </c>
      <c r="BH124" s="142" t="str">
        <f>_xlfn.IFNA(VLOOKUP($BC124,Programma!$F$3:$K$1101,6,0),"")</f>
        <v/>
      </c>
      <c r="BI124" s="142" t="str">
        <f>_xlfn.IFNA(VLOOKUP($BC124,Programma!$F$3:$L$1101,7,0),"")</f>
        <v/>
      </c>
      <c r="BJ124" s="142" t="str">
        <f>_xlfn.IFNA(VLOOKUP($BC124,Programma!$F$3:$M$1101,8,0),"")</f>
        <v/>
      </c>
      <c r="BK124" s="142" t="str">
        <f>_xlfn.IFNA(VLOOKUP($BC124,Programma!$F$3:$N$1101,9,0),"")</f>
        <v/>
      </c>
      <c r="BL124" s="142" t="str">
        <f>_xlfn.IFNA(VLOOKUP($BC124,Programma!$F$3:$O$1101,10,0),"")</f>
        <v/>
      </c>
      <c r="BM124" s="142" t="str">
        <f>_xlfn.IFNA(VLOOKUP($BC124,Programma!$F$3:$P$1101,11,0),"")</f>
        <v/>
      </c>
      <c r="BN124" s="142" t="str">
        <f>_xlfn.IFNA(VLOOKUP($BC124,Programma!$F$3:$Q$1101,12,0),"")</f>
        <v/>
      </c>
      <c r="BO124" s="142" t="str">
        <f>_xlfn.IFNA(VLOOKUP($BC124,Programma!$F$3:$R$1101,13,0),"")</f>
        <v/>
      </c>
      <c r="BP124" s="142" t="str">
        <f>_xlfn.IFNA(VLOOKUP($BC124,Programma!$F$3:$S$1101,14,0),"")</f>
        <v/>
      </c>
      <c r="BQ124" s="142" t="str">
        <f>_xlfn.IFNA(VLOOKUP($BC124,Programma!$F$3:$T$1101,15,0),"")</f>
        <v/>
      </c>
      <c r="BR124" s="142" t="str">
        <f>_xlfn.IFNA(VLOOKUP($BC124,Programma!$F$3:$U$1101,16,0),"")</f>
        <v/>
      </c>
      <c r="BS124" s="142" t="str">
        <f>_xlfn.IFNA(VLOOKUP($BC124,Programma!$F$3:$V$1101,17,0),"")</f>
        <v/>
      </c>
      <c r="BT124" s="142" t="str">
        <f>_xlfn.IFNA(VLOOKUP($BC124,Programma!$F$3:$W$1101,18,0),"")</f>
        <v/>
      </c>
      <c r="BU124" s="142" t="str">
        <f>_xlfn.IFNA(VLOOKUP($BC124,Programma!$F$3:$X$1101,19,0),"")</f>
        <v/>
      </c>
      <c r="BV124" s="142" t="str">
        <f>_xlfn.IFNA(VLOOKUP($BC124,Programma!$F$3:$Y$1101,20,0),"")</f>
        <v/>
      </c>
      <c r="BW124" s="28"/>
      <c r="BX124" s="28"/>
      <c r="BY124" s="28"/>
      <c r="BZ124" s="28"/>
      <c r="CA124" s="28"/>
      <c r="CB124" s="28"/>
      <c r="CC124" s="28"/>
      <c r="CD124" s="28"/>
      <c r="CE124" s="28"/>
      <c r="CF124" s="28"/>
      <c r="CG124" s="28"/>
      <c r="CH124" s="28"/>
      <c r="CI124" s="28"/>
      <c r="CJ124" s="28"/>
      <c r="CK124" s="28"/>
      <c r="CL124" s="28"/>
      <c r="CM124" s="28"/>
      <c r="CN124" s="28"/>
      <c r="CO124" s="28"/>
      <c r="CP124" s="28"/>
      <c r="CQ124" s="28"/>
      <c r="CR124" s="28"/>
      <c r="CS124" s="28"/>
      <c r="CT124" s="28"/>
      <c r="CU124" s="28"/>
      <c r="CV124" s="28"/>
      <c r="CW124" s="28"/>
      <c r="CX124" s="28"/>
      <c r="CY124" s="28"/>
      <c r="CZ124" s="28"/>
      <c r="DA124" s="28"/>
      <c r="DB124" s="28"/>
      <c r="DC124" s="28"/>
      <c r="DD124" s="28"/>
      <c r="DE124" s="28"/>
      <c r="DF124" s="28"/>
      <c r="DG124" s="28"/>
      <c r="DH124" s="28"/>
      <c r="DI124" s="28"/>
      <c r="DJ124" s="28"/>
      <c r="DK124" s="28"/>
      <c r="DL124" s="28"/>
      <c r="DM124" s="28"/>
      <c r="DN124" s="28"/>
      <c r="DO124" s="28"/>
      <c r="DP124" s="28"/>
      <c r="DQ124" s="28"/>
      <c r="DR124" s="28"/>
      <c r="DS124" s="28"/>
      <c r="DT124" s="28"/>
      <c r="DU124" s="28"/>
      <c r="DV124" s="28"/>
      <c r="DW124" s="28"/>
      <c r="DX124" s="28"/>
      <c r="DY124" s="28"/>
      <c r="DZ124" s="28"/>
      <c r="EA124" s="28"/>
      <c r="EB124" s="28"/>
      <c r="EC124" s="28"/>
      <c r="ED124" s="28"/>
      <c r="EE124" s="28"/>
      <c r="EF124" s="28"/>
      <c r="EG124" s="28"/>
      <c r="EH124" s="28"/>
      <c r="EI124" s="28"/>
      <c r="EJ124" s="28"/>
      <c r="EK124" s="28"/>
      <c r="EL124" s="28"/>
      <c r="EM124" s="28"/>
      <c r="EN124" s="28"/>
      <c r="EO124" s="28"/>
      <c r="EP124" s="28"/>
      <c r="EQ124" s="28"/>
      <c r="ER124" s="28"/>
      <c r="ES124" s="28"/>
      <c r="ET124" s="28"/>
      <c r="EU124" s="28"/>
      <c r="EV124" s="28"/>
      <c r="EW124" s="28"/>
      <c r="EX124" s="28"/>
      <c r="EY124" s="28"/>
      <c r="EZ124" s="28"/>
      <c r="FA124" s="28"/>
      <c r="FB124" s="28"/>
      <c r="FC124" s="28"/>
      <c r="FD124" s="28"/>
      <c r="FE124" s="28"/>
      <c r="FF124" s="28"/>
      <c r="FG124" s="28"/>
      <c r="FH124" s="28"/>
      <c r="FI124" s="28"/>
      <c r="FJ124" s="28"/>
      <c r="FK124" s="28"/>
      <c r="FL124" s="28"/>
      <c r="FM124" s="28"/>
      <c r="FN124" s="28"/>
      <c r="FO124" s="28"/>
      <c r="FP124" s="28"/>
      <c r="FQ124" s="28"/>
      <c r="FR124" s="28"/>
      <c r="FS124" s="28"/>
      <c r="FT124" s="28"/>
      <c r="FU124" s="28"/>
      <c r="FV124" s="28"/>
      <c r="FW124" s="28"/>
      <c r="FX124" s="28"/>
      <c r="FY124" s="28"/>
      <c r="FZ124" s="28"/>
      <c r="GA124" s="28"/>
      <c r="GB124" s="28"/>
      <c r="GC124" s="28"/>
      <c r="GD124" s="28"/>
      <c r="GE124" s="28"/>
      <c r="GF124" s="28"/>
      <c r="GG124" s="28"/>
      <c r="GH124" s="28"/>
      <c r="GI124" s="28"/>
      <c r="GJ124" s="28"/>
      <c r="GK124" s="28"/>
      <c r="GL124" s="28"/>
      <c r="GM124" s="28"/>
      <c r="GN124" s="28"/>
      <c r="GO124" s="28"/>
      <c r="GP124" s="28"/>
      <c r="GQ124" s="28"/>
      <c r="GR124" s="28"/>
      <c r="GS124" s="28"/>
      <c r="GT124" s="28"/>
      <c r="GU124" s="28"/>
      <c r="GV124" s="28"/>
      <c r="GW124" s="28"/>
      <c r="GX124" s="28"/>
      <c r="GY124" s="28"/>
      <c r="GZ124" s="28"/>
      <c r="HA124" s="28"/>
      <c r="HB124" s="28"/>
      <c r="HC124" s="28"/>
      <c r="HD124" s="28"/>
      <c r="HE124" s="28"/>
      <c r="HF124" s="28"/>
      <c r="HG124" s="28"/>
      <c r="HH124" s="28"/>
      <c r="HI124" s="28"/>
      <c r="HJ124" s="28"/>
      <c r="HK124" s="28"/>
    </row>
    <row r="125" spans="1:219" ht="15" customHeight="1">
      <c r="A125" s="49">
        <v>1</v>
      </c>
      <c r="B125" s="132" t="str">
        <f>VLOOKUP(Ruimtestaat[[#This Row],[Code]],Locaties[[Code]:[Locatie]],2,FALSE)</f>
        <v>Mirtehuis</v>
      </c>
      <c r="C125" s="132" t="str">
        <f>VLOOKUP(Ruimtestaat[[#This Row],[Code]],Locaties[[#All],[Code]:[Adres]],4,FALSE)</f>
        <v>Weseperweg 6</v>
      </c>
      <c r="D125" s="132" t="str">
        <f>VLOOKUP(Ruimtestaat[[#This Row],[Code]],Locaties[[#All],[Code]:[Postcode]],5,FALSE)</f>
        <v>8111 PK</v>
      </c>
      <c r="E125" s="132" t="str">
        <f>VLOOKUP(Ruimtestaat[[#This Row],[Code]],Locaties[#All],6,FALSE)</f>
        <v>Heeten</v>
      </c>
      <c r="F125" s="100"/>
      <c r="G125" s="100" t="s">
        <v>1677</v>
      </c>
      <c r="I125" s="140" t="s">
        <v>1656</v>
      </c>
      <c r="J125" s="49">
        <v>20</v>
      </c>
      <c r="K125" s="140" t="str">
        <f>VLOOKUP(Ruimtestaat[[#This Row],[Ruimte code]],Ruimtegroepen[[#All],[Code]:[Ruimte omschrijving]],2,FALSE)</f>
        <v>Niet in Onderhoud</v>
      </c>
      <c r="L125" s="100"/>
      <c r="M125" s="345"/>
      <c r="N125" s="133"/>
      <c r="O125" s="139"/>
      <c r="P125" s="134">
        <f>VLOOKUP(Ruimtestaat[[#This Row],[Ruimte code]],Ruimtegroepen[],4,FALSE)</f>
        <v>0</v>
      </c>
      <c r="Q125" s="100"/>
      <c r="R125" s="100"/>
      <c r="S125" s="100">
        <f>IF(Q125&gt;0,IF(RIGHT(Ruimtestaat[[#This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25" s="100">
        <f>IF(S125&gt;0,VLOOKUP($J125,Ruimtegroepen[],3,FALSE)*VLOOKUP($L125,Vloersoorten[],3,FALSE)*VLOOKUP($R125,Frequenties[],3,FALSE)*VLOOKUP($A125,Locaties[],3,FALSE),0)</f>
        <v>0</v>
      </c>
      <c r="U125" s="100">
        <f>Ruimtestaat[[#This Row],[Uitvoeringen werkdagen]]*Ruimtestaat[[#This Row],[Oppervlak (netto)]]</f>
        <v>0</v>
      </c>
      <c r="V125" s="135">
        <f>IF(T125&gt;0,Ruimtestaat[[#This Row],[Prest. (m2 /jaar) werkdagen]]/Ruimtestaat[[#This Row],[Norm (m2/uur) werkdagen]],0)</f>
        <v>0</v>
      </c>
      <c r="W125" s="136">
        <f>Ruimtestaat[[#This Row],[uren / jaar werkdagen]]*Tariefsopbouw!$E$35</f>
        <v>0</v>
      </c>
      <c r="X125" s="100"/>
      <c r="Y125" s="100">
        <f>IF(Ruimtestaat[[#This Row],[Frequentie weekend]]&gt;0,VALUE(LEFT(X125,1))*Q125,0)</f>
        <v>0</v>
      </c>
      <c r="Z125" s="99">
        <f>IF($Y125&gt;0,VLOOKUP($J125,Ruimtegroepen[],3,FALSE)*VLOOKUP($L125,Vloersoorten[],3,FALSE)*VLOOKUP($X125,Frequenties[],3,FALSE)*VLOOKUP(Ruimtestaat[[#This Row],[Code]],Locaties[],3,FALSE),0)</f>
        <v>0</v>
      </c>
      <c r="AA125" s="99">
        <f>Ruimtestaat[[#This Row],[Uitvoeringen weekend]]*Ruimtestaat[[#This Row],[Oppervlak (netto)]]</f>
        <v>0</v>
      </c>
      <c r="AB125" s="99">
        <f>IF(Z125&gt;0,Ruimtestaat[[#This Row],[Prest. (m2 /jaar) weekend]]/Ruimtestaat[[#This Row],[Norm (m2/uur) weekend]],0)</f>
        <v>0</v>
      </c>
      <c r="AC125" s="136">
        <f>Ruimtestaat[[#This Row],[uren / jaar weekend]]*Tariefsopbouw!$D$40</f>
        <v>0</v>
      </c>
      <c r="AD125" s="135">
        <f>Ruimtestaat[[#This Row],[Prest. (m2 /jaar) weekend]]+Ruimtestaat[[#This Row],[Prest. (m2 /jaar) werkdagen]]</f>
        <v>0</v>
      </c>
      <c r="AE125" s="135">
        <f>Ruimtestaat[[#This Row],[uren / jaar weekend]]+Ruimtestaat[[#This Row],[uren / jaar werkdagen]]</f>
        <v>0</v>
      </c>
      <c r="AF125" s="130">
        <f>Ruimtestaat[[#This Row],[kosten / jaar weekend]]+Ruimtestaat[[#This Row],[kosten / jaar werkdagen]]</f>
        <v>0</v>
      </c>
      <c r="AG125" s="130"/>
      <c r="AH125" s="137" t="str">
        <f>IF(Ruimtestaat[[#This Row],[Frequentie werkdagen]]="","",_xlfn.CONCAT(Ruimtestaat[[#This Row],[Ruimte code]],"-",Ruimtestaat[[#This Row],[Frequentie werkdagen]]," ",Ruimtestaat[[#This Row],[Vloer code]]))</f>
        <v/>
      </c>
      <c r="AI125" s="142" t="str">
        <f>_xlfn.IFNA(VLOOKUP($AH125,Programma!$F$3:$G$1101,2,0),"")</f>
        <v/>
      </c>
      <c r="AJ125" s="142" t="str">
        <f>_xlfn.IFNA(VLOOKUP($AH125,Programma!$F$3:$H$1101,3,0),"")</f>
        <v/>
      </c>
      <c r="AK125" s="142" t="str">
        <f>_xlfn.IFNA(VLOOKUP($AH125,Programma!$F$3:$I$1101,4,0),"")</f>
        <v/>
      </c>
      <c r="AL125" s="142" t="str">
        <f>_xlfn.IFNA(VLOOKUP($AH125,Programma!$F$3:$J$1101,5,0),"")</f>
        <v/>
      </c>
      <c r="AM125" s="142" t="str">
        <f>_xlfn.IFNA(VLOOKUP($AH125,Programma!$F$3:$K$1101,6,0),"")</f>
        <v/>
      </c>
      <c r="AN125" s="142" t="str">
        <f>_xlfn.IFNA(VLOOKUP($AH125,Programma!$F$3:$L$1101,7,0),"")</f>
        <v/>
      </c>
      <c r="AO125" s="142" t="str">
        <f>_xlfn.IFNA(VLOOKUP($AH125,Programma!$F$3:$M$1101,8,0),"")</f>
        <v/>
      </c>
      <c r="AP125" s="142" t="str">
        <f>_xlfn.IFNA(VLOOKUP($AH125,Programma!$F$3:$N$1101,9,0),"")</f>
        <v/>
      </c>
      <c r="AQ125" s="142" t="str">
        <f>_xlfn.IFNA(VLOOKUP($AH125,Programma!$F$3:$O$1101,10,0),"")</f>
        <v/>
      </c>
      <c r="AR125" s="142" t="str">
        <f>_xlfn.IFNA(VLOOKUP($AH125,Programma!$F$3:$P$1101,11,0),"")</f>
        <v/>
      </c>
      <c r="AS125" s="142" t="str">
        <f>_xlfn.IFNA(VLOOKUP($AH125,Programma!$F$3:$Q$1101,12,0),"")</f>
        <v/>
      </c>
      <c r="AT125" s="142" t="str">
        <f>_xlfn.IFNA(VLOOKUP($AH125,Programma!$F$3:$R$1101,13,0),"")</f>
        <v/>
      </c>
      <c r="AU125" s="142" t="str">
        <f>_xlfn.IFNA(VLOOKUP($AH125,Programma!$F$3:$S$1101,14,0),"")</f>
        <v/>
      </c>
      <c r="AV125" s="142" t="str">
        <f>_xlfn.IFNA(VLOOKUP($AH125,Programma!$F$3:$T$1101,15,0),"")</f>
        <v/>
      </c>
      <c r="AW125" s="142" t="str">
        <f>_xlfn.IFNA(VLOOKUP($AH125,Programma!$F$3:$U$1101,16,0),"")</f>
        <v/>
      </c>
      <c r="AX125" s="142" t="str">
        <f>_xlfn.IFNA(VLOOKUP($AH125,Programma!$F$3:$V$1101,17,0),"")</f>
        <v/>
      </c>
      <c r="AY125" s="142" t="str">
        <f>_xlfn.IFNA(VLOOKUP($AH125,Programma!$F$3:$W$1101,18,0),"")</f>
        <v/>
      </c>
      <c r="AZ125" s="142" t="str">
        <f>_xlfn.IFNA(VLOOKUP($AH125,Programma!$F$3:$X$1101,19,0),"")</f>
        <v/>
      </c>
      <c r="BA125" s="142" t="str">
        <f>_xlfn.IFNA(VLOOKUP($AH125,Programma!$F$3:$Y$1101,20,0),"")</f>
        <v/>
      </c>
      <c r="BB125" s="138"/>
      <c r="BC125" s="137" t="str">
        <f>IF(Ruimtestaat[[#This Row],[Frequentie weekend]]="","",_xlfn.CONCAT(Ruimtestaat[[#This Row],[Ruimte code]],"-",Ruimtestaat[[#This Row],[Frequentie weekend]]," ",Ruimtestaat[[#This Row],[Vloer code]]))</f>
        <v/>
      </c>
      <c r="BD125" s="142" t="str">
        <f>_xlfn.IFNA(VLOOKUP($BC125,Programma!$F$3:$G$1101,2,0),"")</f>
        <v/>
      </c>
      <c r="BE125" s="142" t="str">
        <f>_xlfn.IFNA(VLOOKUP($BC125,Programma!$F$3:$H$1101,3,0),"")</f>
        <v/>
      </c>
      <c r="BF125" s="142" t="str">
        <f>_xlfn.IFNA(VLOOKUP($BC125,Programma!$F$3:$I$1101,4,0),"")</f>
        <v/>
      </c>
      <c r="BG125" s="142" t="str">
        <f>_xlfn.IFNA(VLOOKUP($BC125,Programma!$F$3:$J$1101,5,0),"")</f>
        <v/>
      </c>
      <c r="BH125" s="142" t="str">
        <f>_xlfn.IFNA(VLOOKUP($BC125,Programma!$F$3:$K$1101,6,0),"")</f>
        <v/>
      </c>
      <c r="BI125" s="142" t="str">
        <f>_xlfn.IFNA(VLOOKUP($BC125,Programma!$F$3:$L$1101,7,0),"")</f>
        <v/>
      </c>
      <c r="BJ125" s="142" t="str">
        <f>_xlfn.IFNA(VLOOKUP($BC125,Programma!$F$3:$M$1101,8,0),"")</f>
        <v/>
      </c>
      <c r="BK125" s="142" t="str">
        <f>_xlfn.IFNA(VLOOKUP($BC125,Programma!$F$3:$N$1101,9,0),"")</f>
        <v/>
      </c>
      <c r="BL125" s="142" t="str">
        <f>_xlfn.IFNA(VLOOKUP($BC125,Programma!$F$3:$O$1101,10,0),"")</f>
        <v/>
      </c>
      <c r="BM125" s="142" t="str">
        <f>_xlfn.IFNA(VLOOKUP($BC125,Programma!$F$3:$P$1101,11,0),"")</f>
        <v/>
      </c>
      <c r="BN125" s="142" t="str">
        <f>_xlfn.IFNA(VLOOKUP($BC125,Programma!$F$3:$Q$1101,12,0),"")</f>
        <v/>
      </c>
      <c r="BO125" s="142" t="str">
        <f>_xlfn.IFNA(VLOOKUP($BC125,Programma!$F$3:$R$1101,13,0),"")</f>
        <v/>
      </c>
      <c r="BP125" s="142" t="str">
        <f>_xlfn.IFNA(VLOOKUP($BC125,Programma!$F$3:$S$1101,14,0),"")</f>
        <v/>
      </c>
      <c r="BQ125" s="142" t="str">
        <f>_xlfn.IFNA(VLOOKUP($BC125,Programma!$F$3:$T$1101,15,0),"")</f>
        <v/>
      </c>
      <c r="BR125" s="142" t="str">
        <f>_xlfn.IFNA(VLOOKUP($BC125,Programma!$F$3:$U$1101,16,0),"")</f>
        <v/>
      </c>
      <c r="BS125" s="142" t="str">
        <f>_xlfn.IFNA(VLOOKUP($BC125,Programma!$F$3:$V$1101,17,0),"")</f>
        <v/>
      </c>
      <c r="BT125" s="142" t="str">
        <f>_xlfn.IFNA(VLOOKUP($BC125,Programma!$F$3:$W$1101,18,0),"")</f>
        <v/>
      </c>
      <c r="BU125" s="142" t="str">
        <f>_xlfn.IFNA(VLOOKUP($BC125,Programma!$F$3:$X$1101,19,0),"")</f>
        <v/>
      </c>
      <c r="BV125" s="142" t="str">
        <f>_xlfn.IFNA(VLOOKUP($BC125,Programma!$F$3:$Y$1101,20,0),"")</f>
        <v/>
      </c>
      <c r="BW125" s="28"/>
      <c r="BX125" s="28"/>
      <c r="BY125" s="28"/>
      <c r="BZ125" s="28"/>
      <c r="CA125" s="28"/>
      <c r="CB125" s="28"/>
      <c r="CC125" s="28"/>
      <c r="CD125" s="28"/>
      <c r="CE125" s="28"/>
      <c r="CF125" s="28"/>
      <c r="CG125" s="28"/>
      <c r="CH125" s="28"/>
      <c r="CI125" s="28"/>
      <c r="CJ125" s="28"/>
      <c r="CK125" s="28"/>
      <c r="CL125" s="28"/>
      <c r="CM125" s="28"/>
      <c r="CN125" s="28"/>
      <c r="CO125" s="28"/>
      <c r="CP125" s="28"/>
      <c r="CQ125" s="28"/>
      <c r="CR125" s="28"/>
      <c r="CS125" s="28"/>
      <c r="CT125" s="28"/>
      <c r="CU125" s="28"/>
      <c r="CV125" s="28"/>
      <c r="CW125" s="28"/>
      <c r="CX125" s="28"/>
      <c r="CY125" s="28"/>
      <c r="CZ125" s="28"/>
      <c r="DA125" s="28"/>
      <c r="DB125" s="28"/>
      <c r="DC125" s="28"/>
      <c r="DD125" s="28"/>
      <c r="DE125" s="28"/>
      <c r="DF125" s="28"/>
      <c r="DG125" s="28"/>
      <c r="DH125" s="28"/>
      <c r="DI125" s="28"/>
      <c r="DJ125" s="28"/>
      <c r="DK125" s="28"/>
      <c r="DL125" s="28"/>
      <c r="DM125" s="28"/>
      <c r="DN125" s="28"/>
      <c r="DO125" s="28"/>
      <c r="DP125" s="28"/>
      <c r="DQ125" s="28"/>
      <c r="DR125" s="28"/>
      <c r="DS125" s="28"/>
      <c r="DT125" s="28"/>
      <c r="DU125" s="28"/>
      <c r="DV125" s="28"/>
      <c r="DW125" s="28"/>
      <c r="DX125" s="28"/>
      <c r="DY125" s="28"/>
      <c r="DZ125" s="28"/>
      <c r="EA125" s="28"/>
      <c r="EB125" s="28"/>
      <c r="EC125" s="28"/>
      <c r="ED125" s="28"/>
      <c r="EE125" s="28"/>
      <c r="EF125" s="28"/>
      <c r="EG125" s="28"/>
      <c r="EH125" s="28"/>
      <c r="EI125" s="28"/>
      <c r="EJ125" s="28"/>
      <c r="EK125" s="28"/>
      <c r="EL125" s="28"/>
      <c r="EM125" s="28"/>
      <c r="EN125" s="28"/>
      <c r="EO125" s="28"/>
      <c r="EP125" s="28"/>
      <c r="EQ125" s="28"/>
      <c r="ER125" s="28"/>
      <c r="ES125" s="28"/>
      <c r="ET125" s="28"/>
      <c r="EU125" s="28"/>
      <c r="EV125" s="28"/>
      <c r="EW125" s="28"/>
      <c r="EX125" s="28"/>
      <c r="EY125" s="28"/>
      <c r="EZ125" s="28"/>
      <c r="FA125" s="28"/>
      <c r="FB125" s="28"/>
      <c r="FC125" s="28"/>
      <c r="FD125" s="28"/>
      <c r="FE125" s="28"/>
      <c r="FF125" s="28"/>
      <c r="FG125" s="28"/>
      <c r="FH125" s="28"/>
      <c r="FI125" s="28"/>
      <c r="FJ125" s="28"/>
      <c r="FK125" s="28"/>
      <c r="FL125" s="28"/>
      <c r="FM125" s="28"/>
      <c r="FN125" s="28"/>
      <c r="FO125" s="28"/>
      <c r="FP125" s="28"/>
      <c r="FQ125" s="28"/>
      <c r="FR125" s="28"/>
      <c r="FS125" s="28"/>
      <c r="FT125" s="28"/>
      <c r="FU125" s="28"/>
      <c r="FV125" s="28"/>
      <c r="FW125" s="28"/>
      <c r="FX125" s="28"/>
      <c r="FY125" s="28"/>
      <c r="FZ125" s="28"/>
      <c r="GA125" s="28"/>
      <c r="GB125" s="28"/>
      <c r="GC125" s="28"/>
      <c r="GD125" s="28"/>
      <c r="GE125" s="28"/>
      <c r="GF125" s="28"/>
      <c r="GG125" s="28"/>
      <c r="GH125" s="28"/>
      <c r="GI125" s="28"/>
      <c r="GJ125" s="28"/>
      <c r="GK125" s="28"/>
      <c r="GL125" s="28"/>
      <c r="GM125" s="28"/>
      <c r="GN125" s="28"/>
      <c r="GO125" s="28"/>
      <c r="GP125" s="28"/>
      <c r="GQ125" s="28"/>
      <c r="GR125" s="28"/>
      <c r="GS125" s="28"/>
      <c r="GT125" s="28"/>
      <c r="GU125" s="28"/>
      <c r="GV125" s="28"/>
      <c r="GW125" s="28"/>
      <c r="GX125" s="28"/>
      <c r="GY125" s="28"/>
      <c r="GZ125" s="28"/>
      <c r="HA125" s="28"/>
      <c r="HB125" s="28"/>
      <c r="HC125" s="28"/>
      <c r="HD125" s="28"/>
      <c r="HE125" s="28"/>
      <c r="HF125" s="28"/>
      <c r="HG125" s="28"/>
      <c r="HH125" s="28"/>
      <c r="HI125" s="28"/>
      <c r="HJ125" s="28"/>
      <c r="HK125" s="28"/>
    </row>
    <row r="126" spans="1:219" ht="15" customHeight="1">
      <c r="A126" s="49">
        <v>1</v>
      </c>
      <c r="B126" s="132" t="str">
        <f>VLOOKUP(Ruimtestaat[[#This Row],[Code]],Locaties[[Code]:[Locatie]],2,FALSE)</f>
        <v>Mirtehuis</v>
      </c>
      <c r="C126" s="132" t="str">
        <f>VLOOKUP(Ruimtestaat[[#This Row],[Code]],Locaties[[#All],[Code]:[Adres]],4,FALSE)</f>
        <v>Weseperweg 6</v>
      </c>
      <c r="D126" s="132" t="str">
        <f>VLOOKUP(Ruimtestaat[[#This Row],[Code]],Locaties[[#All],[Code]:[Postcode]],5,FALSE)</f>
        <v>8111 PK</v>
      </c>
      <c r="E126" s="132" t="str">
        <f>VLOOKUP(Ruimtestaat[[#This Row],[Code]],Locaties[#All],6,FALSE)</f>
        <v>Heeten</v>
      </c>
      <c r="F126" s="100"/>
      <c r="G126" s="100" t="s">
        <v>1677</v>
      </c>
      <c r="H126" s="49">
        <v>11</v>
      </c>
      <c r="I126" s="140" t="s">
        <v>1650</v>
      </c>
      <c r="J126" s="49">
        <v>20</v>
      </c>
      <c r="K126" s="140" t="str">
        <f>VLOOKUP(Ruimtestaat[[#This Row],[Ruimte code]],Ruimtegroepen[[#All],[Code]:[Ruimte omschrijving]],2,FALSE)</f>
        <v>Niet in Onderhoud</v>
      </c>
      <c r="L126" s="100"/>
      <c r="M126" s="345"/>
      <c r="N126" s="133"/>
      <c r="O126" s="139"/>
      <c r="P126" s="134">
        <f>VLOOKUP(Ruimtestaat[[#This Row],[Ruimte code]],Ruimtegroepen[],4,FALSE)</f>
        <v>0</v>
      </c>
      <c r="Q126" s="100"/>
      <c r="R126" s="100"/>
      <c r="S126" s="100">
        <f>IF(Q126&gt;0,IF(RIGHT(Ruimtestaat[[#This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26" s="100">
        <f>IF(S126&gt;0,VLOOKUP($J126,Ruimtegroepen[],3,FALSE)*VLOOKUP($L126,Vloersoorten[],3,FALSE)*VLOOKUP($R126,Frequenties[],3,FALSE)*VLOOKUP($A126,Locaties[],3,FALSE),0)</f>
        <v>0</v>
      </c>
      <c r="U126" s="100">
        <f>Ruimtestaat[[#This Row],[Uitvoeringen werkdagen]]*Ruimtestaat[[#This Row],[Oppervlak (netto)]]</f>
        <v>0</v>
      </c>
      <c r="V126" s="135">
        <f>IF(T126&gt;0,Ruimtestaat[[#This Row],[Prest. (m2 /jaar) werkdagen]]/Ruimtestaat[[#This Row],[Norm (m2/uur) werkdagen]],0)</f>
        <v>0</v>
      </c>
      <c r="W126" s="136">
        <f>Ruimtestaat[[#This Row],[uren / jaar werkdagen]]*Tariefsopbouw!$E$35</f>
        <v>0</v>
      </c>
      <c r="X126" s="100"/>
      <c r="Y126" s="100">
        <f>IF(Ruimtestaat[[#This Row],[Frequentie weekend]]&gt;0,VALUE(LEFT(X126,1))*Q126,0)</f>
        <v>0</v>
      </c>
      <c r="Z126" s="99">
        <f>IF($Y126&gt;0,VLOOKUP($J126,Ruimtegroepen[],3,FALSE)*VLOOKUP($L126,Vloersoorten[],3,FALSE)*VLOOKUP($X126,Frequenties[],3,FALSE)*VLOOKUP(Ruimtestaat[[#This Row],[Code]],Locaties[],3,FALSE),0)</f>
        <v>0</v>
      </c>
      <c r="AA126" s="99">
        <f>Ruimtestaat[[#This Row],[Uitvoeringen weekend]]*Ruimtestaat[[#This Row],[Oppervlak (netto)]]</f>
        <v>0</v>
      </c>
      <c r="AB126" s="99">
        <f>IF(Z126&gt;0,Ruimtestaat[[#This Row],[Prest. (m2 /jaar) weekend]]/Ruimtestaat[[#This Row],[Norm (m2/uur) weekend]],0)</f>
        <v>0</v>
      </c>
      <c r="AC126" s="136">
        <f>Ruimtestaat[[#This Row],[uren / jaar weekend]]*Tariefsopbouw!$D$40</f>
        <v>0</v>
      </c>
      <c r="AD126" s="135">
        <f>Ruimtestaat[[#This Row],[Prest. (m2 /jaar) weekend]]+Ruimtestaat[[#This Row],[Prest. (m2 /jaar) werkdagen]]</f>
        <v>0</v>
      </c>
      <c r="AE126" s="135">
        <f>Ruimtestaat[[#This Row],[uren / jaar weekend]]+Ruimtestaat[[#This Row],[uren / jaar werkdagen]]</f>
        <v>0</v>
      </c>
      <c r="AF126" s="130">
        <f>Ruimtestaat[[#This Row],[kosten / jaar weekend]]+Ruimtestaat[[#This Row],[kosten / jaar werkdagen]]</f>
        <v>0</v>
      </c>
      <c r="AG126" s="130"/>
      <c r="AH126" s="137" t="str">
        <f>IF(Ruimtestaat[[#This Row],[Frequentie werkdagen]]="","",_xlfn.CONCAT(Ruimtestaat[[#This Row],[Ruimte code]],"-",Ruimtestaat[[#This Row],[Frequentie werkdagen]]," ",Ruimtestaat[[#This Row],[Vloer code]]))</f>
        <v/>
      </c>
      <c r="AI126" s="142" t="str">
        <f>_xlfn.IFNA(VLOOKUP($AH126,Programma!$F$3:$G$1101,2,0),"")</f>
        <v/>
      </c>
      <c r="AJ126" s="142" t="str">
        <f>_xlfn.IFNA(VLOOKUP($AH126,Programma!$F$3:$H$1101,3,0),"")</f>
        <v/>
      </c>
      <c r="AK126" s="142" t="str">
        <f>_xlfn.IFNA(VLOOKUP($AH126,Programma!$F$3:$I$1101,4,0),"")</f>
        <v/>
      </c>
      <c r="AL126" s="142" t="str">
        <f>_xlfn.IFNA(VLOOKUP($AH126,Programma!$F$3:$J$1101,5,0),"")</f>
        <v/>
      </c>
      <c r="AM126" s="142" t="str">
        <f>_xlfn.IFNA(VLOOKUP($AH126,Programma!$F$3:$K$1101,6,0),"")</f>
        <v/>
      </c>
      <c r="AN126" s="142" t="str">
        <f>_xlfn.IFNA(VLOOKUP($AH126,Programma!$F$3:$L$1101,7,0),"")</f>
        <v/>
      </c>
      <c r="AO126" s="142" t="str">
        <f>_xlfn.IFNA(VLOOKUP($AH126,Programma!$F$3:$M$1101,8,0),"")</f>
        <v/>
      </c>
      <c r="AP126" s="142" t="str">
        <f>_xlfn.IFNA(VLOOKUP($AH126,Programma!$F$3:$N$1101,9,0),"")</f>
        <v/>
      </c>
      <c r="AQ126" s="142" t="str">
        <f>_xlfn.IFNA(VLOOKUP($AH126,Programma!$F$3:$O$1101,10,0),"")</f>
        <v/>
      </c>
      <c r="AR126" s="142" t="str">
        <f>_xlfn.IFNA(VLOOKUP($AH126,Programma!$F$3:$P$1101,11,0),"")</f>
        <v/>
      </c>
      <c r="AS126" s="142" t="str">
        <f>_xlfn.IFNA(VLOOKUP($AH126,Programma!$F$3:$Q$1101,12,0),"")</f>
        <v/>
      </c>
      <c r="AT126" s="142" t="str">
        <f>_xlfn.IFNA(VLOOKUP($AH126,Programma!$F$3:$R$1101,13,0),"")</f>
        <v/>
      </c>
      <c r="AU126" s="142" t="str">
        <f>_xlfn.IFNA(VLOOKUP($AH126,Programma!$F$3:$S$1101,14,0),"")</f>
        <v/>
      </c>
      <c r="AV126" s="142" t="str">
        <f>_xlfn.IFNA(VLOOKUP($AH126,Programma!$F$3:$T$1101,15,0),"")</f>
        <v/>
      </c>
      <c r="AW126" s="142" t="str">
        <f>_xlfn.IFNA(VLOOKUP($AH126,Programma!$F$3:$U$1101,16,0),"")</f>
        <v/>
      </c>
      <c r="AX126" s="142" t="str">
        <f>_xlfn.IFNA(VLOOKUP($AH126,Programma!$F$3:$V$1101,17,0),"")</f>
        <v/>
      </c>
      <c r="AY126" s="142" t="str">
        <f>_xlfn.IFNA(VLOOKUP($AH126,Programma!$F$3:$W$1101,18,0),"")</f>
        <v/>
      </c>
      <c r="AZ126" s="142" t="str">
        <f>_xlfn.IFNA(VLOOKUP($AH126,Programma!$F$3:$X$1101,19,0),"")</f>
        <v/>
      </c>
      <c r="BA126" s="142" t="str">
        <f>_xlfn.IFNA(VLOOKUP($AH126,Programma!$F$3:$Y$1101,20,0),"")</f>
        <v/>
      </c>
      <c r="BB126" s="138"/>
      <c r="BC126" s="137" t="str">
        <f>IF(Ruimtestaat[[#This Row],[Frequentie weekend]]="","",_xlfn.CONCAT(Ruimtestaat[[#This Row],[Ruimte code]],"-",Ruimtestaat[[#This Row],[Frequentie weekend]]," ",Ruimtestaat[[#This Row],[Vloer code]]))</f>
        <v/>
      </c>
      <c r="BD126" s="142" t="str">
        <f>_xlfn.IFNA(VLOOKUP($BC126,Programma!$F$3:$G$1101,2,0),"")</f>
        <v/>
      </c>
      <c r="BE126" s="142" t="str">
        <f>_xlfn.IFNA(VLOOKUP($BC126,Programma!$F$3:$H$1101,3,0),"")</f>
        <v/>
      </c>
      <c r="BF126" s="142" t="str">
        <f>_xlfn.IFNA(VLOOKUP($BC126,Programma!$F$3:$I$1101,4,0),"")</f>
        <v/>
      </c>
      <c r="BG126" s="142" t="str">
        <f>_xlfn.IFNA(VLOOKUP($BC126,Programma!$F$3:$J$1101,5,0),"")</f>
        <v/>
      </c>
      <c r="BH126" s="142" t="str">
        <f>_xlfn.IFNA(VLOOKUP($BC126,Programma!$F$3:$K$1101,6,0),"")</f>
        <v/>
      </c>
      <c r="BI126" s="142" t="str">
        <f>_xlfn.IFNA(VLOOKUP($BC126,Programma!$F$3:$L$1101,7,0),"")</f>
        <v/>
      </c>
      <c r="BJ126" s="142" t="str">
        <f>_xlfn.IFNA(VLOOKUP($BC126,Programma!$F$3:$M$1101,8,0),"")</f>
        <v/>
      </c>
      <c r="BK126" s="142" t="str">
        <f>_xlfn.IFNA(VLOOKUP($BC126,Programma!$F$3:$N$1101,9,0),"")</f>
        <v/>
      </c>
      <c r="BL126" s="142" t="str">
        <f>_xlfn.IFNA(VLOOKUP($BC126,Programma!$F$3:$O$1101,10,0),"")</f>
        <v/>
      </c>
      <c r="BM126" s="142" t="str">
        <f>_xlfn.IFNA(VLOOKUP($BC126,Programma!$F$3:$P$1101,11,0),"")</f>
        <v/>
      </c>
      <c r="BN126" s="142" t="str">
        <f>_xlfn.IFNA(VLOOKUP($BC126,Programma!$F$3:$Q$1101,12,0),"")</f>
        <v/>
      </c>
      <c r="BO126" s="142" t="str">
        <f>_xlfn.IFNA(VLOOKUP($BC126,Programma!$F$3:$R$1101,13,0),"")</f>
        <v/>
      </c>
      <c r="BP126" s="142" t="str">
        <f>_xlfn.IFNA(VLOOKUP($BC126,Programma!$F$3:$S$1101,14,0),"")</f>
        <v/>
      </c>
      <c r="BQ126" s="142" t="str">
        <f>_xlfn.IFNA(VLOOKUP($BC126,Programma!$F$3:$T$1101,15,0),"")</f>
        <v/>
      </c>
      <c r="BR126" s="142" t="str">
        <f>_xlfn.IFNA(VLOOKUP($BC126,Programma!$F$3:$U$1101,16,0),"")</f>
        <v/>
      </c>
      <c r="BS126" s="142" t="str">
        <f>_xlfn.IFNA(VLOOKUP($BC126,Programma!$F$3:$V$1101,17,0),"")</f>
        <v/>
      </c>
      <c r="BT126" s="142" t="str">
        <f>_xlfn.IFNA(VLOOKUP($BC126,Programma!$F$3:$W$1101,18,0),"")</f>
        <v/>
      </c>
      <c r="BU126" s="142" t="str">
        <f>_xlfn.IFNA(VLOOKUP($BC126,Programma!$F$3:$X$1101,19,0),"")</f>
        <v/>
      </c>
      <c r="BV126" s="142" t="str">
        <f>_xlfn.IFNA(VLOOKUP($BC126,Programma!$F$3:$Y$1101,20,0),"")</f>
        <v/>
      </c>
      <c r="BW126" s="28"/>
      <c r="BX126" s="28"/>
      <c r="BY126" s="28"/>
      <c r="BZ126" s="28"/>
      <c r="CA126" s="28"/>
      <c r="CB126" s="28"/>
      <c r="CC126" s="28"/>
      <c r="CD126" s="28"/>
      <c r="CE126" s="28"/>
      <c r="CF126" s="28"/>
      <c r="CG126" s="28"/>
      <c r="CH126" s="28"/>
      <c r="CI126" s="28"/>
      <c r="CJ126" s="28"/>
      <c r="CK126" s="28"/>
      <c r="CL126" s="28"/>
      <c r="CM126" s="28"/>
      <c r="CN126" s="28"/>
      <c r="CO126" s="28"/>
      <c r="CP126" s="28"/>
      <c r="CQ126" s="28"/>
      <c r="CR126" s="28"/>
      <c r="CS126" s="28"/>
      <c r="CT126" s="28"/>
      <c r="CU126" s="28"/>
      <c r="CV126" s="28"/>
      <c r="CW126" s="28"/>
      <c r="CX126" s="28"/>
      <c r="CY126" s="28"/>
      <c r="CZ126" s="28"/>
      <c r="DA126" s="28"/>
      <c r="DB126" s="28"/>
      <c r="DC126" s="28"/>
      <c r="DD126" s="28"/>
      <c r="DE126" s="28"/>
      <c r="DF126" s="28"/>
      <c r="DG126" s="28"/>
      <c r="DH126" s="28"/>
      <c r="DI126" s="28"/>
      <c r="DJ126" s="28"/>
      <c r="DK126" s="28"/>
      <c r="DL126" s="28"/>
      <c r="DM126" s="28"/>
      <c r="DN126" s="28"/>
      <c r="DO126" s="28"/>
      <c r="DP126" s="28"/>
      <c r="DQ126" s="28"/>
      <c r="DR126" s="28"/>
      <c r="DS126" s="28"/>
      <c r="DT126" s="28"/>
      <c r="DU126" s="28"/>
      <c r="DV126" s="28"/>
      <c r="DW126" s="28"/>
      <c r="DX126" s="28"/>
      <c r="DY126" s="28"/>
      <c r="DZ126" s="28"/>
      <c r="EA126" s="28"/>
      <c r="EB126" s="28"/>
      <c r="EC126" s="28"/>
      <c r="ED126" s="28"/>
      <c r="EE126" s="28"/>
      <c r="EF126" s="28"/>
      <c r="EG126" s="28"/>
      <c r="EH126" s="28"/>
      <c r="EI126" s="28"/>
      <c r="EJ126" s="28"/>
      <c r="EK126" s="28"/>
      <c r="EL126" s="28"/>
      <c r="EM126" s="28"/>
      <c r="EN126" s="28"/>
      <c r="EO126" s="28"/>
      <c r="EP126" s="28"/>
      <c r="EQ126" s="28"/>
      <c r="ER126" s="28"/>
      <c r="ES126" s="28"/>
      <c r="ET126" s="28"/>
      <c r="EU126" s="28"/>
      <c r="EV126" s="28"/>
      <c r="EW126" s="28"/>
      <c r="EX126" s="28"/>
      <c r="EY126" s="28"/>
      <c r="EZ126" s="28"/>
      <c r="FA126" s="28"/>
      <c r="FB126" s="28"/>
      <c r="FC126" s="28"/>
      <c r="FD126" s="28"/>
      <c r="FE126" s="28"/>
      <c r="FF126" s="28"/>
      <c r="FG126" s="28"/>
      <c r="FH126" s="28"/>
      <c r="FI126" s="28"/>
      <c r="FJ126" s="28"/>
      <c r="FK126" s="28"/>
      <c r="FL126" s="28"/>
      <c r="FM126" s="28"/>
      <c r="FN126" s="28"/>
      <c r="FO126" s="28"/>
      <c r="FP126" s="28"/>
      <c r="FQ126" s="28"/>
      <c r="FR126" s="28"/>
      <c r="FS126" s="28"/>
      <c r="FT126" s="28"/>
      <c r="FU126" s="28"/>
      <c r="FV126" s="28"/>
      <c r="FW126" s="28"/>
      <c r="FX126" s="28"/>
      <c r="FY126" s="28"/>
      <c r="FZ126" s="28"/>
      <c r="GA126" s="28"/>
      <c r="GB126" s="28"/>
      <c r="GC126" s="28"/>
      <c r="GD126" s="28"/>
      <c r="GE126" s="28"/>
      <c r="GF126" s="28"/>
      <c r="GG126" s="28"/>
      <c r="GH126" s="28"/>
      <c r="GI126" s="28"/>
      <c r="GJ126" s="28"/>
      <c r="GK126" s="28"/>
      <c r="GL126" s="28"/>
      <c r="GM126" s="28"/>
      <c r="GN126" s="28"/>
      <c r="GO126" s="28"/>
      <c r="GP126" s="28"/>
      <c r="GQ126" s="28"/>
      <c r="GR126" s="28"/>
      <c r="GS126" s="28"/>
      <c r="GT126" s="28"/>
      <c r="GU126" s="28"/>
      <c r="GV126" s="28"/>
      <c r="GW126" s="28"/>
      <c r="GX126" s="28"/>
      <c r="GY126" s="28"/>
      <c r="GZ126" s="28"/>
      <c r="HA126" s="28"/>
      <c r="HB126" s="28"/>
      <c r="HC126" s="28"/>
      <c r="HD126" s="28"/>
      <c r="HE126" s="28"/>
      <c r="HF126" s="28"/>
      <c r="HG126" s="28"/>
      <c r="HH126" s="28"/>
      <c r="HI126" s="28"/>
      <c r="HJ126" s="28"/>
      <c r="HK126" s="28"/>
    </row>
    <row r="127" spans="1:219" ht="15" customHeight="1">
      <c r="A127" s="49">
        <v>1</v>
      </c>
      <c r="B127" s="132" t="str">
        <f>VLOOKUP(Ruimtestaat[[#This Row],[Code]],Locaties[[Code]:[Locatie]],2,FALSE)</f>
        <v>Mirtehuis</v>
      </c>
      <c r="C127" s="132" t="str">
        <f>VLOOKUP(Ruimtestaat[[#This Row],[Code]],Locaties[[#All],[Code]:[Adres]],4,FALSE)</f>
        <v>Weseperweg 6</v>
      </c>
      <c r="D127" s="132" t="str">
        <f>VLOOKUP(Ruimtestaat[[#This Row],[Code]],Locaties[[#All],[Code]:[Postcode]],5,FALSE)</f>
        <v>8111 PK</v>
      </c>
      <c r="E127" s="132" t="str">
        <f>VLOOKUP(Ruimtestaat[[#This Row],[Code]],Locaties[#All],6,FALSE)</f>
        <v>Heeten</v>
      </c>
      <c r="F127" s="100"/>
      <c r="G127" s="100" t="s">
        <v>1677</v>
      </c>
      <c r="I127" s="140" t="s">
        <v>1656</v>
      </c>
      <c r="J127" s="49">
        <v>20</v>
      </c>
      <c r="K127" s="140" t="str">
        <f>VLOOKUP(Ruimtestaat[[#This Row],[Ruimte code]],Ruimtegroepen[[#All],[Code]:[Ruimte omschrijving]],2,FALSE)</f>
        <v>Niet in Onderhoud</v>
      </c>
      <c r="L127" s="100"/>
      <c r="M127" s="345"/>
      <c r="N127" s="133"/>
      <c r="O127" s="100"/>
      <c r="P127" s="134">
        <f>VLOOKUP(Ruimtestaat[[#This Row],[Ruimte code]],Ruimtegroepen[],4,FALSE)</f>
        <v>0</v>
      </c>
      <c r="Q127" s="100"/>
      <c r="R127" s="100"/>
      <c r="S127" s="100">
        <f>IF(Q127&gt;0,IF(RIGHT(Ruimtestaat[[#This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27" s="100">
        <f>IF(S127&gt;0,VLOOKUP($J127,Ruimtegroepen[],3,FALSE)*VLOOKUP($L127,Vloersoorten[],3,FALSE)*VLOOKUP($R127,Frequenties[],3,FALSE)*VLOOKUP($A127,Locaties[],3,FALSE),0)</f>
        <v>0</v>
      </c>
      <c r="U127" s="100">
        <f>Ruimtestaat[[#This Row],[Uitvoeringen werkdagen]]*Ruimtestaat[[#This Row],[Oppervlak (netto)]]</f>
        <v>0</v>
      </c>
      <c r="V127" s="135">
        <f>IF(T127&gt;0,Ruimtestaat[[#This Row],[Prest. (m2 /jaar) werkdagen]]/Ruimtestaat[[#This Row],[Norm (m2/uur) werkdagen]],0)</f>
        <v>0</v>
      </c>
      <c r="W127" s="136">
        <f>Ruimtestaat[[#This Row],[uren / jaar werkdagen]]*Tariefsopbouw!$E$35</f>
        <v>0</v>
      </c>
      <c r="X127" s="100"/>
      <c r="Y127" s="100">
        <f>IF(Ruimtestaat[[#This Row],[Frequentie weekend]]&gt;0,VALUE(LEFT(X127,1))*Q127,0)</f>
        <v>0</v>
      </c>
      <c r="Z127" s="99">
        <f>IF($Y127&gt;0,VLOOKUP($J127,Ruimtegroepen[],3,FALSE)*VLOOKUP($L127,Vloersoorten[],3,FALSE)*VLOOKUP($X127,Frequenties[],3,FALSE)*VLOOKUP(Ruimtestaat[[#This Row],[Code]],Locaties[],3,FALSE),0)</f>
        <v>0</v>
      </c>
      <c r="AA127" s="99">
        <f>Ruimtestaat[[#This Row],[Uitvoeringen weekend]]*Ruimtestaat[[#This Row],[Oppervlak (netto)]]</f>
        <v>0</v>
      </c>
      <c r="AB127" s="99">
        <f>IF(Z127&gt;0,Ruimtestaat[[#This Row],[Prest. (m2 /jaar) weekend]]/Ruimtestaat[[#This Row],[Norm (m2/uur) weekend]],0)</f>
        <v>0</v>
      </c>
      <c r="AC127" s="136">
        <f>Ruimtestaat[[#This Row],[uren / jaar weekend]]*Tariefsopbouw!$D$40</f>
        <v>0</v>
      </c>
      <c r="AD127" s="135">
        <f>Ruimtestaat[[#This Row],[Prest. (m2 /jaar) weekend]]+Ruimtestaat[[#This Row],[Prest. (m2 /jaar) werkdagen]]</f>
        <v>0</v>
      </c>
      <c r="AE127" s="135">
        <f>Ruimtestaat[[#This Row],[uren / jaar weekend]]+Ruimtestaat[[#This Row],[uren / jaar werkdagen]]</f>
        <v>0</v>
      </c>
      <c r="AF127" s="130">
        <f>Ruimtestaat[[#This Row],[kosten / jaar weekend]]+Ruimtestaat[[#This Row],[kosten / jaar werkdagen]]</f>
        <v>0</v>
      </c>
      <c r="AG127" s="130"/>
      <c r="AH127" s="137" t="str">
        <f>IF(Ruimtestaat[[#This Row],[Frequentie werkdagen]]="","",_xlfn.CONCAT(Ruimtestaat[[#This Row],[Ruimte code]],"-",Ruimtestaat[[#This Row],[Frequentie werkdagen]]," ",Ruimtestaat[[#This Row],[Vloer code]]))</f>
        <v/>
      </c>
      <c r="AI127" s="142" t="str">
        <f>_xlfn.IFNA(VLOOKUP($AH127,Programma!$F$3:$G$1101,2,0),"")</f>
        <v/>
      </c>
      <c r="AJ127" s="142" t="str">
        <f>_xlfn.IFNA(VLOOKUP($AH127,Programma!$F$3:$H$1101,3,0),"")</f>
        <v/>
      </c>
      <c r="AK127" s="142" t="str">
        <f>_xlfn.IFNA(VLOOKUP($AH127,Programma!$F$3:$I$1101,4,0),"")</f>
        <v/>
      </c>
      <c r="AL127" s="142" t="str">
        <f>_xlfn.IFNA(VLOOKUP($AH127,Programma!$F$3:$J$1101,5,0),"")</f>
        <v/>
      </c>
      <c r="AM127" s="142" t="str">
        <f>_xlfn.IFNA(VLOOKUP($AH127,Programma!$F$3:$K$1101,6,0),"")</f>
        <v/>
      </c>
      <c r="AN127" s="142" t="str">
        <f>_xlfn.IFNA(VLOOKUP($AH127,Programma!$F$3:$L$1101,7,0),"")</f>
        <v/>
      </c>
      <c r="AO127" s="142" t="str">
        <f>_xlfn.IFNA(VLOOKUP($AH127,Programma!$F$3:$M$1101,8,0),"")</f>
        <v/>
      </c>
      <c r="AP127" s="142" t="str">
        <f>_xlfn.IFNA(VLOOKUP($AH127,Programma!$F$3:$N$1101,9,0),"")</f>
        <v/>
      </c>
      <c r="AQ127" s="142" t="str">
        <f>_xlfn.IFNA(VLOOKUP($AH127,Programma!$F$3:$O$1101,10,0),"")</f>
        <v/>
      </c>
      <c r="AR127" s="142" t="str">
        <f>_xlfn.IFNA(VLOOKUP($AH127,Programma!$F$3:$P$1101,11,0),"")</f>
        <v/>
      </c>
      <c r="AS127" s="142" t="str">
        <f>_xlfn.IFNA(VLOOKUP($AH127,Programma!$F$3:$Q$1101,12,0),"")</f>
        <v/>
      </c>
      <c r="AT127" s="142" t="str">
        <f>_xlfn.IFNA(VLOOKUP($AH127,Programma!$F$3:$R$1101,13,0),"")</f>
        <v/>
      </c>
      <c r="AU127" s="142" t="str">
        <f>_xlfn.IFNA(VLOOKUP($AH127,Programma!$F$3:$S$1101,14,0),"")</f>
        <v/>
      </c>
      <c r="AV127" s="142" t="str">
        <f>_xlfn.IFNA(VLOOKUP($AH127,Programma!$F$3:$T$1101,15,0),"")</f>
        <v/>
      </c>
      <c r="AW127" s="142" t="str">
        <f>_xlfn.IFNA(VLOOKUP($AH127,Programma!$F$3:$U$1101,16,0),"")</f>
        <v/>
      </c>
      <c r="AX127" s="142" t="str">
        <f>_xlfn.IFNA(VLOOKUP($AH127,Programma!$F$3:$V$1101,17,0),"")</f>
        <v/>
      </c>
      <c r="AY127" s="142" t="str">
        <f>_xlfn.IFNA(VLOOKUP($AH127,Programma!$F$3:$W$1101,18,0),"")</f>
        <v/>
      </c>
      <c r="AZ127" s="142" t="str">
        <f>_xlfn.IFNA(VLOOKUP($AH127,Programma!$F$3:$X$1101,19,0),"")</f>
        <v/>
      </c>
      <c r="BA127" s="142" t="str">
        <f>_xlfn.IFNA(VLOOKUP($AH127,Programma!$F$3:$Y$1101,20,0),"")</f>
        <v/>
      </c>
      <c r="BB127" s="138"/>
      <c r="BC127" s="137" t="str">
        <f>IF(Ruimtestaat[[#This Row],[Frequentie weekend]]="","",_xlfn.CONCAT(Ruimtestaat[[#This Row],[Ruimte code]],"-",Ruimtestaat[[#This Row],[Frequentie weekend]]," ",Ruimtestaat[[#This Row],[Vloer code]]))</f>
        <v/>
      </c>
      <c r="BD127" s="142" t="str">
        <f>_xlfn.IFNA(VLOOKUP($BC127,Programma!$F$3:$G$1101,2,0),"")</f>
        <v/>
      </c>
      <c r="BE127" s="142" t="str">
        <f>_xlfn.IFNA(VLOOKUP($BC127,Programma!$F$3:$H$1101,3,0),"")</f>
        <v/>
      </c>
      <c r="BF127" s="142" t="str">
        <f>_xlfn.IFNA(VLOOKUP($BC127,Programma!$F$3:$I$1101,4,0),"")</f>
        <v/>
      </c>
      <c r="BG127" s="142" t="str">
        <f>_xlfn.IFNA(VLOOKUP($BC127,Programma!$F$3:$J$1101,5,0),"")</f>
        <v/>
      </c>
      <c r="BH127" s="142" t="str">
        <f>_xlfn.IFNA(VLOOKUP($BC127,Programma!$F$3:$K$1101,6,0),"")</f>
        <v/>
      </c>
      <c r="BI127" s="142" t="str">
        <f>_xlfn.IFNA(VLOOKUP($BC127,Programma!$F$3:$L$1101,7,0),"")</f>
        <v/>
      </c>
      <c r="BJ127" s="142" t="str">
        <f>_xlfn.IFNA(VLOOKUP($BC127,Programma!$F$3:$M$1101,8,0),"")</f>
        <v/>
      </c>
      <c r="BK127" s="142" t="str">
        <f>_xlfn.IFNA(VLOOKUP($BC127,Programma!$F$3:$N$1101,9,0),"")</f>
        <v/>
      </c>
      <c r="BL127" s="142" t="str">
        <f>_xlfn.IFNA(VLOOKUP($BC127,Programma!$F$3:$O$1101,10,0),"")</f>
        <v/>
      </c>
      <c r="BM127" s="142" t="str">
        <f>_xlfn.IFNA(VLOOKUP($BC127,Programma!$F$3:$P$1101,11,0),"")</f>
        <v/>
      </c>
      <c r="BN127" s="142" t="str">
        <f>_xlfn.IFNA(VLOOKUP($BC127,Programma!$F$3:$Q$1101,12,0),"")</f>
        <v/>
      </c>
      <c r="BO127" s="142" t="str">
        <f>_xlfn.IFNA(VLOOKUP($BC127,Programma!$F$3:$R$1101,13,0),"")</f>
        <v/>
      </c>
      <c r="BP127" s="142" t="str">
        <f>_xlfn.IFNA(VLOOKUP($BC127,Programma!$F$3:$S$1101,14,0),"")</f>
        <v/>
      </c>
      <c r="BQ127" s="142" t="str">
        <f>_xlfn.IFNA(VLOOKUP($BC127,Programma!$F$3:$T$1101,15,0),"")</f>
        <v/>
      </c>
      <c r="BR127" s="142" t="str">
        <f>_xlfn.IFNA(VLOOKUP($BC127,Programma!$F$3:$U$1101,16,0),"")</f>
        <v/>
      </c>
      <c r="BS127" s="142" t="str">
        <f>_xlfn.IFNA(VLOOKUP($BC127,Programma!$F$3:$V$1101,17,0),"")</f>
        <v/>
      </c>
      <c r="BT127" s="142" t="str">
        <f>_xlfn.IFNA(VLOOKUP($BC127,Programma!$F$3:$W$1101,18,0),"")</f>
        <v/>
      </c>
      <c r="BU127" s="142" t="str">
        <f>_xlfn.IFNA(VLOOKUP($BC127,Programma!$F$3:$X$1101,19,0),"")</f>
        <v/>
      </c>
      <c r="BV127" s="142" t="str">
        <f>_xlfn.IFNA(VLOOKUP($BC127,Programma!$F$3:$Y$1101,20,0),"")</f>
        <v/>
      </c>
      <c r="BW127" s="28"/>
      <c r="BX127" s="28"/>
      <c r="BY127" s="28"/>
      <c r="BZ127" s="28"/>
      <c r="CA127" s="28"/>
      <c r="CB127" s="28"/>
      <c r="CC127" s="28"/>
      <c r="CD127" s="28"/>
      <c r="CE127" s="28"/>
      <c r="CF127" s="28"/>
      <c r="CG127" s="28"/>
      <c r="CH127" s="28"/>
      <c r="CI127" s="28"/>
      <c r="CJ127" s="28"/>
      <c r="CK127" s="28"/>
      <c r="CL127" s="28"/>
      <c r="CM127" s="28"/>
      <c r="CN127" s="28"/>
      <c r="CO127" s="28"/>
      <c r="CP127" s="28"/>
      <c r="CQ127" s="28"/>
      <c r="CR127" s="28"/>
      <c r="CS127" s="28"/>
      <c r="CT127" s="28"/>
      <c r="CU127" s="28"/>
      <c r="CV127" s="28"/>
      <c r="CW127" s="28"/>
      <c r="CX127" s="28"/>
      <c r="CY127" s="28"/>
      <c r="CZ127" s="28"/>
      <c r="DA127" s="28"/>
      <c r="DB127" s="28"/>
      <c r="DC127" s="28"/>
      <c r="DD127" s="28"/>
      <c r="DE127" s="28"/>
      <c r="DF127" s="28"/>
      <c r="DG127" s="28"/>
      <c r="DH127" s="28"/>
      <c r="DI127" s="28"/>
      <c r="DJ127" s="28"/>
      <c r="DK127" s="28"/>
      <c r="DL127" s="28"/>
      <c r="DM127" s="28"/>
      <c r="DN127" s="28"/>
      <c r="DO127" s="28"/>
      <c r="DP127" s="28"/>
      <c r="DQ127" s="28"/>
      <c r="DR127" s="28"/>
      <c r="DS127" s="28"/>
      <c r="DT127" s="28"/>
      <c r="DU127" s="28"/>
      <c r="DV127" s="28"/>
      <c r="DW127" s="28"/>
      <c r="DX127" s="28"/>
      <c r="DY127" s="28"/>
      <c r="DZ127" s="28"/>
      <c r="EA127" s="28"/>
      <c r="EB127" s="28"/>
      <c r="EC127" s="28"/>
      <c r="ED127" s="28"/>
      <c r="EE127" s="28"/>
      <c r="EF127" s="28"/>
      <c r="EG127" s="28"/>
      <c r="EH127" s="28"/>
      <c r="EI127" s="28"/>
      <c r="EJ127" s="28"/>
      <c r="EK127" s="28"/>
      <c r="EL127" s="28"/>
      <c r="EM127" s="28"/>
      <c r="EN127" s="28"/>
      <c r="EO127" s="28"/>
      <c r="EP127" s="28"/>
      <c r="EQ127" s="28"/>
      <c r="ER127" s="28"/>
      <c r="ES127" s="28"/>
      <c r="ET127" s="28"/>
      <c r="EU127" s="28"/>
      <c r="EV127" s="28"/>
      <c r="EW127" s="28"/>
      <c r="EX127" s="28"/>
      <c r="EY127" s="28"/>
      <c r="EZ127" s="28"/>
      <c r="FA127" s="28"/>
      <c r="FB127" s="28"/>
      <c r="FC127" s="28"/>
      <c r="FD127" s="28"/>
      <c r="FE127" s="28"/>
      <c r="FF127" s="28"/>
      <c r="FG127" s="28"/>
      <c r="FH127" s="28"/>
      <c r="FI127" s="28"/>
      <c r="FJ127" s="28"/>
      <c r="FK127" s="28"/>
      <c r="FL127" s="28"/>
      <c r="FM127" s="28"/>
      <c r="FN127" s="28"/>
      <c r="FO127" s="28"/>
      <c r="FP127" s="28"/>
      <c r="FQ127" s="28"/>
      <c r="FR127" s="28"/>
      <c r="FS127" s="28"/>
      <c r="FT127" s="28"/>
      <c r="FU127" s="28"/>
      <c r="FV127" s="28"/>
      <c r="FW127" s="28"/>
      <c r="FX127" s="28"/>
      <c r="FY127" s="28"/>
      <c r="FZ127" s="28"/>
      <c r="GA127" s="28"/>
      <c r="GB127" s="28"/>
      <c r="GC127" s="28"/>
      <c r="GD127" s="28"/>
      <c r="GE127" s="28"/>
      <c r="GF127" s="28"/>
      <c r="GG127" s="28"/>
      <c r="GH127" s="28"/>
      <c r="GI127" s="28"/>
      <c r="GJ127" s="28"/>
      <c r="GK127" s="28"/>
      <c r="GL127" s="28"/>
      <c r="GM127" s="28"/>
      <c r="GN127" s="28"/>
      <c r="GO127" s="28"/>
      <c r="GP127" s="28"/>
      <c r="GQ127" s="28"/>
      <c r="GR127" s="28"/>
      <c r="GS127" s="28"/>
      <c r="GT127" s="28"/>
      <c r="GU127" s="28"/>
      <c r="GV127" s="28"/>
      <c r="GW127" s="28"/>
      <c r="GX127" s="28"/>
      <c r="GY127" s="28"/>
      <c r="GZ127" s="28"/>
      <c r="HA127" s="28"/>
      <c r="HB127" s="28"/>
      <c r="HC127" s="28"/>
      <c r="HD127" s="28"/>
      <c r="HE127" s="28"/>
      <c r="HF127" s="28"/>
      <c r="HG127" s="28"/>
      <c r="HH127" s="28"/>
      <c r="HI127" s="28"/>
      <c r="HJ127" s="28"/>
      <c r="HK127" s="28"/>
    </row>
    <row r="128" spans="1:219" ht="15" customHeight="1">
      <c r="A128" s="49">
        <v>1</v>
      </c>
      <c r="B128" s="132" t="str">
        <f>VLOOKUP(Ruimtestaat[[#This Row],[Code]],Locaties[[Code]:[Locatie]],2,FALSE)</f>
        <v>Mirtehuis</v>
      </c>
      <c r="C128" s="132" t="str">
        <f>VLOOKUP(Ruimtestaat[[#This Row],[Code]],Locaties[[#All],[Code]:[Adres]],4,FALSE)</f>
        <v>Weseperweg 6</v>
      </c>
      <c r="D128" s="132" t="str">
        <f>VLOOKUP(Ruimtestaat[[#This Row],[Code]],Locaties[[#All],[Code]:[Postcode]],5,FALSE)</f>
        <v>8111 PK</v>
      </c>
      <c r="E128" s="132" t="str">
        <f>VLOOKUP(Ruimtestaat[[#This Row],[Code]],Locaties[#All],6,FALSE)</f>
        <v>Heeten</v>
      </c>
      <c r="F128" s="100"/>
      <c r="G128" s="100" t="s">
        <v>1677</v>
      </c>
      <c r="I128" s="140" t="s">
        <v>1668</v>
      </c>
      <c r="J128" s="49">
        <v>20</v>
      </c>
      <c r="K128" s="140" t="str">
        <f>VLOOKUP(Ruimtestaat[[#This Row],[Ruimte code]],Ruimtegroepen[[#All],[Code]:[Ruimte omschrijving]],2,FALSE)</f>
        <v>Niet in Onderhoud</v>
      </c>
      <c r="L128" s="100"/>
      <c r="M128" s="345"/>
      <c r="N128" s="133"/>
      <c r="O128" s="139"/>
      <c r="P128" s="134">
        <f>VLOOKUP(Ruimtestaat[[#This Row],[Ruimte code]],Ruimtegroepen[],4,FALSE)</f>
        <v>0</v>
      </c>
      <c r="Q128" s="100"/>
      <c r="R128" s="100"/>
      <c r="S128" s="100">
        <f>IF(Q128&gt;0,IF(RIGHT(Ruimtestaat[[#This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28" s="100">
        <f>IF(S128&gt;0,VLOOKUP($J128,Ruimtegroepen[],3,FALSE)*VLOOKUP($L128,Vloersoorten[],3,FALSE)*VLOOKUP($R128,Frequenties[],3,FALSE)*VLOOKUP($A128,Locaties[],3,FALSE),0)</f>
        <v>0</v>
      </c>
      <c r="U128" s="100">
        <f>Ruimtestaat[[#This Row],[Uitvoeringen werkdagen]]*Ruimtestaat[[#This Row],[Oppervlak (netto)]]</f>
        <v>0</v>
      </c>
      <c r="V128" s="135">
        <f>IF(T128&gt;0,Ruimtestaat[[#This Row],[Prest. (m2 /jaar) werkdagen]]/Ruimtestaat[[#This Row],[Norm (m2/uur) werkdagen]],0)</f>
        <v>0</v>
      </c>
      <c r="W128" s="136">
        <f>Ruimtestaat[[#This Row],[uren / jaar werkdagen]]*Tariefsopbouw!$E$35</f>
        <v>0</v>
      </c>
      <c r="X128" s="100"/>
      <c r="Y128" s="100">
        <f>IF(Ruimtestaat[[#This Row],[Frequentie weekend]]&gt;0,VALUE(LEFT(X128,1))*Q128,0)</f>
        <v>0</v>
      </c>
      <c r="Z128" s="99">
        <f>IF($Y128&gt;0,VLOOKUP($J128,Ruimtegroepen[],3,FALSE)*VLOOKUP($L128,Vloersoorten[],3,FALSE)*VLOOKUP($X128,Frequenties[],3,FALSE)*VLOOKUP(Ruimtestaat[[#This Row],[Code]],Locaties[],3,FALSE),0)</f>
        <v>0</v>
      </c>
      <c r="AA128" s="99">
        <f>Ruimtestaat[[#This Row],[Uitvoeringen weekend]]*Ruimtestaat[[#This Row],[Oppervlak (netto)]]</f>
        <v>0</v>
      </c>
      <c r="AB128" s="99">
        <f>IF(Z128&gt;0,Ruimtestaat[[#This Row],[Prest. (m2 /jaar) weekend]]/Ruimtestaat[[#This Row],[Norm (m2/uur) weekend]],0)</f>
        <v>0</v>
      </c>
      <c r="AC128" s="136">
        <f>Ruimtestaat[[#This Row],[uren / jaar weekend]]*Tariefsopbouw!$D$40</f>
        <v>0</v>
      </c>
      <c r="AD128" s="135">
        <f>Ruimtestaat[[#This Row],[Prest. (m2 /jaar) weekend]]+Ruimtestaat[[#This Row],[Prest. (m2 /jaar) werkdagen]]</f>
        <v>0</v>
      </c>
      <c r="AE128" s="135">
        <f>Ruimtestaat[[#This Row],[uren / jaar weekend]]+Ruimtestaat[[#This Row],[uren / jaar werkdagen]]</f>
        <v>0</v>
      </c>
      <c r="AF128" s="130">
        <f>Ruimtestaat[[#This Row],[kosten / jaar weekend]]+Ruimtestaat[[#This Row],[kosten / jaar werkdagen]]</f>
        <v>0</v>
      </c>
      <c r="AG128" s="130"/>
      <c r="AH128" s="137" t="str">
        <f>IF(Ruimtestaat[[#This Row],[Frequentie werkdagen]]="","",_xlfn.CONCAT(Ruimtestaat[[#This Row],[Ruimte code]],"-",Ruimtestaat[[#This Row],[Frequentie werkdagen]]," ",Ruimtestaat[[#This Row],[Vloer code]]))</f>
        <v/>
      </c>
      <c r="AI128" s="142" t="str">
        <f>_xlfn.IFNA(VLOOKUP($AH128,Programma!$F$3:$G$1101,2,0),"")</f>
        <v/>
      </c>
      <c r="AJ128" s="142" t="str">
        <f>_xlfn.IFNA(VLOOKUP($AH128,Programma!$F$3:$H$1101,3,0),"")</f>
        <v/>
      </c>
      <c r="AK128" s="142" t="str">
        <f>_xlfn.IFNA(VLOOKUP($AH128,Programma!$F$3:$I$1101,4,0),"")</f>
        <v/>
      </c>
      <c r="AL128" s="142" t="str">
        <f>_xlfn.IFNA(VLOOKUP($AH128,Programma!$F$3:$J$1101,5,0),"")</f>
        <v/>
      </c>
      <c r="AM128" s="142" t="str">
        <f>_xlfn.IFNA(VLOOKUP($AH128,Programma!$F$3:$K$1101,6,0),"")</f>
        <v/>
      </c>
      <c r="AN128" s="142" t="str">
        <f>_xlfn.IFNA(VLOOKUP($AH128,Programma!$F$3:$L$1101,7,0),"")</f>
        <v/>
      </c>
      <c r="AO128" s="142" t="str">
        <f>_xlfn.IFNA(VLOOKUP($AH128,Programma!$F$3:$M$1101,8,0),"")</f>
        <v/>
      </c>
      <c r="AP128" s="142" t="str">
        <f>_xlfn.IFNA(VLOOKUP($AH128,Programma!$F$3:$N$1101,9,0),"")</f>
        <v/>
      </c>
      <c r="AQ128" s="142" t="str">
        <f>_xlfn.IFNA(VLOOKUP($AH128,Programma!$F$3:$O$1101,10,0),"")</f>
        <v/>
      </c>
      <c r="AR128" s="142" t="str">
        <f>_xlfn.IFNA(VLOOKUP($AH128,Programma!$F$3:$P$1101,11,0),"")</f>
        <v/>
      </c>
      <c r="AS128" s="142" t="str">
        <f>_xlfn.IFNA(VLOOKUP($AH128,Programma!$F$3:$Q$1101,12,0),"")</f>
        <v/>
      </c>
      <c r="AT128" s="142" t="str">
        <f>_xlfn.IFNA(VLOOKUP($AH128,Programma!$F$3:$R$1101,13,0),"")</f>
        <v/>
      </c>
      <c r="AU128" s="142" t="str">
        <f>_xlfn.IFNA(VLOOKUP($AH128,Programma!$F$3:$S$1101,14,0),"")</f>
        <v/>
      </c>
      <c r="AV128" s="142" t="str">
        <f>_xlfn.IFNA(VLOOKUP($AH128,Programma!$F$3:$T$1101,15,0),"")</f>
        <v/>
      </c>
      <c r="AW128" s="142" t="str">
        <f>_xlfn.IFNA(VLOOKUP($AH128,Programma!$F$3:$U$1101,16,0),"")</f>
        <v/>
      </c>
      <c r="AX128" s="142" t="str">
        <f>_xlfn.IFNA(VLOOKUP($AH128,Programma!$F$3:$V$1101,17,0),"")</f>
        <v/>
      </c>
      <c r="AY128" s="142" t="str">
        <f>_xlfn.IFNA(VLOOKUP($AH128,Programma!$F$3:$W$1101,18,0),"")</f>
        <v/>
      </c>
      <c r="AZ128" s="142" t="str">
        <f>_xlfn.IFNA(VLOOKUP($AH128,Programma!$F$3:$X$1101,19,0),"")</f>
        <v/>
      </c>
      <c r="BA128" s="142" t="str">
        <f>_xlfn.IFNA(VLOOKUP($AH128,Programma!$F$3:$Y$1101,20,0),"")</f>
        <v/>
      </c>
      <c r="BB128" s="138"/>
      <c r="BC128" s="137" t="str">
        <f>IF(Ruimtestaat[[#This Row],[Frequentie weekend]]="","",_xlfn.CONCAT(Ruimtestaat[[#This Row],[Ruimte code]],"-",Ruimtestaat[[#This Row],[Frequentie weekend]]," ",Ruimtestaat[[#This Row],[Vloer code]]))</f>
        <v/>
      </c>
      <c r="BD128" s="142" t="str">
        <f>_xlfn.IFNA(VLOOKUP($BC128,Programma!$F$3:$G$1101,2,0),"")</f>
        <v/>
      </c>
      <c r="BE128" s="142" t="str">
        <f>_xlfn.IFNA(VLOOKUP($BC128,Programma!$F$3:$H$1101,3,0),"")</f>
        <v/>
      </c>
      <c r="BF128" s="142" t="str">
        <f>_xlfn.IFNA(VLOOKUP($BC128,Programma!$F$3:$I$1101,4,0),"")</f>
        <v/>
      </c>
      <c r="BG128" s="142" t="str">
        <f>_xlfn.IFNA(VLOOKUP($BC128,Programma!$F$3:$J$1101,5,0),"")</f>
        <v/>
      </c>
      <c r="BH128" s="142" t="str">
        <f>_xlfn.IFNA(VLOOKUP($BC128,Programma!$F$3:$K$1101,6,0),"")</f>
        <v/>
      </c>
      <c r="BI128" s="142" t="str">
        <f>_xlfn.IFNA(VLOOKUP($BC128,Programma!$F$3:$L$1101,7,0),"")</f>
        <v/>
      </c>
      <c r="BJ128" s="142" t="str">
        <f>_xlfn.IFNA(VLOOKUP($BC128,Programma!$F$3:$M$1101,8,0),"")</f>
        <v/>
      </c>
      <c r="BK128" s="142" t="str">
        <f>_xlfn.IFNA(VLOOKUP($BC128,Programma!$F$3:$N$1101,9,0),"")</f>
        <v/>
      </c>
      <c r="BL128" s="142" t="str">
        <f>_xlfn.IFNA(VLOOKUP($BC128,Programma!$F$3:$O$1101,10,0),"")</f>
        <v/>
      </c>
      <c r="BM128" s="142" t="str">
        <f>_xlfn.IFNA(VLOOKUP($BC128,Programma!$F$3:$P$1101,11,0),"")</f>
        <v/>
      </c>
      <c r="BN128" s="142" t="str">
        <f>_xlfn.IFNA(VLOOKUP($BC128,Programma!$F$3:$Q$1101,12,0),"")</f>
        <v/>
      </c>
      <c r="BO128" s="142" t="str">
        <f>_xlfn.IFNA(VLOOKUP($BC128,Programma!$F$3:$R$1101,13,0),"")</f>
        <v/>
      </c>
      <c r="BP128" s="142" t="str">
        <f>_xlfn.IFNA(VLOOKUP($BC128,Programma!$F$3:$S$1101,14,0),"")</f>
        <v/>
      </c>
      <c r="BQ128" s="142" t="str">
        <f>_xlfn.IFNA(VLOOKUP($BC128,Programma!$F$3:$T$1101,15,0),"")</f>
        <v/>
      </c>
      <c r="BR128" s="142" t="str">
        <f>_xlfn.IFNA(VLOOKUP($BC128,Programma!$F$3:$U$1101,16,0),"")</f>
        <v/>
      </c>
      <c r="BS128" s="142" t="str">
        <f>_xlfn.IFNA(VLOOKUP($BC128,Programma!$F$3:$V$1101,17,0),"")</f>
        <v/>
      </c>
      <c r="BT128" s="142" t="str">
        <f>_xlfn.IFNA(VLOOKUP($BC128,Programma!$F$3:$W$1101,18,0),"")</f>
        <v/>
      </c>
      <c r="BU128" s="142" t="str">
        <f>_xlfn.IFNA(VLOOKUP($BC128,Programma!$F$3:$X$1101,19,0),"")</f>
        <v/>
      </c>
      <c r="BV128" s="142" t="str">
        <f>_xlfn.IFNA(VLOOKUP($BC128,Programma!$F$3:$Y$1101,20,0),"")</f>
        <v/>
      </c>
      <c r="BW128" s="28"/>
      <c r="BX128" s="28"/>
      <c r="BY128" s="28"/>
      <c r="BZ128" s="28"/>
      <c r="CA128" s="28"/>
      <c r="CB128" s="28"/>
      <c r="CC128" s="28"/>
      <c r="CD128" s="28"/>
      <c r="CE128" s="28"/>
      <c r="CF128" s="28"/>
      <c r="CG128" s="28"/>
      <c r="CH128" s="28"/>
      <c r="CI128" s="28"/>
      <c r="CJ128" s="28"/>
      <c r="CK128" s="28"/>
      <c r="CL128" s="28"/>
      <c r="CM128" s="28"/>
      <c r="CN128" s="28"/>
      <c r="CO128" s="28"/>
      <c r="CP128" s="28"/>
      <c r="CQ128" s="28"/>
      <c r="CR128" s="28"/>
      <c r="CS128" s="28"/>
      <c r="CT128" s="28"/>
      <c r="CU128" s="28"/>
      <c r="CV128" s="28"/>
      <c r="CW128" s="28"/>
      <c r="CX128" s="28"/>
      <c r="CY128" s="28"/>
      <c r="CZ128" s="28"/>
      <c r="DA128" s="28"/>
      <c r="DB128" s="28"/>
      <c r="DC128" s="28"/>
      <c r="DD128" s="28"/>
      <c r="DE128" s="28"/>
      <c r="DF128" s="28"/>
      <c r="DG128" s="28"/>
      <c r="DH128" s="28"/>
      <c r="DI128" s="28"/>
      <c r="DJ128" s="28"/>
      <c r="DK128" s="28"/>
      <c r="DL128" s="28"/>
      <c r="DM128" s="28"/>
      <c r="DN128" s="28"/>
      <c r="DO128" s="28"/>
      <c r="DP128" s="28"/>
      <c r="DQ128" s="28"/>
      <c r="DR128" s="28"/>
      <c r="DS128" s="28"/>
      <c r="DT128" s="28"/>
      <c r="DU128" s="28"/>
      <c r="DV128" s="28"/>
      <c r="DW128" s="28"/>
      <c r="DX128" s="28"/>
      <c r="DY128" s="28"/>
      <c r="DZ128" s="28"/>
      <c r="EA128" s="28"/>
      <c r="EB128" s="28"/>
      <c r="EC128" s="28"/>
      <c r="ED128" s="28"/>
      <c r="EE128" s="28"/>
      <c r="EF128" s="28"/>
      <c r="EG128" s="28"/>
      <c r="EH128" s="28"/>
      <c r="EI128" s="28"/>
      <c r="EJ128" s="28"/>
      <c r="EK128" s="28"/>
      <c r="EL128" s="28"/>
      <c r="EM128" s="28"/>
      <c r="EN128" s="28"/>
      <c r="EO128" s="28"/>
      <c r="EP128" s="28"/>
      <c r="EQ128" s="28"/>
      <c r="ER128" s="28"/>
      <c r="ES128" s="28"/>
      <c r="ET128" s="28"/>
      <c r="EU128" s="28"/>
      <c r="EV128" s="28"/>
      <c r="EW128" s="28"/>
      <c r="EX128" s="28"/>
      <c r="EY128" s="28"/>
      <c r="EZ128" s="28"/>
      <c r="FA128" s="28"/>
      <c r="FB128" s="28"/>
      <c r="FC128" s="28"/>
      <c r="FD128" s="28"/>
      <c r="FE128" s="28"/>
      <c r="FF128" s="28"/>
      <c r="FG128" s="28"/>
      <c r="FH128" s="28"/>
      <c r="FI128" s="28"/>
      <c r="FJ128" s="28"/>
      <c r="FK128" s="28"/>
      <c r="FL128" s="28"/>
      <c r="FM128" s="28"/>
      <c r="FN128" s="28"/>
      <c r="FO128" s="28"/>
      <c r="FP128" s="28"/>
      <c r="FQ128" s="28"/>
      <c r="FR128" s="28"/>
      <c r="FS128" s="28"/>
      <c r="FT128" s="28"/>
      <c r="FU128" s="28"/>
      <c r="FV128" s="28"/>
      <c r="FW128" s="28"/>
      <c r="FX128" s="28"/>
      <c r="FY128" s="28"/>
      <c r="FZ128" s="28"/>
      <c r="GA128" s="28"/>
      <c r="GB128" s="28"/>
      <c r="GC128" s="28"/>
      <c r="GD128" s="28"/>
      <c r="GE128" s="28"/>
      <c r="GF128" s="28"/>
      <c r="GG128" s="28"/>
      <c r="GH128" s="28"/>
      <c r="GI128" s="28"/>
      <c r="GJ128" s="28"/>
      <c r="GK128" s="28"/>
      <c r="GL128" s="28"/>
      <c r="GM128" s="28"/>
      <c r="GN128" s="28"/>
      <c r="GO128" s="28"/>
      <c r="GP128" s="28"/>
      <c r="GQ128" s="28"/>
      <c r="GR128" s="28"/>
      <c r="GS128" s="28"/>
      <c r="GT128" s="28"/>
      <c r="GU128" s="28"/>
      <c r="GV128" s="28"/>
      <c r="GW128" s="28"/>
      <c r="GX128" s="28"/>
      <c r="GY128" s="28"/>
      <c r="GZ128" s="28"/>
      <c r="HA128" s="28"/>
      <c r="HB128" s="28"/>
      <c r="HC128" s="28"/>
      <c r="HD128" s="28"/>
      <c r="HE128" s="28"/>
      <c r="HF128" s="28"/>
      <c r="HG128" s="28"/>
      <c r="HH128" s="28"/>
      <c r="HI128" s="28"/>
      <c r="HJ128" s="28"/>
      <c r="HK128" s="28"/>
    </row>
    <row r="129" spans="1:219" ht="15" customHeight="1">
      <c r="A129" s="49">
        <v>1</v>
      </c>
      <c r="B129" s="132" t="str">
        <f>VLOOKUP(Ruimtestaat[[#This Row],[Code]],Locaties[[Code]:[Locatie]],2,FALSE)</f>
        <v>Mirtehuis</v>
      </c>
      <c r="C129" s="132" t="str">
        <f>VLOOKUP(Ruimtestaat[[#This Row],[Code]],Locaties[[#All],[Code]:[Adres]],4,FALSE)</f>
        <v>Weseperweg 6</v>
      </c>
      <c r="D129" s="132" t="str">
        <f>VLOOKUP(Ruimtestaat[[#This Row],[Code]],Locaties[[#All],[Code]:[Postcode]],5,FALSE)</f>
        <v>8111 PK</v>
      </c>
      <c r="E129" s="132" t="str">
        <f>VLOOKUP(Ruimtestaat[[#This Row],[Code]],Locaties[#All],6,FALSE)</f>
        <v>Heeten</v>
      </c>
      <c r="F129" s="100"/>
      <c r="G129" s="100" t="s">
        <v>1677</v>
      </c>
      <c r="H129" s="100"/>
      <c r="I129" s="140" t="s">
        <v>1656</v>
      </c>
      <c r="J129" s="100">
        <v>20</v>
      </c>
      <c r="K129" s="129" t="str">
        <f>VLOOKUP(Ruimtestaat[[#This Row],[Ruimte code]],Ruimtegroepen[[#All],[Code]:[Ruimte omschrijving]],2,FALSE)</f>
        <v>Niet in Onderhoud</v>
      </c>
      <c r="L129" s="100"/>
      <c r="M129" s="345"/>
      <c r="N129" s="133"/>
      <c r="O129" s="139"/>
      <c r="P129" s="134">
        <f>VLOOKUP(Ruimtestaat[[#This Row],[Ruimte code]],Ruimtegroepen[],4,FALSE)</f>
        <v>0</v>
      </c>
      <c r="Q129" s="100"/>
      <c r="R129" s="100"/>
      <c r="S129" s="100">
        <f>IF(Q129&gt;0,IF(RIGHT(Ruimtestaat[[#This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29" s="100">
        <f>IF(S129&gt;0,VLOOKUP($J129,Ruimtegroepen[],3,FALSE)*VLOOKUP($L129,Vloersoorten[],3,FALSE)*VLOOKUP($R129,Frequenties[],3,FALSE)*VLOOKUP($A129,Locaties[],3,FALSE),0)</f>
        <v>0</v>
      </c>
      <c r="U129" s="100">
        <f>Ruimtestaat[[#This Row],[Uitvoeringen werkdagen]]*Ruimtestaat[[#This Row],[Oppervlak (netto)]]</f>
        <v>0</v>
      </c>
      <c r="V129" s="135">
        <f>IF(T129&gt;0,Ruimtestaat[[#This Row],[Prest. (m2 /jaar) werkdagen]]/Ruimtestaat[[#This Row],[Norm (m2/uur) werkdagen]],0)</f>
        <v>0</v>
      </c>
      <c r="W129" s="136">
        <f>Ruimtestaat[[#This Row],[uren / jaar werkdagen]]*Tariefsopbouw!$E$35</f>
        <v>0</v>
      </c>
      <c r="X129" s="100"/>
      <c r="Y129" s="100">
        <f>IF(Ruimtestaat[[#This Row],[Frequentie weekend]]&gt;0,VALUE(LEFT(X129,1))*Q129,0)</f>
        <v>0</v>
      </c>
      <c r="Z129" s="99">
        <f>IF($Y129&gt;0,VLOOKUP($J129,Ruimtegroepen[],3,FALSE)*VLOOKUP($L129,Vloersoorten[],3,FALSE)*VLOOKUP($X129,Frequenties[],3,FALSE)*VLOOKUP(Ruimtestaat[[#This Row],[Code]],Locaties[],3,FALSE),0)</f>
        <v>0</v>
      </c>
      <c r="AA129" s="99">
        <f>Ruimtestaat[[#This Row],[Uitvoeringen weekend]]*Ruimtestaat[[#This Row],[Oppervlak (netto)]]</f>
        <v>0</v>
      </c>
      <c r="AB129" s="99">
        <f>IF(Z129&gt;0,Ruimtestaat[[#This Row],[Prest. (m2 /jaar) weekend]]/Ruimtestaat[[#This Row],[Norm (m2/uur) weekend]],0)</f>
        <v>0</v>
      </c>
      <c r="AC129" s="136">
        <f>Ruimtestaat[[#This Row],[uren / jaar weekend]]*Tariefsopbouw!$D$40</f>
        <v>0</v>
      </c>
      <c r="AD129" s="135">
        <f>Ruimtestaat[[#This Row],[Prest. (m2 /jaar) weekend]]+Ruimtestaat[[#This Row],[Prest. (m2 /jaar) werkdagen]]</f>
        <v>0</v>
      </c>
      <c r="AE129" s="135">
        <f>Ruimtestaat[[#This Row],[uren / jaar weekend]]+Ruimtestaat[[#This Row],[uren / jaar werkdagen]]</f>
        <v>0</v>
      </c>
      <c r="AF129" s="130">
        <f>Ruimtestaat[[#This Row],[kosten / jaar weekend]]+Ruimtestaat[[#This Row],[kosten / jaar werkdagen]]</f>
        <v>0</v>
      </c>
      <c r="AG129" s="130"/>
      <c r="AH129" s="137" t="str">
        <f>IF(Ruimtestaat[[#This Row],[Frequentie werkdagen]]="","",_xlfn.CONCAT(Ruimtestaat[[#This Row],[Ruimte code]],"-",Ruimtestaat[[#This Row],[Frequentie werkdagen]]," ",Ruimtestaat[[#This Row],[Vloer code]]))</f>
        <v/>
      </c>
      <c r="AI129" s="142" t="str">
        <f>_xlfn.IFNA(VLOOKUP($AH129,Programma!$F$3:$G$1101,2,0),"")</f>
        <v/>
      </c>
      <c r="AJ129" s="142" t="str">
        <f>_xlfn.IFNA(VLOOKUP($AH129,Programma!$F$3:$H$1101,3,0),"")</f>
        <v/>
      </c>
      <c r="AK129" s="142" t="str">
        <f>_xlfn.IFNA(VLOOKUP($AH129,Programma!$F$3:$I$1101,4,0),"")</f>
        <v/>
      </c>
      <c r="AL129" s="142" t="str">
        <f>_xlfn.IFNA(VLOOKUP($AH129,Programma!$F$3:$J$1101,5,0),"")</f>
        <v/>
      </c>
      <c r="AM129" s="142" t="str">
        <f>_xlfn.IFNA(VLOOKUP($AH129,Programma!$F$3:$K$1101,6,0),"")</f>
        <v/>
      </c>
      <c r="AN129" s="142" t="str">
        <f>_xlfn.IFNA(VLOOKUP($AH129,Programma!$F$3:$L$1101,7,0),"")</f>
        <v/>
      </c>
      <c r="AO129" s="142" t="str">
        <f>_xlfn.IFNA(VLOOKUP($AH129,Programma!$F$3:$M$1101,8,0),"")</f>
        <v/>
      </c>
      <c r="AP129" s="142" t="str">
        <f>_xlfn.IFNA(VLOOKUP($AH129,Programma!$F$3:$N$1101,9,0),"")</f>
        <v/>
      </c>
      <c r="AQ129" s="142" t="str">
        <f>_xlfn.IFNA(VLOOKUP($AH129,Programma!$F$3:$O$1101,10,0),"")</f>
        <v/>
      </c>
      <c r="AR129" s="142" t="str">
        <f>_xlfn.IFNA(VLOOKUP($AH129,Programma!$F$3:$P$1101,11,0),"")</f>
        <v/>
      </c>
      <c r="AS129" s="142" t="str">
        <f>_xlfn.IFNA(VLOOKUP($AH129,Programma!$F$3:$Q$1101,12,0),"")</f>
        <v/>
      </c>
      <c r="AT129" s="142" t="str">
        <f>_xlfn.IFNA(VLOOKUP($AH129,Programma!$F$3:$R$1101,13,0),"")</f>
        <v/>
      </c>
      <c r="AU129" s="142" t="str">
        <f>_xlfn.IFNA(VLOOKUP($AH129,Programma!$F$3:$S$1101,14,0),"")</f>
        <v/>
      </c>
      <c r="AV129" s="142" t="str">
        <f>_xlfn.IFNA(VLOOKUP($AH129,Programma!$F$3:$T$1101,15,0),"")</f>
        <v/>
      </c>
      <c r="AW129" s="142" t="str">
        <f>_xlfn.IFNA(VLOOKUP($AH129,Programma!$F$3:$U$1101,16,0),"")</f>
        <v/>
      </c>
      <c r="AX129" s="142" t="str">
        <f>_xlfn.IFNA(VLOOKUP($AH129,Programma!$F$3:$V$1101,17,0),"")</f>
        <v/>
      </c>
      <c r="AY129" s="142" t="str">
        <f>_xlfn.IFNA(VLOOKUP($AH129,Programma!$F$3:$W$1101,18,0),"")</f>
        <v/>
      </c>
      <c r="AZ129" s="142" t="str">
        <f>_xlfn.IFNA(VLOOKUP($AH129,Programma!$F$3:$X$1101,19,0),"")</f>
        <v/>
      </c>
      <c r="BA129" s="142" t="str">
        <f>_xlfn.IFNA(VLOOKUP($AH129,Programma!$F$3:$Y$1101,20,0),"")</f>
        <v/>
      </c>
      <c r="BB129" s="138"/>
      <c r="BC129" s="137" t="str">
        <f>IF(Ruimtestaat[[#This Row],[Frequentie weekend]]="","",_xlfn.CONCAT(Ruimtestaat[[#This Row],[Ruimte code]],"-",Ruimtestaat[[#This Row],[Frequentie weekend]]," ",Ruimtestaat[[#This Row],[Vloer code]]))</f>
        <v/>
      </c>
      <c r="BD129" s="142" t="str">
        <f>_xlfn.IFNA(VLOOKUP($BC129,Programma!$F$3:$G$1101,2,0),"")</f>
        <v/>
      </c>
      <c r="BE129" s="142" t="str">
        <f>_xlfn.IFNA(VLOOKUP($BC129,Programma!$F$3:$H$1101,3,0),"")</f>
        <v/>
      </c>
      <c r="BF129" s="142" t="str">
        <f>_xlfn.IFNA(VLOOKUP($BC129,Programma!$F$3:$I$1101,4,0),"")</f>
        <v/>
      </c>
      <c r="BG129" s="142" t="str">
        <f>_xlfn.IFNA(VLOOKUP($BC129,Programma!$F$3:$J$1101,5,0),"")</f>
        <v/>
      </c>
      <c r="BH129" s="142" t="str">
        <f>_xlfn.IFNA(VLOOKUP($BC129,Programma!$F$3:$K$1101,6,0),"")</f>
        <v/>
      </c>
      <c r="BI129" s="142" t="str">
        <f>_xlfn.IFNA(VLOOKUP($BC129,Programma!$F$3:$L$1101,7,0),"")</f>
        <v/>
      </c>
      <c r="BJ129" s="142" t="str">
        <f>_xlfn.IFNA(VLOOKUP($BC129,Programma!$F$3:$M$1101,8,0),"")</f>
        <v/>
      </c>
      <c r="BK129" s="142" t="str">
        <f>_xlfn.IFNA(VLOOKUP($BC129,Programma!$F$3:$N$1101,9,0),"")</f>
        <v/>
      </c>
      <c r="BL129" s="142" t="str">
        <f>_xlfn.IFNA(VLOOKUP($BC129,Programma!$F$3:$O$1101,10,0),"")</f>
        <v/>
      </c>
      <c r="BM129" s="142" t="str">
        <f>_xlfn.IFNA(VLOOKUP($BC129,Programma!$F$3:$P$1101,11,0),"")</f>
        <v/>
      </c>
      <c r="BN129" s="142" t="str">
        <f>_xlfn.IFNA(VLOOKUP($BC129,Programma!$F$3:$Q$1101,12,0),"")</f>
        <v/>
      </c>
      <c r="BO129" s="142" t="str">
        <f>_xlfn.IFNA(VLOOKUP($BC129,Programma!$F$3:$R$1101,13,0),"")</f>
        <v/>
      </c>
      <c r="BP129" s="142" t="str">
        <f>_xlfn.IFNA(VLOOKUP($BC129,Programma!$F$3:$S$1101,14,0),"")</f>
        <v/>
      </c>
      <c r="BQ129" s="142" t="str">
        <f>_xlfn.IFNA(VLOOKUP($BC129,Programma!$F$3:$T$1101,15,0),"")</f>
        <v/>
      </c>
      <c r="BR129" s="142" t="str">
        <f>_xlfn.IFNA(VLOOKUP($BC129,Programma!$F$3:$U$1101,16,0),"")</f>
        <v/>
      </c>
      <c r="BS129" s="142" t="str">
        <f>_xlfn.IFNA(VLOOKUP($BC129,Programma!$F$3:$V$1101,17,0),"")</f>
        <v/>
      </c>
      <c r="BT129" s="142" t="str">
        <f>_xlfn.IFNA(VLOOKUP($BC129,Programma!$F$3:$W$1101,18,0),"")</f>
        <v/>
      </c>
      <c r="BU129" s="142" t="str">
        <f>_xlfn.IFNA(VLOOKUP($BC129,Programma!$F$3:$X$1101,19,0),"")</f>
        <v/>
      </c>
      <c r="BV129" s="142" t="str">
        <f>_xlfn.IFNA(VLOOKUP($BC129,Programma!$F$3:$Y$1101,20,0),"")</f>
        <v/>
      </c>
      <c r="BW129" s="28"/>
      <c r="BX129" s="28"/>
      <c r="BY129" s="28"/>
      <c r="BZ129" s="28"/>
      <c r="CA129" s="28"/>
      <c r="CB129" s="28"/>
      <c r="CC129" s="28"/>
      <c r="CD129" s="28"/>
      <c r="CE129" s="28"/>
      <c r="CF129" s="28"/>
      <c r="CG129" s="28"/>
      <c r="CH129" s="28"/>
      <c r="CI129" s="28"/>
      <c r="CJ129" s="28"/>
      <c r="CK129" s="28"/>
      <c r="CL129" s="28"/>
      <c r="CM129" s="28"/>
      <c r="CN129" s="28"/>
      <c r="CO129" s="28"/>
      <c r="CP129" s="28"/>
      <c r="CQ129" s="28"/>
      <c r="CR129" s="28"/>
      <c r="CS129" s="28"/>
      <c r="CT129" s="28"/>
      <c r="CU129" s="28"/>
      <c r="CV129" s="28"/>
      <c r="CW129" s="28"/>
      <c r="CX129" s="28"/>
      <c r="CY129" s="28"/>
      <c r="CZ129" s="28"/>
      <c r="DA129" s="28"/>
      <c r="DB129" s="28"/>
      <c r="DC129" s="28"/>
      <c r="DD129" s="28"/>
      <c r="DE129" s="28"/>
      <c r="DF129" s="28"/>
      <c r="DG129" s="28"/>
      <c r="DH129" s="28"/>
      <c r="DI129" s="28"/>
      <c r="DJ129" s="28"/>
      <c r="DK129" s="28"/>
      <c r="DL129" s="28"/>
      <c r="DM129" s="28"/>
      <c r="DN129" s="28"/>
      <c r="DO129" s="28"/>
      <c r="DP129" s="28"/>
      <c r="DQ129" s="28"/>
      <c r="DR129" s="28"/>
      <c r="DS129" s="28"/>
      <c r="DT129" s="28"/>
      <c r="DU129" s="28"/>
      <c r="DV129" s="28"/>
      <c r="DW129" s="28"/>
      <c r="DX129" s="28"/>
      <c r="DY129" s="28"/>
      <c r="DZ129" s="28"/>
      <c r="EA129" s="28"/>
      <c r="EB129" s="28"/>
      <c r="EC129" s="28"/>
      <c r="ED129" s="28"/>
      <c r="EE129" s="28"/>
      <c r="EF129" s="28"/>
      <c r="EG129" s="28"/>
      <c r="EH129" s="28"/>
      <c r="EI129" s="28"/>
      <c r="EJ129" s="28"/>
      <c r="EK129" s="28"/>
      <c r="EL129" s="28"/>
      <c r="EM129" s="28"/>
      <c r="EN129" s="28"/>
      <c r="EO129" s="28"/>
      <c r="EP129" s="28"/>
      <c r="EQ129" s="28"/>
      <c r="ER129" s="28"/>
      <c r="ES129" s="28"/>
      <c r="ET129" s="28"/>
      <c r="EU129" s="28"/>
      <c r="EV129" s="28"/>
      <c r="EW129" s="28"/>
      <c r="EX129" s="28"/>
      <c r="EY129" s="28"/>
      <c r="EZ129" s="28"/>
      <c r="FA129" s="28"/>
      <c r="FB129" s="28"/>
      <c r="FC129" s="28"/>
      <c r="FD129" s="28"/>
      <c r="FE129" s="28"/>
      <c r="FF129" s="28"/>
      <c r="FG129" s="28"/>
      <c r="FH129" s="28"/>
      <c r="FI129" s="28"/>
      <c r="FJ129" s="28"/>
      <c r="FK129" s="28"/>
      <c r="FL129" s="28"/>
      <c r="FM129" s="28"/>
      <c r="FN129" s="28"/>
      <c r="FO129" s="28"/>
      <c r="FP129" s="28"/>
      <c r="FQ129" s="28"/>
      <c r="FR129" s="28"/>
      <c r="FS129" s="28"/>
      <c r="FT129" s="28"/>
      <c r="FU129" s="28"/>
      <c r="FV129" s="28"/>
      <c r="FW129" s="28"/>
      <c r="FX129" s="28"/>
      <c r="FY129" s="28"/>
      <c r="FZ129" s="28"/>
      <c r="GA129" s="28"/>
      <c r="GB129" s="28"/>
      <c r="GC129" s="28"/>
      <c r="GD129" s="28"/>
      <c r="GE129" s="28"/>
      <c r="GF129" s="28"/>
      <c r="GG129" s="28"/>
      <c r="GH129" s="28"/>
      <c r="GI129" s="28"/>
      <c r="GJ129" s="28"/>
      <c r="GK129" s="28"/>
      <c r="GL129" s="28"/>
      <c r="GM129" s="28"/>
      <c r="GN129" s="28"/>
      <c r="GO129" s="28"/>
      <c r="GP129" s="28"/>
      <c r="GQ129" s="28"/>
      <c r="GR129" s="28"/>
      <c r="GS129" s="28"/>
      <c r="GT129" s="28"/>
      <c r="GU129" s="28"/>
      <c r="GV129" s="28"/>
      <c r="GW129" s="28"/>
      <c r="GX129" s="28"/>
      <c r="GY129" s="28"/>
      <c r="GZ129" s="28"/>
      <c r="HA129" s="28"/>
      <c r="HB129" s="28"/>
      <c r="HC129" s="28"/>
      <c r="HD129" s="28"/>
      <c r="HE129" s="28"/>
      <c r="HF129" s="28"/>
      <c r="HG129" s="28"/>
      <c r="HH129" s="28"/>
      <c r="HI129" s="28"/>
      <c r="HJ129" s="28"/>
      <c r="HK129" s="28"/>
    </row>
    <row r="130" spans="1:219" ht="15" customHeight="1">
      <c r="A130" s="49">
        <v>1</v>
      </c>
      <c r="B130" s="132" t="str">
        <f>VLOOKUP(Ruimtestaat[[#This Row],[Code]],Locaties[[Code]:[Locatie]],2,FALSE)</f>
        <v>Mirtehuis</v>
      </c>
      <c r="C130" s="132" t="str">
        <f>VLOOKUP(Ruimtestaat[[#This Row],[Code]],Locaties[[#All],[Code]:[Adres]],4,FALSE)</f>
        <v>Weseperweg 6</v>
      </c>
      <c r="D130" s="132" t="str">
        <f>VLOOKUP(Ruimtestaat[[#This Row],[Code]],Locaties[[#All],[Code]:[Postcode]],5,FALSE)</f>
        <v>8111 PK</v>
      </c>
      <c r="E130" s="132" t="str">
        <f>VLOOKUP(Ruimtestaat[[#This Row],[Code]],Locaties[#All],6,FALSE)</f>
        <v>Heeten</v>
      </c>
      <c r="F130" s="100"/>
      <c r="G130" s="100" t="s">
        <v>1677</v>
      </c>
      <c r="I130" s="140" t="s">
        <v>1635</v>
      </c>
      <c r="J130" s="100">
        <v>10</v>
      </c>
      <c r="K130" s="140" t="str">
        <f>VLOOKUP(Ruimtestaat[[#This Row],[Ruimte code]],Ruimtegroepen[[#All],[Code]:[Ruimte omschrijving]],2,FALSE)</f>
        <v>Trappenhuizen/lift</v>
      </c>
      <c r="L130" s="100" t="s">
        <v>100</v>
      </c>
      <c r="M130" s="345" t="s">
        <v>1636</v>
      </c>
      <c r="N130" s="133">
        <v>2.25</v>
      </c>
      <c r="O130" s="100"/>
      <c r="P130" s="134" t="str">
        <f>VLOOKUP(Ruimtestaat[[#This Row],[Ruimte code]],Ruimtegroepen[],4,FALSE)</f>
        <v>Ve</v>
      </c>
      <c r="Q130" s="100">
        <v>51</v>
      </c>
      <c r="R130" s="100" t="s">
        <v>18</v>
      </c>
      <c r="S130" s="100">
        <f>IF(Q130&gt;0,IF(RIGHT(Ruimtestaat[[#This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153</v>
      </c>
      <c r="T130" s="100">
        <f>IF(S130&gt;0,VLOOKUP($J130,Ruimtegroepen[],3,FALSE)*VLOOKUP($L130,Vloersoorten[],3,FALSE)*VLOOKUP($R130,Frequenties[],3,FALSE)*VLOOKUP($A130,Locaties[],3,FALSE),0)</f>
        <v>0</v>
      </c>
      <c r="U130" s="100">
        <f>Ruimtestaat[[#This Row],[Uitvoeringen werkdagen]]*Ruimtestaat[[#This Row],[Oppervlak (netto)]]</f>
        <v>344.25</v>
      </c>
      <c r="V130" s="135">
        <f>IF(T130&gt;0,Ruimtestaat[[#This Row],[Prest. (m2 /jaar) werkdagen]]/Ruimtestaat[[#This Row],[Norm (m2/uur) werkdagen]],0)</f>
        <v>0</v>
      </c>
      <c r="W130" s="136">
        <f>Ruimtestaat[[#This Row],[uren / jaar werkdagen]]*Tariefsopbouw!$E$35</f>
        <v>0</v>
      </c>
      <c r="X130" s="100"/>
      <c r="Y130" s="100">
        <f>IF(Ruimtestaat[[#This Row],[Frequentie weekend]]&gt;0,VALUE(LEFT(X130,1))*Q130,0)</f>
        <v>0</v>
      </c>
      <c r="Z130" s="99">
        <f>IF($Y130&gt;0,VLOOKUP($J130,Ruimtegroepen[],3,FALSE)*VLOOKUP($L130,Vloersoorten[],3,FALSE)*VLOOKUP($X130,Frequenties[],3,FALSE)*VLOOKUP(Ruimtestaat[[#This Row],[Code]],Locaties[],3,FALSE),0)</f>
        <v>0</v>
      </c>
      <c r="AA130" s="99">
        <f>Ruimtestaat[[#This Row],[Uitvoeringen weekend]]*Ruimtestaat[[#This Row],[Oppervlak (netto)]]</f>
        <v>0</v>
      </c>
      <c r="AB130" s="99">
        <f>IF(Z130&gt;0,Ruimtestaat[[#This Row],[Prest. (m2 /jaar) weekend]]/Ruimtestaat[[#This Row],[Norm (m2/uur) weekend]],0)</f>
        <v>0</v>
      </c>
      <c r="AC130" s="136">
        <f>Ruimtestaat[[#This Row],[uren / jaar weekend]]*Tariefsopbouw!$D$40</f>
        <v>0</v>
      </c>
      <c r="AD130" s="135">
        <f>Ruimtestaat[[#This Row],[Prest. (m2 /jaar) weekend]]+Ruimtestaat[[#This Row],[Prest. (m2 /jaar) werkdagen]]</f>
        <v>344.25</v>
      </c>
      <c r="AE130" s="135">
        <f>Ruimtestaat[[#This Row],[uren / jaar weekend]]+Ruimtestaat[[#This Row],[uren / jaar werkdagen]]</f>
        <v>0</v>
      </c>
      <c r="AF130" s="130">
        <f>Ruimtestaat[[#This Row],[kosten / jaar weekend]]+Ruimtestaat[[#This Row],[kosten / jaar werkdagen]]</f>
        <v>0</v>
      </c>
      <c r="AG130" s="130"/>
      <c r="AH130" s="137" t="str">
        <f>IF(Ruimtestaat[[#This Row],[Frequentie werkdagen]]="","",_xlfn.CONCAT(Ruimtestaat[[#This Row],[Ruimte code]],"-",Ruimtestaat[[#This Row],[Frequentie werkdagen]]," ",Ruimtestaat[[#This Row],[Vloer code]]))</f>
        <v>10-3w L</v>
      </c>
      <c r="AI130" s="142" t="str">
        <f>_xlfn.IFNA(VLOOKUP($AH130,Programma!$F$3:$G$1101,2,0),"")</f>
        <v>_</v>
      </c>
      <c r="AJ130" s="142" t="str">
        <f>_xlfn.IFNA(VLOOKUP($AH130,Programma!$F$3:$H$1101,3,0),"")</f>
        <v>_</v>
      </c>
      <c r="AK130" s="142" t="str">
        <f>_xlfn.IFNA(VLOOKUP($AH130,Programma!$F$3:$I$1101,4,0),"")</f>
        <v>2w</v>
      </c>
      <c r="AL130" s="142" t="str">
        <f>_xlfn.IFNA(VLOOKUP($AH130,Programma!$F$3:$J$1101,5,0),"")</f>
        <v>1w</v>
      </c>
      <c r="AM130" s="142" t="str">
        <f>_xlfn.IFNA(VLOOKUP($AH130,Programma!$F$3:$K$1101,6,0),"")</f>
        <v>_</v>
      </c>
      <c r="AN130" s="142" t="str">
        <f>_xlfn.IFNA(VLOOKUP($AH130,Programma!$F$3:$L$1101,7,0),"")</f>
        <v>_</v>
      </c>
      <c r="AO130" s="142" t="str">
        <f>_xlfn.IFNA(VLOOKUP($AH130,Programma!$F$3:$M$1101,8,0),"")</f>
        <v>_</v>
      </c>
      <c r="AP130" s="142" t="str">
        <f>_xlfn.IFNA(VLOOKUP($AH130,Programma!$F$3:$N$1101,9,0),"")</f>
        <v>_</v>
      </c>
      <c r="AQ130" s="142" t="str">
        <f>_xlfn.IFNA(VLOOKUP($AH130,Programma!$F$3:$O$1101,10,0),"")</f>
        <v>3w</v>
      </c>
      <c r="AR130" s="142" t="str">
        <f>_xlfn.IFNA(VLOOKUP($AH130,Programma!$F$3:$P$1101,11,0),"")</f>
        <v>3w</v>
      </c>
      <c r="AS130" s="142" t="str">
        <f>_xlfn.IFNA(VLOOKUP($AH130,Programma!$F$3:$Q$1101,12,0),"")</f>
        <v>1w</v>
      </c>
      <c r="AT130" s="142" t="str">
        <f>_xlfn.IFNA(VLOOKUP($AH130,Programma!$F$3:$R$1101,13,0),"")</f>
        <v>1w</v>
      </c>
      <c r="AU130" s="142" t="str">
        <f>_xlfn.IFNA(VLOOKUP($AH130,Programma!$F$3:$S$1101,14,0),"")</f>
        <v>1m</v>
      </c>
      <c r="AV130" s="142" t="str">
        <f>_xlfn.IFNA(VLOOKUP($AH130,Programma!$F$3:$T$1101,15,0),"")</f>
        <v>2j</v>
      </c>
      <c r="AW130" s="142" t="str">
        <f>_xlfn.IFNA(VLOOKUP($AH130,Programma!$F$3:$U$1101,16,0),"")</f>
        <v>1j</v>
      </c>
      <c r="AX130" s="142" t="str">
        <f>_xlfn.IFNA(VLOOKUP($AH130,Programma!$F$3:$V$1101,17,0),"")</f>
        <v>_</v>
      </c>
      <c r="AY130" s="142" t="str">
        <f>_xlfn.IFNA(VLOOKUP($AH130,Programma!$F$3:$W$1101,18,0),"")</f>
        <v>_</v>
      </c>
      <c r="AZ130" s="142" t="str">
        <f>_xlfn.IFNA(VLOOKUP($AH130,Programma!$F$3:$X$1101,19,0),"")</f>
        <v>_</v>
      </c>
      <c r="BA130" s="142" t="str">
        <f>_xlfn.IFNA(VLOOKUP($AH130,Programma!$F$3:$Y$1101,20,0),"")</f>
        <v>_</v>
      </c>
      <c r="BB130" s="138"/>
      <c r="BC130" s="137" t="str">
        <f>IF(Ruimtestaat[[#This Row],[Frequentie weekend]]="","",_xlfn.CONCAT(Ruimtestaat[[#This Row],[Ruimte code]],"-",Ruimtestaat[[#This Row],[Frequentie weekend]]," ",Ruimtestaat[[#This Row],[Vloer code]]))</f>
        <v/>
      </c>
      <c r="BD130" s="142" t="str">
        <f>_xlfn.IFNA(VLOOKUP($BC130,Programma!$F$3:$G$1101,2,0),"")</f>
        <v/>
      </c>
      <c r="BE130" s="142" t="str">
        <f>_xlfn.IFNA(VLOOKUP($BC130,Programma!$F$3:$H$1101,3,0),"")</f>
        <v/>
      </c>
      <c r="BF130" s="142" t="str">
        <f>_xlfn.IFNA(VLOOKUP($BC130,Programma!$F$3:$I$1101,4,0),"")</f>
        <v/>
      </c>
      <c r="BG130" s="142" t="str">
        <f>_xlfn.IFNA(VLOOKUP($BC130,Programma!$F$3:$J$1101,5,0),"")</f>
        <v/>
      </c>
      <c r="BH130" s="142" t="str">
        <f>_xlfn.IFNA(VLOOKUP($BC130,Programma!$F$3:$K$1101,6,0),"")</f>
        <v/>
      </c>
      <c r="BI130" s="142" t="str">
        <f>_xlfn.IFNA(VLOOKUP($BC130,Programma!$F$3:$L$1101,7,0),"")</f>
        <v/>
      </c>
      <c r="BJ130" s="142" t="str">
        <f>_xlfn.IFNA(VLOOKUP($BC130,Programma!$F$3:$M$1101,8,0),"")</f>
        <v/>
      </c>
      <c r="BK130" s="142" t="str">
        <f>_xlfn.IFNA(VLOOKUP($BC130,Programma!$F$3:$N$1101,9,0),"")</f>
        <v/>
      </c>
      <c r="BL130" s="142" t="str">
        <f>_xlfn.IFNA(VLOOKUP($BC130,Programma!$F$3:$O$1101,10,0),"")</f>
        <v/>
      </c>
      <c r="BM130" s="142" t="str">
        <f>_xlfn.IFNA(VLOOKUP($BC130,Programma!$F$3:$P$1101,11,0),"")</f>
        <v/>
      </c>
      <c r="BN130" s="142" t="str">
        <f>_xlfn.IFNA(VLOOKUP($BC130,Programma!$F$3:$Q$1101,12,0),"")</f>
        <v/>
      </c>
      <c r="BO130" s="142" t="str">
        <f>_xlfn.IFNA(VLOOKUP($BC130,Programma!$F$3:$R$1101,13,0),"")</f>
        <v/>
      </c>
      <c r="BP130" s="142" t="str">
        <f>_xlfn.IFNA(VLOOKUP($BC130,Programma!$F$3:$S$1101,14,0),"")</f>
        <v/>
      </c>
      <c r="BQ130" s="142" t="str">
        <f>_xlfn.IFNA(VLOOKUP($BC130,Programma!$F$3:$T$1101,15,0),"")</f>
        <v/>
      </c>
      <c r="BR130" s="142" t="str">
        <f>_xlfn.IFNA(VLOOKUP($BC130,Programma!$F$3:$U$1101,16,0),"")</f>
        <v/>
      </c>
      <c r="BS130" s="142" t="str">
        <f>_xlfn.IFNA(VLOOKUP($BC130,Programma!$F$3:$V$1101,17,0),"")</f>
        <v/>
      </c>
      <c r="BT130" s="142" t="str">
        <f>_xlfn.IFNA(VLOOKUP($BC130,Programma!$F$3:$W$1101,18,0),"")</f>
        <v/>
      </c>
      <c r="BU130" s="142" t="str">
        <f>_xlfn.IFNA(VLOOKUP($BC130,Programma!$F$3:$X$1101,19,0),"")</f>
        <v/>
      </c>
      <c r="BV130" s="142" t="str">
        <f>_xlfn.IFNA(VLOOKUP($BC130,Programma!$F$3:$Y$1101,20,0),"")</f>
        <v/>
      </c>
      <c r="BW130" s="28"/>
      <c r="BX130" s="28"/>
      <c r="BY130" s="28"/>
      <c r="BZ130" s="28"/>
      <c r="CA130" s="28"/>
      <c r="CB130" s="28"/>
      <c r="CC130" s="28"/>
      <c r="CD130" s="28"/>
      <c r="CE130" s="28"/>
      <c r="CF130" s="28"/>
      <c r="CG130" s="28"/>
      <c r="CH130" s="28"/>
      <c r="CI130" s="28"/>
      <c r="CJ130" s="28"/>
      <c r="CK130" s="28"/>
      <c r="CL130" s="28"/>
      <c r="CM130" s="28"/>
      <c r="CN130" s="28"/>
      <c r="CO130" s="28"/>
      <c r="CP130" s="28"/>
      <c r="CQ130" s="28"/>
      <c r="CR130" s="28"/>
      <c r="CS130" s="28"/>
      <c r="CT130" s="28"/>
      <c r="CU130" s="28"/>
      <c r="CV130" s="28"/>
      <c r="CW130" s="28"/>
      <c r="CX130" s="28"/>
      <c r="CY130" s="28"/>
      <c r="CZ130" s="28"/>
      <c r="DA130" s="28"/>
      <c r="DB130" s="28"/>
      <c r="DC130" s="28"/>
      <c r="DD130" s="28"/>
      <c r="DE130" s="28"/>
      <c r="DF130" s="28"/>
      <c r="DG130" s="28"/>
      <c r="DH130" s="28"/>
      <c r="DI130" s="28"/>
      <c r="DJ130" s="28"/>
      <c r="DK130" s="28"/>
      <c r="DL130" s="28"/>
      <c r="DM130" s="28"/>
      <c r="DN130" s="28"/>
      <c r="DO130" s="28"/>
      <c r="DP130" s="28"/>
      <c r="DQ130" s="28"/>
      <c r="DR130" s="28"/>
      <c r="DS130" s="28"/>
      <c r="DT130" s="28"/>
      <c r="DU130" s="28"/>
      <c r="DV130" s="28"/>
      <c r="DW130" s="28"/>
      <c r="DX130" s="28"/>
      <c r="DY130" s="28"/>
      <c r="DZ130" s="28"/>
      <c r="EA130" s="28"/>
      <c r="EB130" s="28"/>
      <c r="EC130" s="28"/>
      <c r="ED130" s="28"/>
      <c r="EE130" s="28"/>
      <c r="EF130" s="28"/>
      <c r="EG130" s="28"/>
      <c r="EH130" s="28"/>
      <c r="EI130" s="28"/>
      <c r="EJ130" s="28"/>
      <c r="EK130" s="28"/>
      <c r="EL130" s="28"/>
      <c r="EM130" s="28"/>
      <c r="EN130" s="28"/>
      <c r="EO130" s="28"/>
      <c r="EP130" s="28"/>
      <c r="EQ130" s="28"/>
      <c r="ER130" s="28"/>
      <c r="ES130" s="28"/>
      <c r="ET130" s="28"/>
      <c r="EU130" s="28"/>
      <c r="EV130" s="28"/>
      <c r="EW130" s="28"/>
      <c r="EX130" s="28"/>
      <c r="EY130" s="28"/>
      <c r="EZ130" s="28"/>
      <c r="FA130" s="28"/>
      <c r="FB130" s="28"/>
      <c r="FC130" s="28"/>
      <c r="FD130" s="28"/>
      <c r="FE130" s="28"/>
      <c r="FF130" s="28"/>
      <c r="FG130" s="28"/>
      <c r="FH130" s="28"/>
      <c r="FI130" s="28"/>
      <c r="FJ130" s="28"/>
      <c r="FK130" s="28"/>
      <c r="FL130" s="28"/>
      <c r="FM130" s="28"/>
      <c r="FN130" s="28"/>
      <c r="FO130" s="28"/>
      <c r="FP130" s="28"/>
      <c r="FQ130" s="28"/>
      <c r="FR130" s="28"/>
      <c r="FS130" s="28"/>
      <c r="FT130" s="28"/>
      <c r="FU130" s="28"/>
      <c r="FV130" s="28"/>
      <c r="FW130" s="28"/>
      <c r="FX130" s="28"/>
      <c r="FY130" s="28"/>
      <c r="FZ130" s="28"/>
      <c r="GA130" s="28"/>
      <c r="GB130" s="28"/>
      <c r="GC130" s="28"/>
      <c r="GD130" s="28"/>
      <c r="GE130" s="28"/>
      <c r="GF130" s="28"/>
      <c r="GG130" s="28"/>
      <c r="GH130" s="28"/>
      <c r="GI130" s="28"/>
      <c r="GJ130" s="28"/>
      <c r="GK130" s="28"/>
      <c r="GL130" s="28"/>
      <c r="GM130" s="28"/>
      <c r="GN130" s="28"/>
      <c r="GO130" s="28"/>
      <c r="GP130" s="28"/>
      <c r="GQ130" s="28"/>
      <c r="GR130" s="28"/>
      <c r="GS130" s="28"/>
      <c r="GT130" s="28"/>
      <c r="GU130" s="28"/>
      <c r="GV130" s="28"/>
      <c r="GW130" s="28"/>
      <c r="GX130" s="28"/>
      <c r="GY130" s="28"/>
      <c r="GZ130" s="28"/>
      <c r="HA130" s="28"/>
      <c r="HB130" s="28"/>
      <c r="HC130" s="28"/>
      <c r="HD130" s="28"/>
      <c r="HE130" s="28"/>
      <c r="HF130" s="28"/>
      <c r="HG130" s="28"/>
      <c r="HH130" s="28"/>
      <c r="HI130" s="28"/>
      <c r="HJ130" s="28"/>
      <c r="HK130" s="28"/>
    </row>
    <row r="131" spans="1:219" ht="15" customHeight="1">
      <c r="A131" s="49">
        <v>1</v>
      </c>
      <c r="B131" s="132" t="str">
        <f>VLOOKUP(Ruimtestaat[[#This Row],[Code]],Locaties[[Code]:[Locatie]],2,FALSE)</f>
        <v>Mirtehuis</v>
      </c>
      <c r="C131" s="132" t="str">
        <f>VLOOKUP(Ruimtestaat[[#This Row],[Code]],Locaties[[#All],[Code]:[Adres]],4,FALSE)</f>
        <v>Weseperweg 6</v>
      </c>
      <c r="D131" s="132" t="str">
        <f>VLOOKUP(Ruimtestaat[[#This Row],[Code]],Locaties[[#All],[Code]:[Postcode]],5,FALSE)</f>
        <v>8111 PK</v>
      </c>
      <c r="E131" s="132" t="str">
        <f>VLOOKUP(Ruimtestaat[[#This Row],[Code]],Locaties[#All],6,FALSE)</f>
        <v>Heeten</v>
      </c>
      <c r="F131" s="100"/>
      <c r="G131" s="100" t="s">
        <v>1677</v>
      </c>
      <c r="I131" s="140" t="s">
        <v>1632</v>
      </c>
      <c r="J131" s="49">
        <v>6</v>
      </c>
      <c r="K131" s="140" t="str">
        <f>VLOOKUP(Ruimtestaat[[#This Row],[Ruimte code]],Ruimtegroepen[[#All],[Code]:[Ruimte omschrijving]],2,FALSE)</f>
        <v>Gangen/hallen</v>
      </c>
      <c r="L131" s="100" t="s">
        <v>100</v>
      </c>
      <c r="M131" s="345" t="s">
        <v>1636</v>
      </c>
      <c r="N131" s="133">
        <v>8.25</v>
      </c>
      <c r="O131" s="139"/>
      <c r="P131" s="134" t="str">
        <f>VLOOKUP(Ruimtestaat[[#This Row],[Ruimte code]],Ruimtegroepen[],4,FALSE)</f>
        <v>Ve</v>
      </c>
      <c r="Q131" s="100">
        <v>51</v>
      </c>
      <c r="R131" s="100" t="s">
        <v>2</v>
      </c>
      <c r="S131" s="100">
        <f>IF(Q131&gt;0,IF(RIGHT(Ruimtestaat[[#This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31" s="100">
        <f>IF(S131&gt;0,VLOOKUP($J131,Ruimtegroepen[],3,FALSE)*VLOOKUP($L131,Vloersoorten[],3,FALSE)*VLOOKUP($R131,Frequenties[],3,FALSE)*VLOOKUP($A131,Locaties[],3,FALSE),0)</f>
        <v>0</v>
      </c>
      <c r="U131" s="100">
        <f>Ruimtestaat[[#This Row],[Uitvoeringen werkdagen]]*Ruimtestaat[[#This Row],[Oppervlak (netto)]]</f>
        <v>2103.75</v>
      </c>
      <c r="V131" s="135">
        <f>IF(T131&gt;0,Ruimtestaat[[#This Row],[Prest. (m2 /jaar) werkdagen]]/Ruimtestaat[[#This Row],[Norm (m2/uur) werkdagen]],0)</f>
        <v>0</v>
      </c>
      <c r="W131" s="136">
        <f>Ruimtestaat[[#This Row],[uren / jaar werkdagen]]*Tariefsopbouw!$E$35</f>
        <v>0</v>
      </c>
      <c r="X131" s="100"/>
      <c r="Y131" s="100">
        <f>IF(Ruimtestaat[[#This Row],[Frequentie weekend]]&gt;0,VALUE(LEFT(X131,1))*Q131,0)</f>
        <v>0</v>
      </c>
      <c r="Z131" s="99">
        <f>IF($Y131&gt;0,VLOOKUP($J131,Ruimtegroepen[],3,FALSE)*VLOOKUP($L131,Vloersoorten[],3,FALSE)*VLOOKUP($X131,Frequenties[],3,FALSE)*VLOOKUP(Ruimtestaat[[#This Row],[Code]],Locaties[],3,FALSE),0)</f>
        <v>0</v>
      </c>
      <c r="AA131" s="99">
        <f>Ruimtestaat[[#This Row],[Uitvoeringen weekend]]*Ruimtestaat[[#This Row],[Oppervlak (netto)]]</f>
        <v>0</v>
      </c>
      <c r="AB131" s="99">
        <f>IF(Z131&gt;0,Ruimtestaat[[#This Row],[Prest. (m2 /jaar) weekend]]/Ruimtestaat[[#This Row],[Norm (m2/uur) weekend]],0)</f>
        <v>0</v>
      </c>
      <c r="AC131" s="136">
        <f>Ruimtestaat[[#This Row],[uren / jaar weekend]]*Tariefsopbouw!$D$40</f>
        <v>0</v>
      </c>
      <c r="AD131" s="135">
        <f>Ruimtestaat[[#This Row],[Prest. (m2 /jaar) weekend]]+Ruimtestaat[[#This Row],[Prest. (m2 /jaar) werkdagen]]</f>
        <v>2103.75</v>
      </c>
      <c r="AE131" s="135">
        <f>Ruimtestaat[[#This Row],[uren / jaar weekend]]+Ruimtestaat[[#This Row],[uren / jaar werkdagen]]</f>
        <v>0</v>
      </c>
      <c r="AF131" s="130">
        <f>Ruimtestaat[[#This Row],[kosten / jaar weekend]]+Ruimtestaat[[#This Row],[kosten / jaar werkdagen]]</f>
        <v>0</v>
      </c>
      <c r="AG131" s="130"/>
      <c r="AH131" s="137" t="str">
        <f>IF(Ruimtestaat[[#This Row],[Frequentie werkdagen]]="","",_xlfn.CONCAT(Ruimtestaat[[#This Row],[Ruimte code]],"-",Ruimtestaat[[#This Row],[Frequentie werkdagen]]," ",Ruimtestaat[[#This Row],[Vloer code]]))</f>
        <v>6-5w L</v>
      </c>
      <c r="AI131" s="142" t="str">
        <f>_xlfn.IFNA(VLOOKUP($AH131,Programma!$F$3:$G$1101,2,0),"")</f>
        <v>_</v>
      </c>
      <c r="AJ131" s="142" t="str">
        <f>_xlfn.IFNA(VLOOKUP($AH131,Programma!$F$3:$H$1101,3,0),"")</f>
        <v>_</v>
      </c>
      <c r="AK131" s="142" t="str">
        <f>_xlfn.IFNA(VLOOKUP($AH131,Programma!$F$3:$I$1101,4,0),"")</f>
        <v>_</v>
      </c>
      <c r="AL131" s="142" t="str">
        <f>_xlfn.IFNA(VLOOKUP($AH131,Programma!$F$3:$J$1101,5,0),"")</f>
        <v>5w</v>
      </c>
      <c r="AM131" s="142" t="str">
        <f>_xlfn.IFNA(VLOOKUP($AH131,Programma!$F$3:$K$1101,6,0),"")</f>
        <v>_</v>
      </c>
      <c r="AN131" s="142" t="str">
        <f>_xlfn.IFNA(VLOOKUP($AH131,Programma!$F$3:$L$1101,7,0),"")</f>
        <v>_</v>
      </c>
      <c r="AO131" s="142" t="str">
        <f>_xlfn.IFNA(VLOOKUP($AH131,Programma!$F$3:$M$1101,8,0),"")</f>
        <v>_</v>
      </c>
      <c r="AP131" s="142" t="str">
        <f>_xlfn.IFNA(VLOOKUP($AH131,Programma!$F$3:$N$1101,9,0),"")</f>
        <v>_</v>
      </c>
      <c r="AQ131" s="142" t="str">
        <f>_xlfn.IFNA(VLOOKUP($AH131,Programma!$F$3:$O$1101,10,0),"")</f>
        <v>5w</v>
      </c>
      <c r="AR131" s="142" t="str">
        <f>_xlfn.IFNA(VLOOKUP($AH131,Programma!$F$3:$P$1101,11,0),"")</f>
        <v>5w</v>
      </c>
      <c r="AS131" s="142" t="str">
        <f>_xlfn.IFNA(VLOOKUP($AH131,Programma!$F$3:$Q$1101,12,0),"")</f>
        <v>1w</v>
      </c>
      <c r="AT131" s="142" t="str">
        <f>_xlfn.IFNA(VLOOKUP($AH131,Programma!$F$3:$R$1101,13,0),"")</f>
        <v>1w</v>
      </c>
      <c r="AU131" s="142" t="str">
        <f>_xlfn.IFNA(VLOOKUP($AH131,Programma!$F$3:$S$1101,14,0),"")</f>
        <v>1m</v>
      </c>
      <c r="AV131" s="142" t="str">
        <f>_xlfn.IFNA(VLOOKUP($AH131,Programma!$F$3:$T$1101,15,0),"")</f>
        <v>2j</v>
      </c>
      <c r="AW131" s="142" t="str">
        <f>_xlfn.IFNA(VLOOKUP($AH131,Programma!$F$3:$U$1101,16,0),"")</f>
        <v>1j</v>
      </c>
      <c r="AX131" s="142" t="str">
        <f>_xlfn.IFNA(VLOOKUP($AH131,Programma!$F$3:$V$1101,17,0),"")</f>
        <v>_</v>
      </c>
      <c r="AY131" s="142" t="str">
        <f>_xlfn.IFNA(VLOOKUP($AH131,Programma!$F$3:$W$1101,18,0),"")</f>
        <v>_</v>
      </c>
      <c r="AZ131" s="142" t="str">
        <f>_xlfn.IFNA(VLOOKUP($AH131,Programma!$F$3:$X$1101,19,0),"")</f>
        <v>_</v>
      </c>
      <c r="BA131" s="142" t="str">
        <f>_xlfn.IFNA(VLOOKUP($AH131,Programma!$F$3:$Y$1101,20,0),"")</f>
        <v>_</v>
      </c>
      <c r="BB131" s="138"/>
      <c r="BC131" s="137" t="str">
        <f>IF(Ruimtestaat[[#This Row],[Frequentie weekend]]="","",_xlfn.CONCAT(Ruimtestaat[[#This Row],[Ruimte code]],"-",Ruimtestaat[[#This Row],[Frequentie weekend]]," ",Ruimtestaat[[#This Row],[Vloer code]]))</f>
        <v/>
      </c>
      <c r="BD131" s="142" t="str">
        <f>_xlfn.IFNA(VLOOKUP($BC131,Programma!$F$3:$G$1101,2,0),"")</f>
        <v/>
      </c>
      <c r="BE131" s="142" t="str">
        <f>_xlfn.IFNA(VLOOKUP($BC131,Programma!$F$3:$H$1101,3,0),"")</f>
        <v/>
      </c>
      <c r="BF131" s="142" t="str">
        <f>_xlfn.IFNA(VLOOKUP($BC131,Programma!$F$3:$I$1101,4,0),"")</f>
        <v/>
      </c>
      <c r="BG131" s="142" t="str">
        <f>_xlfn.IFNA(VLOOKUP($BC131,Programma!$F$3:$J$1101,5,0),"")</f>
        <v/>
      </c>
      <c r="BH131" s="142" t="str">
        <f>_xlfn.IFNA(VLOOKUP($BC131,Programma!$F$3:$K$1101,6,0),"")</f>
        <v/>
      </c>
      <c r="BI131" s="142" t="str">
        <f>_xlfn.IFNA(VLOOKUP($BC131,Programma!$F$3:$L$1101,7,0),"")</f>
        <v/>
      </c>
      <c r="BJ131" s="142" t="str">
        <f>_xlfn.IFNA(VLOOKUP($BC131,Programma!$F$3:$M$1101,8,0),"")</f>
        <v/>
      </c>
      <c r="BK131" s="142" t="str">
        <f>_xlfn.IFNA(VLOOKUP($BC131,Programma!$F$3:$N$1101,9,0),"")</f>
        <v/>
      </c>
      <c r="BL131" s="142" t="str">
        <f>_xlfn.IFNA(VLOOKUP($BC131,Programma!$F$3:$O$1101,10,0),"")</f>
        <v/>
      </c>
      <c r="BM131" s="142" t="str">
        <f>_xlfn.IFNA(VLOOKUP($BC131,Programma!$F$3:$P$1101,11,0),"")</f>
        <v/>
      </c>
      <c r="BN131" s="142" t="str">
        <f>_xlfn.IFNA(VLOOKUP($BC131,Programma!$F$3:$Q$1101,12,0),"")</f>
        <v/>
      </c>
      <c r="BO131" s="142" t="str">
        <f>_xlfn.IFNA(VLOOKUP($BC131,Programma!$F$3:$R$1101,13,0),"")</f>
        <v/>
      </c>
      <c r="BP131" s="142" t="str">
        <f>_xlfn.IFNA(VLOOKUP($BC131,Programma!$F$3:$S$1101,14,0),"")</f>
        <v/>
      </c>
      <c r="BQ131" s="142" t="str">
        <f>_xlfn.IFNA(VLOOKUP($BC131,Programma!$F$3:$T$1101,15,0),"")</f>
        <v/>
      </c>
      <c r="BR131" s="142" t="str">
        <f>_xlfn.IFNA(VLOOKUP($BC131,Programma!$F$3:$U$1101,16,0),"")</f>
        <v/>
      </c>
      <c r="BS131" s="142" t="str">
        <f>_xlfn.IFNA(VLOOKUP($BC131,Programma!$F$3:$V$1101,17,0),"")</f>
        <v/>
      </c>
      <c r="BT131" s="142" t="str">
        <f>_xlfn.IFNA(VLOOKUP($BC131,Programma!$F$3:$W$1101,18,0),"")</f>
        <v/>
      </c>
      <c r="BU131" s="142" t="str">
        <f>_xlfn.IFNA(VLOOKUP($BC131,Programma!$F$3:$X$1101,19,0),"")</f>
        <v/>
      </c>
      <c r="BV131" s="142" t="str">
        <f>_xlfn.IFNA(VLOOKUP($BC131,Programma!$F$3:$Y$1101,20,0),"")</f>
        <v/>
      </c>
      <c r="BW131" s="28"/>
      <c r="BX131" s="28"/>
      <c r="BY131" s="28"/>
      <c r="BZ131" s="28"/>
      <c r="CA131" s="28"/>
      <c r="CB131" s="28"/>
      <c r="CC131" s="28"/>
      <c r="CD131" s="28"/>
      <c r="CE131" s="28"/>
      <c r="CF131" s="28"/>
      <c r="CG131" s="28"/>
      <c r="CH131" s="28"/>
      <c r="CI131" s="28"/>
      <c r="CJ131" s="28"/>
      <c r="CK131" s="28"/>
      <c r="CL131" s="28"/>
      <c r="CM131" s="28"/>
      <c r="CN131" s="28"/>
      <c r="CO131" s="28"/>
      <c r="CP131" s="28"/>
      <c r="CQ131" s="28"/>
      <c r="CR131" s="28"/>
      <c r="CS131" s="28"/>
      <c r="CT131" s="28"/>
      <c r="CU131" s="28"/>
      <c r="CV131" s="28"/>
      <c r="CW131" s="28"/>
      <c r="CX131" s="28"/>
      <c r="CY131" s="28"/>
      <c r="CZ131" s="28"/>
      <c r="DA131" s="28"/>
      <c r="DB131" s="28"/>
      <c r="DC131" s="28"/>
      <c r="DD131" s="28"/>
      <c r="DE131" s="28"/>
      <c r="DF131" s="28"/>
      <c r="DG131" s="28"/>
      <c r="DH131" s="28"/>
      <c r="DI131" s="28"/>
      <c r="DJ131" s="28"/>
      <c r="DK131" s="28"/>
      <c r="DL131" s="28"/>
      <c r="DM131" s="28"/>
      <c r="DN131" s="28"/>
      <c r="DO131" s="28"/>
      <c r="DP131" s="28"/>
      <c r="DQ131" s="28"/>
      <c r="DR131" s="28"/>
      <c r="DS131" s="28"/>
      <c r="DT131" s="28"/>
      <c r="DU131" s="28"/>
      <c r="DV131" s="28"/>
      <c r="DW131" s="28"/>
      <c r="DX131" s="28"/>
      <c r="DY131" s="28"/>
      <c r="DZ131" s="28"/>
      <c r="EA131" s="28"/>
      <c r="EB131" s="28"/>
      <c r="EC131" s="28"/>
      <c r="ED131" s="28"/>
      <c r="EE131" s="28"/>
      <c r="EF131" s="28"/>
      <c r="EG131" s="28"/>
      <c r="EH131" s="28"/>
      <c r="EI131" s="28"/>
      <c r="EJ131" s="28"/>
      <c r="EK131" s="28"/>
      <c r="EL131" s="28"/>
      <c r="EM131" s="28"/>
      <c r="EN131" s="28"/>
      <c r="EO131" s="28"/>
      <c r="EP131" s="28"/>
      <c r="EQ131" s="28"/>
      <c r="ER131" s="28"/>
      <c r="ES131" s="28"/>
      <c r="ET131" s="28"/>
      <c r="EU131" s="28"/>
      <c r="EV131" s="28"/>
      <c r="EW131" s="28"/>
      <c r="EX131" s="28"/>
      <c r="EY131" s="28"/>
      <c r="EZ131" s="28"/>
      <c r="FA131" s="28"/>
      <c r="FB131" s="28"/>
      <c r="FC131" s="28"/>
      <c r="FD131" s="28"/>
      <c r="FE131" s="28"/>
      <c r="FF131" s="28"/>
      <c r="FG131" s="28"/>
      <c r="FH131" s="28"/>
      <c r="FI131" s="28"/>
      <c r="FJ131" s="28"/>
      <c r="FK131" s="28"/>
      <c r="FL131" s="28"/>
      <c r="FM131" s="28"/>
      <c r="FN131" s="28"/>
      <c r="FO131" s="28"/>
      <c r="FP131" s="28"/>
      <c r="FQ131" s="28"/>
      <c r="FR131" s="28"/>
      <c r="FS131" s="28"/>
      <c r="FT131" s="28"/>
      <c r="FU131" s="28"/>
      <c r="FV131" s="28"/>
      <c r="FW131" s="28"/>
      <c r="FX131" s="28"/>
      <c r="FY131" s="28"/>
      <c r="FZ131" s="28"/>
      <c r="GA131" s="28"/>
      <c r="GB131" s="28"/>
      <c r="GC131" s="28"/>
      <c r="GD131" s="28"/>
      <c r="GE131" s="28"/>
      <c r="GF131" s="28"/>
      <c r="GG131" s="28"/>
      <c r="GH131" s="28"/>
      <c r="GI131" s="28"/>
      <c r="GJ131" s="28"/>
      <c r="GK131" s="28"/>
      <c r="GL131" s="28"/>
      <c r="GM131" s="28"/>
      <c r="GN131" s="28"/>
      <c r="GO131" s="28"/>
      <c r="GP131" s="28"/>
      <c r="GQ131" s="28"/>
      <c r="GR131" s="28"/>
      <c r="GS131" s="28"/>
      <c r="GT131" s="28"/>
      <c r="GU131" s="28"/>
      <c r="GV131" s="28"/>
      <c r="GW131" s="28"/>
      <c r="GX131" s="28"/>
      <c r="GY131" s="28"/>
      <c r="GZ131" s="28"/>
      <c r="HA131" s="28"/>
      <c r="HB131" s="28"/>
      <c r="HC131" s="28"/>
      <c r="HD131" s="28"/>
      <c r="HE131" s="28"/>
      <c r="HF131" s="28"/>
      <c r="HG131" s="28"/>
      <c r="HH131" s="28"/>
      <c r="HI131" s="28"/>
      <c r="HJ131" s="28"/>
      <c r="HK131" s="28"/>
    </row>
    <row r="132" spans="1:219" ht="15" customHeight="1">
      <c r="A132" s="49">
        <v>1</v>
      </c>
      <c r="B132" s="132" t="str">
        <f>VLOOKUP(Ruimtestaat[[#This Row],[Code]],Locaties[[Code]:[Locatie]],2,FALSE)</f>
        <v>Mirtehuis</v>
      </c>
      <c r="C132" s="132" t="str">
        <f>VLOOKUP(Ruimtestaat[[#This Row],[Code]],Locaties[[#All],[Code]:[Adres]],4,FALSE)</f>
        <v>Weseperweg 6</v>
      </c>
      <c r="D132" s="132" t="str">
        <f>VLOOKUP(Ruimtestaat[[#This Row],[Code]],Locaties[[#All],[Code]:[Postcode]],5,FALSE)</f>
        <v>8111 PK</v>
      </c>
      <c r="E132" s="132" t="str">
        <f>VLOOKUP(Ruimtestaat[[#This Row],[Code]],Locaties[#All],6,FALSE)</f>
        <v>Heeten</v>
      </c>
      <c r="F132" s="100"/>
      <c r="G132" s="100" t="s">
        <v>1677</v>
      </c>
      <c r="I132" s="140" t="s">
        <v>1668</v>
      </c>
      <c r="J132" s="49">
        <v>5</v>
      </c>
      <c r="K132" s="140" t="str">
        <f>VLOOKUP(Ruimtestaat[[#This Row],[Ruimte code]],Ruimtegroepen[[#All],[Code]:[Ruimte omschrijving]],2,FALSE)</f>
        <v>Sanitair</v>
      </c>
      <c r="L132" s="100" t="s">
        <v>101</v>
      </c>
      <c r="M132" s="345" t="s">
        <v>1642</v>
      </c>
      <c r="N132" s="133">
        <v>3.5</v>
      </c>
      <c r="O132" s="139"/>
      <c r="P132" s="134" t="str">
        <f>VLOOKUP(Ruimtestaat[[#This Row],[Ruimte code]],Ruimtegroepen[],4,FALSE)</f>
        <v>Sa</v>
      </c>
      <c r="Q132" s="100">
        <v>51</v>
      </c>
      <c r="R132" s="100" t="s">
        <v>2</v>
      </c>
      <c r="S132" s="100">
        <f>IF(Q132&gt;0,IF(RIGHT(Ruimtestaat[[#This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32" s="100">
        <f>IF(S132&gt;0,VLOOKUP($J132,Ruimtegroepen[],3,FALSE)*VLOOKUP($L132,Vloersoorten[],3,FALSE)*VLOOKUP($R132,Frequenties[],3,FALSE)*VLOOKUP($A132,Locaties[],3,FALSE),0)</f>
        <v>0</v>
      </c>
      <c r="U132" s="100">
        <f>Ruimtestaat[[#This Row],[Uitvoeringen werkdagen]]*Ruimtestaat[[#This Row],[Oppervlak (netto)]]</f>
        <v>892.5</v>
      </c>
      <c r="V132" s="135">
        <f>IF(T132&gt;0,Ruimtestaat[[#This Row],[Prest. (m2 /jaar) werkdagen]]/Ruimtestaat[[#This Row],[Norm (m2/uur) werkdagen]],0)</f>
        <v>0</v>
      </c>
      <c r="W132" s="136">
        <f>Ruimtestaat[[#This Row],[uren / jaar werkdagen]]*Tariefsopbouw!$E$35</f>
        <v>0</v>
      </c>
      <c r="X132" s="100"/>
      <c r="Y132" s="100">
        <f>IF(Ruimtestaat[[#This Row],[Frequentie weekend]]&gt;0,VALUE(LEFT(X132,1))*Q132,0)</f>
        <v>0</v>
      </c>
      <c r="Z132" s="99">
        <f>IF($Y132&gt;0,VLOOKUP($J132,Ruimtegroepen[],3,FALSE)*VLOOKUP($L132,Vloersoorten[],3,FALSE)*VLOOKUP($X132,Frequenties[],3,FALSE)*VLOOKUP(Ruimtestaat[[#This Row],[Code]],Locaties[],3,FALSE),0)</f>
        <v>0</v>
      </c>
      <c r="AA132" s="99">
        <f>Ruimtestaat[[#This Row],[Uitvoeringen weekend]]*Ruimtestaat[[#This Row],[Oppervlak (netto)]]</f>
        <v>0</v>
      </c>
      <c r="AB132" s="99">
        <f>IF(Z132&gt;0,Ruimtestaat[[#This Row],[Prest. (m2 /jaar) weekend]]/Ruimtestaat[[#This Row],[Norm (m2/uur) weekend]],0)</f>
        <v>0</v>
      </c>
      <c r="AC132" s="136">
        <f>Ruimtestaat[[#This Row],[uren / jaar weekend]]*Tariefsopbouw!$D$40</f>
        <v>0</v>
      </c>
      <c r="AD132" s="135">
        <f>Ruimtestaat[[#This Row],[Prest. (m2 /jaar) weekend]]+Ruimtestaat[[#This Row],[Prest. (m2 /jaar) werkdagen]]</f>
        <v>892.5</v>
      </c>
      <c r="AE132" s="135">
        <f>Ruimtestaat[[#This Row],[uren / jaar weekend]]+Ruimtestaat[[#This Row],[uren / jaar werkdagen]]</f>
        <v>0</v>
      </c>
      <c r="AF132" s="130">
        <f>Ruimtestaat[[#This Row],[kosten / jaar weekend]]+Ruimtestaat[[#This Row],[kosten / jaar werkdagen]]</f>
        <v>0</v>
      </c>
      <c r="AG132" s="130"/>
      <c r="AH132" s="137" t="str">
        <f>IF(Ruimtestaat[[#This Row],[Frequentie werkdagen]]="","",_xlfn.CONCAT(Ruimtestaat[[#This Row],[Ruimte code]],"-",Ruimtestaat[[#This Row],[Frequentie werkdagen]]," ",Ruimtestaat[[#This Row],[Vloer code]]))</f>
        <v>5-5w S</v>
      </c>
      <c r="AI132" s="142" t="str">
        <f>_xlfn.IFNA(VLOOKUP($AH132,Programma!$F$3:$G$1101,2,0),"")</f>
        <v>_</v>
      </c>
      <c r="AJ132" s="142" t="str">
        <f>_xlfn.IFNA(VLOOKUP($AH132,Programma!$F$3:$H$1101,3,0),"")</f>
        <v>_</v>
      </c>
      <c r="AK132" s="142" t="str">
        <f>_xlfn.IFNA(VLOOKUP($AH132,Programma!$F$3:$I$1101,4,0),"")</f>
        <v>_</v>
      </c>
      <c r="AL132" s="142" t="str">
        <f>_xlfn.IFNA(VLOOKUP($AH132,Programma!$F$3:$J$1101,5,0),"")</f>
        <v>4w</v>
      </c>
      <c r="AM132" s="142" t="str">
        <f>_xlfn.IFNA(VLOOKUP($AH132,Programma!$F$3:$K$1101,6,0),"")</f>
        <v>1w</v>
      </c>
      <c r="AN132" s="142" t="str">
        <f>_xlfn.IFNA(VLOOKUP($AH132,Programma!$F$3:$L$1101,7,0),"")</f>
        <v>_</v>
      </c>
      <c r="AO132" s="142" t="str">
        <f>_xlfn.IFNA(VLOOKUP($AH132,Programma!$F$3:$M$1101,8,0),"")</f>
        <v>_</v>
      </c>
      <c r="AP132" s="142" t="str">
        <f>_xlfn.IFNA(VLOOKUP($AH132,Programma!$F$3:$N$1101,9,0),"")</f>
        <v>_</v>
      </c>
      <c r="AQ132" s="142" t="str">
        <f>_xlfn.IFNA(VLOOKUP($AH132,Programma!$F$3:$O$1101,10,0),"")</f>
        <v>_</v>
      </c>
      <c r="AR132" s="142" t="str">
        <f>_xlfn.IFNA(VLOOKUP($AH132,Programma!$F$3:$P$1101,11,0),"")</f>
        <v>_</v>
      </c>
      <c r="AS132" s="142" t="str">
        <f>_xlfn.IFNA(VLOOKUP($AH132,Programma!$F$3:$Q$1101,12,0),"")</f>
        <v>_</v>
      </c>
      <c r="AT132" s="142" t="str">
        <f>_xlfn.IFNA(VLOOKUP($AH132,Programma!$F$3:$R$1101,13,0),"")</f>
        <v>_</v>
      </c>
      <c r="AU132" s="142" t="str">
        <f>_xlfn.IFNA(VLOOKUP($AH132,Programma!$F$3:$S$1101,14,0),"")</f>
        <v>_</v>
      </c>
      <c r="AV132" s="142" t="str">
        <f>_xlfn.IFNA(VLOOKUP($AH132,Programma!$F$3:$T$1101,15,0),"")</f>
        <v>_</v>
      </c>
      <c r="AW132" s="142" t="str">
        <f>_xlfn.IFNA(VLOOKUP($AH132,Programma!$F$3:$U$1101,16,0),"")</f>
        <v>_</v>
      </c>
      <c r="AX132" s="142" t="str">
        <f>_xlfn.IFNA(VLOOKUP($AH132,Programma!$F$3:$V$1101,17,0),"")</f>
        <v>_</v>
      </c>
      <c r="AY132" s="142" t="str">
        <f>_xlfn.IFNA(VLOOKUP($AH132,Programma!$F$3:$W$1101,18,0),"")</f>
        <v>4w</v>
      </c>
      <c r="AZ132" s="142" t="str">
        <f>_xlfn.IFNA(VLOOKUP($AH132,Programma!$F$3:$X$1101,19,0),"")</f>
        <v>1w</v>
      </c>
      <c r="BA132" s="142" t="str">
        <f>_xlfn.IFNA(VLOOKUP($AH132,Programma!$F$3:$Y$1101,20,0),"")</f>
        <v>_</v>
      </c>
      <c r="BB132" s="138"/>
      <c r="BC132" s="137" t="str">
        <f>IF(Ruimtestaat[[#This Row],[Frequentie weekend]]="","",_xlfn.CONCAT(Ruimtestaat[[#This Row],[Ruimte code]],"-",Ruimtestaat[[#This Row],[Frequentie weekend]]," ",Ruimtestaat[[#This Row],[Vloer code]]))</f>
        <v/>
      </c>
      <c r="BD132" s="142" t="str">
        <f>_xlfn.IFNA(VLOOKUP($BC132,Programma!$F$3:$G$1101,2,0),"")</f>
        <v/>
      </c>
      <c r="BE132" s="142" t="str">
        <f>_xlfn.IFNA(VLOOKUP($BC132,Programma!$F$3:$H$1101,3,0),"")</f>
        <v/>
      </c>
      <c r="BF132" s="142" t="str">
        <f>_xlfn.IFNA(VLOOKUP($BC132,Programma!$F$3:$I$1101,4,0),"")</f>
        <v/>
      </c>
      <c r="BG132" s="142" t="str">
        <f>_xlfn.IFNA(VLOOKUP($BC132,Programma!$F$3:$J$1101,5,0),"")</f>
        <v/>
      </c>
      <c r="BH132" s="142" t="str">
        <f>_xlfn.IFNA(VLOOKUP($BC132,Programma!$F$3:$K$1101,6,0),"")</f>
        <v/>
      </c>
      <c r="BI132" s="142" t="str">
        <f>_xlfn.IFNA(VLOOKUP($BC132,Programma!$F$3:$L$1101,7,0),"")</f>
        <v/>
      </c>
      <c r="BJ132" s="142" t="str">
        <f>_xlfn.IFNA(VLOOKUP($BC132,Programma!$F$3:$M$1101,8,0),"")</f>
        <v/>
      </c>
      <c r="BK132" s="142" t="str">
        <f>_xlfn.IFNA(VLOOKUP($BC132,Programma!$F$3:$N$1101,9,0),"")</f>
        <v/>
      </c>
      <c r="BL132" s="142" t="str">
        <f>_xlfn.IFNA(VLOOKUP($BC132,Programma!$F$3:$O$1101,10,0),"")</f>
        <v/>
      </c>
      <c r="BM132" s="142" t="str">
        <f>_xlfn.IFNA(VLOOKUP($BC132,Programma!$F$3:$P$1101,11,0),"")</f>
        <v/>
      </c>
      <c r="BN132" s="142" t="str">
        <f>_xlfn.IFNA(VLOOKUP($BC132,Programma!$F$3:$Q$1101,12,0),"")</f>
        <v/>
      </c>
      <c r="BO132" s="142" t="str">
        <f>_xlfn.IFNA(VLOOKUP($BC132,Programma!$F$3:$R$1101,13,0),"")</f>
        <v/>
      </c>
      <c r="BP132" s="142" t="str">
        <f>_xlfn.IFNA(VLOOKUP($BC132,Programma!$F$3:$S$1101,14,0),"")</f>
        <v/>
      </c>
      <c r="BQ132" s="142" t="str">
        <f>_xlfn.IFNA(VLOOKUP($BC132,Programma!$F$3:$T$1101,15,0),"")</f>
        <v/>
      </c>
      <c r="BR132" s="142" t="str">
        <f>_xlfn.IFNA(VLOOKUP($BC132,Programma!$F$3:$U$1101,16,0),"")</f>
        <v/>
      </c>
      <c r="BS132" s="142" t="str">
        <f>_xlfn.IFNA(VLOOKUP($BC132,Programma!$F$3:$V$1101,17,0),"")</f>
        <v/>
      </c>
      <c r="BT132" s="142" t="str">
        <f>_xlfn.IFNA(VLOOKUP($BC132,Programma!$F$3:$W$1101,18,0),"")</f>
        <v/>
      </c>
      <c r="BU132" s="142" t="str">
        <f>_xlfn.IFNA(VLOOKUP($BC132,Programma!$F$3:$X$1101,19,0),"")</f>
        <v/>
      </c>
      <c r="BV132" s="142" t="str">
        <f>_xlfn.IFNA(VLOOKUP($BC132,Programma!$F$3:$Y$1101,20,0),"")</f>
        <v/>
      </c>
      <c r="BW132" s="28"/>
      <c r="BX132" s="28"/>
      <c r="BY132" s="28"/>
      <c r="BZ132" s="28"/>
      <c r="CA132" s="28"/>
      <c r="CB132" s="28"/>
      <c r="CC132" s="28"/>
      <c r="CD132" s="28"/>
      <c r="CE132" s="28"/>
      <c r="CF132" s="28"/>
      <c r="CG132" s="28"/>
      <c r="CH132" s="28"/>
      <c r="CI132" s="28"/>
      <c r="CJ132" s="28"/>
      <c r="CK132" s="28"/>
      <c r="CL132" s="28"/>
      <c r="CM132" s="28"/>
      <c r="CN132" s="28"/>
      <c r="CO132" s="28"/>
      <c r="CP132" s="28"/>
      <c r="CQ132" s="28"/>
      <c r="CR132" s="28"/>
      <c r="CS132" s="28"/>
      <c r="CT132" s="28"/>
      <c r="CU132" s="28"/>
      <c r="CV132" s="28"/>
      <c r="CW132" s="28"/>
      <c r="CX132" s="28"/>
      <c r="CY132" s="28"/>
      <c r="CZ132" s="28"/>
      <c r="DA132" s="28"/>
      <c r="DB132" s="28"/>
      <c r="DC132" s="28"/>
      <c r="DD132" s="28"/>
      <c r="DE132" s="28"/>
      <c r="DF132" s="28"/>
      <c r="DG132" s="28"/>
      <c r="DH132" s="28"/>
      <c r="DI132" s="28"/>
      <c r="DJ132" s="28"/>
      <c r="DK132" s="28"/>
      <c r="DL132" s="28"/>
      <c r="DM132" s="28"/>
      <c r="DN132" s="28"/>
      <c r="DO132" s="28"/>
      <c r="DP132" s="28"/>
      <c r="DQ132" s="28"/>
      <c r="DR132" s="28"/>
      <c r="DS132" s="28"/>
      <c r="DT132" s="28"/>
      <c r="DU132" s="28"/>
      <c r="DV132" s="28"/>
      <c r="DW132" s="28"/>
      <c r="DX132" s="28"/>
      <c r="DY132" s="28"/>
      <c r="DZ132" s="28"/>
      <c r="EA132" s="28"/>
      <c r="EB132" s="28"/>
      <c r="EC132" s="28"/>
      <c r="ED132" s="28"/>
      <c r="EE132" s="28"/>
      <c r="EF132" s="28"/>
      <c r="EG132" s="28"/>
      <c r="EH132" s="28"/>
      <c r="EI132" s="28"/>
      <c r="EJ132" s="28"/>
      <c r="EK132" s="28"/>
      <c r="EL132" s="28"/>
      <c r="EM132" s="28"/>
      <c r="EN132" s="28"/>
      <c r="EO132" s="28"/>
      <c r="EP132" s="28"/>
      <c r="EQ132" s="28"/>
      <c r="ER132" s="28"/>
      <c r="ES132" s="28"/>
      <c r="ET132" s="28"/>
      <c r="EU132" s="28"/>
      <c r="EV132" s="28"/>
      <c r="EW132" s="28"/>
      <c r="EX132" s="28"/>
      <c r="EY132" s="28"/>
      <c r="EZ132" s="28"/>
      <c r="FA132" s="28"/>
      <c r="FB132" s="28"/>
      <c r="FC132" s="28"/>
      <c r="FD132" s="28"/>
      <c r="FE132" s="28"/>
      <c r="FF132" s="28"/>
      <c r="FG132" s="28"/>
      <c r="FH132" s="28"/>
      <c r="FI132" s="28"/>
      <c r="FJ132" s="28"/>
      <c r="FK132" s="28"/>
      <c r="FL132" s="28"/>
      <c r="FM132" s="28"/>
      <c r="FN132" s="28"/>
      <c r="FO132" s="28"/>
      <c r="FP132" s="28"/>
      <c r="FQ132" s="28"/>
      <c r="FR132" s="28"/>
      <c r="FS132" s="28"/>
      <c r="FT132" s="28"/>
      <c r="FU132" s="28"/>
      <c r="FV132" s="28"/>
      <c r="FW132" s="28"/>
      <c r="FX132" s="28"/>
      <c r="FY132" s="28"/>
      <c r="FZ132" s="28"/>
      <c r="GA132" s="28"/>
      <c r="GB132" s="28"/>
      <c r="GC132" s="28"/>
      <c r="GD132" s="28"/>
      <c r="GE132" s="28"/>
      <c r="GF132" s="28"/>
      <c r="GG132" s="28"/>
      <c r="GH132" s="28"/>
      <c r="GI132" s="28"/>
      <c r="GJ132" s="28"/>
      <c r="GK132" s="28"/>
      <c r="GL132" s="28"/>
      <c r="GM132" s="28"/>
      <c r="GN132" s="28"/>
      <c r="GO132" s="28"/>
      <c r="GP132" s="28"/>
      <c r="GQ132" s="28"/>
      <c r="GR132" s="28"/>
      <c r="GS132" s="28"/>
      <c r="GT132" s="28"/>
      <c r="GU132" s="28"/>
      <c r="GV132" s="28"/>
      <c r="GW132" s="28"/>
      <c r="GX132" s="28"/>
      <c r="GY132" s="28"/>
      <c r="GZ132" s="28"/>
      <c r="HA132" s="28"/>
      <c r="HB132" s="28"/>
      <c r="HC132" s="28"/>
      <c r="HD132" s="28"/>
      <c r="HE132" s="28"/>
      <c r="HF132" s="28"/>
      <c r="HG132" s="28"/>
      <c r="HH132" s="28"/>
      <c r="HI132" s="28"/>
      <c r="HJ132" s="28"/>
      <c r="HK132" s="28"/>
    </row>
    <row r="133" spans="1:219" ht="15" customHeight="1">
      <c r="A133" s="49">
        <v>1</v>
      </c>
      <c r="B133" s="132" t="str">
        <f>VLOOKUP(Ruimtestaat[[#This Row],[Code]],Locaties[[Code]:[Locatie]],2,FALSE)</f>
        <v>Mirtehuis</v>
      </c>
      <c r="C133" s="132" t="str">
        <f>VLOOKUP(Ruimtestaat[[#This Row],[Code]],Locaties[[#All],[Code]:[Adres]],4,FALSE)</f>
        <v>Weseperweg 6</v>
      </c>
      <c r="D133" s="132" t="str">
        <f>VLOOKUP(Ruimtestaat[[#This Row],[Code]],Locaties[[#All],[Code]:[Postcode]],5,FALSE)</f>
        <v>8111 PK</v>
      </c>
      <c r="E133" s="132" t="str">
        <f>VLOOKUP(Ruimtestaat[[#This Row],[Code]],Locaties[#All],6,FALSE)</f>
        <v>Heeten</v>
      </c>
      <c r="F133" s="100"/>
      <c r="G133" s="100" t="s">
        <v>1677</v>
      </c>
      <c r="I133" s="140" t="s">
        <v>1641</v>
      </c>
      <c r="J133" s="49">
        <v>5</v>
      </c>
      <c r="K133" s="140" t="str">
        <f>VLOOKUP(Ruimtestaat[[#This Row],[Ruimte code]],Ruimtegroepen[[#All],[Code]:[Ruimte omschrijving]],2,FALSE)</f>
        <v>Sanitair</v>
      </c>
      <c r="L133" s="100" t="s">
        <v>101</v>
      </c>
      <c r="M133" s="345" t="s">
        <v>1642</v>
      </c>
      <c r="N133" s="133">
        <v>1</v>
      </c>
      <c r="O133" s="100"/>
      <c r="P133" s="134" t="str">
        <f>VLOOKUP(Ruimtestaat[[#This Row],[Ruimte code]],Ruimtegroepen[],4,FALSE)</f>
        <v>Sa</v>
      </c>
      <c r="Q133" s="100">
        <v>51</v>
      </c>
      <c r="R133" s="100" t="s">
        <v>2</v>
      </c>
      <c r="S133" s="100">
        <f>IF(Q133&gt;0,IF(RIGHT(Ruimtestaat[[#This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33" s="100">
        <f>IF(S133&gt;0,VLOOKUP($J133,Ruimtegroepen[],3,FALSE)*VLOOKUP($L133,Vloersoorten[],3,FALSE)*VLOOKUP($R133,Frequenties[],3,FALSE)*VLOOKUP($A133,Locaties[],3,FALSE),0)</f>
        <v>0</v>
      </c>
      <c r="U133" s="100">
        <f>Ruimtestaat[[#This Row],[Uitvoeringen werkdagen]]*Ruimtestaat[[#This Row],[Oppervlak (netto)]]</f>
        <v>255</v>
      </c>
      <c r="V133" s="135">
        <f>IF(T133&gt;0,Ruimtestaat[[#This Row],[Prest. (m2 /jaar) werkdagen]]/Ruimtestaat[[#This Row],[Norm (m2/uur) werkdagen]],0)</f>
        <v>0</v>
      </c>
      <c r="W133" s="136">
        <f>Ruimtestaat[[#This Row],[uren / jaar werkdagen]]*Tariefsopbouw!$E$35</f>
        <v>0</v>
      </c>
      <c r="X133" s="100"/>
      <c r="Y133" s="100">
        <f>IF(Ruimtestaat[[#This Row],[Frequentie weekend]]&gt;0,VALUE(LEFT(X133,1))*Q133,0)</f>
        <v>0</v>
      </c>
      <c r="Z133" s="99">
        <f>IF($Y133&gt;0,VLOOKUP($J133,Ruimtegroepen[],3,FALSE)*VLOOKUP($L133,Vloersoorten[],3,FALSE)*VLOOKUP($X133,Frequenties[],3,FALSE)*VLOOKUP(Ruimtestaat[[#This Row],[Code]],Locaties[],3,FALSE),0)</f>
        <v>0</v>
      </c>
      <c r="AA133" s="99">
        <f>Ruimtestaat[[#This Row],[Uitvoeringen weekend]]*Ruimtestaat[[#This Row],[Oppervlak (netto)]]</f>
        <v>0</v>
      </c>
      <c r="AB133" s="99">
        <f>IF(Z133&gt;0,Ruimtestaat[[#This Row],[Prest. (m2 /jaar) weekend]]/Ruimtestaat[[#This Row],[Norm (m2/uur) weekend]],0)</f>
        <v>0</v>
      </c>
      <c r="AC133" s="136">
        <f>Ruimtestaat[[#This Row],[uren / jaar weekend]]*Tariefsopbouw!$D$40</f>
        <v>0</v>
      </c>
      <c r="AD133" s="135">
        <f>Ruimtestaat[[#This Row],[Prest. (m2 /jaar) weekend]]+Ruimtestaat[[#This Row],[Prest. (m2 /jaar) werkdagen]]</f>
        <v>255</v>
      </c>
      <c r="AE133" s="135">
        <f>Ruimtestaat[[#This Row],[uren / jaar weekend]]+Ruimtestaat[[#This Row],[uren / jaar werkdagen]]</f>
        <v>0</v>
      </c>
      <c r="AF133" s="130">
        <f>Ruimtestaat[[#This Row],[kosten / jaar weekend]]+Ruimtestaat[[#This Row],[kosten / jaar werkdagen]]</f>
        <v>0</v>
      </c>
      <c r="AG133" s="130"/>
      <c r="AH133" s="137" t="str">
        <f>IF(Ruimtestaat[[#This Row],[Frequentie werkdagen]]="","",_xlfn.CONCAT(Ruimtestaat[[#This Row],[Ruimte code]],"-",Ruimtestaat[[#This Row],[Frequentie werkdagen]]," ",Ruimtestaat[[#This Row],[Vloer code]]))</f>
        <v>5-5w S</v>
      </c>
      <c r="AI133" s="142" t="str">
        <f>_xlfn.IFNA(VLOOKUP($AH133,Programma!$F$3:$G$1101,2,0),"")</f>
        <v>_</v>
      </c>
      <c r="AJ133" s="142" t="str">
        <f>_xlfn.IFNA(VLOOKUP($AH133,Programma!$F$3:$H$1101,3,0),"")</f>
        <v>_</v>
      </c>
      <c r="AK133" s="142" t="str">
        <f>_xlfn.IFNA(VLOOKUP($AH133,Programma!$F$3:$I$1101,4,0),"")</f>
        <v>_</v>
      </c>
      <c r="AL133" s="142" t="str">
        <f>_xlfn.IFNA(VLOOKUP($AH133,Programma!$F$3:$J$1101,5,0),"")</f>
        <v>4w</v>
      </c>
      <c r="AM133" s="142" t="str">
        <f>_xlfn.IFNA(VLOOKUP($AH133,Programma!$F$3:$K$1101,6,0),"")</f>
        <v>1w</v>
      </c>
      <c r="AN133" s="142" t="str">
        <f>_xlfn.IFNA(VLOOKUP($AH133,Programma!$F$3:$L$1101,7,0),"")</f>
        <v>_</v>
      </c>
      <c r="AO133" s="142" t="str">
        <f>_xlfn.IFNA(VLOOKUP($AH133,Programma!$F$3:$M$1101,8,0),"")</f>
        <v>_</v>
      </c>
      <c r="AP133" s="142" t="str">
        <f>_xlfn.IFNA(VLOOKUP($AH133,Programma!$F$3:$N$1101,9,0),"")</f>
        <v>_</v>
      </c>
      <c r="AQ133" s="142" t="str">
        <f>_xlfn.IFNA(VLOOKUP($AH133,Programma!$F$3:$O$1101,10,0),"")</f>
        <v>_</v>
      </c>
      <c r="AR133" s="142" t="str">
        <f>_xlfn.IFNA(VLOOKUP($AH133,Programma!$F$3:$P$1101,11,0),"")</f>
        <v>_</v>
      </c>
      <c r="AS133" s="142" t="str">
        <f>_xlfn.IFNA(VLOOKUP($AH133,Programma!$F$3:$Q$1101,12,0),"")</f>
        <v>_</v>
      </c>
      <c r="AT133" s="142" t="str">
        <f>_xlfn.IFNA(VLOOKUP($AH133,Programma!$F$3:$R$1101,13,0),"")</f>
        <v>_</v>
      </c>
      <c r="AU133" s="142" t="str">
        <f>_xlfn.IFNA(VLOOKUP($AH133,Programma!$F$3:$S$1101,14,0),"")</f>
        <v>_</v>
      </c>
      <c r="AV133" s="142" t="str">
        <f>_xlfn.IFNA(VLOOKUP($AH133,Programma!$F$3:$T$1101,15,0),"")</f>
        <v>_</v>
      </c>
      <c r="AW133" s="142" t="str">
        <f>_xlfn.IFNA(VLOOKUP($AH133,Programma!$F$3:$U$1101,16,0),"")</f>
        <v>_</v>
      </c>
      <c r="AX133" s="142" t="str">
        <f>_xlfn.IFNA(VLOOKUP($AH133,Programma!$F$3:$V$1101,17,0),"")</f>
        <v>_</v>
      </c>
      <c r="AY133" s="142" t="str">
        <f>_xlfn.IFNA(VLOOKUP($AH133,Programma!$F$3:$W$1101,18,0),"")</f>
        <v>4w</v>
      </c>
      <c r="AZ133" s="142" t="str">
        <f>_xlfn.IFNA(VLOOKUP($AH133,Programma!$F$3:$X$1101,19,0),"")</f>
        <v>1w</v>
      </c>
      <c r="BA133" s="142" t="str">
        <f>_xlfn.IFNA(VLOOKUP($AH133,Programma!$F$3:$Y$1101,20,0),"")</f>
        <v>_</v>
      </c>
      <c r="BB133" s="138"/>
      <c r="BC133" s="137" t="str">
        <f>IF(Ruimtestaat[[#This Row],[Frequentie weekend]]="","",_xlfn.CONCAT(Ruimtestaat[[#This Row],[Ruimte code]],"-",Ruimtestaat[[#This Row],[Frequentie weekend]]," ",Ruimtestaat[[#This Row],[Vloer code]]))</f>
        <v/>
      </c>
      <c r="BD133" s="142" t="str">
        <f>_xlfn.IFNA(VLOOKUP($BC133,Programma!$F$3:$G$1101,2,0),"")</f>
        <v/>
      </c>
      <c r="BE133" s="142" t="str">
        <f>_xlfn.IFNA(VLOOKUP($BC133,Programma!$F$3:$H$1101,3,0),"")</f>
        <v/>
      </c>
      <c r="BF133" s="142" t="str">
        <f>_xlfn.IFNA(VLOOKUP($BC133,Programma!$F$3:$I$1101,4,0),"")</f>
        <v/>
      </c>
      <c r="BG133" s="142" t="str">
        <f>_xlfn.IFNA(VLOOKUP($BC133,Programma!$F$3:$J$1101,5,0),"")</f>
        <v/>
      </c>
      <c r="BH133" s="142" t="str">
        <f>_xlfn.IFNA(VLOOKUP($BC133,Programma!$F$3:$K$1101,6,0),"")</f>
        <v/>
      </c>
      <c r="BI133" s="142" t="str">
        <f>_xlfn.IFNA(VLOOKUP($BC133,Programma!$F$3:$L$1101,7,0),"")</f>
        <v/>
      </c>
      <c r="BJ133" s="142" t="str">
        <f>_xlfn.IFNA(VLOOKUP($BC133,Programma!$F$3:$M$1101,8,0),"")</f>
        <v/>
      </c>
      <c r="BK133" s="142" t="str">
        <f>_xlfn.IFNA(VLOOKUP($BC133,Programma!$F$3:$N$1101,9,0),"")</f>
        <v/>
      </c>
      <c r="BL133" s="142" t="str">
        <f>_xlfn.IFNA(VLOOKUP($BC133,Programma!$F$3:$O$1101,10,0),"")</f>
        <v/>
      </c>
      <c r="BM133" s="142" t="str">
        <f>_xlfn.IFNA(VLOOKUP($BC133,Programma!$F$3:$P$1101,11,0),"")</f>
        <v/>
      </c>
      <c r="BN133" s="142" t="str">
        <f>_xlfn.IFNA(VLOOKUP($BC133,Programma!$F$3:$Q$1101,12,0),"")</f>
        <v/>
      </c>
      <c r="BO133" s="142" t="str">
        <f>_xlfn.IFNA(VLOOKUP($BC133,Programma!$F$3:$R$1101,13,0),"")</f>
        <v/>
      </c>
      <c r="BP133" s="142" t="str">
        <f>_xlfn.IFNA(VLOOKUP($BC133,Programma!$F$3:$S$1101,14,0),"")</f>
        <v/>
      </c>
      <c r="BQ133" s="142" t="str">
        <f>_xlfn.IFNA(VLOOKUP($BC133,Programma!$F$3:$T$1101,15,0),"")</f>
        <v/>
      </c>
      <c r="BR133" s="142" t="str">
        <f>_xlfn.IFNA(VLOOKUP($BC133,Programma!$F$3:$U$1101,16,0),"")</f>
        <v/>
      </c>
      <c r="BS133" s="142" t="str">
        <f>_xlfn.IFNA(VLOOKUP($BC133,Programma!$F$3:$V$1101,17,0),"")</f>
        <v/>
      </c>
      <c r="BT133" s="142" t="str">
        <f>_xlfn.IFNA(VLOOKUP($BC133,Programma!$F$3:$W$1101,18,0),"")</f>
        <v/>
      </c>
      <c r="BU133" s="142" t="str">
        <f>_xlfn.IFNA(VLOOKUP($BC133,Programma!$F$3:$X$1101,19,0),"")</f>
        <v/>
      </c>
      <c r="BV133" s="142" t="str">
        <f>_xlfn.IFNA(VLOOKUP($BC133,Programma!$F$3:$Y$1101,20,0),"")</f>
        <v/>
      </c>
      <c r="BW133" s="28"/>
      <c r="BX133" s="28"/>
      <c r="BY133" s="28"/>
      <c r="BZ133" s="28"/>
      <c r="CA133" s="28"/>
      <c r="CB133" s="28"/>
      <c r="CC133" s="28"/>
      <c r="CD133" s="28"/>
      <c r="CE133" s="28"/>
      <c r="CF133" s="28"/>
      <c r="CG133" s="28"/>
      <c r="CH133" s="28"/>
      <c r="CI133" s="28"/>
      <c r="CJ133" s="28"/>
      <c r="CK133" s="28"/>
      <c r="CL133" s="28"/>
      <c r="CM133" s="28"/>
      <c r="CN133" s="28"/>
      <c r="CO133" s="28"/>
      <c r="CP133" s="28"/>
      <c r="CQ133" s="28"/>
      <c r="CR133" s="28"/>
      <c r="CS133" s="28"/>
      <c r="CT133" s="28"/>
      <c r="CU133" s="28"/>
      <c r="CV133" s="28"/>
      <c r="CW133" s="28"/>
      <c r="CX133" s="28"/>
      <c r="CY133" s="28"/>
      <c r="CZ133" s="28"/>
      <c r="DA133" s="28"/>
      <c r="DB133" s="28"/>
      <c r="DC133" s="28"/>
      <c r="DD133" s="28"/>
      <c r="DE133" s="28"/>
      <c r="DF133" s="28"/>
      <c r="DG133" s="28"/>
      <c r="DH133" s="28"/>
      <c r="DI133" s="28"/>
      <c r="DJ133" s="28"/>
      <c r="DK133" s="28"/>
      <c r="DL133" s="28"/>
      <c r="DM133" s="28"/>
      <c r="DN133" s="28"/>
      <c r="DO133" s="28"/>
      <c r="DP133" s="28"/>
      <c r="DQ133" s="28"/>
      <c r="DR133" s="28"/>
      <c r="DS133" s="28"/>
      <c r="DT133" s="28"/>
      <c r="DU133" s="28"/>
      <c r="DV133" s="28"/>
      <c r="DW133" s="28"/>
      <c r="DX133" s="28"/>
      <c r="DY133" s="28"/>
      <c r="DZ133" s="28"/>
      <c r="EA133" s="28"/>
      <c r="EB133" s="28"/>
      <c r="EC133" s="28"/>
      <c r="ED133" s="28"/>
      <c r="EE133" s="28"/>
      <c r="EF133" s="28"/>
      <c r="EG133" s="28"/>
      <c r="EH133" s="28"/>
      <c r="EI133" s="28"/>
      <c r="EJ133" s="28"/>
      <c r="EK133" s="28"/>
      <c r="EL133" s="28"/>
      <c r="EM133" s="28"/>
      <c r="EN133" s="28"/>
      <c r="EO133" s="28"/>
      <c r="EP133" s="28"/>
      <c r="EQ133" s="28"/>
      <c r="ER133" s="28"/>
      <c r="ES133" s="28"/>
      <c r="ET133" s="28"/>
      <c r="EU133" s="28"/>
      <c r="EV133" s="28"/>
      <c r="EW133" s="28"/>
      <c r="EX133" s="28"/>
      <c r="EY133" s="28"/>
      <c r="EZ133" s="28"/>
      <c r="FA133" s="28"/>
      <c r="FB133" s="28"/>
      <c r="FC133" s="28"/>
      <c r="FD133" s="28"/>
      <c r="FE133" s="28"/>
      <c r="FF133" s="28"/>
      <c r="FG133" s="28"/>
      <c r="FH133" s="28"/>
      <c r="FI133" s="28"/>
      <c r="FJ133" s="28"/>
      <c r="FK133" s="28"/>
      <c r="FL133" s="28"/>
      <c r="FM133" s="28"/>
      <c r="FN133" s="28"/>
      <c r="FO133" s="28"/>
      <c r="FP133" s="28"/>
      <c r="FQ133" s="28"/>
      <c r="FR133" s="28"/>
      <c r="FS133" s="28"/>
      <c r="FT133" s="28"/>
      <c r="FU133" s="28"/>
      <c r="FV133" s="28"/>
      <c r="FW133" s="28"/>
      <c r="FX133" s="28"/>
      <c r="FY133" s="28"/>
      <c r="FZ133" s="28"/>
      <c r="GA133" s="28"/>
      <c r="GB133" s="28"/>
      <c r="GC133" s="28"/>
      <c r="GD133" s="28"/>
      <c r="GE133" s="28"/>
      <c r="GF133" s="28"/>
      <c r="GG133" s="28"/>
      <c r="GH133" s="28"/>
      <c r="GI133" s="28"/>
      <c r="GJ133" s="28"/>
      <c r="GK133" s="28"/>
      <c r="GL133" s="28"/>
      <c r="GM133" s="28"/>
      <c r="GN133" s="28"/>
      <c r="GO133" s="28"/>
      <c r="GP133" s="28"/>
      <c r="GQ133" s="28"/>
      <c r="GR133" s="28"/>
      <c r="GS133" s="28"/>
      <c r="GT133" s="28"/>
      <c r="GU133" s="28"/>
      <c r="GV133" s="28"/>
      <c r="GW133" s="28"/>
      <c r="GX133" s="28"/>
      <c r="GY133" s="28"/>
      <c r="GZ133" s="28"/>
      <c r="HA133" s="28"/>
      <c r="HB133" s="28"/>
      <c r="HC133" s="28"/>
      <c r="HD133" s="28"/>
      <c r="HE133" s="28"/>
      <c r="HF133" s="28"/>
      <c r="HG133" s="28"/>
      <c r="HH133" s="28"/>
      <c r="HI133" s="28"/>
      <c r="HJ133" s="28"/>
      <c r="HK133" s="28"/>
    </row>
    <row r="134" spans="1:219" ht="15" customHeight="1">
      <c r="A134" s="49">
        <v>1</v>
      </c>
      <c r="B134" s="132" t="str">
        <f>VLOOKUP(Ruimtestaat[[#This Row],[Code]],Locaties[[Code]:[Locatie]],2,FALSE)</f>
        <v>Mirtehuis</v>
      </c>
      <c r="C134" s="132" t="str">
        <f>VLOOKUP(Ruimtestaat[[#This Row],[Code]],Locaties[[#All],[Code]:[Adres]],4,FALSE)</f>
        <v>Weseperweg 6</v>
      </c>
      <c r="D134" s="132" t="str">
        <f>VLOOKUP(Ruimtestaat[[#This Row],[Code]],Locaties[[#All],[Code]:[Postcode]],5,FALSE)</f>
        <v>8111 PK</v>
      </c>
      <c r="E134" s="132" t="str">
        <f>VLOOKUP(Ruimtestaat[[#This Row],[Code]],Locaties[#All],6,FALSE)</f>
        <v>Heeten</v>
      </c>
      <c r="F134" s="100"/>
      <c r="G134" s="100" t="s">
        <v>1677</v>
      </c>
      <c r="I134" s="140" t="s">
        <v>1668</v>
      </c>
      <c r="J134" s="49">
        <v>5</v>
      </c>
      <c r="K134" s="140" t="str">
        <f>VLOOKUP(Ruimtestaat[[#This Row],[Ruimte code]],Ruimtegroepen[[#All],[Code]:[Ruimte omschrijving]],2,FALSE)</f>
        <v>Sanitair</v>
      </c>
      <c r="L134" s="100" t="s">
        <v>101</v>
      </c>
      <c r="M134" s="345" t="s">
        <v>1642</v>
      </c>
      <c r="N134" s="133">
        <v>1.75</v>
      </c>
      <c r="O134" s="139"/>
      <c r="P134" s="134" t="str">
        <f>VLOOKUP(Ruimtestaat[[#This Row],[Ruimte code]],Ruimtegroepen[],4,FALSE)</f>
        <v>Sa</v>
      </c>
      <c r="Q134" s="100">
        <v>51</v>
      </c>
      <c r="R134" s="100" t="s">
        <v>2</v>
      </c>
      <c r="S134" s="100">
        <f>IF(Q134&gt;0,IF(RIGHT(Ruimtestaat[[#This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34" s="100">
        <f>IF(S134&gt;0,VLOOKUP($J134,Ruimtegroepen[],3,FALSE)*VLOOKUP($L134,Vloersoorten[],3,FALSE)*VLOOKUP($R134,Frequenties[],3,FALSE)*VLOOKUP($A134,Locaties[],3,FALSE),0)</f>
        <v>0</v>
      </c>
      <c r="U134" s="100">
        <f>Ruimtestaat[[#This Row],[Uitvoeringen werkdagen]]*Ruimtestaat[[#This Row],[Oppervlak (netto)]]</f>
        <v>446.25</v>
      </c>
      <c r="V134" s="135">
        <f>IF(T134&gt;0,Ruimtestaat[[#This Row],[Prest. (m2 /jaar) werkdagen]]/Ruimtestaat[[#This Row],[Norm (m2/uur) werkdagen]],0)</f>
        <v>0</v>
      </c>
      <c r="W134" s="136">
        <f>Ruimtestaat[[#This Row],[uren / jaar werkdagen]]*Tariefsopbouw!$E$35</f>
        <v>0</v>
      </c>
      <c r="X134" s="100"/>
      <c r="Y134" s="100">
        <f>IF(Ruimtestaat[[#This Row],[Frequentie weekend]]&gt;0,VALUE(LEFT(X134,1))*Q134,0)</f>
        <v>0</v>
      </c>
      <c r="Z134" s="99">
        <f>IF($Y134&gt;0,VLOOKUP($J134,Ruimtegroepen[],3,FALSE)*VLOOKUP($L134,Vloersoorten[],3,FALSE)*VLOOKUP($X134,Frequenties[],3,FALSE)*VLOOKUP(Ruimtestaat[[#This Row],[Code]],Locaties[],3,FALSE),0)</f>
        <v>0</v>
      </c>
      <c r="AA134" s="99">
        <f>Ruimtestaat[[#This Row],[Uitvoeringen weekend]]*Ruimtestaat[[#This Row],[Oppervlak (netto)]]</f>
        <v>0</v>
      </c>
      <c r="AB134" s="99">
        <f>IF(Z134&gt;0,Ruimtestaat[[#This Row],[Prest. (m2 /jaar) weekend]]/Ruimtestaat[[#This Row],[Norm (m2/uur) weekend]],0)</f>
        <v>0</v>
      </c>
      <c r="AC134" s="136">
        <f>Ruimtestaat[[#This Row],[uren / jaar weekend]]*Tariefsopbouw!$D$40</f>
        <v>0</v>
      </c>
      <c r="AD134" s="135">
        <f>Ruimtestaat[[#This Row],[Prest. (m2 /jaar) weekend]]+Ruimtestaat[[#This Row],[Prest. (m2 /jaar) werkdagen]]</f>
        <v>446.25</v>
      </c>
      <c r="AE134" s="135">
        <f>Ruimtestaat[[#This Row],[uren / jaar weekend]]+Ruimtestaat[[#This Row],[uren / jaar werkdagen]]</f>
        <v>0</v>
      </c>
      <c r="AF134" s="130">
        <f>Ruimtestaat[[#This Row],[kosten / jaar weekend]]+Ruimtestaat[[#This Row],[kosten / jaar werkdagen]]</f>
        <v>0</v>
      </c>
      <c r="AG134" s="130"/>
      <c r="AH134" s="137" t="str">
        <f>IF(Ruimtestaat[[#This Row],[Frequentie werkdagen]]="","",_xlfn.CONCAT(Ruimtestaat[[#This Row],[Ruimte code]],"-",Ruimtestaat[[#This Row],[Frequentie werkdagen]]," ",Ruimtestaat[[#This Row],[Vloer code]]))</f>
        <v>5-5w S</v>
      </c>
      <c r="AI134" s="142" t="str">
        <f>_xlfn.IFNA(VLOOKUP($AH134,Programma!$F$3:$G$1101,2,0),"")</f>
        <v>_</v>
      </c>
      <c r="AJ134" s="142" t="str">
        <f>_xlfn.IFNA(VLOOKUP($AH134,Programma!$F$3:$H$1101,3,0),"")</f>
        <v>_</v>
      </c>
      <c r="AK134" s="142" t="str">
        <f>_xlfn.IFNA(VLOOKUP($AH134,Programma!$F$3:$I$1101,4,0),"")</f>
        <v>_</v>
      </c>
      <c r="AL134" s="142" t="str">
        <f>_xlfn.IFNA(VLOOKUP($AH134,Programma!$F$3:$J$1101,5,0),"")</f>
        <v>4w</v>
      </c>
      <c r="AM134" s="142" t="str">
        <f>_xlfn.IFNA(VLOOKUP($AH134,Programma!$F$3:$K$1101,6,0),"")</f>
        <v>1w</v>
      </c>
      <c r="AN134" s="142" t="str">
        <f>_xlfn.IFNA(VLOOKUP($AH134,Programma!$F$3:$L$1101,7,0),"")</f>
        <v>_</v>
      </c>
      <c r="AO134" s="142" t="str">
        <f>_xlfn.IFNA(VLOOKUP($AH134,Programma!$F$3:$M$1101,8,0),"")</f>
        <v>_</v>
      </c>
      <c r="AP134" s="142" t="str">
        <f>_xlfn.IFNA(VLOOKUP($AH134,Programma!$F$3:$N$1101,9,0),"")</f>
        <v>_</v>
      </c>
      <c r="AQ134" s="142" t="str">
        <f>_xlfn.IFNA(VLOOKUP($AH134,Programma!$F$3:$O$1101,10,0),"")</f>
        <v>_</v>
      </c>
      <c r="AR134" s="142" t="str">
        <f>_xlfn.IFNA(VLOOKUP($AH134,Programma!$F$3:$P$1101,11,0),"")</f>
        <v>_</v>
      </c>
      <c r="AS134" s="142" t="str">
        <f>_xlfn.IFNA(VLOOKUP($AH134,Programma!$F$3:$Q$1101,12,0),"")</f>
        <v>_</v>
      </c>
      <c r="AT134" s="142" t="str">
        <f>_xlfn.IFNA(VLOOKUP($AH134,Programma!$F$3:$R$1101,13,0),"")</f>
        <v>_</v>
      </c>
      <c r="AU134" s="142" t="str">
        <f>_xlfn.IFNA(VLOOKUP($AH134,Programma!$F$3:$S$1101,14,0),"")</f>
        <v>_</v>
      </c>
      <c r="AV134" s="142" t="str">
        <f>_xlfn.IFNA(VLOOKUP($AH134,Programma!$F$3:$T$1101,15,0),"")</f>
        <v>_</v>
      </c>
      <c r="AW134" s="142" t="str">
        <f>_xlfn.IFNA(VLOOKUP($AH134,Programma!$F$3:$U$1101,16,0),"")</f>
        <v>_</v>
      </c>
      <c r="AX134" s="142" t="str">
        <f>_xlfn.IFNA(VLOOKUP($AH134,Programma!$F$3:$V$1101,17,0),"")</f>
        <v>_</v>
      </c>
      <c r="AY134" s="142" t="str">
        <f>_xlfn.IFNA(VLOOKUP($AH134,Programma!$F$3:$W$1101,18,0),"")</f>
        <v>4w</v>
      </c>
      <c r="AZ134" s="142" t="str">
        <f>_xlfn.IFNA(VLOOKUP($AH134,Programma!$F$3:$X$1101,19,0),"")</f>
        <v>1w</v>
      </c>
      <c r="BA134" s="142" t="str">
        <f>_xlfn.IFNA(VLOOKUP($AH134,Programma!$F$3:$Y$1101,20,0),"")</f>
        <v>_</v>
      </c>
      <c r="BB134" s="138"/>
      <c r="BC134" s="137" t="str">
        <f>IF(Ruimtestaat[[#This Row],[Frequentie weekend]]="","",_xlfn.CONCAT(Ruimtestaat[[#This Row],[Ruimte code]],"-",Ruimtestaat[[#This Row],[Frequentie weekend]]," ",Ruimtestaat[[#This Row],[Vloer code]]))</f>
        <v/>
      </c>
      <c r="BD134" s="142" t="str">
        <f>_xlfn.IFNA(VLOOKUP($BC134,Programma!$F$3:$G$1101,2,0),"")</f>
        <v/>
      </c>
      <c r="BE134" s="142" t="str">
        <f>_xlfn.IFNA(VLOOKUP($BC134,Programma!$F$3:$H$1101,3,0),"")</f>
        <v/>
      </c>
      <c r="BF134" s="142" t="str">
        <f>_xlfn.IFNA(VLOOKUP($BC134,Programma!$F$3:$I$1101,4,0),"")</f>
        <v/>
      </c>
      <c r="BG134" s="142" t="str">
        <f>_xlfn.IFNA(VLOOKUP($BC134,Programma!$F$3:$J$1101,5,0),"")</f>
        <v/>
      </c>
      <c r="BH134" s="142" t="str">
        <f>_xlfn.IFNA(VLOOKUP($BC134,Programma!$F$3:$K$1101,6,0),"")</f>
        <v/>
      </c>
      <c r="BI134" s="142" t="str">
        <f>_xlfn.IFNA(VLOOKUP($BC134,Programma!$F$3:$L$1101,7,0),"")</f>
        <v/>
      </c>
      <c r="BJ134" s="142" t="str">
        <f>_xlfn.IFNA(VLOOKUP($BC134,Programma!$F$3:$M$1101,8,0),"")</f>
        <v/>
      </c>
      <c r="BK134" s="142" t="str">
        <f>_xlfn.IFNA(VLOOKUP($BC134,Programma!$F$3:$N$1101,9,0),"")</f>
        <v/>
      </c>
      <c r="BL134" s="142" t="str">
        <f>_xlfn.IFNA(VLOOKUP($BC134,Programma!$F$3:$O$1101,10,0),"")</f>
        <v/>
      </c>
      <c r="BM134" s="142" t="str">
        <f>_xlfn.IFNA(VLOOKUP($BC134,Programma!$F$3:$P$1101,11,0),"")</f>
        <v/>
      </c>
      <c r="BN134" s="142" t="str">
        <f>_xlfn.IFNA(VLOOKUP($BC134,Programma!$F$3:$Q$1101,12,0),"")</f>
        <v/>
      </c>
      <c r="BO134" s="142" t="str">
        <f>_xlfn.IFNA(VLOOKUP($BC134,Programma!$F$3:$R$1101,13,0),"")</f>
        <v/>
      </c>
      <c r="BP134" s="142" t="str">
        <f>_xlfn.IFNA(VLOOKUP($BC134,Programma!$F$3:$S$1101,14,0),"")</f>
        <v/>
      </c>
      <c r="BQ134" s="142" t="str">
        <f>_xlfn.IFNA(VLOOKUP($BC134,Programma!$F$3:$T$1101,15,0),"")</f>
        <v/>
      </c>
      <c r="BR134" s="142" t="str">
        <f>_xlfn.IFNA(VLOOKUP($BC134,Programma!$F$3:$U$1101,16,0),"")</f>
        <v/>
      </c>
      <c r="BS134" s="142" t="str">
        <f>_xlfn.IFNA(VLOOKUP($BC134,Programma!$F$3:$V$1101,17,0),"")</f>
        <v/>
      </c>
      <c r="BT134" s="142" t="str">
        <f>_xlfn.IFNA(VLOOKUP($BC134,Programma!$F$3:$W$1101,18,0),"")</f>
        <v/>
      </c>
      <c r="BU134" s="142" t="str">
        <f>_xlfn.IFNA(VLOOKUP($BC134,Programma!$F$3:$X$1101,19,0),"")</f>
        <v/>
      </c>
      <c r="BV134" s="142" t="str">
        <f>_xlfn.IFNA(VLOOKUP($BC134,Programma!$F$3:$Y$1101,20,0),"")</f>
        <v/>
      </c>
      <c r="BW134" s="28"/>
      <c r="BX134" s="28"/>
      <c r="BY134" s="28"/>
      <c r="BZ134" s="28"/>
      <c r="CA134" s="28"/>
      <c r="CB134" s="28"/>
      <c r="CC134" s="28"/>
      <c r="CD134" s="28"/>
      <c r="CE134" s="28"/>
      <c r="CF134" s="28"/>
      <c r="CG134" s="28"/>
      <c r="CH134" s="28"/>
      <c r="CI134" s="28"/>
      <c r="CJ134" s="28"/>
      <c r="CK134" s="28"/>
      <c r="CL134" s="28"/>
      <c r="CM134" s="28"/>
      <c r="CN134" s="28"/>
      <c r="CO134" s="28"/>
      <c r="CP134" s="28"/>
      <c r="CQ134" s="28"/>
      <c r="CR134" s="28"/>
      <c r="CS134" s="28"/>
      <c r="CT134" s="28"/>
      <c r="CU134" s="28"/>
      <c r="CV134" s="28"/>
      <c r="CW134" s="28"/>
      <c r="CX134" s="28"/>
      <c r="CY134" s="28"/>
      <c r="CZ134" s="28"/>
      <c r="DA134" s="28"/>
      <c r="DB134" s="28"/>
      <c r="DC134" s="28"/>
      <c r="DD134" s="28"/>
      <c r="DE134" s="28"/>
      <c r="DF134" s="28"/>
      <c r="DG134" s="28"/>
      <c r="DH134" s="28"/>
      <c r="DI134" s="28"/>
      <c r="DJ134" s="28"/>
      <c r="DK134" s="28"/>
      <c r="DL134" s="28"/>
      <c r="DM134" s="28"/>
      <c r="DN134" s="28"/>
      <c r="DO134" s="28"/>
      <c r="DP134" s="28"/>
      <c r="DQ134" s="28"/>
      <c r="DR134" s="28"/>
      <c r="DS134" s="28"/>
      <c r="DT134" s="28"/>
      <c r="DU134" s="28"/>
      <c r="DV134" s="28"/>
      <c r="DW134" s="28"/>
      <c r="DX134" s="28"/>
      <c r="DY134" s="28"/>
      <c r="DZ134" s="28"/>
      <c r="EA134" s="28"/>
      <c r="EB134" s="28"/>
      <c r="EC134" s="28"/>
      <c r="ED134" s="28"/>
      <c r="EE134" s="28"/>
      <c r="EF134" s="28"/>
      <c r="EG134" s="28"/>
      <c r="EH134" s="28"/>
      <c r="EI134" s="28"/>
      <c r="EJ134" s="28"/>
      <c r="EK134" s="28"/>
      <c r="EL134" s="28"/>
      <c r="EM134" s="28"/>
      <c r="EN134" s="28"/>
      <c r="EO134" s="28"/>
      <c r="EP134" s="28"/>
      <c r="EQ134" s="28"/>
      <c r="ER134" s="28"/>
      <c r="ES134" s="28"/>
      <c r="ET134" s="28"/>
      <c r="EU134" s="28"/>
      <c r="EV134" s="28"/>
      <c r="EW134" s="28"/>
      <c r="EX134" s="28"/>
      <c r="EY134" s="28"/>
      <c r="EZ134" s="28"/>
      <c r="FA134" s="28"/>
      <c r="FB134" s="28"/>
      <c r="FC134" s="28"/>
      <c r="FD134" s="28"/>
      <c r="FE134" s="28"/>
      <c r="FF134" s="28"/>
      <c r="FG134" s="28"/>
      <c r="FH134" s="28"/>
      <c r="FI134" s="28"/>
      <c r="FJ134" s="28"/>
      <c r="FK134" s="28"/>
      <c r="FL134" s="28"/>
      <c r="FM134" s="28"/>
      <c r="FN134" s="28"/>
      <c r="FO134" s="28"/>
      <c r="FP134" s="28"/>
      <c r="FQ134" s="28"/>
      <c r="FR134" s="28"/>
      <c r="FS134" s="28"/>
      <c r="FT134" s="28"/>
      <c r="FU134" s="28"/>
      <c r="FV134" s="28"/>
      <c r="FW134" s="28"/>
      <c r="FX134" s="28"/>
      <c r="FY134" s="28"/>
      <c r="FZ134" s="28"/>
      <c r="GA134" s="28"/>
      <c r="GB134" s="28"/>
      <c r="GC134" s="28"/>
      <c r="GD134" s="28"/>
      <c r="GE134" s="28"/>
      <c r="GF134" s="28"/>
      <c r="GG134" s="28"/>
      <c r="GH134" s="28"/>
      <c r="GI134" s="28"/>
      <c r="GJ134" s="28"/>
      <c r="GK134" s="28"/>
      <c r="GL134" s="28"/>
      <c r="GM134" s="28"/>
      <c r="GN134" s="28"/>
      <c r="GO134" s="28"/>
      <c r="GP134" s="28"/>
      <c r="GQ134" s="28"/>
      <c r="GR134" s="28"/>
      <c r="GS134" s="28"/>
      <c r="GT134" s="28"/>
      <c r="GU134" s="28"/>
      <c r="GV134" s="28"/>
      <c r="GW134" s="28"/>
      <c r="GX134" s="28"/>
      <c r="GY134" s="28"/>
      <c r="GZ134" s="28"/>
      <c r="HA134" s="28"/>
      <c r="HB134" s="28"/>
      <c r="HC134" s="28"/>
      <c r="HD134" s="28"/>
      <c r="HE134" s="28"/>
      <c r="HF134" s="28"/>
      <c r="HG134" s="28"/>
      <c r="HH134" s="28"/>
      <c r="HI134" s="28"/>
      <c r="HJ134" s="28"/>
      <c r="HK134" s="28"/>
    </row>
    <row r="135" spans="1:219" ht="15" customHeight="1">
      <c r="A135" s="49">
        <v>1</v>
      </c>
      <c r="B135" s="132" t="str">
        <f>VLOOKUP(Ruimtestaat[[#This Row],[Code]],Locaties[[Code]:[Locatie]],2,FALSE)</f>
        <v>Mirtehuis</v>
      </c>
      <c r="C135" s="132" t="str">
        <f>VLOOKUP(Ruimtestaat[[#This Row],[Code]],Locaties[[#All],[Code]:[Adres]],4,FALSE)</f>
        <v>Weseperweg 6</v>
      </c>
      <c r="D135" s="132" t="str">
        <f>VLOOKUP(Ruimtestaat[[#This Row],[Code]],Locaties[[#All],[Code]:[Postcode]],5,FALSE)</f>
        <v>8111 PK</v>
      </c>
      <c r="E135" s="132" t="str">
        <f>VLOOKUP(Ruimtestaat[[#This Row],[Code]],Locaties[#All],6,FALSE)</f>
        <v>Heeten</v>
      </c>
      <c r="F135" s="100"/>
      <c r="G135" s="100" t="s">
        <v>1677</v>
      </c>
      <c r="H135" s="49">
        <v>16</v>
      </c>
      <c r="I135" s="140" t="s">
        <v>1656</v>
      </c>
      <c r="J135" s="49">
        <v>20</v>
      </c>
      <c r="K135" s="140" t="str">
        <f>VLOOKUP(Ruimtestaat[[#This Row],[Ruimte code]],Ruimtegroepen[[#All],[Code]:[Ruimte omschrijving]],2,FALSE)</f>
        <v>Niet in Onderhoud</v>
      </c>
      <c r="L135" s="100"/>
      <c r="M135" s="345"/>
      <c r="N135" s="133"/>
      <c r="O135" s="139"/>
      <c r="P135" s="134">
        <f>VLOOKUP(Ruimtestaat[[#This Row],[Ruimte code]],Ruimtegroepen[],4,FALSE)</f>
        <v>0</v>
      </c>
      <c r="Q135" s="100"/>
      <c r="R135" s="100"/>
      <c r="S135" s="100">
        <f>IF(Q135&gt;0,IF(RIGHT(Ruimtestaat[[#This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35" s="100">
        <f>IF(S135&gt;0,VLOOKUP($J135,Ruimtegroepen[],3,FALSE)*VLOOKUP($L135,Vloersoorten[],3,FALSE)*VLOOKUP($R135,Frequenties[],3,FALSE)*VLOOKUP($A135,Locaties[],3,FALSE),0)</f>
        <v>0</v>
      </c>
      <c r="U135" s="100">
        <f>Ruimtestaat[[#This Row],[Uitvoeringen werkdagen]]*Ruimtestaat[[#This Row],[Oppervlak (netto)]]</f>
        <v>0</v>
      </c>
      <c r="V135" s="135">
        <f>IF(T135&gt;0,Ruimtestaat[[#This Row],[Prest. (m2 /jaar) werkdagen]]/Ruimtestaat[[#This Row],[Norm (m2/uur) werkdagen]],0)</f>
        <v>0</v>
      </c>
      <c r="W135" s="136">
        <f>Ruimtestaat[[#This Row],[uren / jaar werkdagen]]*Tariefsopbouw!$E$35</f>
        <v>0</v>
      </c>
      <c r="X135" s="100"/>
      <c r="Y135" s="100">
        <f>IF(Ruimtestaat[[#This Row],[Frequentie weekend]]&gt;0,VALUE(LEFT(X135,1))*Q135,0)</f>
        <v>0</v>
      </c>
      <c r="Z135" s="99">
        <f>IF($Y135&gt;0,VLOOKUP($J135,Ruimtegroepen[],3,FALSE)*VLOOKUP($L135,Vloersoorten[],3,FALSE)*VLOOKUP($X135,Frequenties[],3,FALSE)*VLOOKUP(Ruimtestaat[[#This Row],[Code]],Locaties[],3,FALSE),0)</f>
        <v>0</v>
      </c>
      <c r="AA135" s="99">
        <f>Ruimtestaat[[#This Row],[Uitvoeringen weekend]]*Ruimtestaat[[#This Row],[Oppervlak (netto)]]</f>
        <v>0</v>
      </c>
      <c r="AB135" s="99">
        <f>IF(Z135&gt;0,Ruimtestaat[[#This Row],[Prest. (m2 /jaar) weekend]]/Ruimtestaat[[#This Row],[Norm (m2/uur) weekend]],0)</f>
        <v>0</v>
      </c>
      <c r="AC135" s="136">
        <f>Ruimtestaat[[#This Row],[uren / jaar weekend]]*Tariefsopbouw!$D$40</f>
        <v>0</v>
      </c>
      <c r="AD135" s="135">
        <f>Ruimtestaat[[#This Row],[Prest. (m2 /jaar) weekend]]+Ruimtestaat[[#This Row],[Prest. (m2 /jaar) werkdagen]]</f>
        <v>0</v>
      </c>
      <c r="AE135" s="135">
        <f>Ruimtestaat[[#This Row],[uren / jaar weekend]]+Ruimtestaat[[#This Row],[uren / jaar werkdagen]]</f>
        <v>0</v>
      </c>
      <c r="AF135" s="130">
        <f>Ruimtestaat[[#This Row],[kosten / jaar weekend]]+Ruimtestaat[[#This Row],[kosten / jaar werkdagen]]</f>
        <v>0</v>
      </c>
      <c r="AG135" s="130"/>
      <c r="AH135" s="137" t="str">
        <f>IF(Ruimtestaat[[#This Row],[Frequentie werkdagen]]="","",_xlfn.CONCAT(Ruimtestaat[[#This Row],[Ruimte code]],"-",Ruimtestaat[[#This Row],[Frequentie werkdagen]]," ",Ruimtestaat[[#This Row],[Vloer code]]))</f>
        <v/>
      </c>
      <c r="AI135" s="142" t="str">
        <f>_xlfn.IFNA(VLOOKUP($AH135,Programma!$F$3:$G$1101,2,0),"")</f>
        <v/>
      </c>
      <c r="AJ135" s="142" t="str">
        <f>_xlfn.IFNA(VLOOKUP($AH135,Programma!$F$3:$H$1101,3,0),"")</f>
        <v/>
      </c>
      <c r="AK135" s="142" t="str">
        <f>_xlfn.IFNA(VLOOKUP($AH135,Programma!$F$3:$I$1101,4,0),"")</f>
        <v/>
      </c>
      <c r="AL135" s="142" t="str">
        <f>_xlfn.IFNA(VLOOKUP($AH135,Programma!$F$3:$J$1101,5,0),"")</f>
        <v/>
      </c>
      <c r="AM135" s="142" t="str">
        <f>_xlfn.IFNA(VLOOKUP($AH135,Programma!$F$3:$K$1101,6,0),"")</f>
        <v/>
      </c>
      <c r="AN135" s="142" t="str">
        <f>_xlfn.IFNA(VLOOKUP($AH135,Programma!$F$3:$L$1101,7,0),"")</f>
        <v/>
      </c>
      <c r="AO135" s="142" t="str">
        <f>_xlfn.IFNA(VLOOKUP($AH135,Programma!$F$3:$M$1101,8,0),"")</f>
        <v/>
      </c>
      <c r="AP135" s="142" t="str">
        <f>_xlfn.IFNA(VLOOKUP($AH135,Programma!$F$3:$N$1101,9,0),"")</f>
        <v/>
      </c>
      <c r="AQ135" s="142" t="str">
        <f>_xlfn.IFNA(VLOOKUP($AH135,Programma!$F$3:$O$1101,10,0),"")</f>
        <v/>
      </c>
      <c r="AR135" s="142" t="str">
        <f>_xlfn.IFNA(VLOOKUP($AH135,Programma!$F$3:$P$1101,11,0),"")</f>
        <v/>
      </c>
      <c r="AS135" s="142" t="str">
        <f>_xlfn.IFNA(VLOOKUP($AH135,Programma!$F$3:$Q$1101,12,0),"")</f>
        <v/>
      </c>
      <c r="AT135" s="142" t="str">
        <f>_xlfn.IFNA(VLOOKUP($AH135,Programma!$F$3:$R$1101,13,0),"")</f>
        <v/>
      </c>
      <c r="AU135" s="142" t="str">
        <f>_xlfn.IFNA(VLOOKUP($AH135,Programma!$F$3:$S$1101,14,0),"")</f>
        <v/>
      </c>
      <c r="AV135" s="142" t="str">
        <f>_xlfn.IFNA(VLOOKUP($AH135,Programma!$F$3:$T$1101,15,0),"")</f>
        <v/>
      </c>
      <c r="AW135" s="142" t="str">
        <f>_xlfn.IFNA(VLOOKUP($AH135,Programma!$F$3:$U$1101,16,0),"")</f>
        <v/>
      </c>
      <c r="AX135" s="142" t="str">
        <f>_xlfn.IFNA(VLOOKUP($AH135,Programma!$F$3:$V$1101,17,0),"")</f>
        <v/>
      </c>
      <c r="AY135" s="142" t="str">
        <f>_xlfn.IFNA(VLOOKUP($AH135,Programma!$F$3:$W$1101,18,0),"")</f>
        <v/>
      </c>
      <c r="AZ135" s="142" t="str">
        <f>_xlfn.IFNA(VLOOKUP($AH135,Programma!$F$3:$X$1101,19,0),"")</f>
        <v/>
      </c>
      <c r="BA135" s="142" t="str">
        <f>_xlfn.IFNA(VLOOKUP($AH135,Programma!$F$3:$Y$1101,20,0),"")</f>
        <v/>
      </c>
      <c r="BB135" s="138"/>
      <c r="BC135" s="137" t="str">
        <f>IF(Ruimtestaat[[#This Row],[Frequentie weekend]]="","",_xlfn.CONCAT(Ruimtestaat[[#This Row],[Ruimte code]],"-",Ruimtestaat[[#This Row],[Frequentie weekend]]," ",Ruimtestaat[[#This Row],[Vloer code]]))</f>
        <v/>
      </c>
      <c r="BD135" s="142" t="str">
        <f>_xlfn.IFNA(VLOOKUP($BC135,Programma!$F$3:$G$1101,2,0),"")</f>
        <v/>
      </c>
      <c r="BE135" s="142" t="str">
        <f>_xlfn.IFNA(VLOOKUP($BC135,Programma!$F$3:$H$1101,3,0),"")</f>
        <v/>
      </c>
      <c r="BF135" s="142" t="str">
        <f>_xlfn.IFNA(VLOOKUP($BC135,Programma!$F$3:$I$1101,4,0),"")</f>
        <v/>
      </c>
      <c r="BG135" s="142" t="str">
        <f>_xlfn.IFNA(VLOOKUP($BC135,Programma!$F$3:$J$1101,5,0),"")</f>
        <v/>
      </c>
      <c r="BH135" s="142" t="str">
        <f>_xlfn.IFNA(VLOOKUP($BC135,Programma!$F$3:$K$1101,6,0),"")</f>
        <v/>
      </c>
      <c r="BI135" s="142" t="str">
        <f>_xlfn.IFNA(VLOOKUP($BC135,Programma!$F$3:$L$1101,7,0),"")</f>
        <v/>
      </c>
      <c r="BJ135" s="142" t="str">
        <f>_xlfn.IFNA(VLOOKUP($BC135,Programma!$F$3:$M$1101,8,0),"")</f>
        <v/>
      </c>
      <c r="BK135" s="142" t="str">
        <f>_xlfn.IFNA(VLOOKUP($BC135,Programma!$F$3:$N$1101,9,0),"")</f>
        <v/>
      </c>
      <c r="BL135" s="142" t="str">
        <f>_xlfn.IFNA(VLOOKUP($BC135,Programma!$F$3:$O$1101,10,0),"")</f>
        <v/>
      </c>
      <c r="BM135" s="142" t="str">
        <f>_xlfn.IFNA(VLOOKUP($BC135,Programma!$F$3:$P$1101,11,0),"")</f>
        <v/>
      </c>
      <c r="BN135" s="142" t="str">
        <f>_xlfn.IFNA(VLOOKUP($BC135,Programma!$F$3:$Q$1101,12,0),"")</f>
        <v/>
      </c>
      <c r="BO135" s="142" t="str">
        <f>_xlfn.IFNA(VLOOKUP($BC135,Programma!$F$3:$R$1101,13,0),"")</f>
        <v/>
      </c>
      <c r="BP135" s="142" t="str">
        <f>_xlfn.IFNA(VLOOKUP($BC135,Programma!$F$3:$S$1101,14,0),"")</f>
        <v/>
      </c>
      <c r="BQ135" s="142" t="str">
        <f>_xlfn.IFNA(VLOOKUP($BC135,Programma!$F$3:$T$1101,15,0),"")</f>
        <v/>
      </c>
      <c r="BR135" s="142" t="str">
        <f>_xlfn.IFNA(VLOOKUP($BC135,Programma!$F$3:$U$1101,16,0),"")</f>
        <v/>
      </c>
      <c r="BS135" s="142" t="str">
        <f>_xlfn.IFNA(VLOOKUP($BC135,Programma!$F$3:$V$1101,17,0),"")</f>
        <v/>
      </c>
      <c r="BT135" s="142" t="str">
        <f>_xlfn.IFNA(VLOOKUP($BC135,Programma!$F$3:$W$1101,18,0),"")</f>
        <v/>
      </c>
      <c r="BU135" s="142" t="str">
        <f>_xlfn.IFNA(VLOOKUP($BC135,Programma!$F$3:$X$1101,19,0),"")</f>
        <v/>
      </c>
      <c r="BV135" s="142" t="str">
        <f>_xlfn.IFNA(VLOOKUP($BC135,Programma!$F$3:$Y$1101,20,0),"")</f>
        <v/>
      </c>
      <c r="BW135" s="28"/>
      <c r="BX135" s="28"/>
      <c r="BY135" s="28"/>
      <c r="BZ135" s="28"/>
      <c r="CA135" s="28"/>
      <c r="CB135" s="28"/>
      <c r="CC135" s="28"/>
      <c r="CD135" s="28"/>
      <c r="CE135" s="28"/>
      <c r="CF135" s="28"/>
      <c r="CG135" s="28"/>
      <c r="CH135" s="28"/>
      <c r="CI135" s="28"/>
      <c r="CJ135" s="28"/>
      <c r="CK135" s="28"/>
      <c r="CL135" s="28"/>
      <c r="CM135" s="28"/>
      <c r="CN135" s="28"/>
      <c r="CO135" s="28"/>
      <c r="CP135" s="28"/>
      <c r="CQ135" s="28"/>
      <c r="CR135" s="28"/>
      <c r="CS135" s="28"/>
      <c r="CT135" s="28"/>
      <c r="CU135" s="28"/>
      <c r="CV135" s="28"/>
      <c r="CW135" s="28"/>
      <c r="CX135" s="28"/>
      <c r="CY135" s="28"/>
      <c r="CZ135" s="28"/>
      <c r="DA135" s="28"/>
      <c r="DB135" s="28"/>
      <c r="DC135" s="28"/>
      <c r="DD135" s="28"/>
      <c r="DE135" s="28"/>
      <c r="DF135" s="28"/>
      <c r="DG135" s="28"/>
      <c r="DH135" s="28"/>
      <c r="DI135" s="28"/>
      <c r="DJ135" s="28"/>
      <c r="DK135" s="28"/>
      <c r="DL135" s="28"/>
      <c r="DM135" s="28"/>
      <c r="DN135" s="28"/>
      <c r="DO135" s="28"/>
      <c r="DP135" s="28"/>
      <c r="DQ135" s="28"/>
      <c r="DR135" s="28"/>
      <c r="DS135" s="28"/>
      <c r="DT135" s="28"/>
      <c r="DU135" s="28"/>
      <c r="DV135" s="28"/>
      <c r="DW135" s="28"/>
      <c r="DX135" s="28"/>
      <c r="DY135" s="28"/>
      <c r="DZ135" s="28"/>
      <c r="EA135" s="28"/>
      <c r="EB135" s="28"/>
      <c r="EC135" s="28"/>
      <c r="ED135" s="28"/>
      <c r="EE135" s="28"/>
      <c r="EF135" s="28"/>
      <c r="EG135" s="28"/>
      <c r="EH135" s="28"/>
      <c r="EI135" s="28"/>
      <c r="EJ135" s="28"/>
      <c r="EK135" s="28"/>
      <c r="EL135" s="28"/>
      <c r="EM135" s="28"/>
      <c r="EN135" s="28"/>
      <c r="EO135" s="28"/>
      <c r="EP135" s="28"/>
      <c r="EQ135" s="28"/>
      <c r="ER135" s="28"/>
      <c r="ES135" s="28"/>
      <c r="ET135" s="28"/>
      <c r="EU135" s="28"/>
      <c r="EV135" s="28"/>
      <c r="EW135" s="28"/>
      <c r="EX135" s="28"/>
      <c r="EY135" s="28"/>
      <c r="EZ135" s="28"/>
      <c r="FA135" s="28"/>
      <c r="FB135" s="28"/>
      <c r="FC135" s="28"/>
      <c r="FD135" s="28"/>
      <c r="FE135" s="28"/>
      <c r="FF135" s="28"/>
      <c r="FG135" s="28"/>
      <c r="FH135" s="28"/>
      <c r="FI135" s="28"/>
      <c r="FJ135" s="28"/>
      <c r="FK135" s="28"/>
      <c r="FL135" s="28"/>
      <c r="FM135" s="28"/>
      <c r="FN135" s="28"/>
      <c r="FO135" s="28"/>
      <c r="FP135" s="28"/>
      <c r="FQ135" s="28"/>
      <c r="FR135" s="28"/>
      <c r="FS135" s="28"/>
      <c r="FT135" s="28"/>
      <c r="FU135" s="28"/>
      <c r="FV135" s="28"/>
      <c r="FW135" s="28"/>
      <c r="FX135" s="28"/>
      <c r="FY135" s="28"/>
      <c r="FZ135" s="28"/>
      <c r="GA135" s="28"/>
      <c r="GB135" s="28"/>
      <c r="GC135" s="28"/>
      <c r="GD135" s="28"/>
      <c r="GE135" s="28"/>
      <c r="GF135" s="28"/>
      <c r="GG135" s="28"/>
      <c r="GH135" s="28"/>
      <c r="GI135" s="28"/>
      <c r="GJ135" s="28"/>
      <c r="GK135" s="28"/>
      <c r="GL135" s="28"/>
      <c r="GM135" s="28"/>
      <c r="GN135" s="28"/>
      <c r="GO135" s="28"/>
      <c r="GP135" s="28"/>
      <c r="GQ135" s="28"/>
      <c r="GR135" s="28"/>
      <c r="GS135" s="28"/>
      <c r="GT135" s="28"/>
      <c r="GU135" s="28"/>
      <c r="GV135" s="28"/>
      <c r="GW135" s="28"/>
      <c r="GX135" s="28"/>
      <c r="GY135" s="28"/>
      <c r="GZ135" s="28"/>
      <c r="HA135" s="28"/>
      <c r="HB135" s="28"/>
      <c r="HC135" s="28"/>
      <c r="HD135" s="28"/>
      <c r="HE135" s="28"/>
      <c r="HF135" s="28"/>
      <c r="HG135" s="28"/>
      <c r="HH135" s="28"/>
      <c r="HI135" s="28"/>
      <c r="HJ135" s="28"/>
      <c r="HK135" s="28"/>
    </row>
    <row r="136" spans="1:219" ht="15" customHeight="1">
      <c r="A136" s="49">
        <v>1</v>
      </c>
      <c r="B136" s="132" t="str">
        <f>VLOOKUP(Ruimtestaat[[#This Row],[Code]],Locaties[[Code]:[Locatie]],2,FALSE)</f>
        <v>Mirtehuis</v>
      </c>
      <c r="C136" s="132" t="str">
        <f>VLOOKUP(Ruimtestaat[[#This Row],[Code]],Locaties[[#All],[Code]:[Adres]],4,FALSE)</f>
        <v>Weseperweg 6</v>
      </c>
      <c r="D136" s="132" t="str">
        <f>VLOOKUP(Ruimtestaat[[#This Row],[Code]],Locaties[[#All],[Code]:[Postcode]],5,FALSE)</f>
        <v>8111 PK</v>
      </c>
      <c r="E136" s="132" t="str">
        <f>VLOOKUP(Ruimtestaat[[#This Row],[Code]],Locaties[#All],6,FALSE)</f>
        <v>Heeten</v>
      </c>
      <c r="F136" s="100"/>
      <c r="G136" s="100" t="s">
        <v>1677</v>
      </c>
      <c r="H136" s="49">
        <v>17</v>
      </c>
      <c r="I136" s="140" t="s">
        <v>1656</v>
      </c>
      <c r="J136" s="49">
        <v>20</v>
      </c>
      <c r="K136" s="140" t="str">
        <f>VLOOKUP(Ruimtestaat[[#This Row],[Ruimte code]],Ruimtegroepen[[#All],[Code]:[Ruimte omschrijving]],2,FALSE)</f>
        <v>Niet in Onderhoud</v>
      </c>
      <c r="L136" s="100"/>
      <c r="M136" s="345"/>
      <c r="N136" s="133"/>
      <c r="O136" s="100"/>
      <c r="P136" s="134">
        <f>VLOOKUP(Ruimtestaat[[#This Row],[Ruimte code]],Ruimtegroepen[],4,FALSE)</f>
        <v>0</v>
      </c>
      <c r="Q136" s="100"/>
      <c r="R136" s="100"/>
      <c r="S136" s="100">
        <f>IF(Q136&gt;0,IF(RIGHT(Ruimtestaat[[#This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36" s="100">
        <f>IF(S136&gt;0,VLOOKUP($J136,Ruimtegroepen[],3,FALSE)*VLOOKUP($L136,Vloersoorten[],3,FALSE)*VLOOKUP($R136,Frequenties[],3,FALSE)*VLOOKUP($A136,Locaties[],3,FALSE),0)</f>
        <v>0</v>
      </c>
      <c r="U136" s="100">
        <f>Ruimtestaat[[#This Row],[Uitvoeringen werkdagen]]*Ruimtestaat[[#This Row],[Oppervlak (netto)]]</f>
        <v>0</v>
      </c>
      <c r="V136" s="135">
        <f>IF(T136&gt;0,Ruimtestaat[[#This Row],[Prest. (m2 /jaar) werkdagen]]/Ruimtestaat[[#This Row],[Norm (m2/uur) werkdagen]],0)</f>
        <v>0</v>
      </c>
      <c r="W136" s="136">
        <f>Ruimtestaat[[#This Row],[uren / jaar werkdagen]]*Tariefsopbouw!$E$35</f>
        <v>0</v>
      </c>
      <c r="X136" s="100"/>
      <c r="Y136" s="100">
        <f>IF(Ruimtestaat[[#This Row],[Frequentie weekend]]&gt;0,VALUE(LEFT(X136,1))*Q136,0)</f>
        <v>0</v>
      </c>
      <c r="Z136" s="99">
        <f>IF($Y136&gt;0,VLOOKUP($J136,Ruimtegroepen[],3,FALSE)*VLOOKUP($L136,Vloersoorten[],3,FALSE)*VLOOKUP($X136,Frequenties[],3,FALSE)*VLOOKUP(Ruimtestaat[[#This Row],[Code]],Locaties[],3,FALSE),0)</f>
        <v>0</v>
      </c>
      <c r="AA136" s="99">
        <f>Ruimtestaat[[#This Row],[Uitvoeringen weekend]]*Ruimtestaat[[#This Row],[Oppervlak (netto)]]</f>
        <v>0</v>
      </c>
      <c r="AB136" s="99">
        <f>IF(Z136&gt;0,Ruimtestaat[[#This Row],[Prest. (m2 /jaar) weekend]]/Ruimtestaat[[#This Row],[Norm (m2/uur) weekend]],0)</f>
        <v>0</v>
      </c>
      <c r="AC136" s="136">
        <f>Ruimtestaat[[#This Row],[uren / jaar weekend]]*Tariefsopbouw!$D$40</f>
        <v>0</v>
      </c>
      <c r="AD136" s="135">
        <f>Ruimtestaat[[#This Row],[Prest. (m2 /jaar) weekend]]+Ruimtestaat[[#This Row],[Prest. (m2 /jaar) werkdagen]]</f>
        <v>0</v>
      </c>
      <c r="AE136" s="135">
        <f>Ruimtestaat[[#This Row],[uren / jaar weekend]]+Ruimtestaat[[#This Row],[uren / jaar werkdagen]]</f>
        <v>0</v>
      </c>
      <c r="AF136" s="130">
        <f>Ruimtestaat[[#This Row],[kosten / jaar weekend]]+Ruimtestaat[[#This Row],[kosten / jaar werkdagen]]</f>
        <v>0</v>
      </c>
      <c r="AG136" s="130"/>
      <c r="AH136" s="137" t="str">
        <f>IF(Ruimtestaat[[#This Row],[Frequentie werkdagen]]="","",_xlfn.CONCAT(Ruimtestaat[[#This Row],[Ruimte code]],"-",Ruimtestaat[[#This Row],[Frequentie werkdagen]]," ",Ruimtestaat[[#This Row],[Vloer code]]))</f>
        <v/>
      </c>
      <c r="AI136" s="142" t="str">
        <f>_xlfn.IFNA(VLOOKUP($AH136,Programma!$F$3:$G$1101,2,0),"")</f>
        <v/>
      </c>
      <c r="AJ136" s="142" t="str">
        <f>_xlfn.IFNA(VLOOKUP($AH136,Programma!$F$3:$H$1101,3,0),"")</f>
        <v/>
      </c>
      <c r="AK136" s="142" t="str">
        <f>_xlfn.IFNA(VLOOKUP($AH136,Programma!$F$3:$I$1101,4,0),"")</f>
        <v/>
      </c>
      <c r="AL136" s="142" t="str">
        <f>_xlfn.IFNA(VLOOKUP($AH136,Programma!$F$3:$J$1101,5,0),"")</f>
        <v/>
      </c>
      <c r="AM136" s="142" t="str">
        <f>_xlfn.IFNA(VLOOKUP($AH136,Programma!$F$3:$K$1101,6,0),"")</f>
        <v/>
      </c>
      <c r="AN136" s="142" t="str">
        <f>_xlfn.IFNA(VLOOKUP($AH136,Programma!$F$3:$L$1101,7,0),"")</f>
        <v/>
      </c>
      <c r="AO136" s="142" t="str">
        <f>_xlfn.IFNA(VLOOKUP($AH136,Programma!$F$3:$M$1101,8,0),"")</f>
        <v/>
      </c>
      <c r="AP136" s="142" t="str">
        <f>_xlfn.IFNA(VLOOKUP($AH136,Programma!$F$3:$N$1101,9,0),"")</f>
        <v/>
      </c>
      <c r="AQ136" s="142" t="str">
        <f>_xlfn.IFNA(VLOOKUP($AH136,Programma!$F$3:$O$1101,10,0),"")</f>
        <v/>
      </c>
      <c r="AR136" s="142" t="str">
        <f>_xlfn.IFNA(VLOOKUP($AH136,Programma!$F$3:$P$1101,11,0),"")</f>
        <v/>
      </c>
      <c r="AS136" s="142" t="str">
        <f>_xlfn.IFNA(VLOOKUP($AH136,Programma!$F$3:$Q$1101,12,0),"")</f>
        <v/>
      </c>
      <c r="AT136" s="142" t="str">
        <f>_xlfn.IFNA(VLOOKUP($AH136,Programma!$F$3:$R$1101,13,0),"")</f>
        <v/>
      </c>
      <c r="AU136" s="142" t="str">
        <f>_xlfn.IFNA(VLOOKUP($AH136,Programma!$F$3:$S$1101,14,0),"")</f>
        <v/>
      </c>
      <c r="AV136" s="142" t="str">
        <f>_xlfn.IFNA(VLOOKUP($AH136,Programma!$F$3:$T$1101,15,0),"")</f>
        <v/>
      </c>
      <c r="AW136" s="142" t="str">
        <f>_xlfn.IFNA(VLOOKUP($AH136,Programma!$F$3:$U$1101,16,0),"")</f>
        <v/>
      </c>
      <c r="AX136" s="142" t="str">
        <f>_xlfn.IFNA(VLOOKUP($AH136,Programma!$F$3:$V$1101,17,0),"")</f>
        <v/>
      </c>
      <c r="AY136" s="142" t="str">
        <f>_xlfn.IFNA(VLOOKUP($AH136,Programma!$F$3:$W$1101,18,0),"")</f>
        <v/>
      </c>
      <c r="AZ136" s="142" t="str">
        <f>_xlfn.IFNA(VLOOKUP($AH136,Programma!$F$3:$X$1101,19,0),"")</f>
        <v/>
      </c>
      <c r="BA136" s="142" t="str">
        <f>_xlfn.IFNA(VLOOKUP($AH136,Programma!$F$3:$Y$1101,20,0),"")</f>
        <v/>
      </c>
      <c r="BB136" s="138"/>
      <c r="BC136" s="137" t="str">
        <f>IF(Ruimtestaat[[#This Row],[Frequentie weekend]]="","",_xlfn.CONCAT(Ruimtestaat[[#This Row],[Ruimte code]],"-",Ruimtestaat[[#This Row],[Frequentie weekend]]," ",Ruimtestaat[[#This Row],[Vloer code]]))</f>
        <v/>
      </c>
      <c r="BD136" s="142" t="str">
        <f>_xlfn.IFNA(VLOOKUP($BC136,Programma!$F$3:$G$1101,2,0),"")</f>
        <v/>
      </c>
      <c r="BE136" s="142" t="str">
        <f>_xlfn.IFNA(VLOOKUP($BC136,Programma!$F$3:$H$1101,3,0),"")</f>
        <v/>
      </c>
      <c r="BF136" s="142" t="str">
        <f>_xlfn.IFNA(VLOOKUP($BC136,Programma!$F$3:$I$1101,4,0),"")</f>
        <v/>
      </c>
      <c r="BG136" s="142" t="str">
        <f>_xlfn.IFNA(VLOOKUP($BC136,Programma!$F$3:$J$1101,5,0),"")</f>
        <v/>
      </c>
      <c r="BH136" s="142" t="str">
        <f>_xlfn.IFNA(VLOOKUP($BC136,Programma!$F$3:$K$1101,6,0),"")</f>
        <v/>
      </c>
      <c r="BI136" s="142" t="str">
        <f>_xlfn.IFNA(VLOOKUP($BC136,Programma!$F$3:$L$1101,7,0),"")</f>
        <v/>
      </c>
      <c r="BJ136" s="142" t="str">
        <f>_xlfn.IFNA(VLOOKUP($BC136,Programma!$F$3:$M$1101,8,0),"")</f>
        <v/>
      </c>
      <c r="BK136" s="142" t="str">
        <f>_xlfn.IFNA(VLOOKUP($BC136,Programma!$F$3:$N$1101,9,0),"")</f>
        <v/>
      </c>
      <c r="BL136" s="142" t="str">
        <f>_xlfn.IFNA(VLOOKUP($BC136,Programma!$F$3:$O$1101,10,0),"")</f>
        <v/>
      </c>
      <c r="BM136" s="142" t="str">
        <f>_xlfn.IFNA(VLOOKUP($BC136,Programma!$F$3:$P$1101,11,0),"")</f>
        <v/>
      </c>
      <c r="BN136" s="142" t="str">
        <f>_xlfn.IFNA(VLOOKUP($BC136,Programma!$F$3:$Q$1101,12,0),"")</f>
        <v/>
      </c>
      <c r="BO136" s="142" t="str">
        <f>_xlfn.IFNA(VLOOKUP($BC136,Programma!$F$3:$R$1101,13,0),"")</f>
        <v/>
      </c>
      <c r="BP136" s="142" t="str">
        <f>_xlfn.IFNA(VLOOKUP($BC136,Programma!$F$3:$S$1101,14,0),"")</f>
        <v/>
      </c>
      <c r="BQ136" s="142" t="str">
        <f>_xlfn.IFNA(VLOOKUP($BC136,Programma!$F$3:$T$1101,15,0),"")</f>
        <v/>
      </c>
      <c r="BR136" s="142" t="str">
        <f>_xlfn.IFNA(VLOOKUP($BC136,Programma!$F$3:$U$1101,16,0),"")</f>
        <v/>
      </c>
      <c r="BS136" s="142" t="str">
        <f>_xlfn.IFNA(VLOOKUP($BC136,Programma!$F$3:$V$1101,17,0),"")</f>
        <v/>
      </c>
      <c r="BT136" s="142" t="str">
        <f>_xlfn.IFNA(VLOOKUP($BC136,Programma!$F$3:$W$1101,18,0),"")</f>
        <v/>
      </c>
      <c r="BU136" s="142" t="str">
        <f>_xlfn.IFNA(VLOOKUP($BC136,Programma!$F$3:$X$1101,19,0),"")</f>
        <v/>
      </c>
      <c r="BV136" s="142" t="str">
        <f>_xlfn.IFNA(VLOOKUP($BC136,Programma!$F$3:$Y$1101,20,0),"")</f>
        <v/>
      </c>
      <c r="BW136" s="28"/>
      <c r="BX136" s="28"/>
      <c r="BY136" s="28"/>
      <c r="BZ136" s="28"/>
      <c r="CA136" s="28"/>
      <c r="CB136" s="28"/>
      <c r="CC136" s="28"/>
      <c r="CD136" s="28"/>
      <c r="CE136" s="28"/>
      <c r="CF136" s="28"/>
      <c r="CG136" s="28"/>
      <c r="CH136" s="28"/>
      <c r="CI136" s="28"/>
      <c r="CJ136" s="28"/>
      <c r="CK136" s="28"/>
      <c r="CL136" s="28"/>
      <c r="CM136" s="28"/>
      <c r="CN136" s="28"/>
      <c r="CO136" s="28"/>
      <c r="CP136" s="28"/>
      <c r="CQ136" s="28"/>
      <c r="CR136" s="28"/>
      <c r="CS136" s="28"/>
      <c r="CT136" s="28"/>
      <c r="CU136" s="28"/>
      <c r="CV136" s="28"/>
      <c r="CW136" s="28"/>
      <c r="CX136" s="28"/>
      <c r="CY136" s="28"/>
      <c r="CZ136" s="28"/>
      <c r="DA136" s="28"/>
      <c r="DB136" s="28"/>
      <c r="DC136" s="28"/>
      <c r="DD136" s="28"/>
      <c r="DE136" s="28"/>
      <c r="DF136" s="28"/>
      <c r="DG136" s="28"/>
      <c r="DH136" s="28"/>
      <c r="DI136" s="28"/>
      <c r="DJ136" s="28"/>
      <c r="DK136" s="28"/>
      <c r="DL136" s="28"/>
      <c r="DM136" s="28"/>
      <c r="DN136" s="28"/>
      <c r="DO136" s="28"/>
      <c r="DP136" s="28"/>
      <c r="DQ136" s="28"/>
      <c r="DR136" s="28"/>
      <c r="DS136" s="28"/>
      <c r="DT136" s="28"/>
      <c r="DU136" s="28"/>
      <c r="DV136" s="28"/>
      <c r="DW136" s="28"/>
      <c r="DX136" s="28"/>
      <c r="DY136" s="28"/>
      <c r="DZ136" s="28"/>
      <c r="EA136" s="28"/>
      <c r="EB136" s="28"/>
      <c r="EC136" s="28"/>
      <c r="ED136" s="28"/>
      <c r="EE136" s="28"/>
      <c r="EF136" s="28"/>
      <c r="EG136" s="28"/>
      <c r="EH136" s="28"/>
      <c r="EI136" s="28"/>
      <c r="EJ136" s="28"/>
      <c r="EK136" s="28"/>
      <c r="EL136" s="28"/>
      <c r="EM136" s="28"/>
      <c r="EN136" s="28"/>
      <c r="EO136" s="28"/>
      <c r="EP136" s="28"/>
      <c r="EQ136" s="28"/>
      <c r="ER136" s="28"/>
      <c r="ES136" s="28"/>
      <c r="ET136" s="28"/>
      <c r="EU136" s="28"/>
      <c r="EV136" s="28"/>
      <c r="EW136" s="28"/>
      <c r="EX136" s="28"/>
      <c r="EY136" s="28"/>
      <c r="EZ136" s="28"/>
      <c r="FA136" s="28"/>
      <c r="FB136" s="28"/>
      <c r="FC136" s="28"/>
      <c r="FD136" s="28"/>
      <c r="FE136" s="28"/>
      <c r="FF136" s="28"/>
      <c r="FG136" s="28"/>
      <c r="FH136" s="28"/>
      <c r="FI136" s="28"/>
      <c r="FJ136" s="28"/>
      <c r="FK136" s="28"/>
      <c r="FL136" s="28"/>
      <c r="FM136" s="28"/>
      <c r="FN136" s="28"/>
      <c r="FO136" s="28"/>
      <c r="FP136" s="28"/>
      <c r="FQ136" s="28"/>
      <c r="FR136" s="28"/>
      <c r="FS136" s="28"/>
      <c r="FT136" s="28"/>
      <c r="FU136" s="28"/>
      <c r="FV136" s="28"/>
      <c r="FW136" s="28"/>
      <c r="FX136" s="28"/>
      <c r="FY136" s="28"/>
      <c r="FZ136" s="28"/>
      <c r="GA136" s="28"/>
      <c r="GB136" s="28"/>
      <c r="GC136" s="28"/>
      <c r="GD136" s="28"/>
      <c r="GE136" s="28"/>
      <c r="GF136" s="28"/>
      <c r="GG136" s="28"/>
      <c r="GH136" s="28"/>
      <c r="GI136" s="28"/>
      <c r="GJ136" s="28"/>
      <c r="GK136" s="28"/>
      <c r="GL136" s="28"/>
      <c r="GM136" s="28"/>
      <c r="GN136" s="28"/>
      <c r="GO136" s="28"/>
      <c r="GP136" s="28"/>
      <c r="GQ136" s="28"/>
      <c r="GR136" s="28"/>
      <c r="GS136" s="28"/>
      <c r="GT136" s="28"/>
      <c r="GU136" s="28"/>
      <c r="GV136" s="28"/>
      <c r="GW136" s="28"/>
      <c r="GX136" s="28"/>
      <c r="GY136" s="28"/>
      <c r="GZ136" s="28"/>
      <c r="HA136" s="28"/>
      <c r="HB136" s="28"/>
      <c r="HC136" s="28"/>
      <c r="HD136" s="28"/>
      <c r="HE136" s="28"/>
      <c r="HF136" s="28"/>
      <c r="HG136" s="28"/>
      <c r="HH136" s="28"/>
      <c r="HI136" s="28"/>
      <c r="HJ136" s="28"/>
      <c r="HK136" s="28"/>
    </row>
    <row r="137" spans="1:219" ht="15" customHeight="1">
      <c r="A137" s="49">
        <v>1</v>
      </c>
      <c r="B137" s="132" t="str">
        <f>VLOOKUP(Ruimtestaat[[#This Row],[Code]],Locaties[[Code]:[Locatie]],2,FALSE)</f>
        <v>Mirtehuis</v>
      </c>
      <c r="C137" s="132" t="str">
        <f>VLOOKUP(Ruimtestaat[[#This Row],[Code]],Locaties[[#All],[Code]:[Adres]],4,FALSE)</f>
        <v>Weseperweg 6</v>
      </c>
      <c r="D137" s="132" t="str">
        <f>VLOOKUP(Ruimtestaat[[#This Row],[Code]],Locaties[[#All],[Code]:[Postcode]],5,FALSE)</f>
        <v>8111 PK</v>
      </c>
      <c r="E137" s="132" t="str">
        <f>VLOOKUP(Ruimtestaat[[#This Row],[Code]],Locaties[#All],6,FALSE)</f>
        <v>Heeten</v>
      </c>
      <c r="F137" s="100"/>
      <c r="G137" s="100" t="s">
        <v>1677</v>
      </c>
      <c r="H137" s="49">
        <v>18</v>
      </c>
      <c r="I137" s="140" t="s">
        <v>1656</v>
      </c>
      <c r="J137" s="49">
        <v>20</v>
      </c>
      <c r="K137" s="140" t="str">
        <f>VLOOKUP(Ruimtestaat[[#This Row],[Ruimte code]],Ruimtegroepen[[#All],[Code]:[Ruimte omschrijving]],2,FALSE)</f>
        <v>Niet in Onderhoud</v>
      </c>
      <c r="L137" s="100"/>
      <c r="M137" s="345"/>
      <c r="N137" s="133"/>
      <c r="O137" s="139"/>
      <c r="P137" s="134">
        <f>VLOOKUP(Ruimtestaat[[#This Row],[Ruimte code]],Ruimtegroepen[],4,FALSE)</f>
        <v>0</v>
      </c>
      <c r="Q137" s="100"/>
      <c r="R137" s="100"/>
      <c r="S137" s="100">
        <f>IF(Q137&gt;0,IF(RIGHT(Ruimtestaat[[#This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37" s="100">
        <f>IF(S137&gt;0,VLOOKUP($J137,Ruimtegroepen[],3,FALSE)*VLOOKUP($L137,Vloersoorten[],3,FALSE)*VLOOKUP($R137,Frequenties[],3,FALSE)*VLOOKUP($A137,Locaties[],3,FALSE),0)</f>
        <v>0</v>
      </c>
      <c r="U137" s="100">
        <f>Ruimtestaat[[#This Row],[Uitvoeringen werkdagen]]*Ruimtestaat[[#This Row],[Oppervlak (netto)]]</f>
        <v>0</v>
      </c>
      <c r="V137" s="135">
        <f>IF(T137&gt;0,Ruimtestaat[[#This Row],[Prest. (m2 /jaar) werkdagen]]/Ruimtestaat[[#This Row],[Norm (m2/uur) werkdagen]],0)</f>
        <v>0</v>
      </c>
      <c r="W137" s="136">
        <f>Ruimtestaat[[#This Row],[uren / jaar werkdagen]]*Tariefsopbouw!$E$35</f>
        <v>0</v>
      </c>
      <c r="X137" s="100"/>
      <c r="Y137" s="100">
        <f>IF(Ruimtestaat[[#This Row],[Frequentie weekend]]&gt;0,VALUE(LEFT(X137,1))*Q137,0)</f>
        <v>0</v>
      </c>
      <c r="Z137" s="99">
        <f>IF($Y137&gt;0,VLOOKUP($J137,Ruimtegroepen[],3,FALSE)*VLOOKUP($L137,Vloersoorten[],3,FALSE)*VLOOKUP($X137,Frequenties[],3,FALSE)*VLOOKUP(Ruimtestaat[[#This Row],[Code]],Locaties[],3,FALSE),0)</f>
        <v>0</v>
      </c>
      <c r="AA137" s="99">
        <f>Ruimtestaat[[#This Row],[Uitvoeringen weekend]]*Ruimtestaat[[#This Row],[Oppervlak (netto)]]</f>
        <v>0</v>
      </c>
      <c r="AB137" s="99">
        <f>IF(Z137&gt;0,Ruimtestaat[[#This Row],[Prest. (m2 /jaar) weekend]]/Ruimtestaat[[#This Row],[Norm (m2/uur) weekend]],0)</f>
        <v>0</v>
      </c>
      <c r="AC137" s="136">
        <f>Ruimtestaat[[#This Row],[uren / jaar weekend]]*Tariefsopbouw!$D$40</f>
        <v>0</v>
      </c>
      <c r="AD137" s="135">
        <f>Ruimtestaat[[#This Row],[Prest. (m2 /jaar) weekend]]+Ruimtestaat[[#This Row],[Prest. (m2 /jaar) werkdagen]]</f>
        <v>0</v>
      </c>
      <c r="AE137" s="135">
        <f>Ruimtestaat[[#This Row],[uren / jaar weekend]]+Ruimtestaat[[#This Row],[uren / jaar werkdagen]]</f>
        <v>0</v>
      </c>
      <c r="AF137" s="130">
        <f>Ruimtestaat[[#This Row],[kosten / jaar weekend]]+Ruimtestaat[[#This Row],[kosten / jaar werkdagen]]</f>
        <v>0</v>
      </c>
      <c r="AG137" s="130"/>
      <c r="AH137" s="137" t="str">
        <f>IF(Ruimtestaat[[#This Row],[Frequentie werkdagen]]="","",_xlfn.CONCAT(Ruimtestaat[[#This Row],[Ruimte code]],"-",Ruimtestaat[[#This Row],[Frequentie werkdagen]]," ",Ruimtestaat[[#This Row],[Vloer code]]))</f>
        <v/>
      </c>
      <c r="AI137" s="142" t="str">
        <f>_xlfn.IFNA(VLOOKUP($AH137,Programma!$F$3:$G$1101,2,0),"")</f>
        <v/>
      </c>
      <c r="AJ137" s="142" t="str">
        <f>_xlfn.IFNA(VLOOKUP($AH137,Programma!$F$3:$H$1101,3,0),"")</f>
        <v/>
      </c>
      <c r="AK137" s="142" t="str">
        <f>_xlfn.IFNA(VLOOKUP($AH137,Programma!$F$3:$I$1101,4,0),"")</f>
        <v/>
      </c>
      <c r="AL137" s="142" t="str">
        <f>_xlfn.IFNA(VLOOKUP($AH137,Programma!$F$3:$J$1101,5,0),"")</f>
        <v/>
      </c>
      <c r="AM137" s="142" t="str">
        <f>_xlfn.IFNA(VLOOKUP($AH137,Programma!$F$3:$K$1101,6,0),"")</f>
        <v/>
      </c>
      <c r="AN137" s="142" t="str">
        <f>_xlfn.IFNA(VLOOKUP($AH137,Programma!$F$3:$L$1101,7,0),"")</f>
        <v/>
      </c>
      <c r="AO137" s="142" t="str">
        <f>_xlfn.IFNA(VLOOKUP($AH137,Programma!$F$3:$M$1101,8,0),"")</f>
        <v/>
      </c>
      <c r="AP137" s="142" t="str">
        <f>_xlfn.IFNA(VLOOKUP($AH137,Programma!$F$3:$N$1101,9,0),"")</f>
        <v/>
      </c>
      <c r="AQ137" s="142" t="str">
        <f>_xlfn.IFNA(VLOOKUP($AH137,Programma!$F$3:$O$1101,10,0),"")</f>
        <v/>
      </c>
      <c r="AR137" s="142" t="str">
        <f>_xlfn.IFNA(VLOOKUP($AH137,Programma!$F$3:$P$1101,11,0),"")</f>
        <v/>
      </c>
      <c r="AS137" s="142" t="str">
        <f>_xlfn.IFNA(VLOOKUP($AH137,Programma!$F$3:$Q$1101,12,0),"")</f>
        <v/>
      </c>
      <c r="AT137" s="142" t="str">
        <f>_xlfn.IFNA(VLOOKUP($AH137,Programma!$F$3:$R$1101,13,0),"")</f>
        <v/>
      </c>
      <c r="AU137" s="142" t="str">
        <f>_xlfn.IFNA(VLOOKUP($AH137,Programma!$F$3:$S$1101,14,0),"")</f>
        <v/>
      </c>
      <c r="AV137" s="142" t="str">
        <f>_xlfn.IFNA(VLOOKUP($AH137,Programma!$F$3:$T$1101,15,0),"")</f>
        <v/>
      </c>
      <c r="AW137" s="142" t="str">
        <f>_xlfn.IFNA(VLOOKUP($AH137,Programma!$F$3:$U$1101,16,0),"")</f>
        <v/>
      </c>
      <c r="AX137" s="142" t="str">
        <f>_xlfn.IFNA(VLOOKUP($AH137,Programma!$F$3:$V$1101,17,0),"")</f>
        <v/>
      </c>
      <c r="AY137" s="142" t="str">
        <f>_xlfn.IFNA(VLOOKUP($AH137,Programma!$F$3:$W$1101,18,0),"")</f>
        <v/>
      </c>
      <c r="AZ137" s="142" t="str">
        <f>_xlfn.IFNA(VLOOKUP($AH137,Programma!$F$3:$X$1101,19,0),"")</f>
        <v/>
      </c>
      <c r="BA137" s="142" t="str">
        <f>_xlfn.IFNA(VLOOKUP($AH137,Programma!$F$3:$Y$1101,20,0),"")</f>
        <v/>
      </c>
      <c r="BB137" s="138"/>
      <c r="BC137" s="137" t="str">
        <f>IF(Ruimtestaat[[#This Row],[Frequentie weekend]]="","",_xlfn.CONCAT(Ruimtestaat[[#This Row],[Ruimte code]],"-",Ruimtestaat[[#This Row],[Frequentie weekend]]," ",Ruimtestaat[[#This Row],[Vloer code]]))</f>
        <v/>
      </c>
      <c r="BD137" s="142" t="str">
        <f>_xlfn.IFNA(VLOOKUP($BC137,Programma!$F$3:$G$1101,2,0),"")</f>
        <v/>
      </c>
      <c r="BE137" s="142" t="str">
        <f>_xlfn.IFNA(VLOOKUP($BC137,Programma!$F$3:$H$1101,3,0),"")</f>
        <v/>
      </c>
      <c r="BF137" s="142" t="str">
        <f>_xlfn.IFNA(VLOOKUP($BC137,Programma!$F$3:$I$1101,4,0),"")</f>
        <v/>
      </c>
      <c r="BG137" s="142" t="str">
        <f>_xlfn.IFNA(VLOOKUP($BC137,Programma!$F$3:$J$1101,5,0),"")</f>
        <v/>
      </c>
      <c r="BH137" s="142" t="str">
        <f>_xlfn.IFNA(VLOOKUP($BC137,Programma!$F$3:$K$1101,6,0),"")</f>
        <v/>
      </c>
      <c r="BI137" s="142" t="str">
        <f>_xlfn.IFNA(VLOOKUP($BC137,Programma!$F$3:$L$1101,7,0),"")</f>
        <v/>
      </c>
      <c r="BJ137" s="142" t="str">
        <f>_xlfn.IFNA(VLOOKUP($BC137,Programma!$F$3:$M$1101,8,0),"")</f>
        <v/>
      </c>
      <c r="BK137" s="142" t="str">
        <f>_xlfn.IFNA(VLOOKUP($BC137,Programma!$F$3:$N$1101,9,0),"")</f>
        <v/>
      </c>
      <c r="BL137" s="142" t="str">
        <f>_xlfn.IFNA(VLOOKUP($BC137,Programma!$F$3:$O$1101,10,0),"")</f>
        <v/>
      </c>
      <c r="BM137" s="142" t="str">
        <f>_xlfn.IFNA(VLOOKUP($BC137,Programma!$F$3:$P$1101,11,0),"")</f>
        <v/>
      </c>
      <c r="BN137" s="142" t="str">
        <f>_xlfn.IFNA(VLOOKUP($BC137,Programma!$F$3:$Q$1101,12,0),"")</f>
        <v/>
      </c>
      <c r="BO137" s="142" t="str">
        <f>_xlfn.IFNA(VLOOKUP($BC137,Programma!$F$3:$R$1101,13,0),"")</f>
        <v/>
      </c>
      <c r="BP137" s="142" t="str">
        <f>_xlfn.IFNA(VLOOKUP($BC137,Programma!$F$3:$S$1101,14,0),"")</f>
        <v/>
      </c>
      <c r="BQ137" s="142" t="str">
        <f>_xlfn.IFNA(VLOOKUP($BC137,Programma!$F$3:$T$1101,15,0),"")</f>
        <v/>
      </c>
      <c r="BR137" s="142" t="str">
        <f>_xlfn.IFNA(VLOOKUP($BC137,Programma!$F$3:$U$1101,16,0),"")</f>
        <v/>
      </c>
      <c r="BS137" s="142" t="str">
        <f>_xlfn.IFNA(VLOOKUP($BC137,Programma!$F$3:$V$1101,17,0),"")</f>
        <v/>
      </c>
      <c r="BT137" s="142" t="str">
        <f>_xlfn.IFNA(VLOOKUP($BC137,Programma!$F$3:$W$1101,18,0),"")</f>
        <v/>
      </c>
      <c r="BU137" s="142" t="str">
        <f>_xlfn.IFNA(VLOOKUP($BC137,Programma!$F$3:$X$1101,19,0),"")</f>
        <v/>
      </c>
      <c r="BV137" s="142" t="str">
        <f>_xlfn.IFNA(VLOOKUP($BC137,Programma!$F$3:$Y$1101,20,0),"")</f>
        <v/>
      </c>
      <c r="BW137" s="28"/>
      <c r="BX137" s="28"/>
      <c r="BY137" s="28"/>
      <c r="BZ137" s="28"/>
      <c r="CA137" s="28"/>
      <c r="CB137" s="28"/>
      <c r="CC137" s="28"/>
      <c r="CD137" s="28"/>
      <c r="CE137" s="28"/>
      <c r="CF137" s="28"/>
      <c r="CG137" s="28"/>
      <c r="CH137" s="28"/>
      <c r="CI137" s="28"/>
      <c r="CJ137" s="28"/>
      <c r="CK137" s="28"/>
      <c r="CL137" s="28"/>
      <c r="CM137" s="28"/>
      <c r="CN137" s="28"/>
      <c r="CO137" s="28"/>
      <c r="CP137" s="28"/>
      <c r="CQ137" s="28"/>
      <c r="CR137" s="28"/>
      <c r="CS137" s="28"/>
      <c r="CT137" s="28"/>
      <c r="CU137" s="28"/>
      <c r="CV137" s="28"/>
      <c r="CW137" s="28"/>
      <c r="CX137" s="28"/>
      <c r="CY137" s="28"/>
      <c r="CZ137" s="28"/>
      <c r="DA137" s="28"/>
      <c r="DB137" s="28"/>
      <c r="DC137" s="28"/>
      <c r="DD137" s="28"/>
      <c r="DE137" s="28"/>
      <c r="DF137" s="28"/>
      <c r="DG137" s="28"/>
      <c r="DH137" s="28"/>
      <c r="DI137" s="28"/>
      <c r="DJ137" s="28"/>
      <c r="DK137" s="28"/>
      <c r="DL137" s="28"/>
      <c r="DM137" s="28"/>
      <c r="DN137" s="28"/>
      <c r="DO137" s="28"/>
      <c r="DP137" s="28"/>
      <c r="DQ137" s="28"/>
      <c r="DR137" s="28"/>
      <c r="DS137" s="28"/>
      <c r="DT137" s="28"/>
      <c r="DU137" s="28"/>
      <c r="DV137" s="28"/>
      <c r="DW137" s="28"/>
      <c r="DX137" s="28"/>
      <c r="DY137" s="28"/>
      <c r="DZ137" s="28"/>
      <c r="EA137" s="28"/>
      <c r="EB137" s="28"/>
      <c r="EC137" s="28"/>
      <c r="ED137" s="28"/>
      <c r="EE137" s="28"/>
      <c r="EF137" s="28"/>
      <c r="EG137" s="28"/>
      <c r="EH137" s="28"/>
      <c r="EI137" s="28"/>
      <c r="EJ137" s="28"/>
      <c r="EK137" s="28"/>
      <c r="EL137" s="28"/>
      <c r="EM137" s="28"/>
      <c r="EN137" s="28"/>
      <c r="EO137" s="28"/>
      <c r="EP137" s="28"/>
      <c r="EQ137" s="28"/>
      <c r="ER137" s="28"/>
      <c r="ES137" s="28"/>
      <c r="ET137" s="28"/>
      <c r="EU137" s="28"/>
      <c r="EV137" s="28"/>
      <c r="EW137" s="28"/>
      <c r="EX137" s="28"/>
      <c r="EY137" s="28"/>
      <c r="EZ137" s="28"/>
      <c r="FA137" s="28"/>
      <c r="FB137" s="28"/>
      <c r="FC137" s="28"/>
      <c r="FD137" s="28"/>
      <c r="FE137" s="28"/>
      <c r="FF137" s="28"/>
      <c r="FG137" s="28"/>
      <c r="FH137" s="28"/>
      <c r="FI137" s="28"/>
      <c r="FJ137" s="28"/>
      <c r="FK137" s="28"/>
      <c r="FL137" s="28"/>
      <c r="FM137" s="28"/>
      <c r="FN137" s="28"/>
      <c r="FO137" s="28"/>
      <c r="FP137" s="28"/>
      <c r="FQ137" s="28"/>
      <c r="FR137" s="28"/>
      <c r="FS137" s="28"/>
      <c r="FT137" s="28"/>
      <c r="FU137" s="28"/>
      <c r="FV137" s="28"/>
      <c r="FW137" s="28"/>
      <c r="FX137" s="28"/>
      <c r="FY137" s="28"/>
      <c r="FZ137" s="28"/>
      <c r="GA137" s="28"/>
      <c r="GB137" s="28"/>
      <c r="GC137" s="28"/>
      <c r="GD137" s="28"/>
      <c r="GE137" s="28"/>
      <c r="GF137" s="28"/>
      <c r="GG137" s="28"/>
      <c r="GH137" s="28"/>
      <c r="GI137" s="28"/>
      <c r="GJ137" s="28"/>
      <c r="GK137" s="28"/>
      <c r="GL137" s="28"/>
      <c r="GM137" s="28"/>
      <c r="GN137" s="28"/>
      <c r="GO137" s="28"/>
      <c r="GP137" s="28"/>
      <c r="GQ137" s="28"/>
      <c r="GR137" s="28"/>
      <c r="GS137" s="28"/>
      <c r="GT137" s="28"/>
      <c r="GU137" s="28"/>
      <c r="GV137" s="28"/>
      <c r="GW137" s="28"/>
      <c r="GX137" s="28"/>
      <c r="GY137" s="28"/>
      <c r="GZ137" s="28"/>
      <c r="HA137" s="28"/>
      <c r="HB137" s="28"/>
      <c r="HC137" s="28"/>
      <c r="HD137" s="28"/>
      <c r="HE137" s="28"/>
      <c r="HF137" s="28"/>
      <c r="HG137" s="28"/>
      <c r="HH137" s="28"/>
      <c r="HI137" s="28"/>
      <c r="HJ137" s="28"/>
      <c r="HK137" s="28"/>
    </row>
    <row r="138" spans="1:219" ht="15" customHeight="1">
      <c r="A138" s="49">
        <v>1</v>
      </c>
      <c r="B138" s="132" t="str">
        <f>VLOOKUP(Ruimtestaat[[#This Row],[Code]],Locaties[[Code]:[Locatie]],2,FALSE)</f>
        <v>Mirtehuis</v>
      </c>
      <c r="C138" s="132" t="str">
        <f>VLOOKUP(Ruimtestaat[[#This Row],[Code]],Locaties[[#All],[Code]:[Adres]],4,FALSE)</f>
        <v>Weseperweg 6</v>
      </c>
      <c r="D138" s="132" t="str">
        <f>VLOOKUP(Ruimtestaat[[#This Row],[Code]],Locaties[[#All],[Code]:[Postcode]],5,FALSE)</f>
        <v>8111 PK</v>
      </c>
      <c r="E138" s="132" t="str">
        <f>VLOOKUP(Ruimtestaat[[#This Row],[Code]],Locaties[#All],6,FALSE)</f>
        <v>Heeten</v>
      </c>
      <c r="F138" s="100"/>
      <c r="G138" s="100" t="s">
        <v>1677</v>
      </c>
      <c r="H138" s="49">
        <v>10</v>
      </c>
      <c r="I138" s="140" t="s">
        <v>1650</v>
      </c>
      <c r="J138" s="49">
        <v>20</v>
      </c>
      <c r="K138" s="140" t="str">
        <f>VLOOKUP(Ruimtestaat[[#This Row],[Ruimte code]],Ruimtegroepen[[#All],[Code]:[Ruimte omschrijving]],2,FALSE)</f>
        <v>Niet in Onderhoud</v>
      </c>
      <c r="L138" s="100"/>
      <c r="M138" s="345"/>
      <c r="N138" s="133"/>
      <c r="O138" s="139"/>
      <c r="P138" s="134">
        <f>VLOOKUP(Ruimtestaat[[#This Row],[Ruimte code]],Ruimtegroepen[],4,FALSE)</f>
        <v>0</v>
      </c>
      <c r="Q138" s="100"/>
      <c r="R138" s="100"/>
      <c r="S138" s="100">
        <f>IF(Q138&gt;0,IF(RIGHT(Ruimtestaat[[#This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38" s="100">
        <f>IF(S138&gt;0,VLOOKUP($J138,Ruimtegroepen[],3,FALSE)*VLOOKUP($L138,Vloersoorten[],3,FALSE)*VLOOKUP($R138,Frequenties[],3,FALSE)*VLOOKUP($A138,Locaties[],3,FALSE),0)</f>
        <v>0</v>
      </c>
      <c r="U138" s="100">
        <f>Ruimtestaat[[#This Row],[Uitvoeringen werkdagen]]*Ruimtestaat[[#This Row],[Oppervlak (netto)]]</f>
        <v>0</v>
      </c>
      <c r="V138" s="135">
        <f>IF(T138&gt;0,Ruimtestaat[[#This Row],[Prest. (m2 /jaar) werkdagen]]/Ruimtestaat[[#This Row],[Norm (m2/uur) werkdagen]],0)</f>
        <v>0</v>
      </c>
      <c r="W138" s="136">
        <f>Ruimtestaat[[#This Row],[uren / jaar werkdagen]]*Tariefsopbouw!$E$35</f>
        <v>0</v>
      </c>
      <c r="X138" s="100"/>
      <c r="Y138" s="100">
        <f>IF(Ruimtestaat[[#This Row],[Frequentie weekend]]&gt;0,VALUE(LEFT(X138,1))*Q138,0)</f>
        <v>0</v>
      </c>
      <c r="Z138" s="99">
        <f>IF($Y138&gt;0,VLOOKUP($J138,Ruimtegroepen[],3,FALSE)*VLOOKUP($L138,Vloersoorten[],3,FALSE)*VLOOKUP($X138,Frequenties[],3,FALSE)*VLOOKUP(Ruimtestaat[[#This Row],[Code]],Locaties[],3,FALSE),0)</f>
        <v>0</v>
      </c>
      <c r="AA138" s="99">
        <f>Ruimtestaat[[#This Row],[Uitvoeringen weekend]]*Ruimtestaat[[#This Row],[Oppervlak (netto)]]</f>
        <v>0</v>
      </c>
      <c r="AB138" s="99">
        <f>IF(Z138&gt;0,Ruimtestaat[[#This Row],[Prest. (m2 /jaar) weekend]]/Ruimtestaat[[#This Row],[Norm (m2/uur) weekend]],0)</f>
        <v>0</v>
      </c>
      <c r="AC138" s="136">
        <f>Ruimtestaat[[#This Row],[uren / jaar weekend]]*Tariefsopbouw!$D$40</f>
        <v>0</v>
      </c>
      <c r="AD138" s="135">
        <f>Ruimtestaat[[#This Row],[Prest. (m2 /jaar) weekend]]+Ruimtestaat[[#This Row],[Prest. (m2 /jaar) werkdagen]]</f>
        <v>0</v>
      </c>
      <c r="AE138" s="135">
        <f>Ruimtestaat[[#This Row],[uren / jaar weekend]]+Ruimtestaat[[#This Row],[uren / jaar werkdagen]]</f>
        <v>0</v>
      </c>
      <c r="AF138" s="130">
        <f>Ruimtestaat[[#This Row],[kosten / jaar weekend]]+Ruimtestaat[[#This Row],[kosten / jaar werkdagen]]</f>
        <v>0</v>
      </c>
      <c r="AG138" s="130"/>
      <c r="AH138" s="137" t="str">
        <f>IF(Ruimtestaat[[#This Row],[Frequentie werkdagen]]="","",_xlfn.CONCAT(Ruimtestaat[[#This Row],[Ruimte code]],"-",Ruimtestaat[[#This Row],[Frequentie werkdagen]]," ",Ruimtestaat[[#This Row],[Vloer code]]))</f>
        <v/>
      </c>
      <c r="AI138" s="142" t="str">
        <f>_xlfn.IFNA(VLOOKUP($AH138,Programma!$F$3:$G$1101,2,0),"")</f>
        <v/>
      </c>
      <c r="AJ138" s="142" t="str">
        <f>_xlfn.IFNA(VLOOKUP($AH138,Programma!$F$3:$H$1101,3,0),"")</f>
        <v/>
      </c>
      <c r="AK138" s="142" t="str">
        <f>_xlfn.IFNA(VLOOKUP($AH138,Programma!$F$3:$I$1101,4,0),"")</f>
        <v/>
      </c>
      <c r="AL138" s="142" t="str">
        <f>_xlfn.IFNA(VLOOKUP($AH138,Programma!$F$3:$J$1101,5,0),"")</f>
        <v/>
      </c>
      <c r="AM138" s="142" t="str">
        <f>_xlfn.IFNA(VLOOKUP($AH138,Programma!$F$3:$K$1101,6,0),"")</f>
        <v/>
      </c>
      <c r="AN138" s="142" t="str">
        <f>_xlfn.IFNA(VLOOKUP($AH138,Programma!$F$3:$L$1101,7,0),"")</f>
        <v/>
      </c>
      <c r="AO138" s="142" t="str">
        <f>_xlfn.IFNA(VLOOKUP($AH138,Programma!$F$3:$M$1101,8,0),"")</f>
        <v/>
      </c>
      <c r="AP138" s="142" t="str">
        <f>_xlfn.IFNA(VLOOKUP($AH138,Programma!$F$3:$N$1101,9,0),"")</f>
        <v/>
      </c>
      <c r="AQ138" s="142" t="str">
        <f>_xlfn.IFNA(VLOOKUP($AH138,Programma!$F$3:$O$1101,10,0),"")</f>
        <v/>
      </c>
      <c r="AR138" s="142" t="str">
        <f>_xlfn.IFNA(VLOOKUP($AH138,Programma!$F$3:$P$1101,11,0),"")</f>
        <v/>
      </c>
      <c r="AS138" s="142" t="str">
        <f>_xlfn.IFNA(VLOOKUP($AH138,Programma!$F$3:$Q$1101,12,0),"")</f>
        <v/>
      </c>
      <c r="AT138" s="142" t="str">
        <f>_xlfn.IFNA(VLOOKUP($AH138,Programma!$F$3:$R$1101,13,0),"")</f>
        <v/>
      </c>
      <c r="AU138" s="142" t="str">
        <f>_xlfn.IFNA(VLOOKUP($AH138,Programma!$F$3:$S$1101,14,0),"")</f>
        <v/>
      </c>
      <c r="AV138" s="142" t="str">
        <f>_xlfn.IFNA(VLOOKUP($AH138,Programma!$F$3:$T$1101,15,0),"")</f>
        <v/>
      </c>
      <c r="AW138" s="142" t="str">
        <f>_xlfn.IFNA(VLOOKUP($AH138,Programma!$F$3:$U$1101,16,0),"")</f>
        <v/>
      </c>
      <c r="AX138" s="142" t="str">
        <f>_xlfn.IFNA(VLOOKUP($AH138,Programma!$F$3:$V$1101,17,0),"")</f>
        <v/>
      </c>
      <c r="AY138" s="142" t="str">
        <f>_xlfn.IFNA(VLOOKUP($AH138,Programma!$F$3:$W$1101,18,0),"")</f>
        <v/>
      </c>
      <c r="AZ138" s="142" t="str">
        <f>_xlfn.IFNA(VLOOKUP($AH138,Programma!$F$3:$X$1101,19,0),"")</f>
        <v/>
      </c>
      <c r="BA138" s="142" t="str">
        <f>_xlfn.IFNA(VLOOKUP($AH138,Programma!$F$3:$Y$1101,20,0),"")</f>
        <v/>
      </c>
      <c r="BB138" s="138"/>
      <c r="BC138" s="137" t="str">
        <f>IF(Ruimtestaat[[#This Row],[Frequentie weekend]]="","",_xlfn.CONCAT(Ruimtestaat[[#This Row],[Ruimte code]],"-",Ruimtestaat[[#This Row],[Frequentie weekend]]," ",Ruimtestaat[[#This Row],[Vloer code]]))</f>
        <v/>
      </c>
      <c r="BD138" s="142" t="str">
        <f>_xlfn.IFNA(VLOOKUP($BC138,Programma!$F$3:$G$1101,2,0),"")</f>
        <v/>
      </c>
      <c r="BE138" s="142" t="str">
        <f>_xlfn.IFNA(VLOOKUP($BC138,Programma!$F$3:$H$1101,3,0),"")</f>
        <v/>
      </c>
      <c r="BF138" s="142" t="str">
        <f>_xlfn.IFNA(VLOOKUP($BC138,Programma!$F$3:$I$1101,4,0),"")</f>
        <v/>
      </c>
      <c r="BG138" s="142" t="str">
        <f>_xlfn.IFNA(VLOOKUP($BC138,Programma!$F$3:$J$1101,5,0),"")</f>
        <v/>
      </c>
      <c r="BH138" s="142" t="str">
        <f>_xlfn.IFNA(VLOOKUP($BC138,Programma!$F$3:$K$1101,6,0),"")</f>
        <v/>
      </c>
      <c r="BI138" s="142" t="str">
        <f>_xlfn.IFNA(VLOOKUP($BC138,Programma!$F$3:$L$1101,7,0),"")</f>
        <v/>
      </c>
      <c r="BJ138" s="142" t="str">
        <f>_xlfn.IFNA(VLOOKUP($BC138,Programma!$F$3:$M$1101,8,0),"")</f>
        <v/>
      </c>
      <c r="BK138" s="142" t="str">
        <f>_xlfn.IFNA(VLOOKUP($BC138,Programma!$F$3:$N$1101,9,0),"")</f>
        <v/>
      </c>
      <c r="BL138" s="142" t="str">
        <f>_xlfn.IFNA(VLOOKUP($BC138,Programma!$F$3:$O$1101,10,0),"")</f>
        <v/>
      </c>
      <c r="BM138" s="142" t="str">
        <f>_xlfn.IFNA(VLOOKUP($BC138,Programma!$F$3:$P$1101,11,0),"")</f>
        <v/>
      </c>
      <c r="BN138" s="142" t="str">
        <f>_xlfn.IFNA(VLOOKUP($BC138,Programma!$F$3:$Q$1101,12,0),"")</f>
        <v/>
      </c>
      <c r="BO138" s="142" t="str">
        <f>_xlfn.IFNA(VLOOKUP($BC138,Programma!$F$3:$R$1101,13,0),"")</f>
        <v/>
      </c>
      <c r="BP138" s="142" t="str">
        <f>_xlfn.IFNA(VLOOKUP($BC138,Programma!$F$3:$S$1101,14,0),"")</f>
        <v/>
      </c>
      <c r="BQ138" s="142" t="str">
        <f>_xlfn.IFNA(VLOOKUP($BC138,Programma!$F$3:$T$1101,15,0),"")</f>
        <v/>
      </c>
      <c r="BR138" s="142" t="str">
        <f>_xlfn.IFNA(VLOOKUP($BC138,Programma!$F$3:$U$1101,16,0),"")</f>
        <v/>
      </c>
      <c r="BS138" s="142" t="str">
        <f>_xlfn.IFNA(VLOOKUP($BC138,Programma!$F$3:$V$1101,17,0),"")</f>
        <v/>
      </c>
      <c r="BT138" s="142" t="str">
        <f>_xlfn.IFNA(VLOOKUP($BC138,Programma!$F$3:$W$1101,18,0),"")</f>
        <v/>
      </c>
      <c r="BU138" s="142" t="str">
        <f>_xlfn.IFNA(VLOOKUP($BC138,Programma!$F$3:$X$1101,19,0),"")</f>
        <v/>
      </c>
      <c r="BV138" s="142" t="str">
        <f>_xlfn.IFNA(VLOOKUP($BC138,Programma!$F$3:$Y$1101,20,0),"")</f>
        <v/>
      </c>
      <c r="BW138" s="28"/>
      <c r="BX138" s="28"/>
      <c r="BY138" s="28"/>
      <c r="BZ138" s="28"/>
      <c r="CA138" s="28"/>
      <c r="CB138" s="28"/>
      <c r="CC138" s="28"/>
      <c r="CD138" s="28"/>
      <c r="CE138" s="28"/>
      <c r="CF138" s="28"/>
      <c r="CG138" s="28"/>
      <c r="CH138" s="28"/>
      <c r="CI138" s="28"/>
      <c r="CJ138" s="28"/>
      <c r="CK138" s="28"/>
      <c r="CL138" s="28"/>
      <c r="CM138" s="28"/>
      <c r="CN138" s="28"/>
      <c r="CO138" s="28"/>
      <c r="CP138" s="28"/>
      <c r="CQ138" s="28"/>
      <c r="CR138" s="28"/>
      <c r="CS138" s="28"/>
      <c r="CT138" s="28"/>
      <c r="CU138" s="28"/>
      <c r="CV138" s="28"/>
      <c r="CW138" s="28"/>
      <c r="CX138" s="28"/>
      <c r="CY138" s="28"/>
      <c r="CZ138" s="28"/>
      <c r="DA138" s="28"/>
      <c r="DB138" s="28"/>
      <c r="DC138" s="28"/>
      <c r="DD138" s="28"/>
      <c r="DE138" s="28"/>
      <c r="DF138" s="28"/>
      <c r="DG138" s="28"/>
      <c r="DH138" s="28"/>
      <c r="DI138" s="28"/>
      <c r="DJ138" s="28"/>
      <c r="DK138" s="28"/>
      <c r="DL138" s="28"/>
      <c r="DM138" s="28"/>
      <c r="DN138" s="28"/>
      <c r="DO138" s="28"/>
      <c r="DP138" s="28"/>
      <c r="DQ138" s="28"/>
      <c r="DR138" s="28"/>
      <c r="DS138" s="28"/>
      <c r="DT138" s="28"/>
      <c r="DU138" s="28"/>
      <c r="DV138" s="28"/>
      <c r="DW138" s="28"/>
      <c r="DX138" s="28"/>
      <c r="DY138" s="28"/>
      <c r="DZ138" s="28"/>
      <c r="EA138" s="28"/>
      <c r="EB138" s="28"/>
      <c r="EC138" s="28"/>
      <c r="ED138" s="28"/>
      <c r="EE138" s="28"/>
      <c r="EF138" s="28"/>
      <c r="EG138" s="28"/>
      <c r="EH138" s="28"/>
      <c r="EI138" s="28"/>
      <c r="EJ138" s="28"/>
      <c r="EK138" s="28"/>
      <c r="EL138" s="28"/>
      <c r="EM138" s="28"/>
      <c r="EN138" s="28"/>
      <c r="EO138" s="28"/>
      <c r="EP138" s="28"/>
      <c r="EQ138" s="28"/>
      <c r="ER138" s="28"/>
      <c r="ES138" s="28"/>
      <c r="ET138" s="28"/>
      <c r="EU138" s="28"/>
      <c r="EV138" s="28"/>
      <c r="EW138" s="28"/>
      <c r="EX138" s="28"/>
      <c r="EY138" s="28"/>
      <c r="EZ138" s="28"/>
      <c r="FA138" s="28"/>
      <c r="FB138" s="28"/>
      <c r="FC138" s="28"/>
      <c r="FD138" s="28"/>
      <c r="FE138" s="28"/>
      <c r="FF138" s="28"/>
      <c r="FG138" s="28"/>
      <c r="FH138" s="28"/>
      <c r="FI138" s="28"/>
      <c r="FJ138" s="28"/>
      <c r="FK138" s="28"/>
      <c r="FL138" s="28"/>
      <c r="FM138" s="28"/>
      <c r="FN138" s="28"/>
      <c r="FO138" s="28"/>
      <c r="FP138" s="28"/>
      <c r="FQ138" s="28"/>
      <c r="FR138" s="28"/>
      <c r="FS138" s="28"/>
      <c r="FT138" s="28"/>
      <c r="FU138" s="28"/>
      <c r="FV138" s="28"/>
      <c r="FW138" s="28"/>
      <c r="FX138" s="28"/>
      <c r="FY138" s="28"/>
      <c r="FZ138" s="28"/>
      <c r="GA138" s="28"/>
      <c r="GB138" s="28"/>
      <c r="GC138" s="28"/>
      <c r="GD138" s="28"/>
      <c r="GE138" s="28"/>
      <c r="GF138" s="28"/>
      <c r="GG138" s="28"/>
      <c r="GH138" s="28"/>
      <c r="GI138" s="28"/>
      <c r="GJ138" s="28"/>
      <c r="GK138" s="28"/>
      <c r="GL138" s="28"/>
      <c r="GM138" s="28"/>
      <c r="GN138" s="28"/>
      <c r="GO138" s="28"/>
      <c r="GP138" s="28"/>
      <c r="GQ138" s="28"/>
      <c r="GR138" s="28"/>
      <c r="GS138" s="28"/>
      <c r="GT138" s="28"/>
      <c r="GU138" s="28"/>
      <c r="GV138" s="28"/>
      <c r="GW138" s="28"/>
      <c r="GX138" s="28"/>
      <c r="GY138" s="28"/>
      <c r="GZ138" s="28"/>
      <c r="HA138" s="28"/>
      <c r="HB138" s="28"/>
      <c r="HC138" s="28"/>
      <c r="HD138" s="28"/>
      <c r="HE138" s="28"/>
      <c r="HF138" s="28"/>
      <c r="HG138" s="28"/>
      <c r="HH138" s="28"/>
      <c r="HI138" s="28"/>
      <c r="HJ138" s="28"/>
      <c r="HK138" s="28"/>
    </row>
    <row r="139" spans="1:219" ht="15" customHeight="1">
      <c r="A139" s="49">
        <v>1</v>
      </c>
      <c r="B139" s="132" t="str">
        <f>VLOOKUP(Ruimtestaat[[#This Row],[Code]],Locaties[[Code]:[Locatie]],2,FALSE)</f>
        <v>Mirtehuis</v>
      </c>
      <c r="C139" s="132" t="str">
        <f>VLOOKUP(Ruimtestaat[[#This Row],[Code]],Locaties[[#All],[Code]:[Adres]],4,FALSE)</f>
        <v>Weseperweg 6</v>
      </c>
      <c r="D139" s="132" t="str">
        <f>VLOOKUP(Ruimtestaat[[#This Row],[Code]],Locaties[[#All],[Code]:[Postcode]],5,FALSE)</f>
        <v>8111 PK</v>
      </c>
      <c r="E139" s="132" t="str">
        <f>VLOOKUP(Ruimtestaat[[#This Row],[Code]],Locaties[#All],6,FALSE)</f>
        <v>Heeten</v>
      </c>
      <c r="F139" s="100"/>
      <c r="G139" s="100" t="s">
        <v>1677</v>
      </c>
      <c r="I139" s="140" t="s">
        <v>1656</v>
      </c>
      <c r="J139" s="49">
        <v>20</v>
      </c>
      <c r="K139" s="140" t="str">
        <f>VLOOKUP(Ruimtestaat[[#This Row],[Ruimte code]],Ruimtegroepen[[#All],[Code]:[Ruimte omschrijving]],2,FALSE)</f>
        <v>Niet in Onderhoud</v>
      </c>
      <c r="L139" s="100"/>
      <c r="M139" s="345"/>
      <c r="N139" s="133"/>
      <c r="O139" s="100"/>
      <c r="P139" s="134">
        <f>VLOOKUP(Ruimtestaat[[#This Row],[Ruimte code]],Ruimtegroepen[],4,FALSE)</f>
        <v>0</v>
      </c>
      <c r="Q139" s="100"/>
      <c r="R139" s="100"/>
      <c r="S139" s="100">
        <f>IF(Q139&gt;0,IF(RIGHT(Ruimtestaat[[#This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39" s="100">
        <f>IF(S139&gt;0,VLOOKUP($J139,Ruimtegroepen[],3,FALSE)*VLOOKUP($L139,Vloersoorten[],3,FALSE)*VLOOKUP($R139,Frequenties[],3,FALSE)*VLOOKUP($A139,Locaties[],3,FALSE),0)</f>
        <v>0</v>
      </c>
      <c r="U139" s="100">
        <f>Ruimtestaat[[#This Row],[Uitvoeringen werkdagen]]*Ruimtestaat[[#This Row],[Oppervlak (netto)]]</f>
        <v>0</v>
      </c>
      <c r="V139" s="135">
        <f>IF(T139&gt;0,Ruimtestaat[[#This Row],[Prest. (m2 /jaar) werkdagen]]/Ruimtestaat[[#This Row],[Norm (m2/uur) werkdagen]],0)</f>
        <v>0</v>
      </c>
      <c r="W139" s="136">
        <f>Ruimtestaat[[#This Row],[uren / jaar werkdagen]]*Tariefsopbouw!$E$35</f>
        <v>0</v>
      </c>
      <c r="X139" s="100"/>
      <c r="Y139" s="100">
        <f>IF(Ruimtestaat[[#This Row],[Frequentie weekend]]&gt;0,VALUE(LEFT(X139,1))*Q139,0)</f>
        <v>0</v>
      </c>
      <c r="Z139" s="99">
        <f>IF($Y139&gt;0,VLOOKUP($J139,Ruimtegroepen[],3,FALSE)*VLOOKUP($L139,Vloersoorten[],3,FALSE)*VLOOKUP($X139,Frequenties[],3,FALSE)*VLOOKUP(Ruimtestaat[[#This Row],[Code]],Locaties[],3,FALSE),0)</f>
        <v>0</v>
      </c>
      <c r="AA139" s="99">
        <f>Ruimtestaat[[#This Row],[Uitvoeringen weekend]]*Ruimtestaat[[#This Row],[Oppervlak (netto)]]</f>
        <v>0</v>
      </c>
      <c r="AB139" s="99">
        <f>IF(Z139&gt;0,Ruimtestaat[[#This Row],[Prest. (m2 /jaar) weekend]]/Ruimtestaat[[#This Row],[Norm (m2/uur) weekend]],0)</f>
        <v>0</v>
      </c>
      <c r="AC139" s="136">
        <f>Ruimtestaat[[#This Row],[uren / jaar weekend]]*Tariefsopbouw!$D$40</f>
        <v>0</v>
      </c>
      <c r="AD139" s="135">
        <f>Ruimtestaat[[#This Row],[Prest. (m2 /jaar) weekend]]+Ruimtestaat[[#This Row],[Prest. (m2 /jaar) werkdagen]]</f>
        <v>0</v>
      </c>
      <c r="AE139" s="135">
        <f>Ruimtestaat[[#This Row],[uren / jaar weekend]]+Ruimtestaat[[#This Row],[uren / jaar werkdagen]]</f>
        <v>0</v>
      </c>
      <c r="AF139" s="130">
        <f>Ruimtestaat[[#This Row],[kosten / jaar weekend]]+Ruimtestaat[[#This Row],[kosten / jaar werkdagen]]</f>
        <v>0</v>
      </c>
      <c r="AG139" s="130"/>
      <c r="AH139" s="137" t="str">
        <f>IF(Ruimtestaat[[#This Row],[Frequentie werkdagen]]="","",_xlfn.CONCAT(Ruimtestaat[[#This Row],[Ruimte code]],"-",Ruimtestaat[[#This Row],[Frequentie werkdagen]]," ",Ruimtestaat[[#This Row],[Vloer code]]))</f>
        <v/>
      </c>
      <c r="AI139" s="142" t="str">
        <f>_xlfn.IFNA(VLOOKUP($AH139,Programma!$F$3:$G$1101,2,0),"")</f>
        <v/>
      </c>
      <c r="AJ139" s="142" t="str">
        <f>_xlfn.IFNA(VLOOKUP($AH139,Programma!$F$3:$H$1101,3,0),"")</f>
        <v/>
      </c>
      <c r="AK139" s="142" t="str">
        <f>_xlfn.IFNA(VLOOKUP($AH139,Programma!$F$3:$I$1101,4,0),"")</f>
        <v/>
      </c>
      <c r="AL139" s="142" t="str">
        <f>_xlfn.IFNA(VLOOKUP($AH139,Programma!$F$3:$J$1101,5,0),"")</f>
        <v/>
      </c>
      <c r="AM139" s="142" t="str">
        <f>_xlfn.IFNA(VLOOKUP($AH139,Programma!$F$3:$K$1101,6,0),"")</f>
        <v/>
      </c>
      <c r="AN139" s="142" t="str">
        <f>_xlfn.IFNA(VLOOKUP($AH139,Programma!$F$3:$L$1101,7,0),"")</f>
        <v/>
      </c>
      <c r="AO139" s="142" t="str">
        <f>_xlfn.IFNA(VLOOKUP($AH139,Programma!$F$3:$M$1101,8,0),"")</f>
        <v/>
      </c>
      <c r="AP139" s="142" t="str">
        <f>_xlfn.IFNA(VLOOKUP($AH139,Programma!$F$3:$N$1101,9,0),"")</f>
        <v/>
      </c>
      <c r="AQ139" s="142" t="str">
        <f>_xlfn.IFNA(VLOOKUP($AH139,Programma!$F$3:$O$1101,10,0),"")</f>
        <v/>
      </c>
      <c r="AR139" s="142" t="str">
        <f>_xlfn.IFNA(VLOOKUP($AH139,Programma!$F$3:$P$1101,11,0),"")</f>
        <v/>
      </c>
      <c r="AS139" s="142" t="str">
        <f>_xlfn.IFNA(VLOOKUP($AH139,Programma!$F$3:$Q$1101,12,0),"")</f>
        <v/>
      </c>
      <c r="AT139" s="142" t="str">
        <f>_xlfn.IFNA(VLOOKUP($AH139,Programma!$F$3:$R$1101,13,0),"")</f>
        <v/>
      </c>
      <c r="AU139" s="142" t="str">
        <f>_xlfn.IFNA(VLOOKUP($AH139,Programma!$F$3:$S$1101,14,0),"")</f>
        <v/>
      </c>
      <c r="AV139" s="142" t="str">
        <f>_xlfn.IFNA(VLOOKUP($AH139,Programma!$F$3:$T$1101,15,0),"")</f>
        <v/>
      </c>
      <c r="AW139" s="142" t="str">
        <f>_xlfn.IFNA(VLOOKUP($AH139,Programma!$F$3:$U$1101,16,0),"")</f>
        <v/>
      </c>
      <c r="AX139" s="142" t="str">
        <f>_xlfn.IFNA(VLOOKUP($AH139,Programma!$F$3:$V$1101,17,0),"")</f>
        <v/>
      </c>
      <c r="AY139" s="142" t="str">
        <f>_xlfn.IFNA(VLOOKUP($AH139,Programma!$F$3:$W$1101,18,0),"")</f>
        <v/>
      </c>
      <c r="AZ139" s="142" t="str">
        <f>_xlfn.IFNA(VLOOKUP($AH139,Programma!$F$3:$X$1101,19,0),"")</f>
        <v/>
      </c>
      <c r="BA139" s="142" t="str">
        <f>_xlfn.IFNA(VLOOKUP($AH139,Programma!$F$3:$Y$1101,20,0),"")</f>
        <v/>
      </c>
      <c r="BB139" s="138"/>
      <c r="BC139" s="137" t="str">
        <f>IF(Ruimtestaat[[#This Row],[Frequentie weekend]]="","",_xlfn.CONCAT(Ruimtestaat[[#This Row],[Ruimte code]],"-",Ruimtestaat[[#This Row],[Frequentie weekend]]," ",Ruimtestaat[[#This Row],[Vloer code]]))</f>
        <v/>
      </c>
      <c r="BD139" s="142" t="str">
        <f>_xlfn.IFNA(VLOOKUP($BC139,Programma!$F$3:$G$1101,2,0),"")</f>
        <v/>
      </c>
      <c r="BE139" s="142" t="str">
        <f>_xlfn.IFNA(VLOOKUP($BC139,Programma!$F$3:$H$1101,3,0),"")</f>
        <v/>
      </c>
      <c r="BF139" s="142" t="str">
        <f>_xlfn.IFNA(VLOOKUP($BC139,Programma!$F$3:$I$1101,4,0),"")</f>
        <v/>
      </c>
      <c r="BG139" s="142" t="str">
        <f>_xlfn.IFNA(VLOOKUP($BC139,Programma!$F$3:$J$1101,5,0),"")</f>
        <v/>
      </c>
      <c r="BH139" s="142" t="str">
        <f>_xlfn.IFNA(VLOOKUP($BC139,Programma!$F$3:$K$1101,6,0),"")</f>
        <v/>
      </c>
      <c r="BI139" s="142" t="str">
        <f>_xlfn.IFNA(VLOOKUP($BC139,Programma!$F$3:$L$1101,7,0),"")</f>
        <v/>
      </c>
      <c r="BJ139" s="142" t="str">
        <f>_xlfn.IFNA(VLOOKUP($BC139,Programma!$F$3:$M$1101,8,0),"")</f>
        <v/>
      </c>
      <c r="BK139" s="142" t="str">
        <f>_xlfn.IFNA(VLOOKUP($BC139,Programma!$F$3:$N$1101,9,0),"")</f>
        <v/>
      </c>
      <c r="BL139" s="142" t="str">
        <f>_xlfn.IFNA(VLOOKUP($BC139,Programma!$F$3:$O$1101,10,0),"")</f>
        <v/>
      </c>
      <c r="BM139" s="142" t="str">
        <f>_xlfn.IFNA(VLOOKUP($BC139,Programma!$F$3:$P$1101,11,0),"")</f>
        <v/>
      </c>
      <c r="BN139" s="142" t="str">
        <f>_xlfn.IFNA(VLOOKUP($BC139,Programma!$F$3:$Q$1101,12,0),"")</f>
        <v/>
      </c>
      <c r="BO139" s="142" t="str">
        <f>_xlfn.IFNA(VLOOKUP($BC139,Programma!$F$3:$R$1101,13,0),"")</f>
        <v/>
      </c>
      <c r="BP139" s="142" t="str">
        <f>_xlfn.IFNA(VLOOKUP($BC139,Programma!$F$3:$S$1101,14,0),"")</f>
        <v/>
      </c>
      <c r="BQ139" s="142" t="str">
        <f>_xlfn.IFNA(VLOOKUP($BC139,Programma!$F$3:$T$1101,15,0),"")</f>
        <v/>
      </c>
      <c r="BR139" s="142" t="str">
        <f>_xlfn.IFNA(VLOOKUP($BC139,Programma!$F$3:$U$1101,16,0),"")</f>
        <v/>
      </c>
      <c r="BS139" s="142" t="str">
        <f>_xlfn.IFNA(VLOOKUP($BC139,Programma!$F$3:$V$1101,17,0),"")</f>
        <v/>
      </c>
      <c r="BT139" s="142" t="str">
        <f>_xlfn.IFNA(VLOOKUP($BC139,Programma!$F$3:$W$1101,18,0),"")</f>
        <v/>
      </c>
      <c r="BU139" s="142" t="str">
        <f>_xlfn.IFNA(VLOOKUP($BC139,Programma!$F$3:$X$1101,19,0),"")</f>
        <v/>
      </c>
      <c r="BV139" s="142" t="str">
        <f>_xlfn.IFNA(VLOOKUP($BC139,Programma!$F$3:$Y$1101,20,0),"")</f>
        <v/>
      </c>
      <c r="BW139" s="28"/>
      <c r="BX139" s="28"/>
      <c r="BY139" s="28"/>
      <c r="BZ139" s="28"/>
      <c r="CA139" s="28"/>
      <c r="CB139" s="28"/>
      <c r="CC139" s="28"/>
      <c r="CD139" s="28"/>
      <c r="CE139" s="28"/>
      <c r="CF139" s="28"/>
      <c r="CG139" s="28"/>
      <c r="CH139" s="28"/>
      <c r="CI139" s="28"/>
      <c r="CJ139" s="28"/>
      <c r="CK139" s="28"/>
      <c r="CL139" s="28"/>
      <c r="CM139" s="28"/>
      <c r="CN139" s="28"/>
      <c r="CO139" s="28"/>
      <c r="CP139" s="28"/>
      <c r="CQ139" s="28"/>
      <c r="CR139" s="28"/>
      <c r="CS139" s="28"/>
      <c r="CT139" s="28"/>
      <c r="CU139" s="28"/>
      <c r="CV139" s="28"/>
      <c r="CW139" s="28"/>
      <c r="CX139" s="28"/>
      <c r="CY139" s="28"/>
      <c r="CZ139" s="28"/>
      <c r="DA139" s="28"/>
      <c r="DB139" s="28"/>
      <c r="DC139" s="28"/>
      <c r="DD139" s="28"/>
      <c r="DE139" s="28"/>
      <c r="DF139" s="28"/>
      <c r="DG139" s="28"/>
      <c r="DH139" s="28"/>
      <c r="DI139" s="28"/>
      <c r="DJ139" s="28"/>
      <c r="DK139" s="28"/>
      <c r="DL139" s="28"/>
      <c r="DM139" s="28"/>
      <c r="DN139" s="28"/>
      <c r="DO139" s="28"/>
      <c r="DP139" s="28"/>
      <c r="DQ139" s="28"/>
      <c r="DR139" s="28"/>
      <c r="DS139" s="28"/>
      <c r="DT139" s="28"/>
      <c r="DU139" s="28"/>
      <c r="DV139" s="28"/>
      <c r="DW139" s="28"/>
      <c r="DX139" s="28"/>
      <c r="DY139" s="28"/>
      <c r="DZ139" s="28"/>
      <c r="EA139" s="28"/>
      <c r="EB139" s="28"/>
      <c r="EC139" s="28"/>
      <c r="ED139" s="28"/>
      <c r="EE139" s="28"/>
      <c r="EF139" s="28"/>
      <c r="EG139" s="28"/>
      <c r="EH139" s="28"/>
      <c r="EI139" s="28"/>
      <c r="EJ139" s="28"/>
      <c r="EK139" s="28"/>
      <c r="EL139" s="28"/>
      <c r="EM139" s="28"/>
      <c r="EN139" s="28"/>
      <c r="EO139" s="28"/>
      <c r="EP139" s="28"/>
      <c r="EQ139" s="28"/>
      <c r="ER139" s="28"/>
      <c r="ES139" s="28"/>
      <c r="ET139" s="28"/>
      <c r="EU139" s="28"/>
      <c r="EV139" s="28"/>
      <c r="EW139" s="28"/>
      <c r="EX139" s="28"/>
      <c r="EY139" s="28"/>
      <c r="EZ139" s="28"/>
      <c r="FA139" s="28"/>
      <c r="FB139" s="28"/>
      <c r="FC139" s="28"/>
      <c r="FD139" s="28"/>
      <c r="FE139" s="28"/>
      <c r="FF139" s="28"/>
      <c r="FG139" s="28"/>
      <c r="FH139" s="28"/>
      <c r="FI139" s="28"/>
      <c r="FJ139" s="28"/>
      <c r="FK139" s="28"/>
      <c r="FL139" s="28"/>
      <c r="FM139" s="28"/>
      <c r="FN139" s="28"/>
      <c r="FO139" s="28"/>
      <c r="FP139" s="28"/>
      <c r="FQ139" s="28"/>
      <c r="FR139" s="28"/>
      <c r="FS139" s="28"/>
      <c r="FT139" s="28"/>
      <c r="FU139" s="28"/>
      <c r="FV139" s="28"/>
      <c r="FW139" s="28"/>
      <c r="FX139" s="28"/>
      <c r="FY139" s="28"/>
      <c r="FZ139" s="28"/>
      <c r="GA139" s="28"/>
      <c r="GB139" s="28"/>
      <c r="GC139" s="28"/>
      <c r="GD139" s="28"/>
      <c r="GE139" s="28"/>
      <c r="GF139" s="28"/>
      <c r="GG139" s="28"/>
      <c r="GH139" s="28"/>
      <c r="GI139" s="28"/>
      <c r="GJ139" s="28"/>
      <c r="GK139" s="28"/>
      <c r="GL139" s="28"/>
      <c r="GM139" s="28"/>
      <c r="GN139" s="28"/>
      <c r="GO139" s="28"/>
      <c r="GP139" s="28"/>
      <c r="GQ139" s="28"/>
      <c r="GR139" s="28"/>
      <c r="GS139" s="28"/>
      <c r="GT139" s="28"/>
      <c r="GU139" s="28"/>
      <c r="GV139" s="28"/>
      <c r="GW139" s="28"/>
      <c r="GX139" s="28"/>
      <c r="GY139" s="28"/>
      <c r="GZ139" s="28"/>
      <c r="HA139" s="28"/>
      <c r="HB139" s="28"/>
      <c r="HC139" s="28"/>
      <c r="HD139" s="28"/>
      <c r="HE139" s="28"/>
      <c r="HF139" s="28"/>
      <c r="HG139" s="28"/>
      <c r="HH139" s="28"/>
      <c r="HI139" s="28"/>
      <c r="HJ139" s="28"/>
      <c r="HK139" s="28"/>
    </row>
    <row r="140" spans="1:219" ht="15" customHeight="1">
      <c r="A140" s="49">
        <v>1</v>
      </c>
      <c r="B140" s="132" t="str">
        <f>VLOOKUP(Ruimtestaat[[#This Row],[Code]],Locaties[[Code]:[Locatie]],2,FALSE)</f>
        <v>Mirtehuis</v>
      </c>
      <c r="C140" s="132" t="str">
        <f>VLOOKUP(Ruimtestaat[[#This Row],[Code]],Locaties[[#All],[Code]:[Adres]],4,FALSE)</f>
        <v>Weseperweg 6</v>
      </c>
      <c r="D140" s="132" t="str">
        <f>VLOOKUP(Ruimtestaat[[#This Row],[Code]],Locaties[[#All],[Code]:[Postcode]],5,FALSE)</f>
        <v>8111 PK</v>
      </c>
      <c r="E140" s="132" t="str">
        <f>VLOOKUP(Ruimtestaat[[#This Row],[Code]],Locaties[#All],6,FALSE)</f>
        <v>Heeten</v>
      </c>
      <c r="F140" s="100"/>
      <c r="G140" s="100" t="s">
        <v>1677</v>
      </c>
      <c r="I140" s="140" t="s">
        <v>1668</v>
      </c>
      <c r="J140" s="49">
        <v>20</v>
      </c>
      <c r="K140" s="140" t="str">
        <f>VLOOKUP(Ruimtestaat[[#This Row],[Ruimte code]],Ruimtegroepen[[#All],[Code]:[Ruimte omschrijving]],2,FALSE)</f>
        <v>Niet in Onderhoud</v>
      </c>
      <c r="L140" s="100"/>
      <c r="M140" s="345"/>
      <c r="N140" s="133"/>
      <c r="O140" s="139"/>
      <c r="P140" s="134">
        <f>VLOOKUP(Ruimtestaat[[#This Row],[Ruimte code]],Ruimtegroepen[],4,FALSE)</f>
        <v>0</v>
      </c>
      <c r="Q140" s="100"/>
      <c r="R140" s="100"/>
      <c r="S140" s="100">
        <f>IF(Q140&gt;0,IF(RIGHT(Ruimtestaat[[#This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40" s="100">
        <f>IF(S140&gt;0,VLOOKUP($J140,Ruimtegroepen[],3,FALSE)*VLOOKUP($L140,Vloersoorten[],3,FALSE)*VLOOKUP($R140,Frequenties[],3,FALSE)*VLOOKUP($A140,Locaties[],3,FALSE),0)</f>
        <v>0</v>
      </c>
      <c r="U140" s="100">
        <f>Ruimtestaat[[#This Row],[Uitvoeringen werkdagen]]*Ruimtestaat[[#This Row],[Oppervlak (netto)]]</f>
        <v>0</v>
      </c>
      <c r="V140" s="135">
        <f>IF(T140&gt;0,Ruimtestaat[[#This Row],[Prest. (m2 /jaar) werkdagen]]/Ruimtestaat[[#This Row],[Norm (m2/uur) werkdagen]],0)</f>
        <v>0</v>
      </c>
      <c r="W140" s="136">
        <f>Ruimtestaat[[#This Row],[uren / jaar werkdagen]]*Tariefsopbouw!$E$35</f>
        <v>0</v>
      </c>
      <c r="X140" s="100"/>
      <c r="Y140" s="100">
        <f>IF(Ruimtestaat[[#This Row],[Frequentie weekend]]&gt;0,VALUE(LEFT(X140,1))*Q140,0)</f>
        <v>0</v>
      </c>
      <c r="Z140" s="99">
        <f>IF($Y140&gt;0,VLOOKUP($J140,Ruimtegroepen[],3,FALSE)*VLOOKUP($L140,Vloersoorten[],3,FALSE)*VLOOKUP($X140,Frequenties[],3,FALSE)*VLOOKUP(Ruimtestaat[[#This Row],[Code]],Locaties[],3,FALSE),0)</f>
        <v>0</v>
      </c>
      <c r="AA140" s="99">
        <f>Ruimtestaat[[#This Row],[Uitvoeringen weekend]]*Ruimtestaat[[#This Row],[Oppervlak (netto)]]</f>
        <v>0</v>
      </c>
      <c r="AB140" s="99">
        <f>IF(Z140&gt;0,Ruimtestaat[[#This Row],[Prest. (m2 /jaar) weekend]]/Ruimtestaat[[#This Row],[Norm (m2/uur) weekend]],0)</f>
        <v>0</v>
      </c>
      <c r="AC140" s="136">
        <f>Ruimtestaat[[#This Row],[uren / jaar weekend]]*Tariefsopbouw!$D$40</f>
        <v>0</v>
      </c>
      <c r="AD140" s="135">
        <f>Ruimtestaat[[#This Row],[Prest. (m2 /jaar) weekend]]+Ruimtestaat[[#This Row],[Prest. (m2 /jaar) werkdagen]]</f>
        <v>0</v>
      </c>
      <c r="AE140" s="135">
        <f>Ruimtestaat[[#This Row],[uren / jaar weekend]]+Ruimtestaat[[#This Row],[uren / jaar werkdagen]]</f>
        <v>0</v>
      </c>
      <c r="AF140" s="130">
        <f>Ruimtestaat[[#This Row],[kosten / jaar weekend]]+Ruimtestaat[[#This Row],[kosten / jaar werkdagen]]</f>
        <v>0</v>
      </c>
      <c r="AG140" s="130"/>
      <c r="AH140" s="137" t="str">
        <f>IF(Ruimtestaat[[#This Row],[Frequentie werkdagen]]="","",_xlfn.CONCAT(Ruimtestaat[[#This Row],[Ruimte code]],"-",Ruimtestaat[[#This Row],[Frequentie werkdagen]]," ",Ruimtestaat[[#This Row],[Vloer code]]))</f>
        <v/>
      </c>
      <c r="AI140" s="142" t="str">
        <f>_xlfn.IFNA(VLOOKUP($AH140,Programma!$F$3:$G$1101,2,0),"")</f>
        <v/>
      </c>
      <c r="AJ140" s="142" t="str">
        <f>_xlfn.IFNA(VLOOKUP($AH140,Programma!$F$3:$H$1101,3,0),"")</f>
        <v/>
      </c>
      <c r="AK140" s="142" t="str">
        <f>_xlfn.IFNA(VLOOKUP($AH140,Programma!$F$3:$I$1101,4,0),"")</f>
        <v/>
      </c>
      <c r="AL140" s="142" t="str">
        <f>_xlfn.IFNA(VLOOKUP($AH140,Programma!$F$3:$J$1101,5,0),"")</f>
        <v/>
      </c>
      <c r="AM140" s="142" t="str">
        <f>_xlfn.IFNA(VLOOKUP($AH140,Programma!$F$3:$K$1101,6,0),"")</f>
        <v/>
      </c>
      <c r="AN140" s="142" t="str">
        <f>_xlfn.IFNA(VLOOKUP($AH140,Programma!$F$3:$L$1101,7,0),"")</f>
        <v/>
      </c>
      <c r="AO140" s="142" t="str">
        <f>_xlfn.IFNA(VLOOKUP($AH140,Programma!$F$3:$M$1101,8,0),"")</f>
        <v/>
      </c>
      <c r="AP140" s="142" t="str">
        <f>_xlfn.IFNA(VLOOKUP($AH140,Programma!$F$3:$N$1101,9,0),"")</f>
        <v/>
      </c>
      <c r="AQ140" s="142" t="str">
        <f>_xlfn.IFNA(VLOOKUP($AH140,Programma!$F$3:$O$1101,10,0),"")</f>
        <v/>
      </c>
      <c r="AR140" s="142" t="str">
        <f>_xlfn.IFNA(VLOOKUP($AH140,Programma!$F$3:$P$1101,11,0),"")</f>
        <v/>
      </c>
      <c r="AS140" s="142" t="str">
        <f>_xlfn.IFNA(VLOOKUP($AH140,Programma!$F$3:$Q$1101,12,0),"")</f>
        <v/>
      </c>
      <c r="AT140" s="142" t="str">
        <f>_xlfn.IFNA(VLOOKUP($AH140,Programma!$F$3:$R$1101,13,0),"")</f>
        <v/>
      </c>
      <c r="AU140" s="142" t="str">
        <f>_xlfn.IFNA(VLOOKUP($AH140,Programma!$F$3:$S$1101,14,0),"")</f>
        <v/>
      </c>
      <c r="AV140" s="142" t="str">
        <f>_xlfn.IFNA(VLOOKUP($AH140,Programma!$F$3:$T$1101,15,0),"")</f>
        <v/>
      </c>
      <c r="AW140" s="142" t="str">
        <f>_xlfn.IFNA(VLOOKUP($AH140,Programma!$F$3:$U$1101,16,0),"")</f>
        <v/>
      </c>
      <c r="AX140" s="142" t="str">
        <f>_xlfn.IFNA(VLOOKUP($AH140,Programma!$F$3:$V$1101,17,0),"")</f>
        <v/>
      </c>
      <c r="AY140" s="142" t="str">
        <f>_xlfn.IFNA(VLOOKUP($AH140,Programma!$F$3:$W$1101,18,0),"")</f>
        <v/>
      </c>
      <c r="AZ140" s="142" t="str">
        <f>_xlfn.IFNA(VLOOKUP($AH140,Programma!$F$3:$X$1101,19,0),"")</f>
        <v/>
      </c>
      <c r="BA140" s="142" t="str">
        <f>_xlfn.IFNA(VLOOKUP($AH140,Programma!$F$3:$Y$1101,20,0),"")</f>
        <v/>
      </c>
      <c r="BB140" s="138"/>
      <c r="BC140" s="137" t="str">
        <f>IF(Ruimtestaat[[#This Row],[Frequentie weekend]]="","",_xlfn.CONCAT(Ruimtestaat[[#This Row],[Ruimte code]],"-",Ruimtestaat[[#This Row],[Frequentie weekend]]," ",Ruimtestaat[[#This Row],[Vloer code]]))</f>
        <v/>
      </c>
      <c r="BD140" s="142" t="str">
        <f>_xlfn.IFNA(VLOOKUP($BC140,Programma!$F$3:$G$1101,2,0),"")</f>
        <v/>
      </c>
      <c r="BE140" s="142" t="str">
        <f>_xlfn.IFNA(VLOOKUP($BC140,Programma!$F$3:$H$1101,3,0),"")</f>
        <v/>
      </c>
      <c r="BF140" s="142" t="str">
        <f>_xlfn.IFNA(VLOOKUP($BC140,Programma!$F$3:$I$1101,4,0),"")</f>
        <v/>
      </c>
      <c r="BG140" s="142" t="str">
        <f>_xlfn.IFNA(VLOOKUP($BC140,Programma!$F$3:$J$1101,5,0),"")</f>
        <v/>
      </c>
      <c r="BH140" s="142" t="str">
        <f>_xlfn.IFNA(VLOOKUP($BC140,Programma!$F$3:$K$1101,6,0),"")</f>
        <v/>
      </c>
      <c r="BI140" s="142" t="str">
        <f>_xlfn.IFNA(VLOOKUP($BC140,Programma!$F$3:$L$1101,7,0),"")</f>
        <v/>
      </c>
      <c r="BJ140" s="142" t="str">
        <f>_xlfn.IFNA(VLOOKUP($BC140,Programma!$F$3:$M$1101,8,0),"")</f>
        <v/>
      </c>
      <c r="BK140" s="142" t="str">
        <f>_xlfn.IFNA(VLOOKUP($BC140,Programma!$F$3:$N$1101,9,0),"")</f>
        <v/>
      </c>
      <c r="BL140" s="142" t="str">
        <f>_xlfn.IFNA(VLOOKUP($BC140,Programma!$F$3:$O$1101,10,0),"")</f>
        <v/>
      </c>
      <c r="BM140" s="142" t="str">
        <f>_xlfn.IFNA(VLOOKUP($BC140,Programma!$F$3:$P$1101,11,0),"")</f>
        <v/>
      </c>
      <c r="BN140" s="142" t="str">
        <f>_xlfn.IFNA(VLOOKUP($BC140,Programma!$F$3:$Q$1101,12,0),"")</f>
        <v/>
      </c>
      <c r="BO140" s="142" t="str">
        <f>_xlfn.IFNA(VLOOKUP($BC140,Programma!$F$3:$R$1101,13,0),"")</f>
        <v/>
      </c>
      <c r="BP140" s="142" t="str">
        <f>_xlfn.IFNA(VLOOKUP($BC140,Programma!$F$3:$S$1101,14,0),"")</f>
        <v/>
      </c>
      <c r="BQ140" s="142" t="str">
        <f>_xlfn.IFNA(VLOOKUP($BC140,Programma!$F$3:$T$1101,15,0),"")</f>
        <v/>
      </c>
      <c r="BR140" s="142" t="str">
        <f>_xlfn.IFNA(VLOOKUP($BC140,Programma!$F$3:$U$1101,16,0),"")</f>
        <v/>
      </c>
      <c r="BS140" s="142" t="str">
        <f>_xlfn.IFNA(VLOOKUP($BC140,Programma!$F$3:$V$1101,17,0),"")</f>
        <v/>
      </c>
      <c r="BT140" s="142" t="str">
        <f>_xlfn.IFNA(VLOOKUP($BC140,Programma!$F$3:$W$1101,18,0),"")</f>
        <v/>
      </c>
      <c r="BU140" s="142" t="str">
        <f>_xlfn.IFNA(VLOOKUP($BC140,Programma!$F$3:$X$1101,19,0),"")</f>
        <v/>
      </c>
      <c r="BV140" s="142" t="str">
        <f>_xlfn.IFNA(VLOOKUP($BC140,Programma!$F$3:$Y$1101,20,0),"")</f>
        <v/>
      </c>
      <c r="BW140" s="28"/>
      <c r="BX140" s="28"/>
      <c r="BY140" s="28"/>
      <c r="BZ140" s="28"/>
      <c r="CA140" s="28"/>
      <c r="CB140" s="28"/>
      <c r="CC140" s="28"/>
      <c r="CD140" s="28"/>
      <c r="CE140" s="28"/>
      <c r="CF140" s="28"/>
      <c r="CG140" s="28"/>
      <c r="CH140" s="28"/>
      <c r="CI140" s="28"/>
      <c r="CJ140" s="28"/>
      <c r="CK140" s="28"/>
      <c r="CL140" s="28"/>
      <c r="CM140" s="28"/>
      <c r="CN140" s="28"/>
      <c r="CO140" s="28"/>
      <c r="CP140" s="28"/>
      <c r="CQ140" s="28"/>
      <c r="CR140" s="28"/>
      <c r="CS140" s="28"/>
      <c r="CT140" s="28"/>
      <c r="CU140" s="28"/>
      <c r="CV140" s="28"/>
      <c r="CW140" s="28"/>
      <c r="CX140" s="28"/>
      <c r="CY140" s="28"/>
      <c r="CZ140" s="28"/>
      <c r="DA140" s="28"/>
      <c r="DB140" s="28"/>
      <c r="DC140" s="28"/>
      <c r="DD140" s="28"/>
      <c r="DE140" s="28"/>
      <c r="DF140" s="28"/>
      <c r="DG140" s="28"/>
      <c r="DH140" s="28"/>
      <c r="DI140" s="28"/>
      <c r="DJ140" s="28"/>
      <c r="DK140" s="28"/>
      <c r="DL140" s="28"/>
      <c r="DM140" s="28"/>
      <c r="DN140" s="28"/>
      <c r="DO140" s="28"/>
      <c r="DP140" s="28"/>
      <c r="DQ140" s="28"/>
      <c r="DR140" s="28"/>
      <c r="DS140" s="28"/>
      <c r="DT140" s="28"/>
      <c r="DU140" s="28"/>
      <c r="DV140" s="28"/>
      <c r="DW140" s="28"/>
      <c r="DX140" s="28"/>
      <c r="DY140" s="28"/>
      <c r="DZ140" s="28"/>
      <c r="EA140" s="28"/>
      <c r="EB140" s="28"/>
      <c r="EC140" s="28"/>
      <c r="ED140" s="28"/>
      <c r="EE140" s="28"/>
      <c r="EF140" s="28"/>
      <c r="EG140" s="28"/>
      <c r="EH140" s="28"/>
      <c r="EI140" s="28"/>
      <c r="EJ140" s="28"/>
      <c r="EK140" s="28"/>
      <c r="EL140" s="28"/>
      <c r="EM140" s="28"/>
      <c r="EN140" s="28"/>
      <c r="EO140" s="28"/>
      <c r="EP140" s="28"/>
      <c r="EQ140" s="28"/>
      <c r="ER140" s="28"/>
      <c r="ES140" s="28"/>
      <c r="ET140" s="28"/>
      <c r="EU140" s="28"/>
      <c r="EV140" s="28"/>
      <c r="EW140" s="28"/>
      <c r="EX140" s="28"/>
      <c r="EY140" s="28"/>
      <c r="EZ140" s="28"/>
      <c r="FA140" s="28"/>
      <c r="FB140" s="28"/>
      <c r="FC140" s="28"/>
      <c r="FD140" s="28"/>
      <c r="FE140" s="28"/>
      <c r="FF140" s="28"/>
      <c r="FG140" s="28"/>
      <c r="FH140" s="28"/>
      <c r="FI140" s="28"/>
      <c r="FJ140" s="28"/>
      <c r="FK140" s="28"/>
      <c r="FL140" s="28"/>
      <c r="FM140" s="28"/>
      <c r="FN140" s="28"/>
      <c r="FO140" s="28"/>
      <c r="FP140" s="28"/>
      <c r="FQ140" s="28"/>
      <c r="FR140" s="28"/>
      <c r="FS140" s="28"/>
      <c r="FT140" s="28"/>
      <c r="FU140" s="28"/>
      <c r="FV140" s="28"/>
      <c r="FW140" s="28"/>
      <c r="FX140" s="28"/>
      <c r="FY140" s="28"/>
      <c r="FZ140" s="28"/>
      <c r="GA140" s="28"/>
      <c r="GB140" s="28"/>
      <c r="GC140" s="28"/>
      <c r="GD140" s="28"/>
      <c r="GE140" s="28"/>
      <c r="GF140" s="28"/>
      <c r="GG140" s="28"/>
      <c r="GH140" s="28"/>
      <c r="GI140" s="28"/>
      <c r="GJ140" s="28"/>
      <c r="GK140" s="28"/>
      <c r="GL140" s="28"/>
      <c r="GM140" s="28"/>
      <c r="GN140" s="28"/>
      <c r="GO140" s="28"/>
      <c r="GP140" s="28"/>
      <c r="GQ140" s="28"/>
      <c r="GR140" s="28"/>
      <c r="GS140" s="28"/>
      <c r="GT140" s="28"/>
      <c r="GU140" s="28"/>
      <c r="GV140" s="28"/>
      <c r="GW140" s="28"/>
      <c r="GX140" s="28"/>
      <c r="GY140" s="28"/>
      <c r="GZ140" s="28"/>
      <c r="HA140" s="28"/>
      <c r="HB140" s="28"/>
      <c r="HC140" s="28"/>
      <c r="HD140" s="28"/>
      <c r="HE140" s="28"/>
      <c r="HF140" s="28"/>
      <c r="HG140" s="28"/>
      <c r="HH140" s="28"/>
      <c r="HI140" s="28"/>
      <c r="HJ140" s="28"/>
      <c r="HK140" s="28"/>
    </row>
    <row r="141" spans="1:219" ht="15" customHeight="1">
      <c r="A141" s="49">
        <v>1</v>
      </c>
      <c r="B141" s="132" t="str">
        <f>VLOOKUP(Ruimtestaat[[#This Row],[Code]],Locaties[[Code]:[Locatie]],2,FALSE)</f>
        <v>Mirtehuis</v>
      </c>
      <c r="C141" s="132" t="str">
        <f>VLOOKUP(Ruimtestaat[[#This Row],[Code]],Locaties[[#All],[Code]:[Adres]],4,FALSE)</f>
        <v>Weseperweg 6</v>
      </c>
      <c r="D141" s="132" t="str">
        <f>VLOOKUP(Ruimtestaat[[#This Row],[Code]],Locaties[[#All],[Code]:[Postcode]],5,FALSE)</f>
        <v>8111 PK</v>
      </c>
      <c r="E141" s="132" t="str">
        <f>VLOOKUP(Ruimtestaat[[#This Row],[Code]],Locaties[#All],6,FALSE)</f>
        <v>Heeten</v>
      </c>
      <c r="F141" s="100"/>
      <c r="G141" s="100" t="s">
        <v>1677</v>
      </c>
      <c r="I141" s="140" t="s">
        <v>1656</v>
      </c>
      <c r="J141" s="49">
        <v>20</v>
      </c>
      <c r="K141" s="140" t="str">
        <f>VLOOKUP(Ruimtestaat[[#This Row],[Ruimte code]],Ruimtegroepen[[#All],[Code]:[Ruimte omschrijving]],2,FALSE)</f>
        <v>Niet in Onderhoud</v>
      </c>
      <c r="L141" s="100"/>
      <c r="M141" s="345"/>
      <c r="N141" s="133"/>
      <c r="O141" s="139"/>
      <c r="P141" s="134">
        <f>VLOOKUP(Ruimtestaat[[#This Row],[Ruimte code]],Ruimtegroepen[],4,FALSE)</f>
        <v>0</v>
      </c>
      <c r="Q141" s="100"/>
      <c r="R141" s="100"/>
      <c r="S141" s="100">
        <f>IF(Q141&gt;0,IF(RIGHT(Ruimtestaat[[#This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41" s="100">
        <f>IF(S141&gt;0,VLOOKUP($J141,Ruimtegroepen[],3,FALSE)*VLOOKUP($L141,Vloersoorten[],3,FALSE)*VLOOKUP($R141,Frequenties[],3,FALSE)*VLOOKUP($A141,Locaties[],3,FALSE),0)</f>
        <v>0</v>
      </c>
      <c r="U141" s="100">
        <f>Ruimtestaat[[#This Row],[Uitvoeringen werkdagen]]*Ruimtestaat[[#This Row],[Oppervlak (netto)]]</f>
        <v>0</v>
      </c>
      <c r="V141" s="135">
        <f>IF(T141&gt;0,Ruimtestaat[[#This Row],[Prest. (m2 /jaar) werkdagen]]/Ruimtestaat[[#This Row],[Norm (m2/uur) werkdagen]],0)</f>
        <v>0</v>
      </c>
      <c r="W141" s="136">
        <f>Ruimtestaat[[#This Row],[uren / jaar werkdagen]]*Tariefsopbouw!$E$35</f>
        <v>0</v>
      </c>
      <c r="X141" s="100"/>
      <c r="Y141" s="100">
        <f>IF(Ruimtestaat[[#This Row],[Frequentie weekend]]&gt;0,VALUE(LEFT(X141,1))*Q141,0)</f>
        <v>0</v>
      </c>
      <c r="Z141" s="99">
        <f>IF($Y141&gt;0,VLOOKUP($J141,Ruimtegroepen[],3,FALSE)*VLOOKUP($L141,Vloersoorten[],3,FALSE)*VLOOKUP($X141,Frequenties[],3,FALSE)*VLOOKUP(Ruimtestaat[[#This Row],[Code]],Locaties[],3,FALSE),0)</f>
        <v>0</v>
      </c>
      <c r="AA141" s="99">
        <f>Ruimtestaat[[#This Row],[Uitvoeringen weekend]]*Ruimtestaat[[#This Row],[Oppervlak (netto)]]</f>
        <v>0</v>
      </c>
      <c r="AB141" s="99">
        <f>IF(Z141&gt;0,Ruimtestaat[[#This Row],[Prest. (m2 /jaar) weekend]]/Ruimtestaat[[#This Row],[Norm (m2/uur) weekend]],0)</f>
        <v>0</v>
      </c>
      <c r="AC141" s="136">
        <f>Ruimtestaat[[#This Row],[uren / jaar weekend]]*Tariefsopbouw!$D$40</f>
        <v>0</v>
      </c>
      <c r="AD141" s="135">
        <f>Ruimtestaat[[#This Row],[Prest. (m2 /jaar) weekend]]+Ruimtestaat[[#This Row],[Prest. (m2 /jaar) werkdagen]]</f>
        <v>0</v>
      </c>
      <c r="AE141" s="135">
        <f>Ruimtestaat[[#This Row],[uren / jaar weekend]]+Ruimtestaat[[#This Row],[uren / jaar werkdagen]]</f>
        <v>0</v>
      </c>
      <c r="AF141" s="130">
        <f>Ruimtestaat[[#This Row],[kosten / jaar weekend]]+Ruimtestaat[[#This Row],[kosten / jaar werkdagen]]</f>
        <v>0</v>
      </c>
      <c r="AG141" s="130"/>
      <c r="AH141" s="137" t="str">
        <f>IF(Ruimtestaat[[#This Row],[Frequentie werkdagen]]="","",_xlfn.CONCAT(Ruimtestaat[[#This Row],[Ruimte code]],"-",Ruimtestaat[[#This Row],[Frequentie werkdagen]]," ",Ruimtestaat[[#This Row],[Vloer code]]))</f>
        <v/>
      </c>
      <c r="AI141" s="142" t="str">
        <f>_xlfn.IFNA(VLOOKUP($AH141,Programma!$F$3:$G$1101,2,0),"")</f>
        <v/>
      </c>
      <c r="AJ141" s="142" t="str">
        <f>_xlfn.IFNA(VLOOKUP($AH141,Programma!$F$3:$H$1101,3,0),"")</f>
        <v/>
      </c>
      <c r="AK141" s="142" t="str">
        <f>_xlfn.IFNA(VLOOKUP($AH141,Programma!$F$3:$I$1101,4,0),"")</f>
        <v/>
      </c>
      <c r="AL141" s="142" t="str">
        <f>_xlfn.IFNA(VLOOKUP($AH141,Programma!$F$3:$J$1101,5,0),"")</f>
        <v/>
      </c>
      <c r="AM141" s="142" t="str">
        <f>_xlfn.IFNA(VLOOKUP($AH141,Programma!$F$3:$K$1101,6,0),"")</f>
        <v/>
      </c>
      <c r="AN141" s="142" t="str">
        <f>_xlfn.IFNA(VLOOKUP($AH141,Programma!$F$3:$L$1101,7,0),"")</f>
        <v/>
      </c>
      <c r="AO141" s="142" t="str">
        <f>_xlfn.IFNA(VLOOKUP($AH141,Programma!$F$3:$M$1101,8,0),"")</f>
        <v/>
      </c>
      <c r="AP141" s="142" t="str">
        <f>_xlfn.IFNA(VLOOKUP($AH141,Programma!$F$3:$N$1101,9,0),"")</f>
        <v/>
      </c>
      <c r="AQ141" s="142" t="str">
        <f>_xlfn.IFNA(VLOOKUP($AH141,Programma!$F$3:$O$1101,10,0),"")</f>
        <v/>
      </c>
      <c r="AR141" s="142" t="str">
        <f>_xlfn.IFNA(VLOOKUP($AH141,Programma!$F$3:$P$1101,11,0),"")</f>
        <v/>
      </c>
      <c r="AS141" s="142" t="str">
        <f>_xlfn.IFNA(VLOOKUP($AH141,Programma!$F$3:$Q$1101,12,0),"")</f>
        <v/>
      </c>
      <c r="AT141" s="142" t="str">
        <f>_xlfn.IFNA(VLOOKUP($AH141,Programma!$F$3:$R$1101,13,0),"")</f>
        <v/>
      </c>
      <c r="AU141" s="142" t="str">
        <f>_xlfn.IFNA(VLOOKUP($AH141,Programma!$F$3:$S$1101,14,0),"")</f>
        <v/>
      </c>
      <c r="AV141" s="142" t="str">
        <f>_xlfn.IFNA(VLOOKUP($AH141,Programma!$F$3:$T$1101,15,0),"")</f>
        <v/>
      </c>
      <c r="AW141" s="142" t="str">
        <f>_xlfn.IFNA(VLOOKUP($AH141,Programma!$F$3:$U$1101,16,0),"")</f>
        <v/>
      </c>
      <c r="AX141" s="142" t="str">
        <f>_xlfn.IFNA(VLOOKUP($AH141,Programma!$F$3:$V$1101,17,0),"")</f>
        <v/>
      </c>
      <c r="AY141" s="142" t="str">
        <f>_xlfn.IFNA(VLOOKUP($AH141,Programma!$F$3:$W$1101,18,0),"")</f>
        <v/>
      </c>
      <c r="AZ141" s="142" t="str">
        <f>_xlfn.IFNA(VLOOKUP($AH141,Programma!$F$3:$X$1101,19,0),"")</f>
        <v/>
      </c>
      <c r="BA141" s="142" t="str">
        <f>_xlfn.IFNA(VLOOKUP($AH141,Programma!$F$3:$Y$1101,20,0),"")</f>
        <v/>
      </c>
      <c r="BB141" s="138"/>
      <c r="BC141" s="137" t="str">
        <f>IF(Ruimtestaat[[#This Row],[Frequentie weekend]]="","",_xlfn.CONCAT(Ruimtestaat[[#This Row],[Ruimte code]],"-",Ruimtestaat[[#This Row],[Frequentie weekend]]," ",Ruimtestaat[[#This Row],[Vloer code]]))</f>
        <v/>
      </c>
      <c r="BD141" s="142" t="str">
        <f>_xlfn.IFNA(VLOOKUP($BC141,Programma!$F$3:$G$1101,2,0),"")</f>
        <v/>
      </c>
      <c r="BE141" s="142" t="str">
        <f>_xlfn.IFNA(VLOOKUP($BC141,Programma!$F$3:$H$1101,3,0),"")</f>
        <v/>
      </c>
      <c r="BF141" s="142" t="str">
        <f>_xlfn.IFNA(VLOOKUP($BC141,Programma!$F$3:$I$1101,4,0),"")</f>
        <v/>
      </c>
      <c r="BG141" s="142" t="str">
        <f>_xlfn.IFNA(VLOOKUP($BC141,Programma!$F$3:$J$1101,5,0),"")</f>
        <v/>
      </c>
      <c r="BH141" s="142" t="str">
        <f>_xlfn.IFNA(VLOOKUP($BC141,Programma!$F$3:$K$1101,6,0),"")</f>
        <v/>
      </c>
      <c r="BI141" s="142" t="str">
        <f>_xlfn.IFNA(VLOOKUP($BC141,Programma!$F$3:$L$1101,7,0),"")</f>
        <v/>
      </c>
      <c r="BJ141" s="142" t="str">
        <f>_xlfn.IFNA(VLOOKUP($BC141,Programma!$F$3:$M$1101,8,0),"")</f>
        <v/>
      </c>
      <c r="BK141" s="142" t="str">
        <f>_xlfn.IFNA(VLOOKUP($BC141,Programma!$F$3:$N$1101,9,0),"")</f>
        <v/>
      </c>
      <c r="BL141" s="142" t="str">
        <f>_xlfn.IFNA(VLOOKUP($BC141,Programma!$F$3:$O$1101,10,0),"")</f>
        <v/>
      </c>
      <c r="BM141" s="142" t="str">
        <f>_xlfn.IFNA(VLOOKUP($BC141,Programma!$F$3:$P$1101,11,0),"")</f>
        <v/>
      </c>
      <c r="BN141" s="142" t="str">
        <f>_xlfn.IFNA(VLOOKUP($BC141,Programma!$F$3:$Q$1101,12,0),"")</f>
        <v/>
      </c>
      <c r="BO141" s="142" t="str">
        <f>_xlfn.IFNA(VLOOKUP($BC141,Programma!$F$3:$R$1101,13,0),"")</f>
        <v/>
      </c>
      <c r="BP141" s="142" t="str">
        <f>_xlfn.IFNA(VLOOKUP($BC141,Programma!$F$3:$S$1101,14,0),"")</f>
        <v/>
      </c>
      <c r="BQ141" s="142" t="str">
        <f>_xlfn.IFNA(VLOOKUP($BC141,Programma!$F$3:$T$1101,15,0),"")</f>
        <v/>
      </c>
      <c r="BR141" s="142" t="str">
        <f>_xlfn.IFNA(VLOOKUP($BC141,Programma!$F$3:$U$1101,16,0),"")</f>
        <v/>
      </c>
      <c r="BS141" s="142" t="str">
        <f>_xlfn.IFNA(VLOOKUP($BC141,Programma!$F$3:$V$1101,17,0),"")</f>
        <v/>
      </c>
      <c r="BT141" s="142" t="str">
        <f>_xlfn.IFNA(VLOOKUP($BC141,Programma!$F$3:$W$1101,18,0),"")</f>
        <v/>
      </c>
      <c r="BU141" s="142" t="str">
        <f>_xlfn.IFNA(VLOOKUP($BC141,Programma!$F$3:$X$1101,19,0),"")</f>
        <v/>
      </c>
      <c r="BV141" s="142" t="str">
        <f>_xlfn.IFNA(VLOOKUP($BC141,Programma!$F$3:$Y$1101,20,0),"")</f>
        <v/>
      </c>
      <c r="BW141" s="28"/>
      <c r="BX141" s="28"/>
      <c r="BY141" s="28"/>
      <c r="BZ141" s="28"/>
      <c r="CA141" s="28"/>
      <c r="CB141" s="28"/>
      <c r="CC141" s="28"/>
      <c r="CD141" s="28"/>
      <c r="CE141" s="28"/>
      <c r="CF141" s="28"/>
      <c r="CG141" s="28"/>
      <c r="CH141" s="28"/>
      <c r="CI141" s="28"/>
      <c r="CJ141" s="28"/>
      <c r="CK141" s="28"/>
      <c r="CL141" s="28"/>
      <c r="CM141" s="28"/>
      <c r="CN141" s="28"/>
      <c r="CO141" s="28"/>
      <c r="CP141" s="28"/>
      <c r="CQ141" s="28"/>
      <c r="CR141" s="28"/>
      <c r="CS141" s="28"/>
      <c r="CT141" s="28"/>
      <c r="CU141" s="28"/>
      <c r="CV141" s="28"/>
      <c r="CW141" s="28"/>
      <c r="CX141" s="28"/>
      <c r="CY141" s="28"/>
      <c r="CZ141" s="28"/>
      <c r="DA141" s="28"/>
      <c r="DB141" s="28"/>
      <c r="DC141" s="28"/>
      <c r="DD141" s="28"/>
      <c r="DE141" s="28"/>
      <c r="DF141" s="28"/>
      <c r="DG141" s="28"/>
      <c r="DH141" s="28"/>
      <c r="DI141" s="28"/>
      <c r="DJ141" s="28"/>
      <c r="DK141" s="28"/>
      <c r="DL141" s="28"/>
      <c r="DM141" s="28"/>
      <c r="DN141" s="28"/>
      <c r="DO141" s="28"/>
      <c r="DP141" s="28"/>
      <c r="DQ141" s="28"/>
      <c r="DR141" s="28"/>
      <c r="DS141" s="28"/>
      <c r="DT141" s="28"/>
      <c r="DU141" s="28"/>
      <c r="DV141" s="28"/>
      <c r="DW141" s="28"/>
      <c r="DX141" s="28"/>
      <c r="DY141" s="28"/>
      <c r="DZ141" s="28"/>
      <c r="EA141" s="28"/>
      <c r="EB141" s="28"/>
      <c r="EC141" s="28"/>
      <c r="ED141" s="28"/>
      <c r="EE141" s="28"/>
      <c r="EF141" s="28"/>
      <c r="EG141" s="28"/>
      <c r="EH141" s="28"/>
      <c r="EI141" s="28"/>
      <c r="EJ141" s="28"/>
      <c r="EK141" s="28"/>
      <c r="EL141" s="28"/>
      <c r="EM141" s="28"/>
      <c r="EN141" s="28"/>
      <c r="EO141" s="28"/>
      <c r="EP141" s="28"/>
      <c r="EQ141" s="28"/>
      <c r="ER141" s="28"/>
      <c r="ES141" s="28"/>
      <c r="ET141" s="28"/>
      <c r="EU141" s="28"/>
      <c r="EV141" s="28"/>
      <c r="EW141" s="28"/>
      <c r="EX141" s="28"/>
      <c r="EY141" s="28"/>
      <c r="EZ141" s="28"/>
      <c r="FA141" s="28"/>
      <c r="FB141" s="28"/>
      <c r="FC141" s="28"/>
      <c r="FD141" s="28"/>
      <c r="FE141" s="28"/>
      <c r="FF141" s="28"/>
      <c r="FG141" s="28"/>
      <c r="FH141" s="28"/>
      <c r="FI141" s="28"/>
      <c r="FJ141" s="28"/>
      <c r="FK141" s="28"/>
      <c r="FL141" s="28"/>
      <c r="FM141" s="28"/>
      <c r="FN141" s="28"/>
      <c r="FO141" s="28"/>
      <c r="FP141" s="28"/>
      <c r="FQ141" s="28"/>
      <c r="FR141" s="28"/>
      <c r="FS141" s="28"/>
      <c r="FT141" s="28"/>
      <c r="FU141" s="28"/>
      <c r="FV141" s="28"/>
      <c r="FW141" s="28"/>
      <c r="FX141" s="28"/>
      <c r="FY141" s="28"/>
      <c r="FZ141" s="28"/>
      <c r="GA141" s="28"/>
      <c r="GB141" s="28"/>
      <c r="GC141" s="28"/>
      <c r="GD141" s="28"/>
      <c r="GE141" s="28"/>
      <c r="GF141" s="28"/>
      <c r="GG141" s="28"/>
      <c r="GH141" s="28"/>
      <c r="GI141" s="28"/>
      <c r="GJ141" s="28"/>
      <c r="GK141" s="28"/>
      <c r="GL141" s="28"/>
      <c r="GM141" s="28"/>
      <c r="GN141" s="28"/>
      <c r="GO141" s="28"/>
      <c r="GP141" s="28"/>
      <c r="GQ141" s="28"/>
      <c r="GR141" s="28"/>
      <c r="GS141" s="28"/>
      <c r="GT141" s="28"/>
      <c r="GU141" s="28"/>
      <c r="GV141" s="28"/>
      <c r="GW141" s="28"/>
      <c r="GX141" s="28"/>
      <c r="GY141" s="28"/>
      <c r="GZ141" s="28"/>
      <c r="HA141" s="28"/>
      <c r="HB141" s="28"/>
      <c r="HC141" s="28"/>
      <c r="HD141" s="28"/>
      <c r="HE141" s="28"/>
      <c r="HF141" s="28"/>
      <c r="HG141" s="28"/>
      <c r="HH141" s="28"/>
      <c r="HI141" s="28"/>
      <c r="HJ141" s="28"/>
      <c r="HK141" s="28"/>
    </row>
    <row r="142" spans="1:219" ht="15" customHeight="1">
      <c r="A142" s="49">
        <v>1</v>
      </c>
      <c r="B142" s="132" t="str">
        <f>VLOOKUP(Ruimtestaat[[#This Row],[Code]],Locaties[[Code]:[Locatie]],2,FALSE)</f>
        <v>Mirtehuis</v>
      </c>
      <c r="C142" s="132" t="str">
        <f>VLOOKUP(Ruimtestaat[[#This Row],[Code]],Locaties[[#All],[Code]:[Adres]],4,FALSE)</f>
        <v>Weseperweg 6</v>
      </c>
      <c r="D142" s="132" t="str">
        <f>VLOOKUP(Ruimtestaat[[#This Row],[Code]],Locaties[[#All],[Code]:[Postcode]],5,FALSE)</f>
        <v>8111 PK</v>
      </c>
      <c r="E142" s="132" t="str">
        <f>VLOOKUP(Ruimtestaat[[#This Row],[Code]],Locaties[#All],6,FALSE)</f>
        <v>Heeten</v>
      </c>
      <c r="F142" s="100"/>
      <c r="G142" s="100" t="s">
        <v>1677</v>
      </c>
      <c r="H142" s="49">
        <v>9</v>
      </c>
      <c r="I142" s="140" t="s">
        <v>1650</v>
      </c>
      <c r="J142" s="49">
        <v>20</v>
      </c>
      <c r="K142" s="140" t="str">
        <f>VLOOKUP(Ruimtestaat[[#This Row],[Ruimte code]],Ruimtegroepen[[#All],[Code]:[Ruimte omschrijving]],2,FALSE)</f>
        <v>Niet in Onderhoud</v>
      </c>
      <c r="L142" s="100"/>
      <c r="M142" s="345"/>
      <c r="N142" s="133"/>
      <c r="O142" s="100"/>
      <c r="P142" s="134">
        <f>VLOOKUP(Ruimtestaat[[#This Row],[Ruimte code]],Ruimtegroepen[],4,FALSE)</f>
        <v>0</v>
      </c>
      <c r="Q142" s="100"/>
      <c r="R142" s="100"/>
      <c r="S142" s="100">
        <f>IF(Q142&gt;0,IF(RIGHT(Ruimtestaat[[#This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42" s="100">
        <f>IF(S142&gt;0,VLOOKUP($J142,Ruimtegroepen[],3,FALSE)*VLOOKUP($L142,Vloersoorten[],3,FALSE)*VLOOKUP($R142,Frequenties[],3,FALSE)*VLOOKUP($A142,Locaties[],3,FALSE),0)</f>
        <v>0</v>
      </c>
      <c r="U142" s="100">
        <f>Ruimtestaat[[#This Row],[Uitvoeringen werkdagen]]*Ruimtestaat[[#This Row],[Oppervlak (netto)]]</f>
        <v>0</v>
      </c>
      <c r="V142" s="135">
        <f>IF(T142&gt;0,Ruimtestaat[[#This Row],[Prest. (m2 /jaar) werkdagen]]/Ruimtestaat[[#This Row],[Norm (m2/uur) werkdagen]],0)</f>
        <v>0</v>
      </c>
      <c r="W142" s="136">
        <f>Ruimtestaat[[#This Row],[uren / jaar werkdagen]]*Tariefsopbouw!$E$35</f>
        <v>0</v>
      </c>
      <c r="X142" s="100"/>
      <c r="Y142" s="100">
        <f>IF(Ruimtestaat[[#This Row],[Frequentie weekend]]&gt;0,VALUE(LEFT(X142,1))*Q142,0)</f>
        <v>0</v>
      </c>
      <c r="Z142" s="99">
        <f>IF($Y142&gt;0,VLOOKUP($J142,Ruimtegroepen[],3,FALSE)*VLOOKUP($L142,Vloersoorten[],3,FALSE)*VLOOKUP($X142,Frequenties[],3,FALSE)*VLOOKUP(Ruimtestaat[[#This Row],[Code]],Locaties[],3,FALSE),0)</f>
        <v>0</v>
      </c>
      <c r="AA142" s="99">
        <f>Ruimtestaat[[#This Row],[Uitvoeringen weekend]]*Ruimtestaat[[#This Row],[Oppervlak (netto)]]</f>
        <v>0</v>
      </c>
      <c r="AB142" s="99">
        <f>IF(Z142&gt;0,Ruimtestaat[[#This Row],[Prest. (m2 /jaar) weekend]]/Ruimtestaat[[#This Row],[Norm (m2/uur) weekend]],0)</f>
        <v>0</v>
      </c>
      <c r="AC142" s="136">
        <f>Ruimtestaat[[#This Row],[uren / jaar weekend]]*Tariefsopbouw!$D$40</f>
        <v>0</v>
      </c>
      <c r="AD142" s="135">
        <f>Ruimtestaat[[#This Row],[Prest. (m2 /jaar) weekend]]+Ruimtestaat[[#This Row],[Prest. (m2 /jaar) werkdagen]]</f>
        <v>0</v>
      </c>
      <c r="AE142" s="135">
        <f>Ruimtestaat[[#This Row],[uren / jaar weekend]]+Ruimtestaat[[#This Row],[uren / jaar werkdagen]]</f>
        <v>0</v>
      </c>
      <c r="AF142" s="130">
        <f>Ruimtestaat[[#This Row],[kosten / jaar weekend]]+Ruimtestaat[[#This Row],[kosten / jaar werkdagen]]</f>
        <v>0</v>
      </c>
      <c r="AG142" s="130"/>
      <c r="AH142" s="137" t="str">
        <f>IF(Ruimtestaat[[#This Row],[Frequentie werkdagen]]="","",_xlfn.CONCAT(Ruimtestaat[[#This Row],[Ruimte code]],"-",Ruimtestaat[[#This Row],[Frequentie werkdagen]]," ",Ruimtestaat[[#This Row],[Vloer code]]))</f>
        <v/>
      </c>
      <c r="AI142" s="142" t="str">
        <f>_xlfn.IFNA(VLOOKUP($AH142,Programma!$F$3:$G$1101,2,0),"")</f>
        <v/>
      </c>
      <c r="AJ142" s="142" t="str">
        <f>_xlfn.IFNA(VLOOKUP($AH142,Programma!$F$3:$H$1101,3,0),"")</f>
        <v/>
      </c>
      <c r="AK142" s="142" t="str">
        <f>_xlfn.IFNA(VLOOKUP($AH142,Programma!$F$3:$I$1101,4,0),"")</f>
        <v/>
      </c>
      <c r="AL142" s="142" t="str">
        <f>_xlfn.IFNA(VLOOKUP($AH142,Programma!$F$3:$J$1101,5,0),"")</f>
        <v/>
      </c>
      <c r="AM142" s="142" t="str">
        <f>_xlfn.IFNA(VLOOKUP($AH142,Programma!$F$3:$K$1101,6,0),"")</f>
        <v/>
      </c>
      <c r="AN142" s="142" t="str">
        <f>_xlfn.IFNA(VLOOKUP($AH142,Programma!$F$3:$L$1101,7,0),"")</f>
        <v/>
      </c>
      <c r="AO142" s="142" t="str">
        <f>_xlfn.IFNA(VLOOKUP($AH142,Programma!$F$3:$M$1101,8,0),"")</f>
        <v/>
      </c>
      <c r="AP142" s="142" t="str">
        <f>_xlfn.IFNA(VLOOKUP($AH142,Programma!$F$3:$N$1101,9,0),"")</f>
        <v/>
      </c>
      <c r="AQ142" s="142" t="str">
        <f>_xlfn.IFNA(VLOOKUP($AH142,Programma!$F$3:$O$1101,10,0),"")</f>
        <v/>
      </c>
      <c r="AR142" s="142" t="str">
        <f>_xlfn.IFNA(VLOOKUP($AH142,Programma!$F$3:$P$1101,11,0),"")</f>
        <v/>
      </c>
      <c r="AS142" s="142" t="str">
        <f>_xlfn.IFNA(VLOOKUP($AH142,Programma!$F$3:$Q$1101,12,0),"")</f>
        <v/>
      </c>
      <c r="AT142" s="142" t="str">
        <f>_xlfn.IFNA(VLOOKUP($AH142,Programma!$F$3:$R$1101,13,0),"")</f>
        <v/>
      </c>
      <c r="AU142" s="142" t="str">
        <f>_xlfn.IFNA(VLOOKUP($AH142,Programma!$F$3:$S$1101,14,0),"")</f>
        <v/>
      </c>
      <c r="AV142" s="142" t="str">
        <f>_xlfn.IFNA(VLOOKUP($AH142,Programma!$F$3:$T$1101,15,0),"")</f>
        <v/>
      </c>
      <c r="AW142" s="142" t="str">
        <f>_xlfn.IFNA(VLOOKUP($AH142,Programma!$F$3:$U$1101,16,0),"")</f>
        <v/>
      </c>
      <c r="AX142" s="142" t="str">
        <f>_xlfn.IFNA(VLOOKUP($AH142,Programma!$F$3:$V$1101,17,0),"")</f>
        <v/>
      </c>
      <c r="AY142" s="142" t="str">
        <f>_xlfn.IFNA(VLOOKUP($AH142,Programma!$F$3:$W$1101,18,0),"")</f>
        <v/>
      </c>
      <c r="AZ142" s="142" t="str">
        <f>_xlfn.IFNA(VLOOKUP($AH142,Programma!$F$3:$X$1101,19,0),"")</f>
        <v/>
      </c>
      <c r="BA142" s="142" t="str">
        <f>_xlfn.IFNA(VLOOKUP($AH142,Programma!$F$3:$Y$1101,20,0),"")</f>
        <v/>
      </c>
      <c r="BB142" s="138"/>
      <c r="BC142" s="137" t="str">
        <f>IF(Ruimtestaat[[#This Row],[Frequentie weekend]]="","",_xlfn.CONCAT(Ruimtestaat[[#This Row],[Ruimte code]],"-",Ruimtestaat[[#This Row],[Frequentie weekend]]," ",Ruimtestaat[[#This Row],[Vloer code]]))</f>
        <v/>
      </c>
      <c r="BD142" s="142" t="str">
        <f>_xlfn.IFNA(VLOOKUP($BC142,Programma!$F$3:$G$1101,2,0),"")</f>
        <v/>
      </c>
      <c r="BE142" s="142" t="str">
        <f>_xlfn.IFNA(VLOOKUP($BC142,Programma!$F$3:$H$1101,3,0),"")</f>
        <v/>
      </c>
      <c r="BF142" s="142" t="str">
        <f>_xlfn.IFNA(VLOOKUP($BC142,Programma!$F$3:$I$1101,4,0),"")</f>
        <v/>
      </c>
      <c r="BG142" s="142" t="str">
        <f>_xlfn.IFNA(VLOOKUP($BC142,Programma!$F$3:$J$1101,5,0),"")</f>
        <v/>
      </c>
      <c r="BH142" s="142" t="str">
        <f>_xlfn.IFNA(VLOOKUP($BC142,Programma!$F$3:$K$1101,6,0),"")</f>
        <v/>
      </c>
      <c r="BI142" s="142" t="str">
        <f>_xlfn.IFNA(VLOOKUP($BC142,Programma!$F$3:$L$1101,7,0),"")</f>
        <v/>
      </c>
      <c r="BJ142" s="142" t="str">
        <f>_xlfn.IFNA(VLOOKUP($BC142,Programma!$F$3:$M$1101,8,0),"")</f>
        <v/>
      </c>
      <c r="BK142" s="142" t="str">
        <f>_xlfn.IFNA(VLOOKUP($BC142,Programma!$F$3:$N$1101,9,0),"")</f>
        <v/>
      </c>
      <c r="BL142" s="142" t="str">
        <f>_xlfn.IFNA(VLOOKUP($BC142,Programma!$F$3:$O$1101,10,0),"")</f>
        <v/>
      </c>
      <c r="BM142" s="142" t="str">
        <f>_xlfn.IFNA(VLOOKUP($BC142,Programma!$F$3:$P$1101,11,0),"")</f>
        <v/>
      </c>
      <c r="BN142" s="142" t="str">
        <f>_xlfn.IFNA(VLOOKUP($BC142,Programma!$F$3:$Q$1101,12,0),"")</f>
        <v/>
      </c>
      <c r="BO142" s="142" t="str">
        <f>_xlfn.IFNA(VLOOKUP($BC142,Programma!$F$3:$R$1101,13,0),"")</f>
        <v/>
      </c>
      <c r="BP142" s="142" t="str">
        <f>_xlfn.IFNA(VLOOKUP($BC142,Programma!$F$3:$S$1101,14,0),"")</f>
        <v/>
      </c>
      <c r="BQ142" s="142" t="str">
        <f>_xlfn.IFNA(VLOOKUP($BC142,Programma!$F$3:$T$1101,15,0),"")</f>
        <v/>
      </c>
      <c r="BR142" s="142" t="str">
        <f>_xlfn.IFNA(VLOOKUP($BC142,Programma!$F$3:$U$1101,16,0),"")</f>
        <v/>
      </c>
      <c r="BS142" s="142" t="str">
        <f>_xlfn.IFNA(VLOOKUP($BC142,Programma!$F$3:$V$1101,17,0),"")</f>
        <v/>
      </c>
      <c r="BT142" s="142" t="str">
        <f>_xlfn.IFNA(VLOOKUP($BC142,Programma!$F$3:$W$1101,18,0),"")</f>
        <v/>
      </c>
      <c r="BU142" s="142" t="str">
        <f>_xlfn.IFNA(VLOOKUP($BC142,Programma!$F$3:$X$1101,19,0),"")</f>
        <v/>
      </c>
      <c r="BV142" s="142" t="str">
        <f>_xlfn.IFNA(VLOOKUP($BC142,Programma!$F$3:$Y$1101,20,0),"")</f>
        <v/>
      </c>
      <c r="BW142" s="28"/>
      <c r="BX142" s="28"/>
      <c r="BY142" s="28"/>
      <c r="BZ142" s="28"/>
      <c r="CA142" s="28"/>
      <c r="CB142" s="28"/>
      <c r="CC142" s="28"/>
      <c r="CD142" s="28"/>
      <c r="CE142" s="28"/>
      <c r="CF142" s="28"/>
      <c r="CG142" s="28"/>
      <c r="CH142" s="28"/>
      <c r="CI142" s="28"/>
      <c r="CJ142" s="28"/>
      <c r="CK142" s="28"/>
      <c r="CL142" s="28"/>
      <c r="CM142" s="28"/>
      <c r="CN142" s="28"/>
      <c r="CO142" s="28"/>
      <c r="CP142" s="28"/>
      <c r="CQ142" s="28"/>
      <c r="CR142" s="28"/>
      <c r="CS142" s="28"/>
      <c r="CT142" s="28"/>
      <c r="CU142" s="28"/>
      <c r="CV142" s="28"/>
      <c r="CW142" s="28"/>
      <c r="CX142" s="28"/>
      <c r="CY142" s="28"/>
      <c r="CZ142" s="28"/>
      <c r="DA142" s="28"/>
      <c r="DB142" s="28"/>
      <c r="DC142" s="28"/>
      <c r="DD142" s="28"/>
      <c r="DE142" s="28"/>
      <c r="DF142" s="28"/>
      <c r="DG142" s="28"/>
      <c r="DH142" s="28"/>
      <c r="DI142" s="28"/>
      <c r="DJ142" s="28"/>
      <c r="DK142" s="28"/>
      <c r="DL142" s="28"/>
      <c r="DM142" s="28"/>
      <c r="DN142" s="28"/>
      <c r="DO142" s="28"/>
      <c r="DP142" s="28"/>
      <c r="DQ142" s="28"/>
      <c r="DR142" s="28"/>
      <c r="DS142" s="28"/>
      <c r="DT142" s="28"/>
      <c r="DU142" s="28"/>
      <c r="DV142" s="28"/>
      <c r="DW142" s="28"/>
      <c r="DX142" s="28"/>
      <c r="DY142" s="28"/>
      <c r="DZ142" s="28"/>
      <c r="EA142" s="28"/>
      <c r="EB142" s="28"/>
      <c r="EC142" s="28"/>
      <c r="ED142" s="28"/>
      <c r="EE142" s="28"/>
      <c r="EF142" s="28"/>
      <c r="EG142" s="28"/>
      <c r="EH142" s="28"/>
      <c r="EI142" s="28"/>
      <c r="EJ142" s="28"/>
      <c r="EK142" s="28"/>
      <c r="EL142" s="28"/>
      <c r="EM142" s="28"/>
      <c r="EN142" s="28"/>
      <c r="EO142" s="28"/>
      <c r="EP142" s="28"/>
      <c r="EQ142" s="28"/>
      <c r="ER142" s="28"/>
      <c r="ES142" s="28"/>
      <c r="ET142" s="28"/>
      <c r="EU142" s="28"/>
      <c r="EV142" s="28"/>
      <c r="EW142" s="28"/>
      <c r="EX142" s="28"/>
      <c r="EY142" s="28"/>
      <c r="EZ142" s="28"/>
      <c r="FA142" s="28"/>
      <c r="FB142" s="28"/>
      <c r="FC142" s="28"/>
      <c r="FD142" s="28"/>
      <c r="FE142" s="28"/>
      <c r="FF142" s="28"/>
      <c r="FG142" s="28"/>
      <c r="FH142" s="28"/>
      <c r="FI142" s="28"/>
      <c r="FJ142" s="28"/>
      <c r="FK142" s="28"/>
      <c r="FL142" s="28"/>
      <c r="FM142" s="28"/>
      <c r="FN142" s="28"/>
      <c r="FO142" s="28"/>
      <c r="FP142" s="28"/>
      <c r="FQ142" s="28"/>
      <c r="FR142" s="28"/>
      <c r="FS142" s="28"/>
      <c r="FT142" s="28"/>
      <c r="FU142" s="28"/>
      <c r="FV142" s="28"/>
      <c r="FW142" s="28"/>
      <c r="FX142" s="28"/>
      <c r="FY142" s="28"/>
      <c r="FZ142" s="28"/>
      <c r="GA142" s="28"/>
      <c r="GB142" s="28"/>
      <c r="GC142" s="28"/>
      <c r="GD142" s="28"/>
      <c r="GE142" s="28"/>
      <c r="GF142" s="28"/>
      <c r="GG142" s="28"/>
      <c r="GH142" s="28"/>
      <c r="GI142" s="28"/>
      <c r="GJ142" s="28"/>
      <c r="GK142" s="28"/>
      <c r="GL142" s="28"/>
      <c r="GM142" s="28"/>
      <c r="GN142" s="28"/>
      <c r="GO142" s="28"/>
      <c r="GP142" s="28"/>
      <c r="GQ142" s="28"/>
      <c r="GR142" s="28"/>
      <c r="GS142" s="28"/>
      <c r="GT142" s="28"/>
      <c r="GU142" s="28"/>
      <c r="GV142" s="28"/>
      <c r="GW142" s="28"/>
      <c r="GX142" s="28"/>
      <c r="GY142" s="28"/>
      <c r="GZ142" s="28"/>
      <c r="HA142" s="28"/>
      <c r="HB142" s="28"/>
      <c r="HC142" s="28"/>
      <c r="HD142" s="28"/>
      <c r="HE142" s="28"/>
      <c r="HF142" s="28"/>
      <c r="HG142" s="28"/>
      <c r="HH142" s="28"/>
      <c r="HI142" s="28"/>
      <c r="HJ142" s="28"/>
      <c r="HK142" s="28"/>
    </row>
    <row r="143" spans="1:219" ht="15" customHeight="1">
      <c r="A143" s="49">
        <v>1</v>
      </c>
      <c r="B143" s="132" t="str">
        <f>VLOOKUP(Ruimtestaat[[#This Row],[Code]],Locaties[[Code]:[Locatie]],2,FALSE)</f>
        <v>Mirtehuis</v>
      </c>
      <c r="C143" s="132" t="str">
        <f>VLOOKUP(Ruimtestaat[[#This Row],[Code]],Locaties[[#All],[Code]:[Adres]],4,FALSE)</f>
        <v>Weseperweg 6</v>
      </c>
      <c r="D143" s="132" t="str">
        <f>VLOOKUP(Ruimtestaat[[#This Row],[Code]],Locaties[[#All],[Code]:[Postcode]],5,FALSE)</f>
        <v>8111 PK</v>
      </c>
      <c r="E143" s="132" t="str">
        <f>VLOOKUP(Ruimtestaat[[#This Row],[Code]],Locaties[#All],6,FALSE)</f>
        <v>Heeten</v>
      </c>
      <c r="F143" s="100"/>
      <c r="G143" s="100" t="s">
        <v>1677</v>
      </c>
      <c r="I143" s="140" t="s">
        <v>1656</v>
      </c>
      <c r="J143" s="49">
        <v>20</v>
      </c>
      <c r="K143" s="140" t="str">
        <f>VLOOKUP(Ruimtestaat[[#This Row],[Ruimte code]],Ruimtegroepen[[#All],[Code]:[Ruimte omschrijving]],2,FALSE)</f>
        <v>Niet in Onderhoud</v>
      </c>
      <c r="L143" s="100"/>
      <c r="M143" s="345"/>
      <c r="N143" s="133"/>
      <c r="O143" s="139"/>
      <c r="P143" s="134">
        <f>VLOOKUP(Ruimtestaat[[#This Row],[Ruimte code]],Ruimtegroepen[],4,FALSE)</f>
        <v>0</v>
      </c>
      <c r="Q143" s="100"/>
      <c r="R143" s="100"/>
      <c r="S143" s="100">
        <f>IF(Q143&gt;0,IF(RIGHT(Ruimtestaat[[#This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43" s="100">
        <f>IF(S143&gt;0,VLOOKUP($J143,Ruimtegroepen[],3,FALSE)*VLOOKUP($L143,Vloersoorten[],3,FALSE)*VLOOKUP($R143,Frequenties[],3,FALSE)*VLOOKUP($A143,Locaties[],3,FALSE),0)</f>
        <v>0</v>
      </c>
      <c r="U143" s="100">
        <f>Ruimtestaat[[#This Row],[Uitvoeringen werkdagen]]*Ruimtestaat[[#This Row],[Oppervlak (netto)]]</f>
        <v>0</v>
      </c>
      <c r="V143" s="135">
        <f>IF(T143&gt;0,Ruimtestaat[[#This Row],[Prest. (m2 /jaar) werkdagen]]/Ruimtestaat[[#This Row],[Norm (m2/uur) werkdagen]],0)</f>
        <v>0</v>
      </c>
      <c r="W143" s="136">
        <f>Ruimtestaat[[#This Row],[uren / jaar werkdagen]]*Tariefsopbouw!$E$35</f>
        <v>0</v>
      </c>
      <c r="X143" s="100"/>
      <c r="Y143" s="100">
        <f>IF(Ruimtestaat[[#This Row],[Frequentie weekend]]&gt;0,VALUE(LEFT(X143,1))*Q143,0)</f>
        <v>0</v>
      </c>
      <c r="Z143" s="99">
        <f>IF($Y143&gt;0,VLOOKUP($J143,Ruimtegroepen[],3,FALSE)*VLOOKUP($L143,Vloersoorten[],3,FALSE)*VLOOKUP($X143,Frequenties[],3,FALSE)*VLOOKUP(Ruimtestaat[[#This Row],[Code]],Locaties[],3,FALSE),0)</f>
        <v>0</v>
      </c>
      <c r="AA143" s="99">
        <f>Ruimtestaat[[#This Row],[Uitvoeringen weekend]]*Ruimtestaat[[#This Row],[Oppervlak (netto)]]</f>
        <v>0</v>
      </c>
      <c r="AB143" s="99">
        <f>IF(Z143&gt;0,Ruimtestaat[[#This Row],[Prest. (m2 /jaar) weekend]]/Ruimtestaat[[#This Row],[Norm (m2/uur) weekend]],0)</f>
        <v>0</v>
      </c>
      <c r="AC143" s="136">
        <f>Ruimtestaat[[#This Row],[uren / jaar weekend]]*Tariefsopbouw!$D$40</f>
        <v>0</v>
      </c>
      <c r="AD143" s="135">
        <f>Ruimtestaat[[#This Row],[Prest. (m2 /jaar) weekend]]+Ruimtestaat[[#This Row],[Prest. (m2 /jaar) werkdagen]]</f>
        <v>0</v>
      </c>
      <c r="AE143" s="135">
        <f>Ruimtestaat[[#This Row],[uren / jaar weekend]]+Ruimtestaat[[#This Row],[uren / jaar werkdagen]]</f>
        <v>0</v>
      </c>
      <c r="AF143" s="130">
        <f>Ruimtestaat[[#This Row],[kosten / jaar weekend]]+Ruimtestaat[[#This Row],[kosten / jaar werkdagen]]</f>
        <v>0</v>
      </c>
      <c r="AG143" s="130"/>
      <c r="AH143" s="137" t="str">
        <f>IF(Ruimtestaat[[#This Row],[Frequentie werkdagen]]="","",_xlfn.CONCAT(Ruimtestaat[[#This Row],[Ruimte code]],"-",Ruimtestaat[[#This Row],[Frequentie werkdagen]]," ",Ruimtestaat[[#This Row],[Vloer code]]))</f>
        <v/>
      </c>
      <c r="AI143" s="142" t="str">
        <f>_xlfn.IFNA(VLOOKUP($AH143,Programma!$F$3:$G$1101,2,0),"")</f>
        <v/>
      </c>
      <c r="AJ143" s="142" t="str">
        <f>_xlfn.IFNA(VLOOKUP($AH143,Programma!$F$3:$H$1101,3,0),"")</f>
        <v/>
      </c>
      <c r="AK143" s="142" t="str">
        <f>_xlfn.IFNA(VLOOKUP($AH143,Programma!$F$3:$I$1101,4,0),"")</f>
        <v/>
      </c>
      <c r="AL143" s="142" t="str">
        <f>_xlfn.IFNA(VLOOKUP($AH143,Programma!$F$3:$J$1101,5,0),"")</f>
        <v/>
      </c>
      <c r="AM143" s="142" t="str">
        <f>_xlfn.IFNA(VLOOKUP($AH143,Programma!$F$3:$K$1101,6,0),"")</f>
        <v/>
      </c>
      <c r="AN143" s="142" t="str">
        <f>_xlfn.IFNA(VLOOKUP($AH143,Programma!$F$3:$L$1101,7,0),"")</f>
        <v/>
      </c>
      <c r="AO143" s="142" t="str">
        <f>_xlfn.IFNA(VLOOKUP($AH143,Programma!$F$3:$M$1101,8,0),"")</f>
        <v/>
      </c>
      <c r="AP143" s="142" t="str">
        <f>_xlfn.IFNA(VLOOKUP($AH143,Programma!$F$3:$N$1101,9,0),"")</f>
        <v/>
      </c>
      <c r="AQ143" s="142" t="str">
        <f>_xlfn.IFNA(VLOOKUP($AH143,Programma!$F$3:$O$1101,10,0),"")</f>
        <v/>
      </c>
      <c r="AR143" s="142" t="str">
        <f>_xlfn.IFNA(VLOOKUP($AH143,Programma!$F$3:$P$1101,11,0),"")</f>
        <v/>
      </c>
      <c r="AS143" s="142" t="str">
        <f>_xlfn.IFNA(VLOOKUP($AH143,Programma!$F$3:$Q$1101,12,0),"")</f>
        <v/>
      </c>
      <c r="AT143" s="142" t="str">
        <f>_xlfn.IFNA(VLOOKUP($AH143,Programma!$F$3:$R$1101,13,0),"")</f>
        <v/>
      </c>
      <c r="AU143" s="142" t="str">
        <f>_xlfn.IFNA(VLOOKUP($AH143,Programma!$F$3:$S$1101,14,0),"")</f>
        <v/>
      </c>
      <c r="AV143" s="142" t="str">
        <f>_xlfn.IFNA(VLOOKUP($AH143,Programma!$F$3:$T$1101,15,0),"")</f>
        <v/>
      </c>
      <c r="AW143" s="142" t="str">
        <f>_xlfn.IFNA(VLOOKUP($AH143,Programma!$F$3:$U$1101,16,0),"")</f>
        <v/>
      </c>
      <c r="AX143" s="142" t="str">
        <f>_xlfn.IFNA(VLOOKUP($AH143,Programma!$F$3:$V$1101,17,0),"")</f>
        <v/>
      </c>
      <c r="AY143" s="142" t="str">
        <f>_xlfn.IFNA(VLOOKUP($AH143,Programma!$F$3:$W$1101,18,0),"")</f>
        <v/>
      </c>
      <c r="AZ143" s="142" t="str">
        <f>_xlfn.IFNA(VLOOKUP($AH143,Programma!$F$3:$X$1101,19,0),"")</f>
        <v/>
      </c>
      <c r="BA143" s="142" t="str">
        <f>_xlfn.IFNA(VLOOKUP($AH143,Programma!$F$3:$Y$1101,20,0),"")</f>
        <v/>
      </c>
      <c r="BB143" s="138"/>
      <c r="BC143" s="137" t="str">
        <f>IF(Ruimtestaat[[#This Row],[Frequentie weekend]]="","",_xlfn.CONCAT(Ruimtestaat[[#This Row],[Ruimte code]],"-",Ruimtestaat[[#This Row],[Frequentie weekend]]," ",Ruimtestaat[[#This Row],[Vloer code]]))</f>
        <v/>
      </c>
      <c r="BD143" s="142" t="str">
        <f>_xlfn.IFNA(VLOOKUP($BC143,Programma!$F$3:$G$1101,2,0),"")</f>
        <v/>
      </c>
      <c r="BE143" s="142" t="str">
        <f>_xlfn.IFNA(VLOOKUP($BC143,Programma!$F$3:$H$1101,3,0),"")</f>
        <v/>
      </c>
      <c r="BF143" s="142" t="str">
        <f>_xlfn.IFNA(VLOOKUP($BC143,Programma!$F$3:$I$1101,4,0),"")</f>
        <v/>
      </c>
      <c r="BG143" s="142" t="str">
        <f>_xlfn.IFNA(VLOOKUP($BC143,Programma!$F$3:$J$1101,5,0),"")</f>
        <v/>
      </c>
      <c r="BH143" s="142" t="str">
        <f>_xlfn.IFNA(VLOOKUP($BC143,Programma!$F$3:$K$1101,6,0),"")</f>
        <v/>
      </c>
      <c r="BI143" s="142" t="str">
        <f>_xlfn.IFNA(VLOOKUP($BC143,Programma!$F$3:$L$1101,7,0),"")</f>
        <v/>
      </c>
      <c r="BJ143" s="142" t="str">
        <f>_xlfn.IFNA(VLOOKUP($BC143,Programma!$F$3:$M$1101,8,0),"")</f>
        <v/>
      </c>
      <c r="BK143" s="142" t="str">
        <f>_xlfn.IFNA(VLOOKUP($BC143,Programma!$F$3:$N$1101,9,0),"")</f>
        <v/>
      </c>
      <c r="BL143" s="142" t="str">
        <f>_xlfn.IFNA(VLOOKUP($BC143,Programma!$F$3:$O$1101,10,0),"")</f>
        <v/>
      </c>
      <c r="BM143" s="142" t="str">
        <f>_xlfn.IFNA(VLOOKUP($BC143,Programma!$F$3:$P$1101,11,0),"")</f>
        <v/>
      </c>
      <c r="BN143" s="142" t="str">
        <f>_xlfn.IFNA(VLOOKUP($BC143,Programma!$F$3:$Q$1101,12,0),"")</f>
        <v/>
      </c>
      <c r="BO143" s="142" t="str">
        <f>_xlfn.IFNA(VLOOKUP($BC143,Programma!$F$3:$R$1101,13,0),"")</f>
        <v/>
      </c>
      <c r="BP143" s="142" t="str">
        <f>_xlfn.IFNA(VLOOKUP($BC143,Programma!$F$3:$S$1101,14,0),"")</f>
        <v/>
      </c>
      <c r="BQ143" s="142" t="str">
        <f>_xlfn.IFNA(VLOOKUP($BC143,Programma!$F$3:$T$1101,15,0),"")</f>
        <v/>
      </c>
      <c r="BR143" s="142" t="str">
        <f>_xlfn.IFNA(VLOOKUP($BC143,Programma!$F$3:$U$1101,16,0),"")</f>
        <v/>
      </c>
      <c r="BS143" s="142" t="str">
        <f>_xlfn.IFNA(VLOOKUP($BC143,Programma!$F$3:$V$1101,17,0),"")</f>
        <v/>
      </c>
      <c r="BT143" s="142" t="str">
        <f>_xlfn.IFNA(VLOOKUP($BC143,Programma!$F$3:$W$1101,18,0),"")</f>
        <v/>
      </c>
      <c r="BU143" s="142" t="str">
        <f>_xlfn.IFNA(VLOOKUP($BC143,Programma!$F$3:$X$1101,19,0),"")</f>
        <v/>
      </c>
      <c r="BV143" s="142" t="str">
        <f>_xlfn.IFNA(VLOOKUP($BC143,Programma!$F$3:$Y$1101,20,0),"")</f>
        <v/>
      </c>
      <c r="BW143" s="28"/>
      <c r="BX143" s="28"/>
      <c r="BY143" s="28"/>
      <c r="BZ143" s="28"/>
      <c r="CA143" s="28"/>
      <c r="CB143" s="28"/>
      <c r="CC143" s="28"/>
      <c r="CD143" s="28"/>
      <c r="CE143" s="28"/>
      <c r="CF143" s="28"/>
      <c r="CG143" s="28"/>
      <c r="CH143" s="28"/>
      <c r="CI143" s="28"/>
      <c r="CJ143" s="28"/>
      <c r="CK143" s="28"/>
      <c r="CL143" s="28"/>
      <c r="CM143" s="28"/>
      <c r="CN143" s="28"/>
      <c r="CO143" s="28"/>
      <c r="CP143" s="28"/>
      <c r="CQ143" s="28"/>
      <c r="CR143" s="28"/>
      <c r="CS143" s="28"/>
      <c r="CT143" s="28"/>
      <c r="CU143" s="28"/>
      <c r="CV143" s="28"/>
      <c r="CW143" s="28"/>
      <c r="CX143" s="28"/>
      <c r="CY143" s="28"/>
      <c r="CZ143" s="28"/>
      <c r="DA143" s="28"/>
      <c r="DB143" s="28"/>
      <c r="DC143" s="28"/>
      <c r="DD143" s="28"/>
      <c r="DE143" s="28"/>
      <c r="DF143" s="28"/>
      <c r="DG143" s="28"/>
      <c r="DH143" s="28"/>
      <c r="DI143" s="28"/>
      <c r="DJ143" s="28"/>
      <c r="DK143" s="28"/>
      <c r="DL143" s="28"/>
      <c r="DM143" s="28"/>
      <c r="DN143" s="28"/>
      <c r="DO143" s="28"/>
      <c r="DP143" s="28"/>
      <c r="DQ143" s="28"/>
      <c r="DR143" s="28"/>
      <c r="DS143" s="28"/>
      <c r="DT143" s="28"/>
      <c r="DU143" s="28"/>
      <c r="DV143" s="28"/>
      <c r="DW143" s="28"/>
      <c r="DX143" s="28"/>
      <c r="DY143" s="28"/>
      <c r="DZ143" s="28"/>
      <c r="EA143" s="28"/>
      <c r="EB143" s="28"/>
      <c r="EC143" s="28"/>
      <c r="ED143" s="28"/>
      <c r="EE143" s="28"/>
      <c r="EF143" s="28"/>
      <c r="EG143" s="28"/>
      <c r="EH143" s="28"/>
      <c r="EI143" s="28"/>
      <c r="EJ143" s="28"/>
      <c r="EK143" s="28"/>
      <c r="EL143" s="28"/>
      <c r="EM143" s="28"/>
      <c r="EN143" s="28"/>
      <c r="EO143" s="28"/>
      <c r="EP143" s="28"/>
      <c r="EQ143" s="28"/>
      <c r="ER143" s="28"/>
      <c r="ES143" s="28"/>
      <c r="ET143" s="28"/>
      <c r="EU143" s="28"/>
      <c r="EV143" s="28"/>
      <c r="EW143" s="28"/>
      <c r="EX143" s="28"/>
      <c r="EY143" s="28"/>
      <c r="EZ143" s="28"/>
      <c r="FA143" s="28"/>
      <c r="FB143" s="28"/>
      <c r="FC143" s="28"/>
      <c r="FD143" s="28"/>
      <c r="FE143" s="28"/>
      <c r="FF143" s="28"/>
      <c r="FG143" s="28"/>
      <c r="FH143" s="28"/>
      <c r="FI143" s="28"/>
      <c r="FJ143" s="28"/>
      <c r="FK143" s="28"/>
      <c r="FL143" s="28"/>
      <c r="FM143" s="28"/>
      <c r="FN143" s="28"/>
      <c r="FO143" s="28"/>
      <c r="FP143" s="28"/>
      <c r="FQ143" s="28"/>
      <c r="FR143" s="28"/>
      <c r="FS143" s="28"/>
      <c r="FT143" s="28"/>
      <c r="FU143" s="28"/>
      <c r="FV143" s="28"/>
      <c r="FW143" s="28"/>
      <c r="FX143" s="28"/>
      <c r="FY143" s="28"/>
      <c r="FZ143" s="28"/>
      <c r="GA143" s="28"/>
      <c r="GB143" s="28"/>
      <c r="GC143" s="28"/>
      <c r="GD143" s="28"/>
      <c r="GE143" s="28"/>
      <c r="GF143" s="28"/>
      <c r="GG143" s="28"/>
      <c r="GH143" s="28"/>
      <c r="GI143" s="28"/>
      <c r="GJ143" s="28"/>
      <c r="GK143" s="28"/>
      <c r="GL143" s="28"/>
      <c r="GM143" s="28"/>
      <c r="GN143" s="28"/>
      <c r="GO143" s="28"/>
      <c r="GP143" s="28"/>
      <c r="GQ143" s="28"/>
      <c r="GR143" s="28"/>
      <c r="GS143" s="28"/>
      <c r="GT143" s="28"/>
      <c r="GU143" s="28"/>
      <c r="GV143" s="28"/>
      <c r="GW143" s="28"/>
      <c r="GX143" s="28"/>
      <c r="GY143" s="28"/>
      <c r="GZ143" s="28"/>
      <c r="HA143" s="28"/>
      <c r="HB143" s="28"/>
      <c r="HC143" s="28"/>
      <c r="HD143" s="28"/>
      <c r="HE143" s="28"/>
      <c r="HF143" s="28"/>
      <c r="HG143" s="28"/>
      <c r="HH143" s="28"/>
      <c r="HI143" s="28"/>
      <c r="HJ143" s="28"/>
      <c r="HK143" s="28"/>
    </row>
    <row r="144" spans="1:219" ht="15" customHeight="1">
      <c r="A144" s="49">
        <v>1</v>
      </c>
      <c r="B144" s="132" t="str">
        <f>VLOOKUP(Ruimtestaat[[#This Row],[Code]],Locaties[[Code]:[Locatie]],2,FALSE)</f>
        <v>Mirtehuis</v>
      </c>
      <c r="C144" s="132" t="str">
        <f>VLOOKUP(Ruimtestaat[[#This Row],[Code]],Locaties[[#All],[Code]:[Adres]],4,FALSE)</f>
        <v>Weseperweg 6</v>
      </c>
      <c r="D144" s="132" t="str">
        <f>VLOOKUP(Ruimtestaat[[#This Row],[Code]],Locaties[[#All],[Code]:[Postcode]],5,FALSE)</f>
        <v>8111 PK</v>
      </c>
      <c r="E144" s="132" t="str">
        <f>VLOOKUP(Ruimtestaat[[#This Row],[Code]],Locaties[#All],6,FALSE)</f>
        <v>Heeten</v>
      </c>
      <c r="F144" s="100"/>
      <c r="G144" s="100" t="s">
        <v>1677</v>
      </c>
      <c r="I144" s="140" t="s">
        <v>1668</v>
      </c>
      <c r="J144" s="49">
        <v>20</v>
      </c>
      <c r="K144" s="140" t="str">
        <f>VLOOKUP(Ruimtestaat[[#This Row],[Ruimte code]],Ruimtegroepen[[#All],[Code]:[Ruimte omschrijving]],2,FALSE)</f>
        <v>Niet in Onderhoud</v>
      </c>
      <c r="L144" s="100"/>
      <c r="M144" s="345"/>
      <c r="N144" s="133"/>
      <c r="O144" s="139"/>
      <c r="P144" s="134">
        <f>VLOOKUP(Ruimtestaat[[#This Row],[Ruimte code]],Ruimtegroepen[],4,FALSE)</f>
        <v>0</v>
      </c>
      <c r="Q144" s="100"/>
      <c r="R144" s="100"/>
      <c r="S144" s="100">
        <f>IF(Q144&gt;0,IF(RIGHT(Ruimtestaat[[#This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44" s="100">
        <f>IF(S144&gt;0,VLOOKUP($J144,Ruimtegroepen[],3,FALSE)*VLOOKUP($L144,Vloersoorten[],3,FALSE)*VLOOKUP($R144,Frequenties[],3,FALSE)*VLOOKUP($A144,Locaties[],3,FALSE),0)</f>
        <v>0</v>
      </c>
      <c r="U144" s="100">
        <f>Ruimtestaat[[#This Row],[Uitvoeringen werkdagen]]*Ruimtestaat[[#This Row],[Oppervlak (netto)]]</f>
        <v>0</v>
      </c>
      <c r="V144" s="135">
        <f>IF(T144&gt;0,Ruimtestaat[[#This Row],[Prest. (m2 /jaar) werkdagen]]/Ruimtestaat[[#This Row],[Norm (m2/uur) werkdagen]],0)</f>
        <v>0</v>
      </c>
      <c r="W144" s="136">
        <f>Ruimtestaat[[#This Row],[uren / jaar werkdagen]]*Tariefsopbouw!$E$35</f>
        <v>0</v>
      </c>
      <c r="X144" s="100"/>
      <c r="Y144" s="100">
        <f>IF(Ruimtestaat[[#This Row],[Frequentie weekend]]&gt;0,VALUE(LEFT(X144,1))*Q144,0)</f>
        <v>0</v>
      </c>
      <c r="Z144" s="99">
        <f>IF($Y144&gt;0,VLOOKUP($J144,Ruimtegroepen[],3,FALSE)*VLOOKUP($L144,Vloersoorten[],3,FALSE)*VLOOKUP($X144,Frequenties[],3,FALSE)*VLOOKUP(Ruimtestaat[[#This Row],[Code]],Locaties[],3,FALSE),0)</f>
        <v>0</v>
      </c>
      <c r="AA144" s="99">
        <f>Ruimtestaat[[#This Row],[Uitvoeringen weekend]]*Ruimtestaat[[#This Row],[Oppervlak (netto)]]</f>
        <v>0</v>
      </c>
      <c r="AB144" s="99">
        <f>IF(Z144&gt;0,Ruimtestaat[[#This Row],[Prest. (m2 /jaar) weekend]]/Ruimtestaat[[#This Row],[Norm (m2/uur) weekend]],0)</f>
        <v>0</v>
      </c>
      <c r="AC144" s="136">
        <f>Ruimtestaat[[#This Row],[uren / jaar weekend]]*Tariefsopbouw!$D$40</f>
        <v>0</v>
      </c>
      <c r="AD144" s="135">
        <f>Ruimtestaat[[#This Row],[Prest. (m2 /jaar) weekend]]+Ruimtestaat[[#This Row],[Prest. (m2 /jaar) werkdagen]]</f>
        <v>0</v>
      </c>
      <c r="AE144" s="135">
        <f>Ruimtestaat[[#This Row],[uren / jaar weekend]]+Ruimtestaat[[#This Row],[uren / jaar werkdagen]]</f>
        <v>0</v>
      </c>
      <c r="AF144" s="130">
        <f>Ruimtestaat[[#This Row],[kosten / jaar weekend]]+Ruimtestaat[[#This Row],[kosten / jaar werkdagen]]</f>
        <v>0</v>
      </c>
      <c r="AG144" s="130"/>
      <c r="AH144" s="137" t="str">
        <f>IF(Ruimtestaat[[#This Row],[Frequentie werkdagen]]="","",_xlfn.CONCAT(Ruimtestaat[[#This Row],[Ruimte code]],"-",Ruimtestaat[[#This Row],[Frequentie werkdagen]]," ",Ruimtestaat[[#This Row],[Vloer code]]))</f>
        <v/>
      </c>
      <c r="AI144" s="142" t="str">
        <f>_xlfn.IFNA(VLOOKUP($AH144,Programma!$F$3:$G$1101,2,0),"")</f>
        <v/>
      </c>
      <c r="AJ144" s="142" t="str">
        <f>_xlfn.IFNA(VLOOKUP($AH144,Programma!$F$3:$H$1101,3,0),"")</f>
        <v/>
      </c>
      <c r="AK144" s="142" t="str">
        <f>_xlfn.IFNA(VLOOKUP($AH144,Programma!$F$3:$I$1101,4,0),"")</f>
        <v/>
      </c>
      <c r="AL144" s="142" t="str">
        <f>_xlfn.IFNA(VLOOKUP($AH144,Programma!$F$3:$J$1101,5,0),"")</f>
        <v/>
      </c>
      <c r="AM144" s="142" t="str">
        <f>_xlfn.IFNA(VLOOKUP($AH144,Programma!$F$3:$K$1101,6,0),"")</f>
        <v/>
      </c>
      <c r="AN144" s="142" t="str">
        <f>_xlfn.IFNA(VLOOKUP($AH144,Programma!$F$3:$L$1101,7,0),"")</f>
        <v/>
      </c>
      <c r="AO144" s="142" t="str">
        <f>_xlfn.IFNA(VLOOKUP($AH144,Programma!$F$3:$M$1101,8,0),"")</f>
        <v/>
      </c>
      <c r="AP144" s="142" t="str">
        <f>_xlfn.IFNA(VLOOKUP($AH144,Programma!$F$3:$N$1101,9,0),"")</f>
        <v/>
      </c>
      <c r="AQ144" s="142" t="str">
        <f>_xlfn.IFNA(VLOOKUP($AH144,Programma!$F$3:$O$1101,10,0),"")</f>
        <v/>
      </c>
      <c r="AR144" s="142" t="str">
        <f>_xlfn.IFNA(VLOOKUP($AH144,Programma!$F$3:$P$1101,11,0),"")</f>
        <v/>
      </c>
      <c r="AS144" s="142" t="str">
        <f>_xlfn.IFNA(VLOOKUP($AH144,Programma!$F$3:$Q$1101,12,0),"")</f>
        <v/>
      </c>
      <c r="AT144" s="142" t="str">
        <f>_xlfn.IFNA(VLOOKUP($AH144,Programma!$F$3:$R$1101,13,0),"")</f>
        <v/>
      </c>
      <c r="AU144" s="142" t="str">
        <f>_xlfn.IFNA(VLOOKUP($AH144,Programma!$F$3:$S$1101,14,0),"")</f>
        <v/>
      </c>
      <c r="AV144" s="142" t="str">
        <f>_xlfn.IFNA(VLOOKUP($AH144,Programma!$F$3:$T$1101,15,0),"")</f>
        <v/>
      </c>
      <c r="AW144" s="142" t="str">
        <f>_xlfn.IFNA(VLOOKUP($AH144,Programma!$F$3:$U$1101,16,0),"")</f>
        <v/>
      </c>
      <c r="AX144" s="142" t="str">
        <f>_xlfn.IFNA(VLOOKUP($AH144,Programma!$F$3:$V$1101,17,0),"")</f>
        <v/>
      </c>
      <c r="AY144" s="142" t="str">
        <f>_xlfn.IFNA(VLOOKUP($AH144,Programma!$F$3:$W$1101,18,0),"")</f>
        <v/>
      </c>
      <c r="AZ144" s="142" t="str">
        <f>_xlfn.IFNA(VLOOKUP($AH144,Programma!$F$3:$X$1101,19,0),"")</f>
        <v/>
      </c>
      <c r="BA144" s="142" t="str">
        <f>_xlfn.IFNA(VLOOKUP($AH144,Programma!$F$3:$Y$1101,20,0),"")</f>
        <v/>
      </c>
      <c r="BB144" s="138"/>
      <c r="BC144" s="137" t="str">
        <f>IF(Ruimtestaat[[#This Row],[Frequentie weekend]]="","",_xlfn.CONCAT(Ruimtestaat[[#This Row],[Ruimte code]],"-",Ruimtestaat[[#This Row],[Frequentie weekend]]," ",Ruimtestaat[[#This Row],[Vloer code]]))</f>
        <v/>
      </c>
      <c r="BD144" s="142" t="str">
        <f>_xlfn.IFNA(VLOOKUP($BC144,Programma!$F$3:$G$1101,2,0),"")</f>
        <v/>
      </c>
      <c r="BE144" s="142" t="str">
        <f>_xlfn.IFNA(VLOOKUP($BC144,Programma!$F$3:$H$1101,3,0),"")</f>
        <v/>
      </c>
      <c r="BF144" s="142" t="str">
        <f>_xlfn.IFNA(VLOOKUP($BC144,Programma!$F$3:$I$1101,4,0),"")</f>
        <v/>
      </c>
      <c r="BG144" s="142" t="str">
        <f>_xlfn.IFNA(VLOOKUP($BC144,Programma!$F$3:$J$1101,5,0),"")</f>
        <v/>
      </c>
      <c r="BH144" s="142" t="str">
        <f>_xlfn.IFNA(VLOOKUP($BC144,Programma!$F$3:$K$1101,6,0),"")</f>
        <v/>
      </c>
      <c r="BI144" s="142" t="str">
        <f>_xlfn.IFNA(VLOOKUP($BC144,Programma!$F$3:$L$1101,7,0),"")</f>
        <v/>
      </c>
      <c r="BJ144" s="142" t="str">
        <f>_xlfn.IFNA(VLOOKUP($BC144,Programma!$F$3:$M$1101,8,0),"")</f>
        <v/>
      </c>
      <c r="BK144" s="142" t="str">
        <f>_xlfn.IFNA(VLOOKUP($BC144,Programma!$F$3:$N$1101,9,0),"")</f>
        <v/>
      </c>
      <c r="BL144" s="142" t="str">
        <f>_xlfn.IFNA(VLOOKUP($BC144,Programma!$F$3:$O$1101,10,0),"")</f>
        <v/>
      </c>
      <c r="BM144" s="142" t="str">
        <f>_xlfn.IFNA(VLOOKUP($BC144,Programma!$F$3:$P$1101,11,0),"")</f>
        <v/>
      </c>
      <c r="BN144" s="142" t="str">
        <f>_xlfn.IFNA(VLOOKUP($BC144,Programma!$F$3:$Q$1101,12,0),"")</f>
        <v/>
      </c>
      <c r="BO144" s="142" t="str">
        <f>_xlfn.IFNA(VLOOKUP($BC144,Programma!$F$3:$R$1101,13,0),"")</f>
        <v/>
      </c>
      <c r="BP144" s="142" t="str">
        <f>_xlfn.IFNA(VLOOKUP($BC144,Programma!$F$3:$S$1101,14,0),"")</f>
        <v/>
      </c>
      <c r="BQ144" s="142" t="str">
        <f>_xlfn.IFNA(VLOOKUP($BC144,Programma!$F$3:$T$1101,15,0),"")</f>
        <v/>
      </c>
      <c r="BR144" s="142" t="str">
        <f>_xlfn.IFNA(VLOOKUP($BC144,Programma!$F$3:$U$1101,16,0),"")</f>
        <v/>
      </c>
      <c r="BS144" s="142" t="str">
        <f>_xlfn.IFNA(VLOOKUP($BC144,Programma!$F$3:$V$1101,17,0),"")</f>
        <v/>
      </c>
      <c r="BT144" s="142" t="str">
        <f>_xlfn.IFNA(VLOOKUP($BC144,Programma!$F$3:$W$1101,18,0),"")</f>
        <v/>
      </c>
      <c r="BU144" s="142" t="str">
        <f>_xlfn.IFNA(VLOOKUP($BC144,Programma!$F$3:$X$1101,19,0),"")</f>
        <v/>
      </c>
      <c r="BV144" s="142" t="str">
        <f>_xlfn.IFNA(VLOOKUP($BC144,Programma!$F$3:$Y$1101,20,0),"")</f>
        <v/>
      </c>
      <c r="BW144" s="28"/>
      <c r="BX144" s="28"/>
      <c r="BY144" s="28"/>
      <c r="BZ144" s="28"/>
      <c r="CA144" s="28"/>
      <c r="CB144" s="28"/>
      <c r="CC144" s="28"/>
      <c r="CD144" s="28"/>
      <c r="CE144" s="28"/>
      <c r="CF144" s="28"/>
      <c r="CG144" s="28"/>
      <c r="CH144" s="28"/>
      <c r="CI144" s="28"/>
      <c r="CJ144" s="28"/>
      <c r="CK144" s="28"/>
      <c r="CL144" s="28"/>
      <c r="CM144" s="28"/>
      <c r="CN144" s="28"/>
      <c r="CO144" s="28"/>
      <c r="CP144" s="28"/>
      <c r="CQ144" s="28"/>
      <c r="CR144" s="28"/>
      <c r="CS144" s="28"/>
      <c r="CT144" s="28"/>
      <c r="CU144" s="28"/>
      <c r="CV144" s="28"/>
      <c r="CW144" s="28"/>
      <c r="CX144" s="28"/>
      <c r="CY144" s="28"/>
      <c r="CZ144" s="28"/>
      <c r="DA144" s="28"/>
      <c r="DB144" s="28"/>
      <c r="DC144" s="28"/>
      <c r="DD144" s="28"/>
      <c r="DE144" s="28"/>
      <c r="DF144" s="28"/>
      <c r="DG144" s="28"/>
      <c r="DH144" s="28"/>
      <c r="DI144" s="28"/>
      <c r="DJ144" s="28"/>
      <c r="DK144" s="28"/>
      <c r="DL144" s="28"/>
      <c r="DM144" s="28"/>
      <c r="DN144" s="28"/>
      <c r="DO144" s="28"/>
      <c r="DP144" s="28"/>
      <c r="DQ144" s="28"/>
      <c r="DR144" s="28"/>
      <c r="DS144" s="28"/>
      <c r="DT144" s="28"/>
      <c r="DU144" s="28"/>
      <c r="DV144" s="28"/>
      <c r="DW144" s="28"/>
      <c r="DX144" s="28"/>
      <c r="DY144" s="28"/>
      <c r="DZ144" s="28"/>
      <c r="EA144" s="28"/>
      <c r="EB144" s="28"/>
      <c r="EC144" s="28"/>
      <c r="ED144" s="28"/>
      <c r="EE144" s="28"/>
      <c r="EF144" s="28"/>
      <c r="EG144" s="28"/>
      <c r="EH144" s="28"/>
      <c r="EI144" s="28"/>
      <c r="EJ144" s="28"/>
      <c r="EK144" s="28"/>
      <c r="EL144" s="28"/>
      <c r="EM144" s="28"/>
      <c r="EN144" s="28"/>
      <c r="EO144" s="28"/>
      <c r="EP144" s="28"/>
      <c r="EQ144" s="28"/>
      <c r="ER144" s="28"/>
      <c r="ES144" s="28"/>
      <c r="ET144" s="28"/>
      <c r="EU144" s="28"/>
      <c r="EV144" s="28"/>
      <c r="EW144" s="28"/>
      <c r="EX144" s="28"/>
      <c r="EY144" s="28"/>
      <c r="EZ144" s="28"/>
      <c r="FA144" s="28"/>
      <c r="FB144" s="28"/>
      <c r="FC144" s="28"/>
      <c r="FD144" s="28"/>
      <c r="FE144" s="28"/>
      <c r="FF144" s="28"/>
      <c r="FG144" s="28"/>
      <c r="FH144" s="28"/>
      <c r="FI144" s="28"/>
      <c r="FJ144" s="28"/>
      <c r="FK144" s="28"/>
      <c r="FL144" s="28"/>
      <c r="FM144" s="28"/>
      <c r="FN144" s="28"/>
      <c r="FO144" s="28"/>
      <c r="FP144" s="28"/>
      <c r="FQ144" s="28"/>
      <c r="FR144" s="28"/>
      <c r="FS144" s="28"/>
      <c r="FT144" s="28"/>
      <c r="FU144" s="28"/>
      <c r="FV144" s="28"/>
      <c r="FW144" s="28"/>
      <c r="FX144" s="28"/>
      <c r="FY144" s="28"/>
      <c r="FZ144" s="28"/>
      <c r="GA144" s="28"/>
      <c r="GB144" s="28"/>
      <c r="GC144" s="28"/>
      <c r="GD144" s="28"/>
      <c r="GE144" s="28"/>
      <c r="GF144" s="28"/>
      <c r="GG144" s="28"/>
      <c r="GH144" s="28"/>
      <c r="GI144" s="28"/>
      <c r="GJ144" s="28"/>
      <c r="GK144" s="28"/>
      <c r="GL144" s="28"/>
      <c r="GM144" s="28"/>
      <c r="GN144" s="28"/>
      <c r="GO144" s="28"/>
      <c r="GP144" s="28"/>
      <c r="GQ144" s="28"/>
      <c r="GR144" s="28"/>
      <c r="GS144" s="28"/>
      <c r="GT144" s="28"/>
      <c r="GU144" s="28"/>
      <c r="GV144" s="28"/>
      <c r="GW144" s="28"/>
      <c r="GX144" s="28"/>
      <c r="GY144" s="28"/>
      <c r="GZ144" s="28"/>
      <c r="HA144" s="28"/>
      <c r="HB144" s="28"/>
      <c r="HC144" s="28"/>
      <c r="HD144" s="28"/>
      <c r="HE144" s="28"/>
      <c r="HF144" s="28"/>
      <c r="HG144" s="28"/>
      <c r="HH144" s="28"/>
      <c r="HI144" s="28"/>
      <c r="HJ144" s="28"/>
      <c r="HK144" s="28"/>
    </row>
    <row r="145" spans="1:219" ht="15" customHeight="1">
      <c r="A145" s="49">
        <v>1</v>
      </c>
      <c r="B145" s="132" t="str">
        <f>VLOOKUP(Ruimtestaat[[#This Row],[Code]],Locaties[[Code]:[Locatie]],2,FALSE)</f>
        <v>Mirtehuis</v>
      </c>
      <c r="C145" s="132" t="str">
        <f>VLOOKUP(Ruimtestaat[[#This Row],[Code]],Locaties[[#All],[Code]:[Adres]],4,FALSE)</f>
        <v>Weseperweg 6</v>
      </c>
      <c r="D145" s="132" t="str">
        <f>VLOOKUP(Ruimtestaat[[#This Row],[Code]],Locaties[[#All],[Code]:[Postcode]],5,FALSE)</f>
        <v>8111 PK</v>
      </c>
      <c r="E145" s="132" t="str">
        <f>VLOOKUP(Ruimtestaat[[#This Row],[Code]],Locaties[#All],6,FALSE)</f>
        <v>Heeten</v>
      </c>
      <c r="F145" s="100"/>
      <c r="G145" s="100" t="s">
        <v>1677</v>
      </c>
      <c r="I145" s="140" t="s">
        <v>1656</v>
      </c>
      <c r="J145" s="49">
        <v>20</v>
      </c>
      <c r="K145" s="140" t="str">
        <f>VLOOKUP(Ruimtestaat[[#This Row],[Ruimte code]],Ruimtegroepen[[#All],[Code]:[Ruimte omschrijving]],2,FALSE)</f>
        <v>Niet in Onderhoud</v>
      </c>
      <c r="L145" s="100"/>
      <c r="M145" s="345"/>
      <c r="N145" s="133"/>
      <c r="O145" s="100"/>
      <c r="P145" s="134">
        <f>VLOOKUP(Ruimtestaat[[#This Row],[Ruimte code]],Ruimtegroepen[],4,FALSE)</f>
        <v>0</v>
      </c>
      <c r="Q145" s="100"/>
      <c r="R145" s="100"/>
      <c r="S145" s="100">
        <f>IF(Q145&gt;0,IF(RIGHT(Ruimtestaat[[#This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45" s="100">
        <f>IF(S145&gt;0,VLOOKUP($J145,Ruimtegroepen[],3,FALSE)*VLOOKUP($L145,Vloersoorten[],3,FALSE)*VLOOKUP($R145,Frequenties[],3,FALSE)*VLOOKUP($A145,Locaties[],3,FALSE),0)</f>
        <v>0</v>
      </c>
      <c r="U145" s="100">
        <f>Ruimtestaat[[#This Row],[Uitvoeringen werkdagen]]*Ruimtestaat[[#This Row],[Oppervlak (netto)]]</f>
        <v>0</v>
      </c>
      <c r="V145" s="135">
        <f>IF(T145&gt;0,Ruimtestaat[[#This Row],[Prest. (m2 /jaar) werkdagen]]/Ruimtestaat[[#This Row],[Norm (m2/uur) werkdagen]],0)</f>
        <v>0</v>
      </c>
      <c r="W145" s="136">
        <f>Ruimtestaat[[#This Row],[uren / jaar werkdagen]]*Tariefsopbouw!$E$35</f>
        <v>0</v>
      </c>
      <c r="X145" s="100"/>
      <c r="Y145" s="100">
        <f>IF(Ruimtestaat[[#This Row],[Frequentie weekend]]&gt;0,VALUE(LEFT(X145,1))*Q145,0)</f>
        <v>0</v>
      </c>
      <c r="Z145" s="99">
        <f>IF($Y145&gt;0,VLOOKUP($J145,Ruimtegroepen[],3,FALSE)*VLOOKUP($L145,Vloersoorten[],3,FALSE)*VLOOKUP($X145,Frequenties[],3,FALSE)*VLOOKUP(Ruimtestaat[[#This Row],[Code]],Locaties[],3,FALSE),0)</f>
        <v>0</v>
      </c>
      <c r="AA145" s="99">
        <f>Ruimtestaat[[#This Row],[Uitvoeringen weekend]]*Ruimtestaat[[#This Row],[Oppervlak (netto)]]</f>
        <v>0</v>
      </c>
      <c r="AB145" s="99">
        <f>IF(Z145&gt;0,Ruimtestaat[[#This Row],[Prest. (m2 /jaar) weekend]]/Ruimtestaat[[#This Row],[Norm (m2/uur) weekend]],0)</f>
        <v>0</v>
      </c>
      <c r="AC145" s="136">
        <f>Ruimtestaat[[#This Row],[uren / jaar weekend]]*Tariefsopbouw!$D$40</f>
        <v>0</v>
      </c>
      <c r="AD145" s="135">
        <f>Ruimtestaat[[#This Row],[Prest. (m2 /jaar) weekend]]+Ruimtestaat[[#This Row],[Prest. (m2 /jaar) werkdagen]]</f>
        <v>0</v>
      </c>
      <c r="AE145" s="135">
        <f>Ruimtestaat[[#This Row],[uren / jaar weekend]]+Ruimtestaat[[#This Row],[uren / jaar werkdagen]]</f>
        <v>0</v>
      </c>
      <c r="AF145" s="130">
        <f>Ruimtestaat[[#This Row],[kosten / jaar weekend]]+Ruimtestaat[[#This Row],[kosten / jaar werkdagen]]</f>
        <v>0</v>
      </c>
      <c r="AG145" s="130"/>
      <c r="AH145" s="137" t="str">
        <f>IF(Ruimtestaat[[#This Row],[Frequentie werkdagen]]="","",_xlfn.CONCAT(Ruimtestaat[[#This Row],[Ruimte code]],"-",Ruimtestaat[[#This Row],[Frequentie werkdagen]]," ",Ruimtestaat[[#This Row],[Vloer code]]))</f>
        <v/>
      </c>
      <c r="AI145" s="142" t="str">
        <f>_xlfn.IFNA(VLOOKUP($AH145,Programma!$F$3:$G$1101,2,0),"")</f>
        <v/>
      </c>
      <c r="AJ145" s="142" t="str">
        <f>_xlfn.IFNA(VLOOKUP($AH145,Programma!$F$3:$H$1101,3,0),"")</f>
        <v/>
      </c>
      <c r="AK145" s="142" t="str">
        <f>_xlfn.IFNA(VLOOKUP($AH145,Programma!$F$3:$I$1101,4,0),"")</f>
        <v/>
      </c>
      <c r="AL145" s="142" t="str">
        <f>_xlfn.IFNA(VLOOKUP($AH145,Programma!$F$3:$J$1101,5,0),"")</f>
        <v/>
      </c>
      <c r="AM145" s="142" t="str">
        <f>_xlfn.IFNA(VLOOKUP($AH145,Programma!$F$3:$K$1101,6,0),"")</f>
        <v/>
      </c>
      <c r="AN145" s="142" t="str">
        <f>_xlfn.IFNA(VLOOKUP($AH145,Programma!$F$3:$L$1101,7,0),"")</f>
        <v/>
      </c>
      <c r="AO145" s="142" t="str">
        <f>_xlfn.IFNA(VLOOKUP($AH145,Programma!$F$3:$M$1101,8,0),"")</f>
        <v/>
      </c>
      <c r="AP145" s="142" t="str">
        <f>_xlfn.IFNA(VLOOKUP($AH145,Programma!$F$3:$N$1101,9,0),"")</f>
        <v/>
      </c>
      <c r="AQ145" s="142" t="str">
        <f>_xlfn.IFNA(VLOOKUP($AH145,Programma!$F$3:$O$1101,10,0),"")</f>
        <v/>
      </c>
      <c r="AR145" s="142" t="str">
        <f>_xlfn.IFNA(VLOOKUP($AH145,Programma!$F$3:$P$1101,11,0),"")</f>
        <v/>
      </c>
      <c r="AS145" s="142" t="str">
        <f>_xlfn.IFNA(VLOOKUP($AH145,Programma!$F$3:$Q$1101,12,0),"")</f>
        <v/>
      </c>
      <c r="AT145" s="142" t="str">
        <f>_xlfn.IFNA(VLOOKUP($AH145,Programma!$F$3:$R$1101,13,0),"")</f>
        <v/>
      </c>
      <c r="AU145" s="142" t="str">
        <f>_xlfn.IFNA(VLOOKUP($AH145,Programma!$F$3:$S$1101,14,0),"")</f>
        <v/>
      </c>
      <c r="AV145" s="142" t="str">
        <f>_xlfn.IFNA(VLOOKUP($AH145,Programma!$F$3:$T$1101,15,0),"")</f>
        <v/>
      </c>
      <c r="AW145" s="142" t="str">
        <f>_xlfn.IFNA(VLOOKUP($AH145,Programma!$F$3:$U$1101,16,0),"")</f>
        <v/>
      </c>
      <c r="AX145" s="142" t="str">
        <f>_xlfn.IFNA(VLOOKUP($AH145,Programma!$F$3:$V$1101,17,0),"")</f>
        <v/>
      </c>
      <c r="AY145" s="142" t="str">
        <f>_xlfn.IFNA(VLOOKUP($AH145,Programma!$F$3:$W$1101,18,0),"")</f>
        <v/>
      </c>
      <c r="AZ145" s="142" t="str">
        <f>_xlfn.IFNA(VLOOKUP($AH145,Programma!$F$3:$X$1101,19,0),"")</f>
        <v/>
      </c>
      <c r="BA145" s="142" t="str">
        <f>_xlfn.IFNA(VLOOKUP($AH145,Programma!$F$3:$Y$1101,20,0),"")</f>
        <v/>
      </c>
      <c r="BB145" s="138"/>
      <c r="BC145" s="137" t="str">
        <f>IF(Ruimtestaat[[#This Row],[Frequentie weekend]]="","",_xlfn.CONCAT(Ruimtestaat[[#This Row],[Ruimte code]],"-",Ruimtestaat[[#This Row],[Frequentie weekend]]," ",Ruimtestaat[[#This Row],[Vloer code]]))</f>
        <v/>
      </c>
      <c r="BD145" s="142" t="str">
        <f>_xlfn.IFNA(VLOOKUP($BC145,Programma!$F$3:$G$1101,2,0),"")</f>
        <v/>
      </c>
      <c r="BE145" s="142" t="str">
        <f>_xlfn.IFNA(VLOOKUP($BC145,Programma!$F$3:$H$1101,3,0),"")</f>
        <v/>
      </c>
      <c r="BF145" s="142" t="str">
        <f>_xlfn.IFNA(VLOOKUP($BC145,Programma!$F$3:$I$1101,4,0),"")</f>
        <v/>
      </c>
      <c r="BG145" s="142" t="str">
        <f>_xlfn.IFNA(VLOOKUP($BC145,Programma!$F$3:$J$1101,5,0),"")</f>
        <v/>
      </c>
      <c r="BH145" s="142" t="str">
        <f>_xlfn.IFNA(VLOOKUP($BC145,Programma!$F$3:$K$1101,6,0),"")</f>
        <v/>
      </c>
      <c r="BI145" s="142" t="str">
        <f>_xlfn.IFNA(VLOOKUP($BC145,Programma!$F$3:$L$1101,7,0),"")</f>
        <v/>
      </c>
      <c r="BJ145" s="142" t="str">
        <f>_xlfn.IFNA(VLOOKUP($BC145,Programma!$F$3:$M$1101,8,0),"")</f>
        <v/>
      </c>
      <c r="BK145" s="142" t="str">
        <f>_xlfn.IFNA(VLOOKUP($BC145,Programma!$F$3:$N$1101,9,0),"")</f>
        <v/>
      </c>
      <c r="BL145" s="142" t="str">
        <f>_xlfn.IFNA(VLOOKUP($BC145,Programma!$F$3:$O$1101,10,0),"")</f>
        <v/>
      </c>
      <c r="BM145" s="142" t="str">
        <f>_xlfn.IFNA(VLOOKUP($BC145,Programma!$F$3:$P$1101,11,0),"")</f>
        <v/>
      </c>
      <c r="BN145" s="142" t="str">
        <f>_xlfn.IFNA(VLOOKUP($BC145,Programma!$F$3:$Q$1101,12,0),"")</f>
        <v/>
      </c>
      <c r="BO145" s="142" t="str">
        <f>_xlfn.IFNA(VLOOKUP($BC145,Programma!$F$3:$R$1101,13,0),"")</f>
        <v/>
      </c>
      <c r="BP145" s="142" t="str">
        <f>_xlfn.IFNA(VLOOKUP($BC145,Programma!$F$3:$S$1101,14,0),"")</f>
        <v/>
      </c>
      <c r="BQ145" s="142" t="str">
        <f>_xlfn.IFNA(VLOOKUP($BC145,Programma!$F$3:$T$1101,15,0),"")</f>
        <v/>
      </c>
      <c r="BR145" s="142" t="str">
        <f>_xlfn.IFNA(VLOOKUP($BC145,Programma!$F$3:$U$1101,16,0),"")</f>
        <v/>
      </c>
      <c r="BS145" s="142" t="str">
        <f>_xlfn.IFNA(VLOOKUP($BC145,Programma!$F$3:$V$1101,17,0),"")</f>
        <v/>
      </c>
      <c r="BT145" s="142" t="str">
        <f>_xlfn.IFNA(VLOOKUP($BC145,Programma!$F$3:$W$1101,18,0),"")</f>
        <v/>
      </c>
      <c r="BU145" s="142" t="str">
        <f>_xlfn.IFNA(VLOOKUP($BC145,Programma!$F$3:$X$1101,19,0),"")</f>
        <v/>
      </c>
      <c r="BV145" s="142" t="str">
        <f>_xlfn.IFNA(VLOOKUP($BC145,Programma!$F$3:$Y$1101,20,0),"")</f>
        <v/>
      </c>
      <c r="BW145" s="28"/>
      <c r="BX145" s="28"/>
      <c r="BY145" s="28"/>
      <c r="BZ145" s="28"/>
      <c r="CA145" s="28"/>
      <c r="CB145" s="28"/>
      <c r="CC145" s="28"/>
      <c r="CD145" s="28"/>
      <c r="CE145" s="28"/>
      <c r="CF145" s="28"/>
      <c r="CG145" s="28"/>
      <c r="CH145" s="28"/>
      <c r="CI145" s="28"/>
      <c r="CJ145" s="28"/>
      <c r="CK145" s="28"/>
      <c r="CL145" s="28"/>
      <c r="CM145" s="28"/>
      <c r="CN145" s="28"/>
      <c r="CO145" s="28"/>
      <c r="CP145" s="28"/>
      <c r="CQ145" s="28"/>
      <c r="CR145" s="28"/>
      <c r="CS145" s="28"/>
      <c r="CT145" s="28"/>
      <c r="CU145" s="28"/>
      <c r="CV145" s="28"/>
      <c r="CW145" s="28"/>
      <c r="CX145" s="28"/>
      <c r="CY145" s="28"/>
      <c r="CZ145" s="28"/>
      <c r="DA145" s="28"/>
      <c r="DB145" s="28"/>
      <c r="DC145" s="28"/>
      <c r="DD145" s="28"/>
      <c r="DE145" s="28"/>
      <c r="DF145" s="28"/>
      <c r="DG145" s="28"/>
      <c r="DH145" s="28"/>
      <c r="DI145" s="28"/>
      <c r="DJ145" s="28"/>
      <c r="DK145" s="28"/>
      <c r="DL145" s="28"/>
      <c r="DM145" s="28"/>
      <c r="DN145" s="28"/>
      <c r="DO145" s="28"/>
      <c r="DP145" s="28"/>
      <c r="DQ145" s="28"/>
      <c r="DR145" s="28"/>
      <c r="DS145" s="28"/>
      <c r="DT145" s="28"/>
      <c r="DU145" s="28"/>
      <c r="DV145" s="28"/>
      <c r="DW145" s="28"/>
      <c r="DX145" s="28"/>
      <c r="DY145" s="28"/>
      <c r="DZ145" s="28"/>
      <c r="EA145" s="28"/>
      <c r="EB145" s="28"/>
      <c r="EC145" s="28"/>
      <c r="ED145" s="28"/>
      <c r="EE145" s="28"/>
      <c r="EF145" s="28"/>
      <c r="EG145" s="28"/>
      <c r="EH145" s="28"/>
      <c r="EI145" s="28"/>
      <c r="EJ145" s="28"/>
      <c r="EK145" s="28"/>
      <c r="EL145" s="28"/>
      <c r="EM145" s="28"/>
      <c r="EN145" s="28"/>
      <c r="EO145" s="28"/>
      <c r="EP145" s="28"/>
      <c r="EQ145" s="28"/>
      <c r="ER145" s="28"/>
      <c r="ES145" s="28"/>
      <c r="ET145" s="28"/>
      <c r="EU145" s="28"/>
      <c r="EV145" s="28"/>
      <c r="EW145" s="28"/>
      <c r="EX145" s="28"/>
      <c r="EY145" s="28"/>
      <c r="EZ145" s="28"/>
      <c r="FA145" s="28"/>
      <c r="FB145" s="28"/>
      <c r="FC145" s="28"/>
      <c r="FD145" s="28"/>
      <c r="FE145" s="28"/>
      <c r="FF145" s="28"/>
      <c r="FG145" s="28"/>
      <c r="FH145" s="28"/>
      <c r="FI145" s="28"/>
      <c r="FJ145" s="28"/>
      <c r="FK145" s="28"/>
      <c r="FL145" s="28"/>
      <c r="FM145" s="28"/>
      <c r="FN145" s="28"/>
      <c r="FO145" s="28"/>
      <c r="FP145" s="28"/>
      <c r="FQ145" s="28"/>
      <c r="FR145" s="28"/>
      <c r="FS145" s="28"/>
      <c r="FT145" s="28"/>
      <c r="FU145" s="28"/>
      <c r="FV145" s="28"/>
      <c r="FW145" s="28"/>
      <c r="FX145" s="28"/>
      <c r="FY145" s="28"/>
      <c r="FZ145" s="28"/>
      <c r="GA145" s="28"/>
      <c r="GB145" s="28"/>
      <c r="GC145" s="28"/>
      <c r="GD145" s="28"/>
      <c r="GE145" s="28"/>
      <c r="GF145" s="28"/>
      <c r="GG145" s="28"/>
      <c r="GH145" s="28"/>
      <c r="GI145" s="28"/>
      <c r="GJ145" s="28"/>
      <c r="GK145" s="28"/>
      <c r="GL145" s="28"/>
      <c r="GM145" s="28"/>
      <c r="GN145" s="28"/>
      <c r="GO145" s="28"/>
      <c r="GP145" s="28"/>
      <c r="GQ145" s="28"/>
      <c r="GR145" s="28"/>
      <c r="GS145" s="28"/>
      <c r="GT145" s="28"/>
      <c r="GU145" s="28"/>
      <c r="GV145" s="28"/>
      <c r="GW145" s="28"/>
      <c r="GX145" s="28"/>
      <c r="GY145" s="28"/>
      <c r="GZ145" s="28"/>
      <c r="HA145" s="28"/>
      <c r="HB145" s="28"/>
      <c r="HC145" s="28"/>
      <c r="HD145" s="28"/>
      <c r="HE145" s="28"/>
      <c r="HF145" s="28"/>
      <c r="HG145" s="28"/>
      <c r="HH145" s="28"/>
      <c r="HI145" s="28"/>
      <c r="HJ145" s="28"/>
      <c r="HK145" s="28"/>
    </row>
    <row r="146" spans="1:219" ht="15" customHeight="1">
      <c r="A146" s="49">
        <v>1</v>
      </c>
      <c r="B146" s="132" t="str">
        <f>VLOOKUP(Ruimtestaat[[#This Row],[Code]],Locaties[[Code]:[Locatie]],2,FALSE)</f>
        <v>Mirtehuis</v>
      </c>
      <c r="C146" s="132" t="str">
        <f>VLOOKUP(Ruimtestaat[[#This Row],[Code]],Locaties[[#All],[Code]:[Adres]],4,FALSE)</f>
        <v>Weseperweg 6</v>
      </c>
      <c r="D146" s="132" t="str">
        <f>VLOOKUP(Ruimtestaat[[#This Row],[Code]],Locaties[[#All],[Code]:[Postcode]],5,FALSE)</f>
        <v>8111 PK</v>
      </c>
      <c r="E146" s="132" t="str">
        <f>VLOOKUP(Ruimtestaat[[#This Row],[Code]],Locaties[#All],6,FALSE)</f>
        <v>Heeten</v>
      </c>
      <c r="F146" s="100"/>
      <c r="G146" s="100" t="s">
        <v>1677</v>
      </c>
      <c r="H146" s="49">
        <v>8</v>
      </c>
      <c r="I146" s="140" t="s">
        <v>1650</v>
      </c>
      <c r="J146" s="49">
        <v>20</v>
      </c>
      <c r="K146" s="140" t="str">
        <f>VLOOKUP(Ruimtestaat[[#This Row],[Ruimte code]],Ruimtegroepen[[#All],[Code]:[Ruimte omschrijving]],2,FALSE)</f>
        <v>Niet in Onderhoud</v>
      </c>
      <c r="L146" s="100"/>
      <c r="M146" s="345"/>
      <c r="N146" s="133"/>
      <c r="O146" s="139"/>
      <c r="P146" s="134">
        <f>VLOOKUP(Ruimtestaat[[#This Row],[Ruimte code]],Ruimtegroepen[],4,FALSE)</f>
        <v>0</v>
      </c>
      <c r="Q146" s="100"/>
      <c r="R146" s="100"/>
      <c r="S146" s="100">
        <f>IF(Q146&gt;0,IF(RIGHT(Ruimtestaat[[#This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46" s="100">
        <f>IF(S146&gt;0,VLOOKUP($J146,Ruimtegroepen[],3,FALSE)*VLOOKUP($L146,Vloersoorten[],3,FALSE)*VLOOKUP($R146,Frequenties[],3,FALSE)*VLOOKUP($A146,Locaties[],3,FALSE),0)</f>
        <v>0</v>
      </c>
      <c r="U146" s="100">
        <f>Ruimtestaat[[#This Row],[Uitvoeringen werkdagen]]*Ruimtestaat[[#This Row],[Oppervlak (netto)]]</f>
        <v>0</v>
      </c>
      <c r="V146" s="135">
        <f>IF(T146&gt;0,Ruimtestaat[[#This Row],[Prest. (m2 /jaar) werkdagen]]/Ruimtestaat[[#This Row],[Norm (m2/uur) werkdagen]],0)</f>
        <v>0</v>
      </c>
      <c r="W146" s="136">
        <f>Ruimtestaat[[#This Row],[uren / jaar werkdagen]]*Tariefsopbouw!$E$35</f>
        <v>0</v>
      </c>
      <c r="X146" s="100"/>
      <c r="Y146" s="100">
        <f>IF(Ruimtestaat[[#This Row],[Frequentie weekend]]&gt;0,VALUE(LEFT(X146,1))*Q146,0)</f>
        <v>0</v>
      </c>
      <c r="Z146" s="99">
        <f>IF($Y146&gt;0,VLOOKUP($J146,Ruimtegroepen[],3,FALSE)*VLOOKUP($L146,Vloersoorten[],3,FALSE)*VLOOKUP($X146,Frequenties[],3,FALSE)*VLOOKUP(Ruimtestaat[[#This Row],[Code]],Locaties[],3,FALSE),0)</f>
        <v>0</v>
      </c>
      <c r="AA146" s="99">
        <f>Ruimtestaat[[#This Row],[Uitvoeringen weekend]]*Ruimtestaat[[#This Row],[Oppervlak (netto)]]</f>
        <v>0</v>
      </c>
      <c r="AB146" s="99">
        <f>IF(Z146&gt;0,Ruimtestaat[[#This Row],[Prest. (m2 /jaar) weekend]]/Ruimtestaat[[#This Row],[Norm (m2/uur) weekend]],0)</f>
        <v>0</v>
      </c>
      <c r="AC146" s="136">
        <f>Ruimtestaat[[#This Row],[uren / jaar weekend]]*Tariefsopbouw!$D$40</f>
        <v>0</v>
      </c>
      <c r="AD146" s="135">
        <f>Ruimtestaat[[#This Row],[Prest. (m2 /jaar) weekend]]+Ruimtestaat[[#This Row],[Prest. (m2 /jaar) werkdagen]]</f>
        <v>0</v>
      </c>
      <c r="AE146" s="135">
        <f>Ruimtestaat[[#This Row],[uren / jaar weekend]]+Ruimtestaat[[#This Row],[uren / jaar werkdagen]]</f>
        <v>0</v>
      </c>
      <c r="AF146" s="130">
        <f>Ruimtestaat[[#This Row],[kosten / jaar weekend]]+Ruimtestaat[[#This Row],[kosten / jaar werkdagen]]</f>
        <v>0</v>
      </c>
      <c r="AG146" s="130"/>
      <c r="AH146" s="137" t="str">
        <f>IF(Ruimtestaat[[#This Row],[Frequentie werkdagen]]="","",_xlfn.CONCAT(Ruimtestaat[[#This Row],[Ruimte code]],"-",Ruimtestaat[[#This Row],[Frequentie werkdagen]]," ",Ruimtestaat[[#This Row],[Vloer code]]))</f>
        <v/>
      </c>
      <c r="AI146" s="142" t="str">
        <f>_xlfn.IFNA(VLOOKUP($AH146,Programma!$F$3:$G$1101,2,0),"")</f>
        <v/>
      </c>
      <c r="AJ146" s="142" t="str">
        <f>_xlfn.IFNA(VLOOKUP($AH146,Programma!$F$3:$H$1101,3,0),"")</f>
        <v/>
      </c>
      <c r="AK146" s="142" t="str">
        <f>_xlfn.IFNA(VLOOKUP($AH146,Programma!$F$3:$I$1101,4,0),"")</f>
        <v/>
      </c>
      <c r="AL146" s="142" t="str">
        <f>_xlfn.IFNA(VLOOKUP($AH146,Programma!$F$3:$J$1101,5,0),"")</f>
        <v/>
      </c>
      <c r="AM146" s="142" t="str">
        <f>_xlfn.IFNA(VLOOKUP($AH146,Programma!$F$3:$K$1101,6,0),"")</f>
        <v/>
      </c>
      <c r="AN146" s="142" t="str">
        <f>_xlfn.IFNA(VLOOKUP($AH146,Programma!$F$3:$L$1101,7,0),"")</f>
        <v/>
      </c>
      <c r="AO146" s="142" t="str">
        <f>_xlfn.IFNA(VLOOKUP($AH146,Programma!$F$3:$M$1101,8,0),"")</f>
        <v/>
      </c>
      <c r="AP146" s="142" t="str">
        <f>_xlfn.IFNA(VLOOKUP($AH146,Programma!$F$3:$N$1101,9,0),"")</f>
        <v/>
      </c>
      <c r="AQ146" s="142" t="str">
        <f>_xlfn.IFNA(VLOOKUP($AH146,Programma!$F$3:$O$1101,10,0),"")</f>
        <v/>
      </c>
      <c r="AR146" s="142" t="str">
        <f>_xlfn.IFNA(VLOOKUP($AH146,Programma!$F$3:$P$1101,11,0),"")</f>
        <v/>
      </c>
      <c r="AS146" s="142" t="str">
        <f>_xlfn.IFNA(VLOOKUP($AH146,Programma!$F$3:$Q$1101,12,0),"")</f>
        <v/>
      </c>
      <c r="AT146" s="142" t="str">
        <f>_xlfn.IFNA(VLOOKUP($AH146,Programma!$F$3:$R$1101,13,0),"")</f>
        <v/>
      </c>
      <c r="AU146" s="142" t="str">
        <f>_xlfn.IFNA(VLOOKUP($AH146,Programma!$F$3:$S$1101,14,0),"")</f>
        <v/>
      </c>
      <c r="AV146" s="142" t="str">
        <f>_xlfn.IFNA(VLOOKUP($AH146,Programma!$F$3:$T$1101,15,0),"")</f>
        <v/>
      </c>
      <c r="AW146" s="142" t="str">
        <f>_xlfn.IFNA(VLOOKUP($AH146,Programma!$F$3:$U$1101,16,0),"")</f>
        <v/>
      </c>
      <c r="AX146" s="142" t="str">
        <f>_xlfn.IFNA(VLOOKUP($AH146,Programma!$F$3:$V$1101,17,0),"")</f>
        <v/>
      </c>
      <c r="AY146" s="142" t="str">
        <f>_xlfn.IFNA(VLOOKUP($AH146,Programma!$F$3:$W$1101,18,0),"")</f>
        <v/>
      </c>
      <c r="AZ146" s="142" t="str">
        <f>_xlfn.IFNA(VLOOKUP($AH146,Programma!$F$3:$X$1101,19,0),"")</f>
        <v/>
      </c>
      <c r="BA146" s="142" t="str">
        <f>_xlfn.IFNA(VLOOKUP($AH146,Programma!$F$3:$Y$1101,20,0),"")</f>
        <v/>
      </c>
      <c r="BB146" s="138"/>
      <c r="BC146" s="137" t="str">
        <f>IF(Ruimtestaat[[#This Row],[Frequentie weekend]]="","",_xlfn.CONCAT(Ruimtestaat[[#This Row],[Ruimte code]],"-",Ruimtestaat[[#This Row],[Frequentie weekend]]," ",Ruimtestaat[[#This Row],[Vloer code]]))</f>
        <v/>
      </c>
      <c r="BD146" s="142" t="str">
        <f>_xlfn.IFNA(VLOOKUP($BC146,Programma!$F$3:$G$1101,2,0),"")</f>
        <v/>
      </c>
      <c r="BE146" s="142" t="str">
        <f>_xlfn.IFNA(VLOOKUP($BC146,Programma!$F$3:$H$1101,3,0),"")</f>
        <v/>
      </c>
      <c r="BF146" s="142" t="str">
        <f>_xlfn.IFNA(VLOOKUP($BC146,Programma!$F$3:$I$1101,4,0),"")</f>
        <v/>
      </c>
      <c r="BG146" s="142" t="str">
        <f>_xlfn.IFNA(VLOOKUP($BC146,Programma!$F$3:$J$1101,5,0),"")</f>
        <v/>
      </c>
      <c r="BH146" s="142" t="str">
        <f>_xlfn.IFNA(VLOOKUP($BC146,Programma!$F$3:$K$1101,6,0),"")</f>
        <v/>
      </c>
      <c r="BI146" s="142" t="str">
        <f>_xlfn.IFNA(VLOOKUP($BC146,Programma!$F$3:$L$1101,7,0),"")</f>
        <v/>
      </c>
      <c r="BJ146" s="142" t="str">
        <f>_xlfn.IFNA(VLOOKUP($BC146,Programma!$F$3:$M$1101,8,0),"")</f>
        <v/>
      </c>
      <c r="BK146" s="142" t="str">
        <f>_xlfn.IFNA(VLOOKUP($BC146,Programma!$F$3:$N$1101,9,0),"")</f>
        <v/>
      </c>
      <c r="BL146" s="142" t="str">
        <f>_xlfn.IFNA(VLOOKUP($BC146,Programma!$F$3:$O$1101,10,0),"")</f>
        <v/>
      </c>
      <c r="BM146" s="142" t="str">
        <f>_xlfn.IFNA(VLOOKUP($BC146,Programma!$F$3:$P$1101,11,0),"")</f>
        <v/>
      </c>
      <c r="BN146" s="142" t="str">
        <f>_xlfn.IFNA(VLOOKUP($BC146,Programma!$F$3:$Q$1101,12,0),"")</f>
        <v/>
      </c>
      <c r="BO146" s="142" t="str">
        <f>_xlfn.IFNA(VLOOKUP($BC146,Programma!$F$3:$R$1101,13,0),"")</f>
        <v/>
      </c>
      <c r="BP146" s="142" t="str">
        <f>_xlfn.IFNA(VLOOKUP($BC146,Programma!$F$3:$S$1101,14,0),"")</f>
        <v/>
      </c>
      <c r="BQ146" s="142" t="str">
        <f>_xlfn.IFNA(VLOOKUP($BC146,Programma!$F$3:$T$1101,15,0),"")</f>
        <v/>
      </c>
      <c r="BR146" s="142" t="str">
        <f>_xlfn.IFNA(VLOOKUP($BC146,Programma!$F$3:$U$1101,16,0),"")</f>
        <v/>
      </c>
      <c r="BS146" s="142" t="str">
        <f>_xlfn.IFNA(VLOOKUP($BC146,Programma!$F$3:$V$1101,17,0),"")</f>
        <v/>
      </c>
      <c r="BT146" s="142" t="str">
        <f>_xlfn.IFNA(VLOOKUP($BC146,Programma!$F$3:$W$1101,18,0),"")</f>
        <v/>
      </c>
      <c r="BU146" s="142" t="str">
        <f>_xlfn.IFNA(VLOOKUP($BC146,Programma!$F$3:$X$1101,19,0),"")</f>
        <v/>
      </c>
      <c r="BV146" s="142" t="str">
        <f>_xlfn.IFNA(VLOOKUP($BC146,Programma!$F$3:$Y$1101,20,0),"")</f>
        <v/>
      </c>
      <c r="BW146" s="28"/>
      <c r="BX146" s="28"/>
      <c r="BY146" s="28"/>
      <c r="BZ146" s="28"/>
      <c r="CA146" s="28"/>
      <c r="CB146" s="28"/>
      <c r="CC146" s="28"/>
      <c r="CD146" s="28"/>
      <c r="CE146" s="28"/>
      <c r="CF146" s="28"/>
      <c r="CG146" s="28"/>
      <c r="CH146" s="28"/>
      <c r="CI146" s="28"/>
      <c r="CJ146" s="28"/>
      <c r="CK146" s="28"/>
      <c r="CL146" s="28"/>
      <c r="CM146" s="28"/>
      <c r="CN146" s="28"/>
      <c r="CO146" s="28"/>
      <c r="CP146" s="28"/>
      <c r="CQ146" s="28"/>
      <c r="CR146" s="28"/>
      <c r="CS146" s="28"/>
      <c r="CT146" s="28"/>
      <c r="CU146" s="28"/>
      <c r="CV146" s="28"/>
      <c r="CW146" s="28"/>
      <c r="CX146" s="28"/>
      <c r="CY146" s="28"/>
      <c r="CZ146" s="28"/>
      <c r="DA146" s="28"/>
      <c r="DB146" s="28"/>
      <c r="DC146" s="28"/>
      <c r="DD146" s="28"/>
      <c r="DE146" s="28"/>
      <c r="DF146" s="28"/>
      <c r="DG146" s="28"/>
      <c r="DH146" s="28"/>
      <c r="DI146" s="28"/>
      <c r="DJ146" s="28"/>
      <c r="DK146" s="28"/>
      <c r="DL146" s="28"/>
      <c r="DM146" s="28"/>
      <c r="DN146" s="28"/>
      <c r="DO146" s="28"/>
      <c r="DP146" s="28"/>
      <c r="DQ146" s="28"/>
      <c r="DR146" s="28"/>
      <c r="DS146" s="28"/>
      <c r="DT146" s="28"/>
      <c r="DU146" s="28"/>
      <c r="DV146" s="28"/>
      <c r="DW146" s="28"/>
      <c r="DX146" s="28"/>
      <c r="DY146" s="28"/>
      <c r="DZ146" s="28"/>
      <c r="EA146" s="28"/>
      <c r="EB146" s="28"/>
      <c r="EC146" s="28"/>
      <c r="ED146" s="28"/>
      <c r="EE146" s="28"/>
      <c r="EF146" s="28"/>
      <c r="EG146" s="28"/>
      <c r="EH146" s="28"/>
      <c r="EI146" s="28"/>
      <c r="EJ146" s="28"/>
      <c r="EK146" s="28"/>
      <c r="EL146" s="28"/>
      <c r="EM146" s="28"/>
      <c r="EN146" s="28"/>
      <c r="EO146" s="28"/>
      <c r="EP146" s="28"/>
      <c r="EQ146" s="28"/>
      <c r="ER146" s="28"/>
      <c r="ES146" s="28"/>
      <c r="ET146" s="28"/>
      <c r="EU146" s="28"/>
      <c r="EV146" s="28"/>
      <c r="EW146" s="28"/>
      <c r="EX146" s="28"/>
      <c r="EY146" s="28"/>
      <c r="EZ146" s="28"/>
      <c r="FA146" s="28"/>
      <c r="FB146" s="28"/>
      <c r="FC146" s="28"/>
      <c r="FD146" s="28"/>
      <c r="FE146" s="28"/>
      <c r="FF146" s="28"/>
      <c r="FG146" s="28"/>
      <c r="FH146" s="28"/>
      <c r="FI146" s="28"/>
      <c r="FJ146" s="28"/>
      <c r="FK146" s="28"/>
      <c r="FL146" s="28"/>
      <c r="FM146" s="28"/>
      <c r="FN146" s="28"/>
      <c r="FO146" s="28"/>
      <c r="FP146" s="28"/>
      <c r="FQ146" s="28"/>
      <c r="FR146" s="28"/>
      <c r="FS146" s="28"/>
      <c r="FT146" s="28"/>
      <c r="FU146" s="28"/>
      <c r="FV146" s="28"/>
      <c r="FW146" s="28"/>
      <c r="FX146" s="28"/>
      <c r="FY146" s="28"/>
      <c r="FZ146" s="28"/>
      <c r="GA146" s="28"/>
      <c r="GB146" s="28"/>
      <c r="GC146" s="28"/>
      <c r="GD146" s="28"/>
      <c r="GE146" s="28"/>
      <c r="GF146" s="28"/>
      <c r="GG146" s="28"/>
      <c r="GH146" s="28"/>
      <c r="GI146" s="28"/>
      <c r="GJ146" s="28"/>
      <c r="GK146" s="28"/>
      <c r="GL146" s="28"/>
      <c r="GM146" s="28"/>
      <c r="GN146" s="28"/>
      <c r="GO146" s="28"/>
      <c r="GP146" s="28"/>
      <c r="GQ146" s="28"/>
      <c r="GR146" s="28"/>
      <c r="GS146" s="28"/>
      <c r="GT146" s="28"/>
      <c r="GU146" s="28"/>
      <c r="GV146" s="28"/>
      <c r="GW146" s="28"/>
      <c r="GX146" s="28"/>
      <c r="GY146" s="28"/>
      <c r="GZ146" s="28"/>
      <c r="HA146" s="28"/>
      <c r="HB146" s="28"/>
      <c r="HC146" s="28"/>
      <c r="HD146" s="28"/>
      <c r="HE146" s="28"/>
      <c r="HF146" s="28"/>
      <c r="HG146" s="28"/>
      <c r="HH146" s="28"/>
      <c r="HI146" s="28"/>
      <c r="HJ146" s="28"/>
      <c r="HK146" s="28"/>
    </row>
    <row r="147" spans="1:219" ht="15" customHeight="1">
      <c r="A147" s="49">
        <v>1</v>
      </c>
      <c r="B147" s="132" t="str">
        <f>VLOOKUP(Ruimtestaat[[#This Row],[Code]],Locaties[[Code]:[Locatie]],2,FALSE)</f>
        <v>Mirtehuis</v>
      </c>
      <c r="C147" s="132" t="str">
        <f>VLOOKUP(Ruimtestaat[[#This Row],[Code]],Locaties[[#All],[Code]:[Adres]],4,FALSE)</f>
        <v>Weseperweg 6</v>
      </c>
      <c r="D147" s="132" t="str">
        <f>VLOOKUP(Ruimtestaat[[#This Row],[Code]],Locaties[[#All],[Code]:[Postcode]],5,FALSE)</f>
        <v>8111 PK</v>
      </c>
      <c r="E147" s="132" t="str">
        <f>VLOOKUP(Ruimtestaat[[#This Row],[Code]],Locaties[#All],6,FALSE)</f>
        <v>Heeten</v>
      </c>
      <c r="F147" s="100"/>
      <c r="G147" s="100" t="s">
        <v>1677</v>
      </c>
      <c r="I147" s="140" t="s">
        <v>1656</v>
      </c>
      <c r="J147" s="49">
        <v>20</v>
      </c>
      <c r="K147" s="140" t="str">
        <f>VLOOKUP(Ruimtestaat[[#This Row],[Ruimte code]],Ruimtegroepen[[#All],[Code]:[Ruimte omschrijving]],2,FALSE)</f>
        <v>Niet in Onderhoud</v>
      </c>
      <c r="L147" s="100"/>
      <c r="M147" s="345"/>
      <c r="N147" s="133"/>
      <c r="O147" s="139"/>
      <c r="P147" s="134">
        <f>VLOOKUP(Ruimtestaat[[#This Row],[Ruimte code]],Ruimtegroepen[],4,FALSE)</f>
        <v>0</v>
      </c>
      <c r="Q147" s="100"/>
      <c r="R147" s="100"/>
      <c r="S147" s="100">
        <f>IF(Q147&gt;0,IF(RIGHT(Ruimtestaat[[#This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47" s="100">
        <f>IF(S147&gt;0,VLOOKUP($J147,Ruimtegroepen[],3,FALSE)*VLOOKUP($L147,Vloersoorten[],3,FALSE)*VLOOKUP($R147,Frequenties[],3,FALSE)*VLOOKUP($A147,Locaties[],3,FALSE),0)</f>
        <v>0</v>
      </c>
      <c r="U147" s="100">
        <f>Ruimtestaat[[#This Row],[Uitvoeringen werkdagen]]*Ruimtestaat[[#This Row],[Oppervlak (netto)]]</f>
        <v>0</v>
      </c>
      <c r="V147" s="135">
        <f>IF(T147&gt;0,Ruimtestaat[[#This Row],[Prest. (m2 /jaar) werkdagen]]/Ruimtestaat[[#This Row],[Norm (m2/uur) werkdagen]],0)</f>
        <v>0</v>
      </c>
      <c r="W147" s="136">
        <f>Ruimtestaat[[#This Row],[uren / jaar werkdagen]]*Tariefsopbouw!$E$35</f>
        <v>0</v>
      </c>
      <c r="X147" s="100"/>
      <c r="Y147" s="100">
        <f>IF(Ruimtestaat[[#This Row],[Frequentie weekend]]&gt;0,VALUE(LEFT(X147,1))*Q147,0)</f>
        <v>0</v>
      </c>
      <c r="Z147" s="99">
        <f>IF($Y147&gt;0,VLOOKUP($J147,Ruimtegroepen[],3,FALSE)*VLOOKUP($L147,Vloersoorten[],3,FALSE)*VLOOKUP($X147,Frequenties[],3,FALSE)*VLOOKUP(Ruimtestaat[[#This Row],[Code]],Locaties[],3,FALSE),0)</f>
        <v>0</v>
      </c>
      <c r="AA147" s="99">
        <f>Ruimtestaat[[#This Row],[Uitvoeringen weekend]]*Ruimtestaat[[#This Row],[Oppervlak (netto)]]</f>
        <v>0</v>
      </c>
      <c r="AB147" s="99">
        <f>IF(Z147&gt;0,Ruimtestaat[[#This Row],[Prest. (m2 /jaar) weekend]]/Ruimtestaat[[#This Row],[Norm (m2/uur) weekend]],0)</f>
        <v>0</v>
      </c>
      <c r="AC147" s="136">
        <f>Ruimtestaat[[#This Row],[uren / jaar weekend]]*Tariefsopbouw!$D$40</f>
        <v>0</v>
      </c>
      <c r="AD147" s="135">
        <f>Ruimtestaat[[#This Row],[Prest. (m2 /jaar) weekend]]+Ruimtestaat[[#This Row],[Prest. (m2 /jaar) werkdagen]]</f>
        <v>0</v>
      </c>
      <c r="AE147" s="135">
        <f>Ruimtestaat[[#This Row],[uren / jaar weekend]]+Ruimtestaat[[#This Row],[uren / jaar werkdagen]]</f>
        <v>0</v>
      </c>
      <c r="AF147" s="130">
        <f>Ruimtestaat[[#This Row],[kosten / jaar weekend]]+Ruimtestaat[[#This Row],[kosten / jaar werkdagen]]</f>
        <v>0</v>
      </c>
      <c r="AG147" s="130"/>
      <c r="AH147" s="137" t="str">
        <f>IF(Ruimtestaat[[#This Row],[Frequentie werkdagen]]="","",_xlfn.CONCAT(Ruimtestaat[[#This Row],[Ruimte code]],"-",Ruimtestaat[[#This Row],[Frequentie werkdagen]]," ",Ruimtestaat[[#This Row],[Vloer code]]))</f>
        <v/>
      </c>
      <c r="AI147" s="142" t="str">
        <f>_xlfn.IFNA(VLOOKUP($AH147,Programma!$F$3:$G$1101,2,0),"")</f>
        <v/>
      </c>
      <c r="AJ147" s="142" t="str">
        <f>_xlfn.IFNA(VLOOKUP($AH147,Programma!$F$3:$H$1101,3,0),"")</f>
        <v/>
      </c>
      <c r="AK147" s="142" t="str">
        <f>_xlfn.IFNA(VLOOKUP($AH147,Programma!$F$3:$I$1101,4,0),"")</f>
        <v/>
      </c>
      <c r="AL147" s="142" t="str">
        <f>_xlfn.IFNA(VLOOKUP($AH147,Programma!$F$3:$J$1101,5,0),"")</f>
        <v/>
      </c>
      <c r="AM147" s="142" t="str">
        <f>_xlfn.IFNA(VLOOKUP($AH147,Programma!$F$3:$K$1101,6,0),"")</f>
        <v/>
      </c>
      <c r="AN147" s="142" t="str">
        <f>_xlfn.IFNA(VLOOKUP($AH147,Programma!$F$3:$L$1101,7,0),"")</f>
        <v/>
      </c>
      <c r="AO147" s="142" t="str">
        <f>_xlfn.IFNA(VLOOKUP($AH147,Programma!$F$3:$M$1101,8,0),"")</f>
        <v/>
      </c>
      <c r="AP147" s="142" t="str">
        <f>_xlfn.IFNA(VLOOKUP($AH147,Programma!$F$3:$N$1101,9,0),"")</f>
        <v/>
      </c>
      <c r="AQ147" s="142" t="str">
        <f>_xlfn.IFNA(VLOOKUP($AH147,Programma!$F$3:$O$1101,10,0),"")</f>
        <v/>
      </c>
      <c r="AR147" s="142" t="str">
        <f>_xlfn.IFNA(VLOOKUP($AH147,Programma!$F$3:$P$1101,11,0),"")</f>
        <v/>
      </c>
      <c r="AS147" s="142" t="str">
        <f>_xlfn.IFNA(VLOOKUP($AH147,Programma!$F$3:$Q$1101,12,0),"")</f>
        <v/>
      </c>
      <c r="AT147" s="142" t="str">
        <f>_xlfn.IFNA(VLOOKUP($AH147,Programma!$F$3:$R$1101,13,0),"")</f>
        <v/>
      </c>
      <c r="AU147" s="142" t="str">
        <f>_xlfn.IFNA(VLOOKUP($AH147,Programma!$F$3:$S$1101,14,0),"")</f>
        <v/>
      </c>
      <c r="AV147" s="142" t="str">
        <f>_xlfn.IFNA(VLOOKUP($AH147,Programma!$F$3:$T$1101,15,0),"")</f>
        <v/>
      </c>
      <c r="AW147" s="142" t="str">
        <f>_xlfn.IFNA(VLOOKUP($AH147,Programma!$F$3:$U$1101,16,0),"")</f>
        <v/>
      </c>
      <c r="AX147" s="142" t="str">
        <f>_xlfn.IFNA(VLOOKUP($AH147,Programma!$F$3:$V$1101,17,0),"")</f>
        <v/>
      </c>
      <c r="AY147" s="142" t="str">
        <f>_xlfn.IFNA(VLOOKUP($AH147,Programma!$F$3:$W$1101,18,0),"")</f>
        <v/>
      </c>
      <c r="AZ147" s="142" t="str">
        <f>_xlfn.IFNA(VLOOKUP($AH147,Programma!$F$3:$X$1101,19,0),"")</f>
        <v/>
      </c>
      <c r="BA147" s="142" t="str">
        <f>_xlfn.IFNA(VLOOKUP($AH147,Programma!$F$3:$Y$1101,20,0),"")</f>
        <v/>
      </c>
      <c r="BB147" s="138"/>
      <c r="BC147" s="137" t="str">
        <f>IF(Ruimtestaat[[#This Row],[Frequentie weekend]]="","",_xlfn.CONCAT(Ruimtestaat[[#This Row],[Ruimte code]],"-",Ruimtestaat[[#This Row],[Frequentie weekend]]," ",Ruimtestaat[[#This Row],[Vloer code]]))</f>
        <v/>
      </c>
      <c r="BD147" s="142" t="str">
        <f>_xlfn.IFNA(VLOOKUP($BC147,Programma!$F$3:$G$1101,2,0),"")</f>
        <v/>
      </c>
      <c r="BE147" s="142" t="str">
        <f>_xlfn.IFNA(VLOOKUP($BC147,Programma!$F$3:$H$1101,3,0),"")</f>
        <v/>
      </c>
      <c r="BF147" s="142" t="str">
        <f>_xlfn.IFNA(VLOOKUP($BC147,Programma!$F$3:$I$1101,4,0),"")</f>
        <v/>
      </c>
      <c r="BG147" s="142" t="str">
        <f>_xlfn.IFNA(VLOOKUP($BC147,Programma!$F$3:$J$1101,5,0),"")</f>
        <v/>
      </c>
      <c r="BH147" s="142" t="str">
        <f>_xlfn.IFNA(VLOOKUP($BC147,Programma!$F$3:$K$1101,6,0),"")</f>
        <v/>
      </c>
      <c r="BI147" s="142" t="str">
        <f>_xlfn.IFNA(VLOOKUP($BC147,Programma!$F$3:$L$1101,7,0),"")</f>
        <v/>
      </c>
      <c r="BJ147" s="142" t="str">
        <f>_xlfn.IFNA(VLOOKUP($BC147,Programma!$F$3:$M$1101,8,0),"")</f>
        <v/>
      </c>
      <c r="BK147" s="142" t="str">
        <f>_xlfn.IFNA(VLOOKUP($BC147,Programma!$F$3:$N$1101,9,0),"")</f>
        <v/>
      </c>
      <c r="BL147" s="142" t="str">
        <f>_xlfn.IFNA(VLOOKUP($BC147,Programma!$F$3:$O$1101,10,0),"")</f>
        <v/>
      </c>
      <c r="BM147" s="142" t="str">
        <f>_xlfn.IFNA(VLOOKUP($BC147,Programma!$F$3:$P$1101,11,0),"")</f>
        <v/>
      </c>
      <c r="BN147" s="142" t="str">
        <f>_xlfn.IFNA(VLOOKUP($BC147,Programma!$F$3:$Q$1101,12,0),"")</f>
        <v/>
      </c>
      <c r="BO147" s="142" t="str">
        <f>_xlfn.IFNA(VLOOKUP($BC147,Programma!$F$3:$R$1101,13,0),"")</f>
        <v/>
      </c>
      <c r="BP147" s="142" t="str">
        <f>_xlfn.IFNA(VLOOKUP($BC147,Programma!$F$3:$S$1101,14,0),"")</f>
        <v/>
      </c>
      <c r="BQ147" s="142" t="str">
        <f>_xlfn.IFNA(VLOOKUP($BC147,Programma!$F$3:$T$1101,15,0),"")</f>
        <v/>
      </c>
      <c r="BR147" s="142" t="str">
        <f>_xlfn.IFNA(VLOOKUP($BC147,Programma!$F$3:$U$1101,16,0),"")</f>
        <v/>
      </c>
      <c r="BS147" s="142" t="str">
        <f>_xlfn.IFNA(VLOOKUP($BC147,Programma!$F$3:$V$1101,17,0),"")</f>
        <v/>
      </c>
      <c r="BT147" s="142" t="str">
        <f>_xlfn.IFNA(VLOOKUP($BC147,Programma!$F$3:$W$1101,18,0),"")</f>
        <v/>
      </c>
      <c r="BU147" s="142" t="str">
        <f>_xlfn.IFNA(VLOOKUP($BC147,Programma!$F$3:$X$1101,19,0),"")</f>
        <v/>
      </c>
      <c r="BV147" s="142" t="str">
        <f>_xlfn.IFNA(VLOOKUP($BC147,Programma!$F$3:$Y$1101,20,0),"")</f>
        <v/>
      </c>
      <c r="BW147" s="28"/>
      <c r="BX147" s="28"/>
      <c r="BY147" s="28"/>
      <c r="BZ147" s="28"/>
      <c r="CA147" s="28"/>
      <c r="CB147" s="28"/>
      <c r="CC147" s="28"/>
      <c r="CD147" s="28"/>
      <c r="CE147" s="28"/>
      <c r="CF147" s="28"/>
      <c r="CG147" s="28"/>
      <c r="CH147" s="28"/>
      <c r="CI147" s="28"/>
      <c r="CJ147" s="28"/>
      <c r="CK147" s="28"/>
      <c r="CL147" s="28"/>
      <c r="CM147" s="28"/>
      <c r="CN147" s="28"/>
      <c r="CO147" s="28"/>
      <c r="CP147" s="28"/>
      <c r="CQ147" s="28"/>
      <c r="CR147" s="28"/>
      <c r="CS147" s="28"/>
      <c r="CT147" s="28"/>
      <c r="CU147" s="28"/>
      <c r="CV147" s="28"/>
      <c r="CW147" s="28"/>
      <c r="CX147" s="28"/>
      <c r="CY147" s="28"/>
      <c r="CZ147" s="28"/>
      <c r="DA147" s="28"/>
      <c r="DB147" s="28"/>
      <c r="DC147" s="28"/>
      <c r="DD147" s="28"/>
      <c r="DE147" s="28"/>
      <c r="DF147" s="28"/>
      <c r="DG147" s="28"/>
      <c r="DH147" s="28"/>
      <c r="DI147" s="28"/>
      <c r="DJ147" s="28"/>
      <c r="DK147" s="28"/>
      <c r="DL147" s="28"/>
      <c r="DM147" s="28"/>
      <c r="DN147" s="28"/>
      <c r="DO147" s="28"/>
      <c r="DP147" s="28"/>
      <c r="DQ147" s="28"/>
      <c r="DR147" s="28"/>
      <c r="DS147" s="28"/>
      <c r="DT147" s="28"/>
      <c r="DU147" s="28"/>
      <c r="DV147" s="28"/>
      <c r="DW147" s="28"/>
      <c r="DX147" s="28"/>
      <c r="DY147" s="28"/>
      <c r="DZ147" s="28"/>
      <c r="EA147" s="28"/>
      <c r="EB147" s="28"/>
      <c r="EC147" s="28"/>
      <c r="ED147" s="28"/>
      <c r="EE147" s="28"/>
      <c r="EF147" s="28"/>
      <c r="EG147" s="28"/>
      <c r="EH147" s="28"/>
      <c r="EI147" s="28"/>
      <c r="EJ147" s="28"/>
      <c r="EK147" s="28"/>
      <c r="EL147" s="28"/>
      <c r="EM147" s="28"/>
      <c r="EN147" s="28"/>
      <c r="EO147" s="28"/>
      <c r="EP147" s="28"/>
      <c r="EQ147" s="28"/>
      <c r="ER147" s="28"/>
      <c r="ES147" s="28"/>
      <c r="ET147" s="28"/>
      <c r="EU147" s="28"/>
      <c r="EV147" s="28"/>
      <c r="EW147" s="28"/>
      <c r="EX147" s="28"/>
      <c r="EY147" s="28"/>
      <c r="EZ147" s="28"/>
      <c r="FA147" s="28"/>
      <c r="FB147" s="28"/>
      <c r="FC147" s="28"/>
      <c r="FD147" s="28"/>
      <c r="FE147" s="28"/>
      <c r="FF147" s="28"/>
      <c r="FG147" s="28"/>
      <c r="FH147" s="28"/>
      <c r="FI147" s="28"/>
      <c r="FJ147" s="28"/>
      <c r="FK147" s="28"/>
      <c r="FL147" s="28"/>
      <c r="FM147" s="28"/>
      <c r="FN147" s="28"/>
      <c r="FO147" s="28"/>
      <c r="FP147" s="28"/>
      <c r="FQ147" s="28"/>
      <c r="FR147" s="28"/>
      <c r="FS147" s="28"/>
      <c r="FT147" s="28"/>
      <c r="FU147" s="28"/>
      <c r="FV147" s="28"/>
      <c r="FW147" s="28"/>
      <c r="FX147" s="28"/>
      <c r="FY147" s="28"/>
      <c r="FZ147" s="28"/>
      <c r="GA147" s="28"/>
      <c r="GB147" s="28"/>
      <c r="GC147" s="28"/>
      <c r="GD147" s="28"/>
      <c r="GE147" s="28"/>
      <c r="GF147" s="28"/>
      <c r="GG147" s="28"/>
      <c r="GH147" s="28"/>
      <c r="GI147" s="28"/>
      <c r="GJ147" s="28"/>
      <c r="GK147" s="28"/>
      <c r="GL147" s="28"/>
      <c r="GM147" s="28"/>
      <c r="GN147" s="28"/>
      <c r="GO147" s="28"/>
      <c r="GP147" s="28"/>
      <c r="GQ147" s="28"/>
      <c r="GR147" s="28"/>
      <c r="GS147" s="28"/>
      <c r="GT147" s="28"/>
      <c r="GU147" s="28"/>
      <c r="GV147" s="28"/>
      <c r="GW147" s="28"/>
      <c r="GX147" s="28"/>
      <c r="GY147" s="28"/>
      <c r="GZ147" s="28"/>
      <c r="HA147" s="28"/>
      <c r="HB147" s="28"/>
      <c r="HC147" s="28"/>
      <c r="HD147" s="28"/>
      <c r="HE147" s="28"/>
      <c r="HF147" s="28"/>
      <c r="HG147" s="28"/>
      <c r="HH147" s="28"/>
      <c r="HI147" s="28"/>
      <c r="HJ147" s="28"/>
      <c r="HK147" s="28"/>
    </row>
    <row r="148" spans="1:219" ht="15" customHeight="1">
      <c r="A148" s="49">
        <v>1</v>
      </c>
      <c r="B148" s="132" t="str">
        <f>VLOOKUP(Ruimtestaat[[#This Row],[Code]],Locaties[[Code]:[Locatie]],2,FALSE)</f>
        <v>Mirtehuis</v>
      </c>
      <c r="C148" s="132" t="str">
        <f>VLOOKUP(Ruimtestaat[[#This Row],[Code]],Locaties[[#All],[Code]:[Adres]],4,FALSE)</f>
        <v>Weseperweg 6</v>
      </c>
      <c r="D148" s="132" t="str">
        <f>VLOOKUP(Ruimtestaat[[#This Row],[Code]],Locaties[[#All],[Code]:[Postcode]],5,FALSE)</f>
        <v>8111 PK</v>
      </c>
      <c r="E148" s="132" t="str">
        <f>VLOOKUP(Ruimtestaat[[#This Row],[Code]],Locaties[#All],6,FALSE)</f>
        <v>Heeten</v>
      </c>
      <c r="F148" s="100"/>
      <c r="G148" s="100" t="s">
        <v>1677</v>
      </c>
      <c r="I148" s="140" t="s">
        <v>1668</v>
      </c>
      <c r="J148" s="49">
        <v>20</v>
      </c>
      <c r="K148" s="140" t="str">
        <f>VLOOKUP(Ruimtestaat[[#This Row],[Ruimte code]],Ruimtegroepen[[#All],[Code]:[Ruimte omschrijving]],2,FALSE)</f>
        <v>Niet in Onderhoud</v>
      </c>
      <c r="L148" s="100"/>
      <c r="M148" s="345"/>
      <c r="N148" s="133"/>
      <c r="O148" s="100"/>
      <c r="P148" s="134">
        <f>VLOOKUP(Ruimtestaat[[#This Row],[Ruimte code]],Ruimtegroepen[],4,FALSE)</f>
        <v>0</v>
      </c>
      <c r="Q148" s="100"/>
      <c r="R148" s="100"/>
      <c r="S148" s="100">
        <f>IF(Q148&gt;0,IF(RIGHT(Ruimtestaat[[#This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48" s="100">
        <f>IF(S148&gt;0,VLOOKUP($J148,Ruimtegroepen[],3,FALSE)*VLOOKUP($L148,Vloersoorten[],3,FALSE)*VLOOKUP($R148,Frequenties[],3,FALSE)*VLOOKUP($A148,Locaties[],3,FALSE),0)</f>
        <v>0</v>
      </c>
      <c r="U148" s="100">
        <f>Ruimtestaat[[#This Row],[Uitvoeringen werkdagen]]*Ruimtestaat[[#This Row],[Oppervlak (netto)]]</f>
        <v>0</v>
      </c>
      <c r="V148" s="135">
        <f>IF(T148&gt;0,Ruimtestaat[[#This Row],[Prest. (m2 /jaar) werkdagen]]/Ruimtestaat[[#This Row],[Norm (m2/uur) werkdagen]],0)</f>
        <v>0</v>
      </c>
      <c r="W148" s="136">
        <f>Ruimtestaat[[#This Row],[uren / jaar werkdagen]]*Tariefsopbouw!$E$35</f>
        <v>0</v>
      </c>
      <c r="X148" s="100"/>
      <c r="Y148" s="100">
        <f>IF(Ruimtestaat[[#This Row],[Frequentie weekend]]&gt;0,VALUE(LEFT(X148,1))*Q148,0)</f>
        <v>0</v>
      </c>
      <c r="Z148" s="99">
        <f>IF($Y148&gt;0,VLOOKUP($J148,Ruimtegroepen[],3,FALSE)*VLOOKUP($L148,Vloersoorten[],3,FALSE)*VLOOKUP($X148,Frequenties[],3,FALSE)*VLOOKUP(Ruimtestaat[[#This Row],[Code]],Locaties[],3,FALSE),0)</f>
        <v>0</v>
      </c>
      <c r="AA148" s="99">
        <f>Ruimtestaat[[#This Row],[Uitvoeringen weekend]]*Ruimtestaat[[#This Row],[Oppervlak (netto)]]</f>
        <v>0</v>
      </c>
      <c r="AB148" s="99">
        <f>IF(Z148&gt;0,Ruimtestaat[[#This Row],[Prest. (m2 /jaar) weekend]]/Ruimtestaat[[#This Row],[Norm (m2/uur) weekend]],0)</f>
        <v>0</v>
      </c>
      <c r="AC148" s="136">
        <f>Ruimtestaat[[#This Row],[uren / jaar weekend]]*Tariefsopbouw!$D$40</f>
        <v>0</v>
      </c>
      <c r="AD148" s="135">
        <f>Ruimtestaat[[#This Row],[Prest. (m2 /jaar) weekend]]+Ruimtestaat[[#This Row],[Prest. (m2 /jaar) werkdagen]]</f>
        <v>0</v>
      </c>
      <c r="AE148" s="135">
        <f>Ruimtestaat[[#This Row],[uren / jaar weekend]]+Ruimtestaat[[#This Row],[uren / jaar werkdagen]]</f>
        <v>0</v>
      </c>
      <c r="AF148" s="130">
        <f>Ruimtestaat[[#This Row],[kosten / jaar weekend]]+Ruimtestaat[[#This Row],[kosten / jaar werkdagen]]</f>
        <v>0</v>
      </c>
      <c r="AG148" s="130"/>
      <c r="AH148" s="137" t="str">
        <f>IF(Ruimtestaat[[#This Row],[Frequentie werkdagen]]="","",_xlfn.CONCAT(Ruimtestaat[[#This Row],[Ruimte code]],"-",Ruimtestaat[[#This Row],[Frequentie werkdagen]]," ",Ruimtestaat[[#This Row],[Vloer code]]))</f>
        <v/>
      </c>
      <c r="AI148" s="142" t="str">
        <f>_xlfn.IFNA(VLOOKUP($AH148,Programma!$F$3:$G$1101,2,0),"")</f>
        <v/>
      </c>
      <c r="AJ148" s="142" t="str">
        <f>_xlfn.IFNA(VLOOKUP($AH148,Programma!$F$3:$H$1101,3,0),"")</f>
        <v/>
      </c>
      <c r="AK148" s="142" t="str">
        <f>_xlfn.IFNA(VLOOKUP($AH148,Programma!$F$3:$I$1101,4,0),"")</f>
        <v/>
      </c>
      <c r="AL148" s="142" t="str">
        <f>_xlfn.IFNA(VLOOKUP($AH148,Programma!$F$3:$J$1101,5,0),"")</f>
        <v/>
      </c>
      <c r="AM148" s="142" t="str">
        <f>_xlfn.IFNA(VLOOKUP($AH148,Programma!$F$3:$K$1101,6,0),"")</f>
        <v/>
      </c>
      <c r="AN148" s="142" t="str">
        <f>_xlfn.IFNA(VLOOKUP($AH148,Programma!$F$3:$L$1101,7,0),"")</f>
        <v/>
      </c>
      <c r="AO148" s="142" t="str">
        <f>_xlfn.IFNA(VLOOKUP($AH148,Programma!$F$3:$M$1101,8,0),"")</f>
        <v/>
      </c>
      <c r="AP148" s="142" t="str">
        <f>_xlfn.IFNA(VLOOKUP($AH148,Programma!$F$3:$N$1101,9,0),"")</f>
        <v/>
      </c>
      <c r="AQ148" s="142" t="str">
        <f>_xlfn.IFNA(VLOOKUP($AH148,Programma!$F$3:$O$1101,10,0),"")</f>
        <v/>
      </c>
      <c r="AR148" s="142" t="str">
        <f>_xlfn.IFNA(VLOOKUP($AH148,Programma!$F$3:$P$1101,11,0),"")</f>
        <v/>
      </c>
      <c r="AS148" s="142" t="str">
        <f>_xlfn.IFNA(VLOOKUP($AH148,Programma!$F$3:$Q$1101,12,0),"")</f>
        <v/>
      </c>
      <c r="AT148" s="142" t="str">
        <f>_xlfn.IFNA(VLOOKUP($AH148,Programma!$F$3:$R$1101,13,0),"")</f>
        <v/>
      </c>
      <c r="AU148" s="142" t="str">
        <f>_xlfn.IFNA(VLOOKUP($AH148,Programma!$F$3:$S$1101,14,0),"")</f>
        <v/>
      </c>
      <c r="AV148" s="142" t="str">
        <f>_xlfn.IFNA(VLOOKUP($AH148,Programma!$F$3:$T$1101,15,0),"")</f>
        <v/>
      </c>
      <c r="AW148" s="142" t="str">
        <f>_xlfn.IFNA(VLOOKUP($AH148,Programma!$F$3:$U$1101,16,0),"")</f>
        <v/>
      </c>
      <c r="AX148" s="142" t="str">
        <f>_xlfn.IFNA(VLOOKUP($AH148,Programma!$F$3:$V$1101,17,0),"")</f>
        <v/>
      </c>
      <c r="AY148" s="142" t="str">
        <f>_xlfn.IFNA(VLOOKUP($AH148,Programma!$F$3:$W$1101,18,0),"")</f>
        <v/>
      </c>
      <c r="AZ148" s="142" t="str">
        <f>_xlfn.IFNA(VLOOKUP($AH148,Programma!$F$3:$X$1101,19,0),"")</f>
        <v/>
      </c>
      <c r="BA148" s="142" t="str">
        <f>_xlfn.IFNA(VLOOKUP($AH148,Programma!$F$3:$Y$1101,20,0),"")</f>
        <v/>
      </c>
      <c r="BB148" s="138"/>
      <c r="BC148" s="137" t="str">
        <f>IF(Ruimtestaat[[#This Row],[Frequentie weekend]]="","",_xlfn.CONCAT(Ruimtestaat[[#This Row],[Ruimte code]],"-",Ruimtestaat[[#This Row],[Frequentie weekend]]," ",Ruimtestaat[[#This Row],[Vloer code]]))</f>
        <v/>
      </c>
      <c r="BD148" s="142" t="str">
        <f>_xlfn.IFNA(VLOOKUP($BC148,Programma!$F$3:$G$1101,2,0),"")</f>
        <v/>
      </c>
      <c r="BE148" s="142" t="str">
        <f>_xlfn.IFNA(VLOOKUP($BC148,Programma!$F$3:$H$1101,3,0),"")</f>
        <v/>
      </c>
      <c r="BF148" s="142" t="str">
        <f>_xlfn.IFNA(VLOOKUP($BC148,Programma!$F$3:$I$1101,4,0),"")</f>
        <v/>
      </c>
      <c r="BG148" s="142" t="str">
        <f>_xlfn.IFNA(VLOOKUP($BC148,Programma!$F$3:$J$1101,5,0),"")</f>
        <v/>
      </c>
      <c r="BH148" s="142" t="str">
        <f>_xlfn.IFNA(VLOOKUP($BC148,Programma!$F$3:$K$1101,6,0),"")</f>
        <v/>
      </c>
      <c r="BI148" s="142" t="str">
        <f>_xlfn.IFNA(VLOOKUP($BC148,Programma!$F$3:$L$1101,7,0),"")</f>
        <v/>
      </c>
      <c r="BJ148" s="142" t="str">
        <f>_xlfn.IFNA(VLOOKUP($BC148,Programma!$F$3:$M$1101,8,0),"")</f>
        <v/>
      </c>
      <c r="BK148" s="142" t="str">
        <f>_xlfn.IFNA(VLOOKUP($BC148,Programma!$F$3:$N$1101,9,0),"")</f>
        <v/>
      </c>
      <c r="BL148" s="142" t="str">
        <f>_xlfn.IFNA(VLOOKUP($BC148,Programma!$F$3:$O$1101,10,0),"")</f>
        <v/>
      </c>
      <c r="BM148" s="142" t="str">
        <f>_xlfn.IFNA(VLOOKUP($BC148,Programma!$F$3:$P$1101,11,0),"")</f>
        <v/>
      </c>
      <c r="BN148" s="142" t="str">
        <f>_xlfn.IFNA(VLOOKUP($BC148,Programma!$F$3:$Q$1101,12,0),"")</f>
        <v/>
      </c>
      <c r="BO148" s="142" t="str">
        <f>_xlfn.IFNA(VLOOKUP($BC148,Programma!$F$3:$R$1101,13,0),"")</f>
        <v/>
      </c>
      <c r="BP148" s="142" t="str">
        <f>_xlfn.IFNA(VLOOKUP($BC148,Programma!$F$3:$S$1101,14,0),"")</f>
        <v/>
      </c>
      <c r="BQ148" s="142" t="str">
        <f>_xlfn.IFNA(VLOOKUP($BC148,Programma!$F$3:$T$1101,15,0),"")</f>
        <v/>
      </c>
      <c r="BR148" s="142" t="str">
        <f>_xlfn.IFNA(VLOOKUP($BC148,Programma!$F$3:$U$1101,16,0),"")</f>
        <v/>
      </c>
      <c r="BS148" s="142" t="str">
        <f>_xlfn.IFNA(VLOOKUP($BC148,Programma!$F$3:$V$1101,17,0),"")</f>
        <v/>
      </c>
      <c r="BT148" s="142" t="str">
        <f>_xlfn.IFNA(VLOOKUP($BC148,Programma!$F$3:$W$1101,18,0),"")</f>
        <v/>
      </c>
      <c r="BU148" s="142" t="str">
        <f>_xlfn.IFNA(VLOOKUP($BC148,Programma!$F$3:$X$1101,19,0),"")</f>
        <v/>
      </c>
      <c r="BV148" s="142" t="str">
        <f>_xlfn.IFNA(VLOOKUP($BC148,Programma!$F$3:$Y$1101,20,0),"")</f>
        <v/>
      </c>
      <c r="BW148" s="28"/>
      <c r="BX148" s="28"/>
      <c r="BY148" s="28"/>
      <c r="BZ148" s="28"/>
      <c r="CA148" s="28"/>
      <c r="CB148" s="28"/>
      <c r="CC148" s="28"/>
      <c r="CD148" s="28"/>
      <c r="CE148" s="28"/>
      <c r="CF148" s="28"/>
      <c r="CG148" s="28"/>
      <c r="CH148" s="28"/>
      <c r="CI148" s="28"/>
      <c r="CJ148" s="28"/>
      <c r="CK148" s="28"/>
      <c r="CL148" s="28"/>
      <c r="CM148" s="28"/>
      <c r="CN148" s="28"/>
      <c r="CO148" s="28"/>
      <c r="CP148" s="28"/>
      <c r="CQ148" s="28"/>
      <c r="CR148" s="28"/>
      <c r="CS148" s="28"/>
      <c r="CT148" s="28"/>
      <c r="CU148" s="28"/>
      <c r="CV148" s="28"/>
      <c r="CW148" s="28"/>
      <c r="CX148" s="28"/>
      <c r="CY148" s="28"/>
      <c r="CZ148" s="28"/>
      <c r="DA148" s="28"/>
      <c r="DB148" s="28"/>
      <c r="DC148" s="28"/>
      <c r="DD148" s="28"/>
      <c r="DE148" s="28"/>
      <c r="DF148" s="28"/>
      <c r="DG148" s="28"/>
      <c r="DH148" s="28"/>
      <c r="DI148" s="28"/>
      <c r="DJ148" s="28"/>
      <c r="DK148" s="28"/>
      <c r="DL148" s="28"/>
      <c r="DM148" s="28"/>
      <c r="DN148" s="28"/>
      <c r="DO148" s="28"/>
      <c r="DP148" s="28"/>
      <c r="DQ148" s="28"/>
      <c r="DR148" s="28"/>
      <c r="DS148" s="28"/>
      <c r="DT148" s="28"/>
      <c r="DU148" s="28"/>
      <c r="DV148" s="28"/>
      <c r="DW148" s="28"/>
      <c r="DX148" s="28"/>
      <c r="DY148" s="28"/>
      <c r="DZ148" s="28"/>
      <c r="EA148" s="28"/>
      <c r="EB148" s="28"/>
      <c r="EC148" s="28"/>
      <c r="ED148" s="28"/>
      <c r="EE148" s="28"/>
      <c r="EF148" s="28"/>
      <c r="EG148" s="28"/>
      <c r="EH148" s="28"/>
      <c r="EI148" s="28"/>
      <c r="EJ148" s="28"/>
      <c r="EK148" s="28"/>
      <c r="EL148" s="28"/>
      <c r="EM148" s="28"/>
      <c r="EN148" s="28"/>
      <c r="EO148" s="28"/>
      <c r="EP148" s="28"/>
      <c r="EQ148" s="28"/>
      <c r="ER148" s="28"/>
      <c r="ES148" s="28"/>
      <c r="ET148" s="28"/>
      <c r="EU148" s="28"/>
      <c r="EV148" s="28"/>
      <c r="EW148" s="28"/>
      <c r="EX148" s="28"/>
      <c r="EY148" s="28"/>
      <c r="EZ148" s="28"/>
      <c r="FA148" s="28"/>
      <c r="FB148" s="28"/>
      <c r="FC148" s="28"/>
      <c r="FD148" s="28"/>
      <c r="FE148" s="28"/>
      <c r="FF148" s="28"/>
      <c r="FG148" s="28"/>
      <c r="FH148" s="28"/>
      <c r="FI148" s="28"/>
      <c r="FJ148" s="28"/>
      <c r="FK148" s="28"/>
      <c r="FL148" s="28"/>
      <c r="FM148" s="28"/>
      <c r="FN148" s="28"/>
      <c r="FO148" s="28"/>
      <c r="FP148" s="28"/>
      <c r="FQ148" s="28"/>
      <c r="FR148" s="28"/>
      <c r="FS148" s="28"/>
      <c r="FT148" s="28"/>
      <c r="FU148" s="28"/>
      <c r="FV148" s="28"/>
      <c r="FW148" s="28"/>
      <c r="FX148" s="28"/>
      <c r="FY148" s="28"/>
      <c r="FZ148" s="28"/>
      <c r="GA148" s="28"/>
      <c r="GB148" s="28"/>
      <c r="GC148" s="28"/>
      <c r="GD148" s="28"/>
      <c r="GE148" s="28"/>
      <c r="GF148" s="28"/>
      <c r="GG148" s="28"/>
      <c r="GH148" s="28"/>
      <c r="GI148" s="28"/>
      <c r="GJ148" s="28"/>
      <c r="GK148" s="28"/>
      <c r="GL148" s="28"/>
      <c r="GM148" s="28"/>
      <c r="GN148" s="28"/>
      <c r="GO148" s="28"/>
      <c r="GP148" s="28"/>
      <c r="GQ148" s="28"/>
      <c r="GR148" s="28"/>
      <c r="GS148" s="28"/>
      <c r="GT148" s="28"/>
      <c r="GU148" s="28"/>
      <c r="GV148" s="28"/>
      <c r="GW148" s="28"/>
      <c r="GX148" s="28"/>
      <c r="GY148" s="28"/>
      <c r="GZ148" s="28"/>
      <c r="HA148" s="28"/>
      <c r="HB148" s="28"/>
      <c r="HC148" s="28"/>
      <c r="HD148" s="28"/>
      <c r="HE148" s="28"/>
      <c r="HF148" s="28"/>
      <c r="HG148" s="28"/>
      <c r="HH148" s="28"/>
      <c r="HI148" s="28"/>
      <c r="HJ148" s="28"/>
      <c r="HK148" s="28"/>
    </row>
    <row r="149" spans="1:219" ht="15" customHeight="1">
      <c r="A149" s="49">
        <v>1</v>
      </c>
      <c r="B149" s="132" t="str">
        <f>VLOOKUP(Ruimtestaat[[#This Row],[Code]],Locaties[[Code]:[Locatie]],2,FALSE)</f>
        <v>Mirtehuis</v>
      </c>
      <c r="C149" s="132" t="str">
        <f>VLOOKUP(Ruimtestaat[[#This Row],[Code]],Locaties[[#All],[Code]:[Adres]],4,FALSE)</f>
        <v>Weseperweg 6</v>
      </c>
      <c r="D149" s="132" t="str">
        <f>VLOOKUP(Ruimtestaat[[#This Row],[Code]],Locaties[[#All],[Code]:[Postcode]],5,FALSE)</f>
        <v>8111 PK</v>
      </c>
      <c r="E149" s="132" t="str">
        <f>VLOOKUP(Ruimtestaat[[#This Row],[Code]],Locaties[#All],6,FALSE)</f>
        <v>Heeten</v>
      </c>
      <c r="F149" s="100"/>
      <c r="G149" s="100" t="s">
        <v>1677</v>
      </c>
      <c r="I149" s="140" t="s">
        <v>1656</v>
      </c>
      <c r="J149" s="49">
        <v>20</v>
      </c>
      <c r="K149" s="140" t="str">
        <f>VLOOKUP(Ruimtestaat[[#This Row],[Ruimte code]],Ruimtegroepen[[#All],[Code]:[Ruimte omschrijving]],2,FALSE)</f>
        <v>Niet in Onderhoud</v>
      </c>
      <c r="L149" s="100"/>
      <c r="M149" s="345"/>
      <c r="N149" s="133"/>
      <c r="O149" s="139"/>
      <c r="P149" s="134">
        <f>VLOOKUP(Ruimtestaat[[#This Row],[Ruimte code]],Ruimtegroepen[],4,FALSE)</f>
        <v>0</v>
      </c>
      <c r="Q149" s="100"/>
      <c r="R149" s="100"/>
      <c r="S149" s="100">
        <f>IF(Q149&gt;0,IF(RIGHT(Ruimtestaat[[#This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49" s="100">
        <f>IF(S149&gt;0,VLOOKUP($J149,Ruimtegroepen[],3,FALSE)*VLOOKUP($L149,Vloersoorten[],3,FALSE)*VLOOKUP($R149,Frequenties[],3,FALSE)*VLOOKUP($A149,Locaties[],3,FALSE),0)</f>
        <v>0</v>
      </c>
      <c r="U149" s="100">
        <f>Ruimtestaat[[#This Row],[Uitvoeringen werkdagen]]*Ruimtestaat[[#This Row],[Oppervlak (netto)]]</f>
        <v>0</v>
      </c>
      <c r="V149" s="135">
        <f>IF(T149&gt;0,Ruimtestaat[[#This Row],[Prest. (m2 /jaar) werkdagen]]/Ruimtestaat[[#This Row],[Norm (m2/uur) werkdagen]],0)</f>
        <v>0</v>
      </c>
      <c r="W149" s="136">
        <f>Ruimtestaat[[#This Row],[uren / jaar werkdagen]]*Tariefsopbouw!$E$35</f>
        <v>0</v>
      </c>
      <c r="X149" s="100"/>
      <c r="Y149" s="100">
        <f>IF(Ruimtestaat[[#This Row],[Frequentie weekend]]&gt;0,VALUE(LEFT(X149,1))*Q149,0)</f>
        <v>0</v>
      </c>
      <c r="Z149" s="99">
        <f>IF($Y149&gt;0,VLOOKUP($J149,Ruimtegroepen[],3,FALSE)*VLOOKUP($L149,Vloersoorten[],3,FALSE)*VLOOKUP($X149,Frequenties[],3,FALSE)*VLOOKUP(Ruimtestaat[[#This Row],[Code]],Locaties[],3,FALSE),0)</f>
        <v>0</v>
      </c>
      <c r="AA149" s="99">
        <f>Ruimtestaat[[#This Row],[Uitvoeringen weekend]]*Ruimtestaat[[#This Row],[Oppervlak (netto)]]</f>
        <v>0</v>
      </c>
      <c r="AB149" s="99">
        <f>IF(Z149&gt;0,Ruimtestaat[[#This Row],[Prest. (m2 /jaar) weekend]]/Ruimtestaat[[#This Row],[Norm (m2/uur) weekend]],0)</f>
        <v>0</v>
      </c>
      <c r="AC149" s="136">
        <f>Ruimtestaat[[#This Row],[uren / jaar weekend]]*Tariefsopbouw!$D$40</f>
        <v>0</v>
      </c>
      <c r="AD149" s="135">
        <f>Ruimtestaat[[#This Row],[Prest. (m2 /jaar) weekend]]+Ruimtestaat[[#This Row],[Prest. (m2 /jaar) werkdagen]]</f>
        <v>0</v>
      </c>
      <c r="AE149" s="135">
        <f>Ruimtestaat[[#This Row],[uren / jaar weekend]]+Ruimtestaat[[#This Row],[uren / jaar werkdagen]]</f>
        <v>0</v>
      </c>
      <c r="AF149" s="130">
        <f>Ruimtestaat[[#This Row],[kosten / jaar weekend]]+Ruimtestaat[[#This Row],[kosten / jaar werkdagen]]</f>
        <v>0</v>
      </c>
      <c r="AG149" s="130"/>
      <c r="AH149" s="137" t="str">
        <f>IF(Ruimtestaat[[#This Row],[Frequentie werkdagen]]="","",_xlfn.CONCAT(Ruimtestaat[[#This Row],[Ruimte code]],"-",Ruimtestaat[[#This Row],[Frequentie werkdagen]]," ",Ruimtestaat[[#This Row],[Vloer code]]))</f>
        <v/>
      </c>
      <c r="AI149" s="142" t="str">
        <f>_xlfn.IFNA(VLOOKUP($AH149,Programma!$F$3:$G$1101,2,0),"")</f>
        <v/>
      </c>
      <c r="AJ149" s="142" t="str">
        <f>_xlfn.IFNA(VLOOKUP($AH149,Programma!$F$3:$H$1101,3,0),"")</f>
        <v/>
      </c>
      <c r="AK149" s="142" t="str">
        <f>_xlfn.IFNA(VLOOKUP($AH149,Programma!$F$3:$I$1101,4,0),"")</f>
        <v/>
      </c>
      <c r="AL149" s="142" t="str">
        <f>_xlfn.IFNA(VLOOKUP($AH149,Programma!$F$3:$J$1101,5,0),"")</f>
        <v/>
      </c>
      <c r="AM149" s="142" t="str">
        <f>_xlfn.IFNA(VLOOKUP($AH149,Programma!$F$3:$K$1101,6,0),"")</f>
        <v/>
      </c>
      <c r="AN149" s="142" t="str">
        <f>_xlfn.IFNA(VLOOKUP($AH149,Programma!$F$3:$L$1101,7,0),"")</f>
        <v/>
      </c>
      <c r="AO149" s="142" t="str">
        <f>_xlfn.IFNA(VLOOKUP($AH149,Programma!$F$3:$M$1101,8,0),"")</f>
        <v/>
      </c>
      <c r="AP149" s="142" t="str">
        <f>_xlfn.IFNA(VLOOKUP($AH149,Programma!$F$3:$N$1101,9,0),"")</f>
        <v/>
      </c>
      <c r="AQ149" s="142" t="str">
        <f>_xlfn.IFNA(VLOOKUP($AH149,Programma!$F$3:$O$1101,10,0),"")</f>
        <v/>
      </c>
      <c r="AR149" s="142" t="str">
        <f>_xlfn.IFNA(VLOOKUP($AH149,Programma!$F$3:$P$1101,11,0),"")</f>
        <v/>
      </c>
      <c r="AS149" s="142" t="str">
        <f>_xlfn.IFNA(VLOOKUP($AH149,Programma!$F$3:$Q$1101,12,0),"")</f>
        <v/>
      </c>
      <c r="AT149" s="142" t="str">
        <f>_xlfn.IFNA(VLOOKUP($AH149,Programma!$F$3:$R$1101,13,0),"")</f>
        <v/>
      </c>
      <c r="AU149" s="142" t="str">
        <f>_xlfn.IFNA(VLOOKUP($AH149,Programma!$F$3:$S$1101,14,0),"")</f>
        <v/>
      </c>
      <c r="AV149" s="142" t="str">
        <f>_xlfn.IFNA(VLOOKUP($AH149,Programma!$F$3:$T$1101,15,0),"")</f>
        <v/>
      </c>
      <c r="AW149" s="142" t="str">
        <f>_xlfn.IFNA(VLOOKUP($AH149,Programma!$F$3:$U$1101,16,0),"")</f>
        <v/>
      </c>
      <c r="AX149" s="142" t="str">
        <f>_xlfn.IFNA(VLOOKUP($AH149,Programma!$F$3:$V$1101,17,0),"")</f>
        <v/>
      </c>
      <c r="AY149" s="142" t="str">
        <f>_xlfn.IFNA(VLOOKUP($AH149,Programma!$F$3:$W$1101,18,0),"")</f>
        <v/>
      </c>
      <c r="AZ149" s="142" t="str">
        <f>_xlfn.IFNA(VLOOKUP($AH149,Programma!$F$3:$X$1101,19,0),"")</f>
        <v/>
      </c>
      <c r="BA149" s="142" t="str">
        <f>_xlfn.IFNA(VLOOKUP($AH149,Programma!$F$3:$Y$1101,20,0),"")</f>
        <v/>
      </c>
      <c r="BB149" s="138"/>
      <c r="BC149" s="137" t="str">
        <f>IF(Ruimtestaat[[#This Row],[Frequentie weekend]]="","",_xlfn.CONCAT(Ruimtestaat[[#This Row],[Ruimte code]],"-",Ruimtestaat[[#This Row],[Frequentie weekend]]," ",Ruimtestaat[[#This Row],[Vloer code]]))</f>
        <v/>
      </c>
      <c r="BD149" s="142" t="str">
        <f>_xlfn.IFNA(VLOOKUP($BC149,Programma!$F$3:$G$1101,2,0),"")</f>
        <v/>
      </c>
      <c r="BE149" s="142" t="str">
        <f>_xlfn.IFNA(VLOOKUP($BC149,Programma!$F$3:$H$1101,3,0),"")</f>
        <v/>
      </c>
      <c r="BF149" s="142" t="str">
        <f>_xlfn.IFNA(VLOOKUP($BC149,Programma!$F$3:$I$1101,4,0),"")</f>
        <v/>
      </c>
      <c r="BG149" s="142" t="str">
        <f>_xlfn.IFNA(VLOOKUP($BC149,Programma!$F$3:$J$1101,5,0),"")</f>
        <v/>
      </c>
      <c r="BH149" s="142" t="str">
        <f>_xlfn.IFNA(VLOOKUP($BC149,Programma!$F$3:$K$1101,6,0),"")</f>
        <v/>
      </c>
      <c r="BI149" s="142" t="str">
        <f>_xlfn.IFNA(VLOOKUP($BC149,Programma!$F$3:$L$1101,7,0),"")</f>
        <v/>
      </c>
      <c r="BJ149" s="142" t="str">
        <f>_xlfn.IFNA(VLOOKUP($BC149,Programma!$F$3:$M$1101,8,0),"")</f>
        <v/>
      </c>
      <c r="BK149" s="142" t="str">
        <f>_xlfn.IFNA(VLOOKUP($BC149,Programma!$F$3:$N$1101,9,0),"")</f>
        <v/>
      </c>
      <c r="BL149" s="142" t="str">
        <f>_xlfn.IFNA(VLOOKUP($BC149,Programma!$F$3:$O$1101,10,0),"")</f>
        <v/>
      </c>
      <c r="BM149" s="142" t="str">
        <f>_xlfn.IFNA(VLOOKUP($BC149,Programma!$F$3:$P$1101,11,0),"")</f>
        <v/>
      </c>
      <c r="BN149" s="142" t="str">
        <f>_xlfn.IFNA(VLOOKUP($BC149,Programma!$F$3:$Q$1101,12,0),"")</f>
        <v/>
      </c>
      <c r="BO149" s="142" t="str">
        <f>_xlfn.IFNA(VLOOKUP($BC149,Programma!$F$3:$R$1101,13,0),"")</f>
        <v/>
      </c>
      <c r="BP149" s="142" t="str">
        <f>_xlfn.IFNA(VLOOKUP($BC149,Programma!$F$3:$S$1101,14,0),"")</f>
        <v/>
      </c>
      <c r="BQ149" s="142" t="str">
        <f>_xlfn.IFNA(VLOOKUP($BC149,Programma!$F$3:$T$1101,15,0),"")</f>
        <v/>
      </c>
      <c r="BR149" s="142" t="str">
        <f>_xlfn.IFNA(VLOOKUP($BC149,Programma!$F$3:$U$1101,16,0),"")</f>
        <v/>
      </c>
      <c r="BS149" s="142" t="str">
        <f>_xlfn.IFNA(VLOOKUP($BC149,Programma!$F$3:$V$1101,17,0),"")</f>
        <v/>
      </c>
      <c r="BT149" s="142" t="str">
        <f>_xlfn.IFNA(VLOOKUP($BC149,Programma!$F$3:$W$1101,18,0),"")</f>
        <v/>
      </c>
      <c r="BU149" s="142" t="str">
        <f>_xlfn.IFNA(VLOOKUP($BC149,Programma!$F$3:$X$1101,19,0),"")</f>
        <v/>
      </c>
      <c r="BV149" s="142" t="str">
        <f>_xlfn.IFNA(VLOOKUP($BC149,Programma!$F$3:$Y$1101,20,0),"")</f>
        <v/>
      </c>
      <c r="BW149" s="28"/>
      <c r="BX149" s="28"/>
      <c r="BY149" s="28"/>
      <c r="BZ149" s="28"/>
      <c r="CA149" s="28"/>
      <c r="CB149" s="28"/>
      <c r="CC149" s="28"/>
      <c r="CD149" s="28"/>
      <c r="CE149" s="28"/>
      <c r="CF149" s="28"/>
      <c r="CG149" s="28"/>
      <c r="CH149" s="28"/>
      <c r="CI149" s="28"/>
      <c r="CJ149" s="28"/>
      <c r="CK149" s="28"/>
      <c r="CL149" s="28"/>
      <c r="CM149" s="28"/>
      <c r="CN149" s="28"/>
      <c r="CO149" s="28"/>
      <c r="CP149" s="28"/>
      <c r="CQ149" s="28"/>
      <c r="CR149" s="28"/>
      <c r="CS149" s="28"/>
      <c r="CT149" s="28"/>
      <c r="CU149" s="28"/>
      <c r="CV149" s="28"/>
      <c r="CW149" s="28"/>
      <c r="CX149" s="28"/>
      <c r="CY149" s="28"/>
      <c r="CZ149" s="28"/>
      <c r="DA149" s="28"/>
      <c r="DB149" s="28"/>
      <c r="DC149" s="28"/>
      <c r="DD149" s="28"/>
      <c r="DE149" s="28"/>
      <c r="DF149" s="28"/>
      <c r="DG149" s="28"/>
      <c r="DH149" s="28"/>
      <c r="DI149" s="28"/>
      <c r="DJ149" s="28"/>
      <c r="DK149" s="28"/>
      <c r="DL149" s="28"/>
      <c r="DM149" s="28"/>
      <c r="DN149" s="28"/>
      <c r="DO149" s="28"/>
      <c r="DP149" s="28"/>
      <c r="DQ149" s="28"/>
      <c r="DR149" s="28"/>
      <c r="DS149" s="28"/>
      <c r="DT149" s="28"/>
      <c r="DU149" s="28"/>
      <c r="DV149" s="28"/>
      <c r="DW149" s="28"/>
      <c r="DX149" s="28"/>
      <c r="DY149" s="28"/>
      <c r="DZ149" s="28"/>
      <c r="EA149" s="28"/>
      <c r="EB149" s="28"/>
      <c r="EC149" s="28"/>
      <c r="ED149" s="28"/>
      <c r="EE149" s="28"/>
      <c r="EF149" s="28"/>
      <c r="EG149" s="28"/>
      <c r="EH149" s="28"/>
      <c r="EI149" s="28"/>
      <c r="EJ149" s="28"/>
      <c r="EK149" s="28"/>
      <c r="EL149" s="28"/>
      <c r="EM149" s="28"/>
      <c r="EN149" s="28"/>
      <c r="EO149" s="28"/>
      <c r="EP149" s="28"/>
      <c r="EQ149" s="28"/>
      <c r="ER149" s="28"/>
      <c r="ES149" s="28"/>
      <c r="ET149" s="28"/>
      <c r="EU149" s="28"/>
      <c r="EV149" s="28"/>
      <c r="EW149" s="28"/>
      <c r="EX149" s="28"/>
      <c r="EY149" s="28"/>
      <c r="EZ149" s="28"/>
      <c r="FA149" s="28"/>
      <c r="FB149" s="28"/>
      <c r="FC149" s="28"/>
      <c r="FD149" s="28"/>
      <c r="FE149" s="28"/>
      <c r="FF149" s="28"/>
      <c r="FG149" s="28"/>
      <c r="FH149" s="28"/>
      <c r="FI149" s="28"/>
      <c r="FJ149" s="28"/>
      <c r="FK149" s="28"/>
      <c r="FL149" s="28"/>
      <c r="FM149" s="28"/>
      <c r="FN149" s="28"/>
      <c r="FO149" s="28"/>
      <c r="FP149" s="28"/>
      <c r="FQ149" s="28"/>
      <c r="FR149" s="28"/>
      <c r="FS149" s="28"/>
      <c r="FT149" s="28"/>
      <c r="FU149" s="28"/>
      <c r="FV149" s="28"/>
      <c r="FW149" s="28"/>
      <c r="FX149" s="28"/>
      <c r="FY149" s="28"/>
      <c r="FZ149" s="28"/>
      <c r="GA149" s="28"/>
      <c r="GB149" s="28"/>
      <c r="GC149" s="28"/>
      <c r="GD149" s="28"/>
      <c r="GE149" s="28"/>
      <c r="GF149" s="28"/>
      <c r="GG149" s="28"/>
      <c r="GH149" s="28"/>
      <c r="GI149" s="28"/>
      <c r="GJ149" s="28"/>
      <c r="GK149" s="28"/>
      <c r="GL149" s="28"/>
      <c r="GM149" s="28"/>
      <c r="GN149" s="28"/>
      <c r="GO149" s="28"/>
      <c r="GP149" s="28"/>
      <c r="GQ149" s="28"/>
      <c r="GR149" s="28"/>
      <c r="GS149" s="28"/>
      <c r="GT149" s="28"/>
      <c r="GU149" s="28"/>
      <c r="GV149" s="28"/>
      <c r="GW149" s="28"/>
      <c r="GX149" s="28"/>
      <c r="GY149" s="28"/>
      <c r="GZ149" s="28"/>
      <c r="HA149" s="28"/>
      <c r="HB149" s="28"/>
      <c r="HC149" s="28"/>
      <c r="HD149" s="28"/>
      <c r="HE149" s="28"/>
      <c r="HF149" s="28"/>
      <c r="HG149" s="28"/>
      <c r="HH149" s="28"/>
      <c r="HI149" s="28"/>
      <c r="HJ149" s="28"/>
      <c r="HK149" s="28"/>
    </row>
    <row r="150" spans="1:219" ht="15" customHeight="1">
      <c r="A150" s="49">
        <v>1</v>
      </c>
      <c r="B150" s="132" t="str">
        <f>VLOOKUP(Ruimtestaat[[#This Row],[Code]],Locaties[[Code]:[Locatie]],2,FALSE)</f>
        <v>Mirtehuis</v>
      </c>
      <c r="C150" s="132" t="str">
        <f>VLOOKUP(Ruimtestaat[[#This Row],[Code]],Locaties[[#All],[Code]:[Adres]],4,FALSE)</f>
        <v>Weseperweg 6</v>
      </c>
      <c r="D150" s="132" t="str">
        <f>VLOOKUP(Ruimtestaat[[#This Row],[Code]],Locaties[[#All],[Code]:[Postcode]],5,FALSE)</f>
        <v>8111 PK</v>
      </c>
      <c r="E150" s="132" t="str">
        <f>VLOOKUP(Ruimtestaat[[#This Row],[Code]],Locaties[#All],6,FALSE)</f>
        <v>Heeten</v>
      </c>
      <c r="F150" s="100"/>
      <c r="G150" s="100" t="s">
        <v>1677</v>
      </c>
      <c r="H150" s="49">
        <v>7</v>
      </c>
      <c r="I150" s="140" t="s">
        <v>1650</v>
      </c>
      <c r="J150" s="49">
        <v>20</v>
      </c>
      <c r="K150" s="140" t="str">
        <f>VLOOKUP(Ruimtestaat[[#This Row],[Ruimte code]],Ruimtegroepen[[#All],[Code]:[Ruimte omschrijving]],2,FALSE)</f>
        <v>Niet in Onderhoud</v>
      </c>
      <c r="L150" s="100"/>
      <c r="M150" s="345"/>
      <c r="N150" s="133"/>
      <c r="O150" s="139"/>
      <c r="P150" s="134">
        <f>VLOOKUP(Ruimtestaat[[#This Row],[Ruimte code]],Ruimtegroepen[],4,FALSE)</f>
        <v>0</v>
      </c>
      <c r="Q150" s="100"/>
      <c r="R150" s="100"/>
      <c r="S150" s="100">
        <f>IF(Q150&gt;0,IF(RIGHT(Ruimtestaat[[#This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50" s="100">
        <f>IF(S150&gt;0,VLOOKUP($J150,Ruimtegroepen[],3,FALSE)*VLOOKUP($L150,Vloersoorten[],3,FALSE)*VLOOKUP($R150,Frequenties[],3,FALSE)*VLOOKUP($A150,Locaties[],3,FALSE),0)</f>
        <v>0</v>
      </c>
      <c r="U150" s="100">
        <f>Ruimtestaat[[#This Row],[Uitvoeringen werkdagen]]*Ruimtestaat[[#This Row],[Oppervlak (netto)]]</f>
        <v>0</v>
      </c>
      <c r="V150" s="135">
        <f>IF(T150&gt;0,Ruimtestaat[[#This Row],[Prest. (m2 /jaar) werkdagen]]/Ruimtestaat[[#This Row],[Norm (m2/uur) werkdagen]],0)</f>
        <v>0</v>
      </c>
      <c r="W150" s="136">
        <f>Ruimtestaat[[#This Row],[uren / jaar werkdagen]]*Tariefsopbouw!$E$35</f>
        <v>0</v>
      </c>
      <c r="X150" s="100"/>
      <c r="Y150" s="100">
        <f>IF(Ruimtestaat[[#This Row],[Frequentie weekend]]&gt;0,VALUE(LEFT(X150,1))*Q150,0)</f>
        <v>0</v>
      </c>
      <c r="Z150" s="99">
        <f>IF($Y150&gt;0,VLOOKUP($J150,Ruimtegroepen[],3,FALSE)*VLOOKUP($L150,Vloersoorten[],3,FALSE)*VLOOKUP($X150,Frequenties[],3,FALSE)*VLOOKUP(Ruimtestaat[[#This Row],[Code]],Locaties[],3,FALSE),0)</f>
        <v>0</v>
      </c>
      <c r="AA150" s="99">
        <f>Ruimtestaat[[#This Row],[Uitvoeringen weekend]]*Ruimtestaat[[#This Row],[Oppervlak (netto)]]</f>
        <v>0</v>
      </c>
      <c r="AB150" s="99">
        <f>IF(Z150&gt;0,Ruimtestaat[[#This Row],[Prest. (m2 /jaar) weekend]]/Ruimtestaat[[#This Row],[Norm (m2/uur) weekend]],0)</f>
        <v>0</v>
      </c>
      <c r="AC150" s="136">
        <f>Ruimtestaat[[#This Row],[uren / jaar weekend]]*Tariefsopbouw!$D$40</f>
        <v>0</v>
      </c>
      <c r="AD150" s="135">
        <f>Ruimtestaat[[#This Row],[Prest. (m2 /jaar) weekend]]+Ruimtestaat[[#This Row],[Prest. (m2 /jaar) werkdagen]]</f>
        <v>0</v>
      </c>
      <c r="AE150" s="135">
        <f>Ruimtestaat[[#This Row],[uren / jaar weekend]]+Ruimtestaat[[#This Row],[uren / jaar werkdagen]]</f>
        <v>0</v>
      </c>
      <c r="AF150" s="130">
        <f>Ruimtestaat[[#This Row],[kosten / jaar weekend]]+Ruimtestaat[[#This Row],[kosten / jaar werkdagen]]</f>
        <v>0</v>
      </c>
      <c r="AG150" s="130"/>
      <c r="AH150" s="137" t="str">
        <f>IF(Ruimtestaat[[#This Row],[Frequentie werkdagen]]="","",_xlfn.CONCAT(Ruimtestaat[[#This Row],[Ruimte code]],"-",Ruimtestaat[[#This Row],[Frequentie werkdagen]]," ",Ruimtestaat[[#This Row],[Vloer code]]))</f>
        <v/>
      </c>
      <c r="AI150" s="142" t="str">
        <f>_xlfn.IFNA(VLOOKUP($AH150,Programma!$F$3:$G$1101,2,0),"")</f>
        <v/>
      </c>
      <c r="AJ150" s="142" t="str">
        <f>_xlfn.IFNA(VLOOKUP($AH150,Programma!$F$3:$H$1101,3,0),"")</f>
        <v/>
      </c>
      <c r="AK150" s="142" t="str">
        <f>_xlfn.IFNA(VLOOKUP($AH150,Programma!$F$3:$I$1101,4,0),"")</f>
        <v/>
      </c>
      <c r="AL150" s="142" t="str">
        <f>_xlfn.IFNA(VLOOKUP($AH150,Programma!$F$3:$J$1101,5,0),"")</f>
        <v/>
      </c>
      <c r="AM150" s="142" t="str">
        <f>_xlfn.IFNA(VLOOKUP($AH150,Programma!$F$3:$K$1101,6,0),"")</f>
        <v/>
      </c>
      <c r="AN150" s="142" t="str">
        <f>_xlfn.IFNA(VLOOKUP($AH150,Programma!$F$3:$L$1101,7,0),"")</f>
        <v/>
      </c>
      <c r="AO150" s="142" t="str">
        <f>_xlfn.IFNA(VLOOKUP($AH150,Programma!$F$3:$M$1101,8,0),"")</f>
        <v/>
      </c>
      <c r="AP150" s="142" t="str">
        <f>_xlfn.IFNA(VLOOKUP($AH150,Programma!$F$3:$N$1101,9,0),"")</f>
        <v/>
      </c>
      <c r="AQ150" s="142" t="str">
        <f>_xlfn.IFNA(VLOOKUP($AH150,Programma!$F$3:$O$1101,10,0),"")</f>
        <v/>
      </c>
      <c r="AR150" s="142" t="str">
        <f>_xlfn.IFNA(VLOOKUP($AH150,Programma!$F$3:$P$1101,11,0),"")</f>
        <v/>
      </c>
      <c r="AS150" s="142" t="str">
        <f>_xlfn.IFNA(VLOOKUP($AH150,Programma!$F$3:$Q$1101,12,0),"")</f>
        <v/>
      </c>
      <c r="AT150" s="142" t="str">
        <f>_xlfn.IFNA(VLOOKUP($AH150,Programma!$F$3:$R$1101,13,0),"")</f>
        <v/>
      </c>
      <c r="AU150" s="142" t="str">
        <f>_xlfn.IFNA(VLOOKUP($AH150,Programma!$F$3:$S$1101,14,0),"")</f>
        <v/>
      </c>
      <c r="AV150" s="142" t="str">
        <f>_xlfn.IFNA(VLOOKUP($AH150,Programma!$F$3:$T$1101,15,0),"")</f>
        <v/>
      </c>
      <c r="AW150" s="142" t="str">
        <f>_xlfn.IFNA(VLOOKUP($AH150,Programma!$F$3:$U$1101,16,0),"")</f>
        <v/>
      </c>
      <c r="AX150" s="142" t="str">
        <f>_xlfn.IFNA(VLOOKUP($AH150,Programma!$F$3:$V$1101,17,0),"")</f>
        <v/>
      </c>
      <c r="AY150" s="142" t="str">
        <f>_xlfn.IFNA(VLOOKUP($AH150,Programma!$F$3:$W$1101,18,0),"")</f>
        <v/>
      </c>
      <c r="AZ150" s="142" t="str">
        <f>_xlfn.IFNA(VLOOKUP($AH150,Programma!$F$3:$X$1101,19,0),"")</f>
        <v/>
      </c>
      <c r="BA150" s="142" t="str">
        <f>_xlfn.IFNA(VLOOKUP($AH150,Programma!$F$3:$Y$1101,20,0),"")</f>
        <v/>
      </c>
      <c r="BB150" s="138"/>
      <c r="BC150" s="137" t="str">
        <f>IF(Ruimtestaat[[#This Row],[Frequentie weekend]]="","",_xlfn.CONCAT(Ruimtestaat[[#This Row],[Ruimte code]],"-",Ruimtestaat[[#This Row],[Frequentie weekend]]," ",Ruimtestaat[[#This Row],[Vloer code]]))</f>
        <v/>
      </c>
      <c r="BD150" s="142" t="str">
        <f>_xlfn.IFNA(VLOOKUP($BC150,Programma!$F$3:$G$1101,2,0),"")</f>
        <v/>
      </c>
      <c r="BE150" s="142" t="str">
        <f>_xlfn.IFNA(VLOOKUP($BC150,Programma!$F$3:$H$1101,3,0),"")</f>
        <v/>
      </c>
      <c r="BF150" s="142" t="str">
        <f>_xlfn.IFNA(VLOOKUP($BC150,Programma!$F$3:$I$1101,4,0),"")</f>
        <v/>
      </c>
      <c r="BG150" s="142" t="str">
        <f>_xlfn.IFNA(VLOOKUP($BC150,Programma!$F$3:$J$1101,5,0),"")</f>
        <v/>
      </c>
      <c r="BH150" s="142" t="str">
        <f>_xlfn.IFNA(VLOOKUP($BC150,Programma!$F$3:$K$1101,6,0),"")</f>
        <v/>
      </c>
      <c r="BI150" s="142" t="str">
        <f>_xlfn.IFNA(VLOOKUP($BC150,Programma!$F$3:$L$1101,7,0),"")</f>
        <v/>
      </c>
      <c r="BJ150" s="142" t="str">
        <f>_xlfn.IFNA(VLOOKUP($BC150,Programma!$F$3:$M$1101,8,0),"")</f>
        <v/>
      </c>
      <c r="BK150" s="142" t="str">
        <f>_xlfn.IFNA(VLOOKUP($BC150,Programma!$F$3:$N$1101,9,0),"")</f>
        <v/>
      </c>
      <c r="BL150" s="142" t="str">
        <f>_xlfn.IFNA(VLOOKUP($BC150,Programma!$F$3:$O$1101,10,0),"")</f>
        <v/>
      </c>
      <c r="BM150" s="142" t="str">
        <f>_xlfn.IFNA(VLOOKUP($BC150,Programma!$F$3:$P$1101,11,0),"")</f>
        <v/>
      </c>
      <c r="BN150" s="142" t="str">
        <f>_xlfn.IFNA(VLOOKUP($BC150,Programma!$F$3:$Q$1101,12,0),"")</f>
        <v/>
      </c>
      <c r="BO150" s="142" t="str">
        <f>_xlfn.IFNA(VLOOKUP($BC150,Programma!$F$3:$R$1101,13,0),"")</f>
        <v/>
      </c>
      <c r="BP150" s="142" t="str">
        <f>_xlfn.IFNA(VLOOKUP($BC150,Programma!$F$3:$S$1101,14,0),"")</f>
        <v/>
      </c>
      <c r="BQ150" s="142" t="str">
        <f>_xlfn.IFNA(VLOOKUP($BC150,Programma!$F$3:$T$1101,15,0),"")</f>
        <v/>
      </c>
      <c r="BR150" s="142" t="str">
        <f>_xlfn.IFNA(VLOOKUP($BC150,Programma!$F$3:$U$1101,16,0),"")</f>
        <v/>
      </c>
      <c r="BS150" s="142" t="str">
        <f>_xlfn.IFNA(VLOOKUP($BC150,Programma!$F$3:$V$1101,17,0),"")</f>
        <v/>
      </c>
      <c r="BT150" s="142" t="str">
        <f>_xlfn.IFNA(VLOOKUP($BC150,Programma!$F$3:$W$1101,18,0),"")</f>
        <v/>
      </c>
      <c r="BU150" s="142" t="str">
        <f>_xlfn.IFNA(VLOOKUP($BC150,Programma!$F$3:$X$1101,19,0),"")</f>
        <v/>
      </c>
      <c r="BV150" s="142" t="str">
        <f>_xlfn.IFNA(VLOOKUP($BC150,Programma!$F$3:$Y$1101,20,0),"")</f>
        <v/>
      </c>
      <c r="BW150" s="28"/>
      <c r="BX150" s="28"/>
      <c r="BY150" s="28"/>
      <c r="BZ150" s="28"/>
      <c r="CA150" s="28"/>
      <c r="CB150" s="28"/>
      <c r="CC150" s="28"/>
      <c r="CD150" s="28"/>
      <c r="CE150" s="28"/>
      <c r="CF150" s="28"/>
      <c r="CG150" s="28"/>
      <c r="CH150" s="28"/>
      <c r="CI150" s="28"/>
      <c r="CJ150" s="28"/>
      <c r="CK150" s="28"/>
      <c r="CL150" s="28"/>
      <c r="CM150" s="28"/>
      <c r="CN150" s="28"/>
      <c r="CO150" s="28"/>
      <c r="CP150" s="28"/>
      <c r="CQ150" s="28"/>
      <c r="CR150" s="28"/>
      <c r="CS150" s="28"/>
      <c r="CT150" s="28"/>
      <c r="CU150" s="28"/>
      <c r="CV150" s="28"/>
      <c r="CW150" s="28"/>
      <c r="CX150" s="28"/>
      <c r="CY150" s="28"/>
      <c r="CZ150" s="28"/>
      <c r="DA150" s="28"/>
      <c r="DB150" s="28"/>
      <c r="DC150" s="28"/>
      <c r="DD150" s="28"/>
      <c r="DE150" s="28"/>
      <c r="DF150" s="28"/>
      <c r="DG150" s="28"/>
      <c r="DH150" s="28"/>
      <c r="DI150" s="28"/>
      <c r="DJ150" s="28"/>
      <c r="DK150" s="28"/>
      <c r="DL150" s="28"/>
      <c r="DM150" s="28"/>
      <c r="DN150" s="28"/>
      <c r="DO150" s="28"/>
      <c r="DP150" s="28"/>
      <c r="DQ150" s="28"/>
      <c r="DR150" s="28"/>
      <c r="DS150" s="28"/>
      <c r="DT150" s="28"/>
      <c r="DU150" s="28"/>
      <c r="DV150" s="28"/>
      <c r="DW150" s="28"/>
      <c r="DX150" s="28"/>
      <c r="DY150" s="28"/>
      <c r="DZ150" s="28"/>
      <c r="EA150" s="28"/>
      <c r="EB150" s="28"/>
      <c r="EC150" s="28"/>
      <c r="ED150" s="28"/>
      <c r="EE150" s="28"/>
      <c r="EF150" s="28"/>
      <c r="EG150" s="28"/>
      <c r="EH150" s="28"/>
      <c r="EI150" s="28"/>
      <c r="EJ150" s="28"/>
      <c r="EK150" s="28"/>
      <c r="EL150" s="28"/>
      <c r="EM150" s="28"/>
      <c r="EN150" s="28"/>
      <c r="EO150" s="28"/>
      <c r="EP150" s="28"/>
      <c r="EQ150" s="28"/>
      <c r="ER150" s="28"/>
      <c r="ES150" s="28"/>
      <c r="ET150" s="28"/>
      <c r="EU150" s="28"/>
      <c r="EV150" s="28"/>
      <c r="EW150" s="28"/>
      <c r="EX150" s="28"/>
      <c r="EY150" s="28"/>
      <c r="EZ150" s="28"/>
      <c r="FA150" s="28"/>
      <c r="FB150" s="28"/>
      <c r="FC150" s="28"/>
      <c r="FD150" s="28"/>
      <c r="FE150" s="28"/>
      <c r="FF150" s="28"/>
      <c r="FG150" s="28"/>
      <c r="FH150" s="28"/>
      <c r="FI150" s="28"/>
      <c r="FJ150" s="28"/>
      <c r="FK150" s="28"/>
      <c r="FL150" s="28"/>
      <c r="FM150" s="28"/>
      <c r="FN150" s="28"/>
      <c r="FO150" s="28"/>
      <c r="FP150" s="28"/>
      <c r="FQ150" s="28"/>
      <c r="FR150" s="28"/>
      <c r="FS150" s="28"/>
      <c r="FT150" s="28"/>
      <c r="FU150" s="28"/>
      <c r="FV150" s="28"/>
      <c r="FW150" s="28"/>
      <c r="FX150" s="28"/>
      <c r="FY150" s="28"/>
      <c r="FZ150" s="28"/>
      <c r="GA150" s="28"/>
      <c r="GB150" s="28"/>
      <c r="GC150" s="28"/>
      <c r="GD150" s="28"/>
      <c r="GE150" s="28"/>
      <c r="GF150" s="28"/>
      <c r="GG150" s="28"/>
      <c r="GH150" s="28"/>
      <c r="GI150" s="28"/>
      <c r="GJ150" s="28"/>
      <c r="GK150" s="28"/>
      <c r="GL150" s="28"/>
      <c r="GM150" s="28"/>
      <c r="GN150" s="28"/>
      <c r="GO150" s="28"/>
      <c r="GP150" s="28"/>
      <c r="GQ150" s="28"/>
      <c r="GR150" s="28"/>
      <c r="GS150" s="28"/>
      <c r="GT150" s="28"/>
      <c r="GU150" s="28"/>
      <c r="GV150" s="28"/>
      <c r="GW150" s="28"/>
      <c r="GX150" s="28"/>
      <c r="GY150" s="28"/>
      <c r="GZ150" s="28"/>
      <c r="HA150" s="28"/>
      <c r="HB150" s="28"/>
      <c r="HC150" s="28"/>
      <c r="HD150" s="28"/>
      <c r="HE150" s="28"/>
      <c r="HF150" s="28"/>
      <c r="HG150" s="28"/>
      <c r="HH150" s="28"/>
      <c r="HI150" s="28"/>
      <c r="HJ150" s="28"/>
      <c r="HK150" s="28"/>
    </row>
    <row r="151" spans="1:219" ht="15" customHeight="1">
      <c r="A151" s="49">
        <v>1</v>
      </c>
      <c r="B151" s="132" t="str">
        <f>VLOOKUP(Ruimtestaat[[#This Row],[Code]],Locaties[[Code]:[Locatie]],2,FALSE)</f>
        <v>Mirtehuis</v>
      </c>
      <c r="C151" s="132" t="str">
        <f>VLOOKUP(Ruimtestaat[[#This Row],[Code]],Locaties[[#All],[Code]:[Adres]],4,FALSE)</f>
        <v>Weseperweg 6</v>
      </c>
      <c r="D151" s="132" t="str">
        <f>VLOOKUP(Ruimtestaat[[#This Row],[Code]],Locaties[[#All],[Code]:[Postcode]],5,FALSE)</f>
        <v>8111 PK</v>
      </c>
      <c r="E151" s="132" t="str">
        <f>VLOOKUP(Ruimtestaat[[#This Row],[Code]],Locaties[#All],6,FALSE)</f>
        <v>Heeten</v>
      </c>
      <c r="F151" s="100"/>
      <c r="G151" s="100" t="s">
        <v>1677</v>
      </c>
      <c r="I151" s="140" t="s">
        <v>1656</v>
      </c>
      <c r="J151" s="49">
        <v>20</v>
      </c>
      <c r="K151" s="140" t="str">
        <f>VLOOKUP(Ruimtestaat[[#This Row],[Ruimte code]],Ruimtegroepen[[#All],[Code]:[Ruimte omschrijving]],2,FALSE)</f>
        <v>Niet in Onderhoud</v>
      </c>
      <c r="L151" s="100"/>
      <c r="M151" s="345"/>
      <c r="N151" s="133"/>
      <c r="O151" s="100"/>
      <c r="P151" s="134">
        <f>VLOOKUP(Ruimtestaat[[#This Row],[Ruimte code]],Ruimtegroepen[],4,FALSE)</f>
        <v>0</v>
      </c>
      <c r="Q151" s="100"/>
      <c r="R151" s="100"/>
      <c r="S151" s="100">
        <f>IF(Q151&gt;0,IF(RIGHT(Ruimtestaat[[#This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51" s="100">
        <f>IF(S151&gt;0,VLOOKUP($J151,Ruimtegroepen[],3,FALSE)*VLOOKUP($L151,Vloersoorten[],3,FALSE)*VLOOKUP($R151,Frequenties[],3,FALSE)*VLOOKUP($A151,Locaties[],3,FALSE),0)</f>
        <v>0</v>
      </c>
      <c r="U151" s="100">
        <f>Ruimtestaat[[#This Row],[Uitvoeringen werkdagen]]*Ruimtestaat[[#This Row],[Oppervlak (netto)]]</f>
        <v>0</v>
      </c>
      <c r="V151" s="135">
        <f>IF(T151&gt;0,Ruimtestaat[[#This Row],[Prest. (m2 /jaar) werkdagen]]/Ruimtestaat[[#This Row],[Norm (m2/uur) werkdagen]],0)</f>
        <v>0</v>
      </c>
      <c r="W151" s="136">
        <f>Ruimtestaat[[#This Row],[uren / jaar werkdagen]]*Tariefsopbouw!$E$35</f>
        <v>0</v>
      </c>
      <c r="X151" s="100"/>
      <c r="Y151" s="100">
        <f>IF(Ruimtestaat[[#This Row],[Frequentie weekend]]&gt;0,VALUE(LEFT(X151,1))*Q151,0)</f>
        <v>0</v>
      </c>
      <c r="Z151" s="99">
        <f>IF($Y151&gt;0,VLOOKUP($J151,Ruimtegroepen[],3,FALSE)*VLOOKUP($L151,Vloersoorten[],3,FALSE)*VLOOKUP($X151,Frequenties[],3,FALSE)*VLOOKUP(Ruimtestaat[[#This Row],[Code]],Locaties[],3,FALSE),0)</f>
        <v>0</v>
      </c>
      <c r="AA151" s="99">
        <f>Ruimtestaat[[#This Row],[Uitvoeringen weekend]]*Ruimtestaat[[#This Row],[Oppervlak (netto)]]</f>
        <v>0</v>
      </c>
      <c r="AB151" s="99">
        <f>IF(Z151&gt;0,Ruimtestaat[[#This Row],[Prest. (m2 /jaar) weekend]]/Ruimtestaat[[#This Row],[Norm (m2/uur) weekend]],0)</f>
        <v>0</v>
      </c>
      <c r="AC151" s="136">
        <f>Ruimtestaat[[#This Row],[uren / jaar weekend]]*Tariefsopbouw!$D$40</f>
        <v>0</v>
      </c>
      <c r="AD151" s="135">
        <f>Ruimtestaat[[#This Row],[Prest. (m2 /jaar) weekend]]+Ruimtestaat[[#This Row],[Prest. (m2 /jaar) werkdagen]]</f>
        <v>0</v>
      </c>
      <c r="AE151" s="135">
        <f>Ruimtestaat[[#This Row],[uren / jaar weekend]]+Ruimtestaat[[#This Row],[uren / jaar werkdagen]]</f>
        <v>0</v>
      </c>
      <c r="AF151" s="130">
        <f>Ruimtestaat[[#This Row],[kosten / jaar weekend]]+Ruimtestaat[[#This Row],[kosten / jaar werkdagen]]</f>
        <v>0</v>
      </c>
      <c r="AG151" s="130"/>
      <c r="AH151" s="137" t="str">
        <f>IF(Ruimtestaat[[#This Row],[Frequentie werkdagen]]="","",_xlfn.CONCAT(Ruimtestaat[[#This Row],[Ruimte code]],"-",Ruimtestaat[[#This Row],[Frequentie werkdagen]]," ",Ruimtestaat[[#This Row],[Vloer code]]))</f>
        <v/>
      </c>
      <c r="AI151" s="142" t="str">
        <f>_xlfn.IFNA(VLOOKUP($AH151,Programma!$F$3:$G$1101,2,0),"")</f>
        <v/>
      </c>
      <c r="AJ151" s="142" t="str">
        <f>_xlfn.IFNA(VLOOKUP($AH151,Programma!$F$3:$H$1101,3,0),"")</f>
        <v/>
      </c>
      <c r="AK151" s="142" t="str">
        <f>_xlfn.IFNA(VLOOKUP($AH151,Programma!$F$3:$I$1101,4,0),"")</f>
        <v/>
      </c>
      <c r="AL151" s="142" t="str">
        <f>_xlfn.IFNA(VLOOKUP($AH151,Programma!$F$3:$J$1101,5,0),"")</f>
        <v/>
      </c>
      <c r="AM151" s="142" t="str">
        <f>_xlfn.IFNA(VLOOKUP($AH151,Programma!$F$3:$K$1101,6,0),"")</f>
        <v/>
      </c>
      <c r="AN151" s="142" t="str">
        <f>_xlfn.IFNA(VLOOKUP($AH151,Programma!$F$3:$L$1101,7,0),"")</f>
        <v/>
      </c>
      <c r="AO151" s="142" t="str">
        <f>_xlfn.IFNA(VLOOKUP($AH151,Programma!$F$3:$M$1101,8,0),"")</f>
        <v/>
      </c>
      <c r="AP151" s="142" t="str">
        <f>_xlfn.IFNA(VLOOKUP($AH151,Programma!$F$3:$N$1101,9,0),"")</f>
        <v/>
      </c>
      <c r="AQ151" s="142" t="str">
        <f>_xlfn.IFNA(VLOOKUP($AH151,Programma!$F$3:$O$1101,10,0),"")</f>
        <v/>
      </c>
      <c r="AR151" s="142" t="str">
        <f>_xlfn.IFNA(VLOOKUP($AH151,Programma!$F$3:$P$1101,11,0),"")</f>
        <v/>
      </c>
      <c r="AS151" s="142" t="str">
        <f>_xlfn.IFNA(VLOOKUP($AH151,Programma!$F$3:$Q$1101,12,0),"")</f>
        <v/>
      </c>
      <c r="AT151" s="142" t="str">
        <f>_xlfn.IFNA(VLOOKUP($AH151,Programma!$F$3:$R$1101,13,0),"")</f>
        <v/>
      </c>
      <c r="AU151" s="142" t="str">
        <f>_xlfn.IFNA(VLOOKUP($AH151,Programma!$F$3:$S$1101,14,0),"")</f>
        <v/>
      </c>
      <c r="AV151" s="142" t="str">
        <f>_xlfn.IFNA(VLOOKUP($AH151,Programma!$F$3:$T$1101,15,0),"")</f>
        <v/>
      </c>
      <c r="AW151" s="142" t="str">
        <f>_xlfn.IFNA(VLOOKUP($AH151,Programma!$F$3:$U$1101,16,0),"")</f>
        <v/>
      </c>
      <c r="AX151" s="142" t="str">
        <f>_xlfn.IFNA(VLOOKUP($AH151,Programma!$F$3:$V$1101,17,0),"")</f>
        <v/>
      </c>
      <c r="AY151" s="142" t="str">
        <f>_xlfn.IFNA(VLOOKUP($AH151,Programma!$F$3:$W$1101,18,0),"")</f>
        <v/>
      </c>
      <c r="AZ151" s="142" t="str">
        <f>_xlfn.IFNA(VLOOKUP($AH151,Programma!$F$3:$X$1101,19,0),"")</f>
        <v/>
      </c>
      <c r="BA151" s="142" t="str">
        <f>_xlfn.IFNA(VLOOKUP($AH151,Programma!$F$3:$Y$1101,20,0),"")</f>
        <v/>
      </c>
      <c r="BB151" s="138"/>
      <c r="BC151" s="137" t="str">
        <f>IF(Ruimtestaat[[#This Row],[Frequentie weekend]]="","",_xlfn.CONCAT(Ruimtestaat[[#This Row],[Ruimte code]],"-",Ruimtestaat[[#This Row],[Frequentie weekend]]," ",Ruimtestaat[[#This Row],[Vloer code]]))</f>
        <v/>
      </c>
      <c r="BD151" s="142" t="str">
        <f>_xlfn.IFNA(VLOOKUP($BC151,Programma!$F$3:$G$1101,2,0),"")</f>
        <v/>
      </c>
      <c r="BE151" s="142" t="str">
        <f>_xlfn.IFNA(VLOOKUP($BC151,Programma!$F$3:$H$1101,3,0),"")</f>
        <v/>
      </c>
      <c r="BF151" s="142" t="str">
        <f>_xlfn.IFNA(VLOOKUP($BC151,Programma!$F$3:$I$1101,4,0),"")</f>
        <v/>
      </c>
      <c r="BG151" s="142" t="str">
        <f>_xlfn.IFNA(VLOOKUP($BC151,Programma!$F$3:$J$1101,5,0),"")</f>
        <v/>
      </c>
      <c r="BH151" s="142" t="str">
        <f>_xlfn.IFNA(VLOOKUP($BC151,Programma!$F$3:$K$1101,6,0),"")</f>
        <v/>
      </c>
      <c r="BI151" s="142" t="str">
        <f>_xlfn.IFNA(VLOOKUP($BC151,Programma!$F$3:$L$1101,7,0),"")</f>
        <v/>
      </c>
      <c r="BJ151" s="142" t="str">
        <f>_xlfn.IFNA(VLOOKUP($BC151,Programma!$F$3:$M$1101,8,0),"")</f>
        <v/>
      </c>
      <c r="BK151" s="142" t="str">
        <f>_xlfn.IFNA(VLOOKUP($BC151,Programma!$F$3:$N$1101,9,0),"")</f>
        <v/>
      </c>
      <c r="BL151" s="142" t="str">
        <f>_xlfn.IFNA(VLOOKUP($BC151,Programma!$F$3:$O$1101,10,0),"")</f>
        <v/>
      </c>
      <c r="BM151" s="142" t="str">
        <f>_xlfn.IFNA(VLOOKUP($BC151,Programma!$F$3:$P$1101,11,0),"")</f>
        <v/>
      </c>
      <c r="BN151" s="142" t="str">
        <f>_xlfn.IFNA(VLOOKUP($BC151,Programma!$F$3:$Q$1101,12,0),"")</f>
        <v/>
      </c>
      <c r="BO151" s="142" t="str">
        <f>_xlfn.IFNA(VLOOKUP($BC151,Programma!$F$3:$R$1101,13,0),"")</f>
        <v/>
      </c>
      <c r="BP151" s="142" t="str">
        <f>_xlfn.IFNA(VLOOKUP($BC151,Programma!$F$3:$S$1101,14,0),"")</f>
        <v/>
      </c>
      <c r="BQ151" s="142" t="str">
        <f>_xlfn.IFNA(VLOOKUP($BC151,Programma!$F$3:$T$1101,15,0),"")</f>
        <v/>
      </c>
      <c r="BR151" s="142" t="str">
        <f>_xlfn.IFNA(VLOOKUP($BC151,Programma!$F$3:$U$1101,16,0),"")</f>
        <v/>
      </c>
      <c r="BS151" s="142" t="str">
        <f>_xlfn.IFNA(VLOOKUP($BC151,Programma!$F$3:$V$1101,17,0),"")</f>
        <v/>
      </c>
      <c r="BT151" s="142" t="str">
        <f>_xlfn.IFNA(VLOOKUP($BC151,Programma!$F$3:$W$1101,18,0),"")</f>
        <v/>
      </c>
      <c r="BU151" s="142" t="str">
        <f>_xlfn.IFNA(VLOOKUP($BC151,Programma!$F$3:$X$1101,19,0),"")</f>
        <v/>
      </c>
      <c r="BV151" s="142" t="str">
        <f>_xlfn.IFNA(VLOOKUP($BC151,Programma!$F$3:$Y$1101,20,0),"")</f>
        <v/>
      </c>
      <c r="BW151" s="28"/>
      <c r="BX151" s="28"/>
      <c r="BY151" s="28"/>
      <c r="BZ151" s="28"/>
      <c r="CA151" s="28"/>
      <c r="CB151" s="28"/>
      <c r="CC151" s="28"/>
      <c r="CD151" s="28"/>
      <c r="CE151" s="28"/>
      <c r="CF151" s="28"/>
      <c r="CG151" s="28"/>
      <c r="CH151" s="28"/>
      <c r="CI151" s="28"/>
      <c r="CJ151" s="28"/>
      <c r="CK151" s="28"/>
      <c r="CL151" s="28"/>
      <c r="CM151" s="28"/>
      <c r="CN151" s="28"/>
      <c r="CO151" s="28"/>
      <c r="CP151" s="28"/>
      <c r="CQ151" s="28"/>
      <c r="CR151" s="28"/>
      <c r="CS151" s="28"/>
      <c r="CT151" s="28"/>
      <c r="CU151" s="28"/>
      <c r="CV151" s="28"/>
      <c r="CW151" s="28"/>
      <c r="CX151" s="28"/>
      <c r="CY151" s="28"/>
      <c r="CZ151" s="28"/>
      <c r="DA151" s="28"/>
      <c r="DB151" s="28"/>
      <c r="DC151" s="28"/>
      <c r="DD151" s="28"/>
      <c r="DE151" s="28"/>
      <c r="DF151" s="28"/>
      <c r="DG151" s="28"/>
      <c r="DH151" s="28"/>
      <c r="DI151" s="28"/>
      <c r="DJ151" s="28"/>
      <c r="DK151" s="28"/>
      <c r="DL151" s="28"/>
      <c r="DM151" s="28"/>
      <c r="DN151" s="28"/>
      <c r="DO151" s="28"/>
      <c r="DP151" s="28"/>
      <c r="DQ151" s="28"/>
      <c r="DR151" s="28"/>
      <c r="DS151" s="28"/>
      <c r="DT151" s="28"/>
      <c r="DU151" s="28"/>
      <c r="DV151" s="28"/>
      <c r="DW151" s="28"/>
      <c r="DX151" s="28"/>
      <c r="DY151" s="28"/>
      <c r="DZ151" s="28"/>
      <c r="EA151" s="28"/>
      <c r="EB151" s="28"/>
      <c r="EC151" s="28"/>
      <c r="ED151" s="28"/>
      <c r="EE151" s="28"/>
      <c r="EF151" s="28"/>
      <c r="EG151" s="28"/>
      <c r="EH151" s="28"/>
      <c r="EI151" s="28"/>
      <c r="EJ151" s="28"/>
      <c r="EK151" s="28"/>
      <c r="EL151" s="28"/>
      <c r="EM151" s="28"/>
      <c r="EN151" s="28"/>
      <c r="EO151" s="28"/>
      <c r="EP151" s="28"/>
      <c r="EQ151" s="28"/>
      <c r="ER151" s="28"/>
      <c r="ES151" s="28"/>
      <c r="ET151" s="28"/>
      <c r="EU151" s="28"/>
      <c r="EV151" s="28"/>
      <c r="EW151" s="28"/>
      <c r="EX151" s="28"/>
      <c r="EY151" s="28"/>
      <c r="EZ151" s="28"/>
      <c r="FA151" s="28"/>
      <c r="FB151" s="28"/>
      <c r="FC151" s="28"/>
      <c r="FD151" s="28"/>
      <c r="FE151" s="28"/>
      <c r="FF151" s="28"/>
      <c r="FG151" s="28"/>
      <c r="FH151" s="28"/>
      <c r="FI151" s="28"/>
      <c r="FJ151" s="28"/>
      <c r="FK151" s="28"/>
      <c r="FL151" s="28"/>
      <c r="FM151" s="28"/>
      <c r="FN151" s="28"/>
      <c r="FO151" s="28"/>
      <c r="FP151" s="28"/>
      <c r="FQ151" s="28"/>
      <c r="FR151" s="28"/>
      <c r="FS151" s="28"/>
      <c r="FT151" s="28"/>
      <c r="FU151" s="28"/>
      <c r="FV151" s="28"/>
      <c r="FW151" s="28"/>
      <c r="FX151" s="28"/>
      <c r="FY151" s="28"/>
      <c r="FZ151" s="28"/>
      <c r="GA151" s="28"/>
      <c r="GB151" s="28"/>
      <c r="GC151" s="28"/>
      <c r="GD151" s="28"/>
      <c r="GE151" s="28"/>
      <c r="GF151" s="28"/>
      <c r="GG151" s="28"/>
      <c r="GH151" s="28"/>
      <c r="GI151" s="28"/>
      <c r="GJ151" s="28"/>
      <c r="GK151" s="28"/>
      <c r="GL151" s="28"/>
      <c r="GM151" s="28"/>
      <c r="GN151" s="28"/>
      <c r="GO151" s="28"/>
      <c r="GP151" s="28"/>
      <c r="GQ151" s="28"/>
      <c r="GR151" s="28"/>
      <c r="GS151" s="28"/>
      <c r="GT151" s="28"/>
      <c r="GU151" s="28"/>
      <c r="GV151" s="28"/>
      <c r="GW151" s="28"/>
      <c r="GX151" s="28"/>
      <c r="GY151" s="28"/>
      <c r="GZ151" s="28"/>
      <c r="HA151" s="28"/>
      <c r="HB151" s="28"/>
      <c r="HC151" s="28"/>
      <c r="HD151" s="28"/>
      <c r="HE151" s="28"/>
      <c r="HF151" s="28"/>
      <c r="HG151" s="28"/>
      <c r="HH151" s="28"/>
      <c r="HI151" s="28"/>
      <c r="HJ151" s="28"/>
      <c r="HK151" s="28"/>
    </row>
    <row r="152" spans="1:219" ht="15" customHeight="1">
      <c r="A152" s="49">
        <v>1</v>
      </c>
      <c r="B152" s="132" t="str">
        <f>VLOOKUP(Ruimtestaat[[#This Row],[Code]],Locaties[[Code]:[Locatie]],2,FALSE)</f>
        <v>Mirtehuis</v>
      </c>
      <c r="C152" s="132" t="str">
        <f>VLOOKUP(Ruimtestaat[[#This Row],[Code]],Locaties[[#All],[Code]:[Adres]],4,FALSE)</f>
        <v>Weseperweg 6</v>
      </c>
      <c r="D152" s="132" t="str">
        <f>VLOOKUP(Ruimtestaat[[#This Row],[Code]],Locaties[[#All],[Code]:[Postcode]],5,FALSE)</f>
        <v>8111 PK</v>
      </c>
      <c r="E152" s="132" t="str">
        <f>VLOOKUP(Ruimtestaat[[#This Row],[Code]],Locaties[#All],6,FALSE)</f>
        <v>Heeten</v>
      </c>
      <c r="F152" s="100"/>
      <c r="G152" s="100" t="s">
        <v>1677</v>
      </c>
      <c r="I152" s="140" t="s">
        <v>1668</v>
      </c>
      <c r="J152" s="49">
        <v>20</v>
      </c>
      <c r="K152" s="140" t="str">
        <f>VLOOKUP(Ruimtestaat[[#This Row],[Ruimte code]],Ruimtegroepen[[#All],[Code]:[Ruimte omschrijving]],2,FALSE)</f>
        <v>Niet in Onderhoud</v>
      </c>
      <c r="L152" s="100"/>
      <c r="M152" s="345"/>
      <c r="N152" s="133"/>
      <c r="O152" s="139"/>
      <c r="P152" s="134">
        <f>VLOOKUP(Ruimtestaat[[#This Row],[Ruimte code]],Ruimtegroepen[],4,FALSE)</f>
        <v>0</v>
      </c>
      <c r="Q152" s="100"/>
      <c r="R152" s="100"/>
      <c r="S152" s="100">
        <f>IF(Q152&gt;0,IF(RIGHT(Ruimtestaat[[#This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52" s="100">
        <f>IF(S152&gt;0,VLOOKUP($J152,Ruimtegroepen[],3,FALSE)*VLOOKUP($L152,Vloersoorten[],3,FALSE)*VLOOKUP($R152,Frequenties[],3,FALSE)*VLOOKUP($A152,Locaties[],3,FALSE),0)</f>
        <v>0</v>
      </c>
      <c r="U152" s="100">
        <f>Ruimtestaat[[#This Row],[Uitvoeringen werkdagen]]*Ruimtestaat[[#This Row],[Oppervlak (netto)]]</f>
        <v>0</v>
      </c>
      <c r="V152" s="135">
        <f>IF(T152&gt;0,Ruimtestaat[[#This Row],[Prest. (m2 /jaar) werkdagen]]/Ruimtestaat[[#This Row],[Norm (m2/uur) werkdagen]],0)</f>
        <v>0</v>
      </c>
      <c r="W152" s="136">
        <f>Ruimtestaat[[#This Row],[uren / jaar werkdagen]]*Tariefsopbouw!$E$35</f>
        <v>0</v>
      </c>
      <c r="X152" s="100"/>
      <c r="Y152" s="100">
        <f>IF(Ruimtestaat[[#This Row],[Frequentie weekend]]&gt;0,VALUE(LEFT(X152,1))*Q152,0)</f>
        <v>0</v>
      </c>
      <c r="Z152" s="99">
        <f>IF($Y152&gt;0,VLOOKUP($J152,Ruimtegroepen[],3,FALSE)*VLOOKUP($L152,Vloersoorten[],3,FALSE)*VLOOKUP($X152,Frequenties[],3,FALSE)*VLOOKUP(Ruimtestaat[[#This Row],[Code]],Locaties[],3,FALSE),0)</f>
        <v>0</v>
      </c>
      <c r="AA152" s="99">
        <f>Ruimtestaat[[#This Row],[Uitvoeringen weekend]]*Ruimtestaat[[#This Row],[Oppervlak (netto)]]</f>
        <v>0</v>
      </c>
      <c r="AB152" s="99">
        <f>IF(Z152&gt;0,Ruimtestaat[[#This Row],[Prest. (m2 /jaar) weekend]]/Ruimtestaat[[#This Row],[Norm (m2/uur) weekend]],0)</f>
        <v>0</v>
      </c>
      <c r="AC152" s="136">
        <f>Ruimtestaat[[#This Row],[uren / jaar weekend]]*Tariefsopbouw!$D$40</f>
        <v>0</v>
      </c>
      <c r="AD152" s="135">
        <f>Ruimtestaat[[#This Row],[Prest. (m2 /jaar) weekend]]+Ruimtestaat[[#This Row],[Prest. (m2 /jaar) werkdagen]]</f>
        <v>0</v>
      </c>
      <c r="AE152" s="135">
        <f>Ruimtestaat[[#This Row],[uren / jaar weekend]]+Ruimtestaat[[#This Row],[uren / jaar werkdagen]]</f>
        <v>0</v>
      </c>
      <c r="AF152" s="130">
        <f>Ruimtestaat[[#This Row],[kosten / jaar weekend]]+Ruimtestaat[[#This Row],[kosten / jaar werkdagen]]</f>
        <v>0</v>
      </c>
      <c r="AG152" s="130"/>
      <c r="AH152" s="137" t="str">
        <f>IF(Ruimtestaat[[#This Row],[Frequentie werkdagen]]="","",_xlfn.CONCAT(Ruimtestaat[[#This Row],[Ruimte code]],"-",Ruimtestaat[[#This Row],[Frequentie werkdagen]]," ",Ruimtestaat[[#This Row],[Vloer code]]))</f>
        <v/>
      </c>
      <c r="AI152" s="142" t="str">
        <f>_xlfn.IFNA(VLOOKUP($AH152,Programma!$F$3:$G$1101,2,0),"")</f>
        <v/>
      </c>
      <c r="AJ152" s="142" t="str">
        <f>_xlfn.IFNA(VLOOKUP($AH152,Programma!$F$3:$H$1101,3,0),"")</f>
        <v/>
      </c>
      <c r="AK152" s="142" t="str">
        <f>_xlfn.IFNA(VLOOKUP($AH152,Programma!$F$3:$I$1101,4,0),"")</f>
        <v/>
      </c>
      <c r="AL152" s="142" t="str">
        <f>_xlfn.IFNA(VLOOKUP($AH152,Programma!$F$3:$J$1101,5,0),"")</f>
        <v/>
      </c>
      <c r="AM152" s="142" t="str">
        <f>_xlfn.IFNA(VLOOKUP($AH152,Programma!$F$3:$K$1101,6,0),"")</f>
        <v/>
      </c>
      <c r="AN152" s="142" t="str">
        <f>_xlfn.IFNA(VLOOKUP($AH152,Programma!$F$3:$L$1101,7,0),"")</f>
        <v/>
      </c>
      <c r="AO152" s="142" t="str">
        <f>_xlfn.IFNA(VLOOKUP($AH152,Programma!$F$3:$M$1101,8,0),"")</f>
        <v/>
      </c>
      <c r="AP152" s="142" t="str">
        <f>_xlfn.IFNA(VLOOKUP($AH152,Programma!$F$3:$N$1101,9,0),"")</f>
        <v/>
      </c>
      <c r="AQ152" s="142" t="str">
        <f>_xlfn.IFNA(VLOOKUP($AH152,Programma!$F$3:$O$1101,10,0),"")</f>
        <v/>
      </c>
      <c r="AR152" s="142" t="str">
        <f>_xlfn.IFNA(VLOOKUP($AH152,Programma!$F$3:$P$1101,11,0),"")</f>
        <v/>
      </c>
      <c r="AS152" s="142" t="str">
        <f>_xlfn.IFNA(VLOOKUP($AH152,Programma!$F$3:$Q$1101,12,0),"")</f>
        <v/>
      </c>
      <c r="AT152" s="142" t="str">
        <f>_xlfn.IFNA(VLOOKUP($AH152,Programma!$F$3:$R$1101,13,0),"")</f>
        <v/>
      </c>
      <c r="AU152" s="142" t="str">
        <f>_xlfn.IFNA(VLOOKUP($AH152,Programma!$F$3:$S$1101,14,0),"")</f>
        <v/>
      </c>
      <c r="AV152" s="142" t="str">
        <f>_xlfn.IFNA(VLOOKUP($AH152,Programma!$F$3:$T$1101,15,0),"")</f>
        <v/>
      </c>
      <c r="AW152" s="142" t="str">
        <f>_xlfn.IFNA(VLOOKUP($AH152,Programma!$F$3:$U$1101,16,0),"")</f>
        <v/>
      </c>
      <c r="AX152" s="142" t="str">
        <f>_xlfn.IFNA(VLOOKUP($AH152,Programma!$F$3:$V$1101,17,0),"")</f>
        <v/>
      </c>
      <c r="AY152" s="142" t="str">
        <f>_xlfn.IFNA(VLOOKUP($AH152,Programma!$F$3:$W$1101,18,0),"")</f>
        <v/>
      </c>
      <c r="AZ152" s="142" t="str">
        <f>_xlfn.IFNA(VLOOKUP($AH152,Programma!$F$3:$X$1101,19,0),"")</f>
        <v/>
      </c>
      <c r="BA152" s="142" t="str">
        <f>_xlfn.IFNA(VLOOKUP($AH152,Programma!$F$3:$Y$1101,20,0),"")</f>
        <v/>
      </c>
      <c r="BB152" s="138"/>
      <c r="BC152" s="137" t="str">
        <f>IF(Ruimtestaat[[#This Row],[Frequentie weekend]]="","",_xlfn.CONCAT(Ruimtestaat[[#This Row],[Ruimte code]],"-",Ruimtestaat[[#This Row],[Frequentie weekend]]," ",Ruimtestaat[[#This Row],[Vloer code]]))</f>
        <v/>
      </c>
      <c r="BD152" s="142" t="str">
        <f>_xlfn.IFNA(VLOOKUP($BC152,Programma!$F$3:$G$1101,2,0),"")</f>
        <v/>
      </c>
      <c r="BE152" s="142" t="str">
        <f>_xlfn.IFNA(VLOOKUP($BC152,Programma!$F$3:$H$1101,3,0),"")</f>
        <v/>
      </c>
      <c r="BF152" s="142" t="str">
        <f>_xlfn.IFNA(VLOOKUP($BC152,Programma!$F$3:$I$1101,4,0),"")</f>
        <v/>
      </c>
      <c r="BG152" s="142" t="str">
        <f>_xlfn.IFNA(VLOOKUP($BC152,Programma!$F$3:$J$1101,5,0),"")</f>
        <v/>
      </c>
      <c r="BH152" s="142" t="str">
        <f>_xlfn.IFNA(VLOOKUP($BC152,Programma!$F$3:$K$1101,6,0),"")</f>
        <v/>
      </c>
      <c r="BI152" s="142" t="str">
        <f>_xlfn.IFNA(VLOOKUP($BC152,Programma!$F$3:$L$1101,7,0),"")</f>
        <v/>
      </c>
      <c r="BJ152" s="142" t="str">
        <f>_xlfn.IFNA(VLOOKUP($BC152,Programma!$F$3:$M$1101,8,0),"")</f>
        <v/>
      </c>
      <c r="BK152" s="142" t="str">
        <f>_xlfn.IFNA(VLOOKUP($BC152,Programma!$F$3:$N$1101,9,0),"")</f>
        <v/>
      </c>
      <c r="BL152" s="142" t="str">
        <f>_xlfn.IFNA(VLOOKUP($BC152,Programma!$F$3:$O$1101,10,0),"")</f>
        <v/>
      </c>
      <c r="BM152" s="142" t="str">
        <f>_xlfn.IFNA(VLOOKUP($BC152,Programma!$F$3:$P$1101,11,0),"")</f>
        <v/>
      </c>
      <c r="BN152" s="142" t="str">
        <f>_xlfn.IFNA(VLOOKUP($BC152,Programma!$F$3:$Q$1101,12,0),"")</f>
        <v/>
      </c>
      <c r="BO152" s="142" t="str">
        <f>_xlfn.IFNA(VLOOKUP($BC152,Programma!$F$3:$R$1101,13,0),"")</f>
        <v/>
      </c>
      <c r="BP152" s="142" t="str">
        <f>_xlfn.IFNA(VLOOKUP($BC152,Programma!$F$3:$S$1101,14,0),"")</f>
        <v/>
      </c>
      <c r="BQ152" s="142" t="str">
        <f>_xlfn.IFNA(VLOOKUP($BC152,Programma!$F$3:$T$1101,15,0),"")</f>
        <v/>
      </c>
      <c r="BR152" s="142" t="str">
        <f>_xlfn.IFNA(VLOOKUP($BC152,Programma!$F$3:$U$1101,16,0),"")</f>
        <v/>
      </c>
      <c r="BS152" s="142" t="str">
        <f>_xlfn.IFNA(VLOOKUP($BC152,Programma!$F$3:$V$1101,17,0),"")</f>
        <v/>
      </c>
      <c r="BT152" s="142" t="str">
        <f>_xlfn.IFNA(VLOOKUP($BC152,Programma!$F$3:$W$1101,18,0),"")</f>
        <v/>
      </c>
      <c r="BU152" s="142" t="str">
        <f>_xlfn.IFNA(VLOOKUP($BC152,Programma!$F$3:$X$1101,19,0),"")</f>
        <v/>
      </c>
      <c r="BV152" s="142" t="str">
        <f>_xlfn.IFNA(VLOOKUP($BC152,Programma!$F$3:$Y$1101,20,0),"")</f>
        <v/>
      </c>
      <c r="BW152" s="28"/>
      <c r="BX152" s="28"/>
      <c r="BY152" s="28"/>
      <c r="BZ152" s="28"/>
      <c r="CA152" s="28"/>
      <c r="CB152" s="28"/>
      <c r="CC152" s="28"/>
      <c r="CD152" s="28"/>
      <c r="CE152" s="28"/>
      <c r="CF152" s="28"/>
      <c r="CG152" s="28"/>
      <c r="CH152" s="28"/>
      <c r="CI152" s="28"/>
      <c r="CJ152" s="28"/>
      <c r="CK152" s="28"/>
      <c r="CL152" s="28"/>
      <c r="CM152" s="28"/>
      <c r="CN152" s="28"/>
      <c r="CO152" s="28"/>
      <c r="CP152" s="28"/>
      <c r="CQ152" s="28"/>
      <c r="CR152" s="28"/>
      <c r="CS152" s="28"/>
      <c r="CT152" s="28"/>
      <c r="CU152" s="28"/>
      <c r="CV152" s="28"/>
      <c r="CW152" s="28"/>
      <c r="CX152" s="28"/>
      <c r="CY152" s="28"/>
      <c r="CZ152" s="28"/>
      <c r="DA152" s="28"/>
      <c r="DB152" s="28"/>
      <c r="DC152" s="28"/>
      <c r="DD152" s="28"/>
      <c r="DE152" s="28"/>
      <c r="DF152" s="28"/>
      <c r="DG152" s="28"/>
      <c r="DH152" s="28"/>
      <c r="DI152" s="28"/>
      <c r="DJ152" s="28"/>
      <c r="DK152" s="28"/>
      <c r="DL152" s="28"/>
      <c r="DM152" s="28"/>
      <c r="DN152" s="28"/>
      <c r="DO152" s="28"/>
      <c r="DP152" s="28"/>
      <c r="DQ152" s="28"/>
      <c r="DR152" s="28"/>
      <c r="DS152" s="28"/>
      <c r="DT152" s="28"/>
      <c r="DU152" s="28"/>
      <c r="DV152" s="28"/>
      <c r="DW152" s="28"/>
      <c r="DX152" s="28"/>
      <c r="DY152" s="28"/>
      <c r="DZ152" s="28"/>
      <c r="EA152" s="28"/>
      <c r="EB152" s="28"/>
      <c r="EC152" s="28"/>
      <c r="ED152" s="28"/>
      <c r="EE152" s="28"/>
      <c r="EF152" s="28"/>
      <c r="EG152" s="28"/>
      <c r="EH152" s="28"/>
      <c r="EI152" s="28"/>
      <c r="EJ152" s="28"/>
      <c r="EK152" s="28"/>
      <c r="EL152" s="28"/>
      <c r="EM152" s="28"/>
      <c r="EN152" s="28"/>
      <c r="EO152" s="28"/>
      <c r="EP152" s="28"/>
      <c r="EQ152" s="28"/>
      <c r="ER152" s="28"/>
      <c r="ES152" s="28"/>
      <c r="ET152" s="28"/>
      <c r="EU152" s="28"/>
      <c r="EV152" s="28"/>
      <c r="EW152" s="28"/>
      <c r="EX152" s="28"/>
      <c r="EY152" s="28"/>
      <c r="EZ152" s="28"/>
      <c r="FA152" s="28"/>
      <c r="FB152" s="28"/>
      <c r="FC152" s="28"/>
      <c r="FD152" s="28"/>
      <c r="FE152" s="28"/>
      <c r="FF152" s="28"/>
      <c r="FG152" s="28"/>
      <c r="FH152" s="28"/>
      <c r="FI152" s="28"/>
      <c r="FJ152" s="28"/>
      <c r="FK152" s="28"/>
      <c r="FL152" s="28"/>
      <c r="FM152" s="28"/>
      <c r="FN152" s="28"/>
      <c r="FO152" s="28"/>
      <c r="FP152" s="28"/>
      <c r="FQ152" s="28"/>
      <c r="FR152" s="28"/>
      <c r="FS152" s="28"/>
      <c r="FT152" s="28"/>
      <c r="FU152" s="28"/>
      <c r="FV152" s="28"/>
      <c r="FW152" s="28"/>
      <c r="FX152" s="28"/>
      <c r="FY152" s="28"/>
      <c r="FZ152" s="28"/>
      <c r="GA152" s="28"/>
      <c r="GB152" s="28"/>
      <c r="GC152" s="28"/>
      <c r="GD152" s="28"/>
      <c r="GE152" s="28"/>
      <c r="GF152" s="28"/>
      <c r="GG152" s="28"/>
      <c r="GH152" s="28"/>
      <c r="GI152" s="28"/>
      <c r="GJ152" s="28"/>
      <c r="GK152" s="28"/>
      <c r="GL152" s="28"/>
      <c r="GM152" s="28"/>
      <c r="GN152" s="28"/>
      <c r="GO152" s="28"/>
      <c r="GP152" s="28"/>
      <c r="GQ152" s="28"/>
      <c r="GR152" s="28"/>
      <c r="GS152" s="28"/>
      <c r="GT152" s="28"/>
      <c r="GU152" s="28"/>
      <c r="GV152" s="28"/>
      <c r="GW152" s="28"/>
      <c r="GX152" s="28"/>
      <c r="GY152" s="28"/>
      <c r="GZ152" s="28"/>
      <c r="HA152" s="28"/>
      <c r="HB152" s="28"/>
      <c r="HC152" s="28"/>
      <c r="HD152" s="28"/>
      <c r="HE152" s="28"/>
      <c r="HF152" s="28"/>
      <c r="HG152" s="28"/>
      <c r="HH152" s="28"/>
      <c r="HI152" s="28"/>
      <c r="HJ152" s="28"/>
      <c r="HK152" s="28"/>
    </row>
    <row r="153" spans="1:219" ht="15" customHeight="1">
      <c r="A153" s="49">
        <v>1</v>
      </c>
      <c r="B153" s="132" t="str">
        <f>VLOOKUP(Ruimtestaat[[#This Row],[Code]],Locaties[[Code]:[Locatie]],2,FALSE)</f>
        <v>Mirtehuis</v>
      </c>
      <c r="C153" s="132" t="str">
        <f>VLOOKUP(Ruimtestaat[[#This Row],[Code]],Locaties[[#All],[Code]:[Adres]],4,FALSE)</f>
        <v>Weseperweg 6</v>
      </c>
      <c r="D153" s="132" t="str">
        <f>VLOOKUP(Ruimtestaat[[#This Row],[Code]],Locaties[[#All],[Code]:[Postcode]],5,FALSE)</f>
        <v>8111 PK</v>
      </c>
      <c r="E153" s="132" t="str">
        <f>VLOOKUP(Ruimtestaat[[#This Row],[Code]],Locaties[#All],6,FALSE)</f>
        <v>Heeten</v>
      </c>
      <c r="F153" s="100"/>
      <c r="G153" s="100" t="s">
        <v>1677</v>
      </c>
      <c r="I153" s="140" t="s">
        <v>1656</v>
      </c>
      <c r="J153" s="49">
        <v>20</v>
      </c>
      <c r="K153" s="140" t="str">
        <f>VLOOKUP(Ruimtestaat[[#This Row],[Ruimte code]],Ruimtegroepen[[#All],[Code]:[Ruimte omschrijving]],2,FALSE)</f>
        <v>Niet in Onderhoud</v>
      </c>
      <c r="L153" s="100"/>
      <c r="M153" s="345"/>
      <c r="N153" s="133"/>
      <c r="O153" s="139"/>
      <c r="P153" s="134">
        <f>VLOOKUP(Ruimtestaat[[#This Row],[Ruimte code]],Ruimtegroepen[],4,FALSE)</f>
        <v>0</v>
      </c>
      <c r="Q153" s="100"/>
      <c r="R153" s="100"/>
      <c r="S153" s="100">
        <f>IF(Q153&gt;0,IF(RIGHT(Ruimtestaat[[#This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53" s="100">
        <f>IF(S153&gt;0,VLOOKUP($J153,Ruimtegroepen[],3,FALSE)*VLOOKUP($L153,Vloersoorten[],3,FALSE)*VLOOKUP($R153,Frequenties[],3,FALSE)*VLOOKUP($A153,Locaties[],3,FALSE),0)</f>
        <v>0</v>
      </c>
      <c r="U153" s="100">
        <f>Ruimtestaat[[#This Row],[Uitvoeringen werkdagen]]*Ruimtestaat[[#This Row],[Oppervlak (netto)]]</f>
        <v>0</v>
      </c>
      <c r="V153" s="135">
        <f>IF(T153&gt;0,Ruimtestaat[[#This Row],[Prest. (m2 /jaar) werkdagen]]/Ruimtestaat[[#This Row],[Norm (m2/uur) werkdagen]],0)</f>
        <v>0</v>
      </c>
      <c r="W153" s="136">
        <f>Ruimtestaat[[#This Row],[uren / jaar werkdagen]]*Tariefsopbouw!$E$35</f>
        <v>0</v>
      </c>
      <c r="X153" s="100"/>
      <c r="Y153" s="100">
        <f>IF(Ruimtestaat[[#This Row],[Frequentie weekend]]&gt;0,VALUE(LEFT(X153,1))*Q153,0)</f>
        <v>0</v>
      </c>
      <c r="Z153" s="99">
        <f>IF($Y153&gt;0,VLOOKUP($J153,Ruimtegroepen[],3,FALSE)*VLOOKUP($L153,Vloersoorten[],3,FALSE)*VLOOKUP($X153,Frequenties[],3,FALSE)*VLOOKUP(Ruimtestaat[[#This Row],[Code]],Locaties[],3,FALSE),0)</f>
        <v>0</v>
      </c>
      <c r="AA153" s="99">
        <f>Ruimtestaat[[#This Row],[Uitvoeringen weekend]]*Ruimtestaat[[#This Row],[Oppervlak (netto)]]</f>
        <v>0</v>
      </c>
      <c r="AB153" s="99">
        <f>IF(Z153&gt;0,Ruimtestaat[[#This Row],[Prest. (m2 /jaar) weekend]]/Ruimtestaat[[#This Row],[Norm (m2/uur) weekend]],0)</f>
        <v>0</v>
      </c>
      <c r="AC153" s="136">
        <f>Ruimtestaat[[#This Row],[uren / jaar weekend]]*Tariefsopbouw!$D$40</f>
        <v>0</v>
      </c>
      <c r="AD153" s="135">
        <f>Ruimtestaat[[#This Row],[Prest. (m2 /jaar) weekend]]+Ruimtestaat[[#This Row],[Prest. (m2 /jaar) werkdagen]]</f>
        <v>0</v>
      </c>
      <c r="AE153" s="135">
        <f>Ruimtestaat[[#This Row],[uren / jaar weekend]]+Ruimtestaat[[#This Row],[uren / jaar werkdagen]]</f>
        <v>0</v>
      </c>
      <c r="AF153" s="130">
        <f>Ruimtestaat[[#This Row],[kosten / jaar weekend]]+Ruimtestaat[[#This Row],[kosten / jaar werkdagen]]</f>
        <v>0</v>
      </c>
      <c r="AG153" s="130"/>
      <c r="AH153" s="137" t="str">
        <f>IF(Ruimtestaat[[#This Row],[Frequentie werkdagen]]="","",_xlfn.CONCAT(Ruimtestaat[[#This Row],[Ruimte code]],"-",Ruimtestaat[[#This Row],[Frequentie werkdagen]]," ",Ruimtestaat[[#This Row],[Vloer code]]))</f>
        <v/>
      </c>
      <c r="AI153" s="142" t="str">
        <f>_xlfn.IFNA(VLOOKUP($AH153,Programma!$F$3:$G$1101,2,0),"")</f>
        <v/>
      </c>
      <c r="AJ153" s="142" t="str">
        <f>_xlfn.IFNA(VLOOKUP($AH153,Programma!$F$3:$H$1101,3,0),"")</f>
        <v/>
      </c>
      <c r="AK153" s="142" t="str">
        <f>_xlfn.IFNA(VLOOKUP($AH153,Programma!$F$3:$I$1101,4,0),"")</f>
        <v/>
      </c>
      <c r="AL153" s="142" t="str">
        <f>_xlfn.IFNA(VLOOKUP($AH153,Programma!$F$3:$J$1101,5,0),"")</f>
        <v/>
      </c>
      <c r="AM153" s="142" t="str">
        <f>_xlfn.IFNA(VLOOKUP($AH153,Programma!$F$3:$K$1101,6,0),"")</f>
        <v/>
      </c>
      <c r="AN153" s="142" t="str">
        <f>_xlfn.IFNA(VLOOKUP($AH153,Programma!$F$3:$L$1101,7,0),"")</f>
        <v/>
      </c>
      <c r="AO153" s="142" t="str">
        <f>_xlfn.IFNA(VLOOKUP($AH153,Programma!$F$3:$M$1101,8,0),"")</f>
        <v/>
      </c>
      <c r="AP153" s="142" t="str">
        <f>_xlfn.IFNA(VLOOKUP($AH153,Programma!$F$3:$N$1101,9,0),"")</f>
        <v/>
      </c>
      <c r="AQ153" s="142" t="str">
        <f>_xlfn.IFNA(VLOOKUP($AH153,Programma!$F$3:$O$1101,10,0),"")</f>
        <v/>
      </c>
      <c r="AR153" s="142" t="str">
        <f>_xlfn.IFNA(VLOOKUP($AH153,Programma!$F$3:$P$1101,11,0),"")</f>
        <v/>
      </c>
      <c r="AS153" s="142" t="str">
        <f>_xlfn.IFNA(VLOOKUP($AH153,Programma!$F$3:$Q$1101,12,0),"")</f>
        <v/>
      </c>
      <c r="AT153" s="142" t="str">
        <f>_xlfn.IFNA(VLOOKUP($AH153,Programma!$F$3:$R$1101,13,0),"")</f>
        <v/>
      </c>
      <c r="AU153" s="142" t="str">
        <f>_xlfn.IFNA(VLOOKUP($AH153,Programma!$F$3:$S$1101,14,0),"")</f>
        <v/>
      </c>
      <c r="AV153" s="142" t="str">
        <f>_xlfn.IFNA(VLOOKUP($AH153,Programma!$F$3:$T$1101,15,0),"")</f>
        <v/>
      </c>
      <c r="AW153" s="142" t="str">
        <f>_xlfn.IFNA(VLOOKUP($AH153,Programma!$F$3:$U$1101,16,0),"")</f>
        <v/>
      </c>
      <c r="AX153" s="142" t="str">
        <f>_xlfn.IFNA(VLOOKUP($AH153,Programma!$F$3:$V$1101,17,0),"")</f>
        <v/>
      </c>
      <c r="AY153" s="142" t="str">
        <f>_xlfn.IFNA(VLOOKUP($AH153,Programma!$F$3:$W$1101,18,0),"")</f>
        <v/>
      </c>
      <c r="AZ153" s="142" t="str">
        <f>_xlfn.IFNA(VLOOKUP($AH153,Programma!$F$3:$X$1101,19,0),"")</f>
        <v/>
      </c>
      <c r="BA153" s="142" t="str">
        <f>_xlfn.IFNA(VLOOKUP($AH153,Programma!$F$3:$Y$1101,20,0),"")</f>
        <v/>
      </c>
      <c r="BB153" s="138"/>
      <c r="BC153" s="137" t="str">
        <f>IF(Ruimtestaat[[#This Row],[Frequentie weekend]]="","",_xlfn.CONCAT(Ruimtestaat[[#This Row],[Ruimte code]],"-",Ruimtestaat[[#This Row],[Frequentie weekend]]," ",Ruimtestaat[[#This Row],[Vloer code]]))</f>
        <v/>
      </c>
      <c r="BD153" s="142" t="str">
        <f>_xlfn.IFNA(VLOOKUP($BC153,Programma!$F$3:$G$1101,2,0),"")</f>
        <v/>
      </c>
      <c r="BE153" s="142" t="str">
        <f>_xlfn.IFNA(VLOOKUP($BC153,Programma!$F$3:$H$1101,3,0),"")</f>
        <v/>
      </c>
      <c r="BF153" s="142" t="str">
        <f>_xlfn.IFNA(VLOOKUP($BC153,Programma!$F$3:$I$1101,4,0),"")</f>
        <v/>
      </c>
      <c r="BG153" s="142" t="str">
        <f>_xlfn.IFNA(VLOOKUP($BC153,Programma!$F$3:$J$1101,5,0),"")</f>
        <v/>
      </c>
      <c r="BH153" s="142" t="str">
        <f>_xlfn.IFNA(VLOOKUP($BC153,Programma!$F$3:$K$1101,6,0),"")</f>
        <v/>
      </c>
      <c r="BI153" s="142" t="str">
        <f>_xlfn.IFNA(VLOOKUP($BC153,Programma!$F$3:$L$1101,7,0),"")</f>
        <v/>
      </c>
      <c r="BJ153" s="142" t="str">
        <f>_xlfn.IFNA(VLOOKUP($BC153,Programma!$F$3:$M$1101,8,0),"")</f>
        <v/>
      </c>
      <c r="BK153" s="142" t="str">
        <f>_xlfn.IFNA(VLOOKUP($BC153,Programma!$F$3:$N$1101,9,0),"")</f>
        <v/>
      </c>
      <c r="BL153" s="142" t="str">
        <f>_xlfn.IFNA(VLOOKUP($BC153,Programma!$F$3:$O$1101,10,0),"")</f>
        <v/>
      </c>
      <c r="BM153" s="142" t="str">
        <f>_xlfn.IFNA(VLOOKUP($BC153,Programma!$F$3:$P$1101,11,0),"")</f>
        <v/>
      </c>
      <c r="BN153" s="142" t="str">
        <f>_xlfn.IFNA(VLOOKUP($BC153,Programma!$F$3:$Q$1101,12,0),"")</f>
        <v/>
      </c>
      <c r="BO153" s="142" t="str">
        <f>_xlfn.IFNA(VLOOKUP($BC153,Programma!$F$3:$R$1101,13,0),"")</f>
        <v/>
      </c>
      <c r="BP153" s="142" t="str">
        <f>_xlfn.IFNA(VLOOKUP($BC153,Programma!$F$3:$S$1101,14,0),"")</f>
        <v/>
      </c>
      <c r="BQ153" s="142" t="str">
        <f>_xlfn.IFNA(VLOOKUP($BC153,Programma!$F$3:$T$1101,15,0),"")</f>
        <v/>
      </c>
      <c r="BR153" s="142" t="str">
        <f>_xlfn.IFNA(VLOOKUP($BC153,Programma!$F$3:$U$1101,16,0),"")</f>
        <v/>
      </c>
      <c r="BS153" s="142" t="str">
        <f>_xlfn.IFNA(VLOOKUP($BC153,Programma!$F$3:$V$1101,17,0),"")</f>
        <v/>
      </c>
      <c r="BT153" s="142" t="str">
        <f>_xlfn.IFNA(VLOOKUP($BC153,Programma!$F$3:$W$1101,18,0),"")</f>
        <v/>
      </c>
      <c r="BU153" s="142" t="str">
        <f>_xlfn.IFNA(VLOOKUP($BC153,Programma!$F$3:$X$1101,19,0),"")</f>
        <v/>
      </c>
      <c r="BV153" s="142" t="str">
        <f>_xlfn.IFNA(VLOOKUP($BC153,Programma!$F$3:$Y$1101,20,0),"")</f>
        <v/>
      </c>
      <c r="BW153" s="28"/>
      <c r="BX153" s="28"/>
      <c r="BY153" s="28"/>
      <c r="BZ153" s="28"/>
      <c r="CA153" s="28"/>
      <c r="CB153" s="28"/>
      <c r="CC153" s="28"/>
      <c r="CD153" s="28"/>
      <c r="CE153" s="28"/>
      <c r="CF153" s="28"/>
      <c r="CG153" s="28"/>
      <c r="CH153" s="28"/>
      <c r="CI153" s="28"/>
      <c r="CJ153" s="28"/>
      <c r="CK153" s="28"/>
      <c r="CL153" s="28"/>
      <c r="CM153" s="28"/>
      <c r="CN153" s="28"/>
      <c r="CO153" s="28"/>
      <c r="CP153" s="28"/>
      <c r="CQ153" s="28"/>
      <c r="CR153" s="28"/>
      <c r="CS153" s="28"/>
      <c r="CT153" s="28"/>
      <c r="CU153" s="28"/>
      <c r="CV153" s="28"/>
      <c r="CW153" s="28"/>
      <c r="CX153" s="28"/>
      <c r="CY153" s="28"/>
      <c r="CZ153" s="28"/>
      <c r="DA153" s="28"/>
      <c r="DB153" s="28"/>
      <c r="DC153" s="28"/>
      <c r="DD153" s="28"/>
      <c r="DE153" s="28"/>
      <c r="DF153" s="28"/>
      <c r="DG153" s="28"/>
      <c r="DH153" s="28"/>
      <c r="DI153" s="28"/>
      <c r="DJ153" s="28"/>
      <c r="DK153" s="28"/>
      <c r="DL153" s="28"/>
      <c r="DM153" s="28"/>
      <c r="DN153" s="28"/>
      <c r="DO153" s="28"/>
      <c r="DP153" s="28"/>
      <c r="DQ153" s="28"/>
      <c r="DR153" s="28"/>
      <c r="DS153" s="28"/>
      <c r="DT153" s="28"/>
      <c r="DU153" s="28"/>
      <c r="DV153" s="28"/>
      <c r="DW153" s="28"/>
      <c r="DX153" s="28"/>
      <c r="DY153" s="28"/>
      <c r="DZ153" s="28"/>
      <c r="EA153" s="28"/>
      <c r="EB153" s="28"/>
      <c r="EC153" s="28"/>
      <c r="ED153" s="28"/>
      <c r="EE153" s="28"/>
      <c r="EF153" s="28"/>
      <c r="EG153" s="28"/>
      <c r="EH153" s="28"/>
      <c r="EI153" s="28"/>
      <c r="EJ153" s="28"/>
      <c r="EK153" s="28"/>
      <c r="EL153" s="28"/>
      <c r="EM153" s="28"/>
      <c r="EN153" s="28"/>
      <c r="EO153" s="28"/>
      <c r="EP153" s="28"/>
      <c r="EQ153" s="28"/>
      <c r="ER153" s="28"/>
      <c r="ES153" s="28"/>
      <c r="ET153" s="28"/>
      <c r="EU153" s="28"/>
      <c r="EV153" s="28"/>
      <c r="EW153" s="28"/>
      <c r="EX153" s="28"/>
      <c r="EY153" s="28"/>
      <c r="EZ153" s="28"/>
      <c r="FA153" s="28"/>
      <c r="FB153" s="28"/>
      <c r="FC153" s="28"/>
      <c r="FD153" s="28"/>
      <c r="FE153" s="28"/>
      <c r="FF153" s="28"/>
      <c r="FG153" s="28"/>
      <c r="FH153" s="28"/>
      <c r="FI153" s="28"/>
      <c r="FJ153" s="28"/>
      <c r="FK153" s="28"/>
      <c r="FL153" s="28"/>
      <c r="FM153" s="28"/>
      <c r="FN153" s="28"/>
      <c r="FO153" s="28"/>
      <c r="FP153" s="28"/>
      <c r="FQ153" s="28"/>
      <c r="FR153" s="28"/>
      <c r="FS153" s="28"/>
      <c r="FT153" s="28"/>
      <c r="FU153" s="28"/>
      <c r="FV153" s="28"/>
      <c r="FW153" s="28"/>
      <c r="FX153" s="28"/>
      <c r="FY153" s="28"/>
      <c r="FZ153" s="28"/>
      <c r="GA153" s="28"/>
      <c r="GB153" s="28"/>
      <c r="GC153" s="28"/>
      <c r="GD153" s="28"/>
      <c r="GE153" s="28"/>
      <c r="GF153" s="28"/>
      <c r="GG153" s="28"/>
      <c r="GH153" s="28"/>
      <c r="GI153" s="28"/>
      <c r="GJ153" s="28"/>
      <c r="GK153" s="28"/>
      <c r="GL153" s="28"/>
      <c r="GM153" s="28"/>
      <c r="GN153" s="28"/>
      <c r="GO153" s="28"/>
      <c r="GP153" s="28"/>
      <c r="GQ153" s="28"/>
      <c r="GR153" s="28"/>
      <c r="GS153" s="28"/>
      <c r="GT153" s="28"/>
      <c r="GU153" s="28"/>
      <c r="GV153" s="28"/>
      <c r="GW153" s="28"/>
      <c r="GX153" s="28"/>
      <c r="GY153" s="28"/>
      <c r="GZ153" s="28"/>
      <c r="HA153" s="28"/>
      <c r="HB153" s="28"/>
      <c r="HC153" s="28"/>
      <c r="HD153" s="28"/>
      <c r="HE153" s="28"/>
      <c r="HF153" s="28"/>
      <c r="HG153" s="28"/>
      <c r="HH153" s="28"/>
      <c r="HI153" s="28"/>
      <c r="HJ153" s="28"/>
      <c r="HK153" s="28"/>
    </row>
    <row r="154" spans="1:219" ht="15" customHeight="1">
      <c r="A154" s="49">
        <v>1</v>
      </c>
      <c r="B154" s="132" t="str">
        <f>VLOOKUP(Ruimtestaat[[#This Row],[Code]],Locaties[[Code]:[Locatie]],2,FALSE)</f>
        <v>Mirtehuis</v>
      </c>
      <c r="C154" s="132" t="str">
        <f>VLOOKUP(Ruimtestaat[[#This Row],[Code]],Locaties[[#All],[Code]:[Adres]],4,FALSE)</f>
        <v>Weseperweg 6</v>
      </c>
      <c r="D154" s="132" t="str">
        <f>VLOOKUP(Ruimtestaat[[#This Row],[Code]],Locaties[[#All],[Code]:[Postcode]],5,FALSE)</f>
        <v>8111 PK</v>
      </c>
      <c r="E154" s="132" t="str">
        <f>VLOOKUP(Ruimtestaat[[#This Row],[Code]],Locaties[#All],6,FALSE)</f>
        <v>Heeten</v>
      </c>
      <c r="F154" s="100"/>
      <c r="G154" s="100" t="s">
        <v>1677</v>
      </c>
      <c r="I154" s="140" t="s">
        <v>1635</v>
      </c>
      <c r="J154" s="49">
        <v>10</v>
      </c>
      <c r="K154" s="140" t="str">
        <f>VLOOKUP(Ruimtestaat[[#This Row],[Ruimte code]],Ruimtegroepen[[#All],[Code]:[Ruimte omschrijving]],2,FALSE)</f>
        <v>Trappenhuizen/lift</v>
      </c>
      <c r="L154" s="100" t="s">
        <v>100</v>
      </c>
      <c r="M154" s="345" t="s">
        <v>1636</v>
      </c>
      <c r="N154" s="133">
        <v>2.25</v>
      </c>
      <c r="O154" s="100"/>
      <c r="P154" s="134" t="str">
        <f>VLOOKUP(Ruimtestaat[[#This Row],[Ruimte code]],Ruimtegroepen[],4,FALSE)</f>
        <v>Ve</v>
      </c>
      <c r="Q154" s="100">
        <v>51</v>
      </c>
      <c r="R154" s="100" t="s">
        <v>18</v>
      </c>
      <c r="S154" s="100">
        <f>IF(Q154&gt;0,IF(RIGHT(Ruimtestaat[[#This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153</v>
      </c>
      <c r="T154" s="100">
        <f>IF(S154&gt;0,VLOOKUP($J154,Ruimtegroepen[],3,FALSE)*VLOOKUP($L154,Vloersoorten[],3,FALSE)*VLOOKUP($R154,Frequenties[],3,FALSE)*VLOOKUP($A154,Locaties[],3,FALSE),0)</f>
        <v>0</v>
      </c>
      <c r="U154" s="100">
        <f>Ruimtestaat[[#This Row],[Uitvoeringen werkdagen]]*Ruimtestaat[[#This Row],[Oppervlak (netto)]]</f>
        <v>344.25</v>
      </c>
      <c r="V154" s="135">
        <f>IF(T154&gt;0,Ruimtestaat[[#This Row],[Prest. (m2 /jaar) werkdagen]]/Ruimtestaat[[#This Row],[Norm (m2/uur) werkdagen]],0)</f>
        <v>0</v>
      </c>
      <c r="W154" s="136">
        <f>Ruimtestaat[[#This Row],[uren / jaar werkdagen]]*Tariefsopbouw!$E$35</f>
        <v>0</v>
      </c>
      <c r="X154" s="100"/>
      <c r="Y154" s="100">
        <f>IF(Ruimtestaat[[#This Row],[Frequentie weekend]]&gt;0,VALUE(LEFT(X154,1))*Q154,0)</f>
        <v>0</v>
      </c>
      <c r="Z154" s="99">
        <f>IF($Y154&gt;0,VLOOKUP($J154,Ruimtegroepen[],3,FALSE)*VLOOKUP($L154,Vloersoorten[],3,FALSE)*VLOOKUP($X154,Frequenties[],3,FALSE)*VLOOKUP(Ruimtestaat[[#This Row],[Code]],Locaties[],3,FALSE),0)</f>
        <v>0</v>
      </c>
      <c r="AA154" s="99">
        <f>Ruimtestaat[[#This Row],[Uitvoeringen weekend]]*Ruimtestaat[[#This Row],[Oppervlak (netto)]]</f>
        <v>0</v>
      </c>
      <c r="AB154" s="99">
        <f>IF(Z154&gt;0,Ruimtestaat[[#This Row],[Prest. (m2 /jaar) weekend]]/Ruimtestaat[[#This Row],[Norm (m2/uur) weekend]],0)</f>
        <v>0</v>
      </c>
      <c r="AC154" s="136">
        <f>Ruimtestaat[[#This Row],[uren / jaar weekend]]*Tariefsopbouw!$D$40</f>
        <v>0</v>
      </c>
      <c r="AD154" s="135">
        <f>Ruimtestaat[[#This Row],[Prest. (m2 /jaar) weekend]]+Ruimtestaat[[#This Row],[Prest. (m2 /jaar) werkdagen]]</f>
        <v>344.25</v>
      </c>
      <c r="AE154" s="135">
        <f>Ruimtestaat[[#This Row],[uren / jaar weekend]]+Ruimtestaat[[#This Row],[uren / jaar werkdagen]]</f>
        <v>0</v>
      </c>
      <c r="AF154" s="130">
        <f>Ruimtestaat[[#This Row],[kosten / jaar weekend]]+Ruimtestaat[[#This Row],[kosten / jaar werkdagen]]</f>
        <v>0</v>
      </c>
      <c r="AG154" s="130"/>
      <c r="AH154" s="137" t="str">
        <f>IF(Ruimtestaat[[#This Row],[Frequentie werkdagen]]="","",_xlfn.CONCAT(Ruimtestaat[[#This Row],[Ruimte code]],"-",Ruimtestaat[[#This Row],[Frequentie werkdagen]]," ",Ruimtestaat[[#This Row],[Vloer code]]))</f>
        <v>10-3w L</v>
      </c>
      <c r="AI154" s="142" t="str">
        <f>_xlfn.IFNA(VLOOKUP($AH154,Programma!$F$3:$G$1101,2,0),"")</f>
        <v>_</v>
      </c>
      <c r="AJ154" s="142" t="str">
        <f>_xlfn.IFNA(VLOOKUP($AH154,Programma!$F$3:$H$1101,3,0),"")</f>
        <v>_</v>
      </c>
      <c r="AK154" s="142" t="str">
        <f>_xlfn.IFNA(VLOOKUP($AH154,Programma!$F$3:$I$1101,4,0),"")</f>
        <v>2w</v>
      </c>
      <c r="AL154" s="142" t="str">
        <f>_xlfn.IFNA(VLOOKUP($AH154,Programma!$F$3:$J$1101,5,0),"")</f>
        <v>1w</v>
      </c>
      <c r="AM154" s="142" t="str">
        <f>_xlfn.IFNA(VLOOKUP($AH154,Programma!$F$3:$K$1101,6,0),"")</f>
        <v>_</v>
      </c>
      <c r="AN154" s="142" t="str">
        <f>_xlfn.IFNA(VLOOKUP($AH154,Programma!$F$3:$L$1101,7,0),"")</f>
        <v>_</v>
      </c>
      <c r="AO154" s="142" t="str">
        <f>_xlfn.IFNA(VLOOKUP($AH154,Programma!$F$3:$M$1101,8,0),"")</f>
        <v>_</v>
      </c>
      <c r="AP154" s="142" t="str">
        <f>_xlfn.IFNA(VLOOKUP($AH154,Programma!$F$3:$N$1101,9,0),"")</f>
        <v>_</v>
      </c>
      <c r="AQ154" s="142" t="str">
        <f>_xlfn.IFNA(VLOOKUP($AH154,Programma!$F$3:$O$1101,10,0),"")</f>
        <v>3w</v>
      </c>
      <c r="AR154" s="142" t="str">
        <f>_xlfn.IFNA(VLOOKUP($AH154,Programma!$F$3:$P$1101,11,0),"")</f>
        <v>3w</v>
      </c>
      <c r="AS154" s="142" t="str">
        <f>_xlfn.IFNA(VLOOKUP($AH154,Programma!$F$3:$Q$1101,12,0),"")</f>
        <v>1w</v>
      </c>
      <c r="AT154" s="142" t="str">
        <f>_xlfn.IFNA(VLOOKUP($AH154,Programma!$F$3:$R$1101,13,0),"")</f>
        <v>1w</v>
      </c>
      <c r="AU154" s="142" t="str">
        <f>_xlfn.IFNA(VLOOKUP($AH154,Programma!$F$3:$S$1101,14,0),"")</f>
        <v>1m</v>
      </c>
      <c r="AV154" s="142" t="str">
        <f>_xlfn.IFNA(VLOOKUP($AH154,Programma!$F$3:$T$1101,15,0),"")</f>
        <v>2j</v>
      </c>
      <c r="AW154" s="142" t="str">
        <f>_xlfn.IFNA(VLOOKUP($AH154,Programma!$F$3:$U$1101,16,0),"")</f>
        <v>1j</v>
      </c>
      <c r="AX154" s="142" t="str">
        <f>_xlfn.IFNA(VLOOKUP($AH154,Programma!$F$3:$V$1101,17,0),"")</f>
        <v>_</v>
      </c>
      <c r="AY154" s="142" t="str">
        <f>_xlfn.IFNA(VLOOKUP($AH154,Programma!$F$3:$W$1101,18,0),"")</f>
        <v>_</v>
      </c>
      <c r="AZ154" s="142" t="str">
        <f>_xlfn.IFNA(VLOOKUP($AH154,Programma!$F$3:$X$1101,19,0),"")</f>
        <v>_</v>
      </c>
      <c r="BA154" s="142" t="str">
        <f>_xlfn.IFNA(VLOOKUP($AH154,Programma!$F$3:$Y$1101,20,0),"")</f>
        <v>_</v>
      </c>
      <c r="BB154" s="138"/>
      <c r="BC154" s="137" t="str">
        <f>IF(Ruimtestaat[[#This Row],[Frequentie weekend]]="","",_xlfn.CONCAT(Ruimtestaat[[#This Row],[Ruimte code]],"-",Ruimtestaat[[#This Row],[Frequentie weekend]]," ",Ruimtestaat[[#This Row],[Vloer code]]))</f>
        <v/>
      </c>
      <c r="BD154" s="142" t="str">
        <f>_xlfn.IFNA(VLOOKUP($BC154,Programma!$F$3:$G$1101,2,0),"")</f>
        <v/>
      </c>
      <c r="BE154" s="142" t="str">
        <f>_xlfn.IFNA(VLOOKUP($BC154,Programma!$F$3:$H$1101,3,0),"")</f>
        <v/>
      </c>
      <c r="BF154" s="142" t="str">
        <f>_xlfn.IFNA(VLOOKUP($BC154,Programma!$F$3:$I$1101,4,0),"")</f>
        <v/>
      </c>
      <c r="BG154" s="142" t="str">
        <f>_xlfn.IFNA(VLOOKUP($BC154,Programma!$F$3:$J$1101,5,0),"")</f>
        <v/>
      </c>
      <c r="BH154" s="142" t="str">
        <f>_xlfn.IFNA(VLOOKUP($BC154,Programma!$F$3:$K$1101,6,0),"")</f>
        <v/>
      </c>
      <c r="BI154" s="142" t="str">
        <f>_xlfn.IFNA(VLOOKUP($BC154,Programma!$F$3:$L$1101,7,0),"")</f>
        <v/>
      </c>
      <c r="BJ154" s="142" t="str">
        <f>_xlfn.IFNA(VLOOKUP($BC154,Programma!$F$3:$M$1101,8,0),"")</f>
        <v/>
      </c>
      <c r="BK154" s="142" t="str">
        <f>_xlfn.IFNA(VLOOKUP($BC154,Programma!$F$3:$N$1101,9,0),"")</f>
        <v/>
      </c>
      <c r="BL154" s="142" t="str">
        <f>_xlfn.IFNA(VLOOKUP($BC154,Programma!$F$3:$O$1101,10,0),"")</f>
        <v/>
      </c>
      <c r="BM154" s="142" t="str">
        <f>_xlfn.IFNA(VLOOKUP($BC154,Programma!$F$3:$P$1101,11,0),"")</f>
        <v/>
      </c>
      <c r="BN154" s="142" t="str">
        <f>_xlfn.IFNA(VLOOKUP($BC154,Programma!$F$3:$Q$1101,12,0),"")</f>
        <v/>
      </c>
      <c r="BO154" s="142" t="str">
        <f>_xlfn.IFNA(VLOOKUP($BC154,Programma!$F$3:$R$1101,13,0),"")</f>
        <v/>
      </c>
      <c r="BP154" s="142" t="str">
        <f>_xlfn.IFNA(VLOOKUP($BC154,Programma!$F$3:$S$1101,14,0),"")</f>
        <v/>
      </c>
      <c r="BQ154" s="142" t="str">
        <f>_xlfn.IFNA(VLOOKUP($BC154,Programma!$F$3:$T$1101,15,0),"")</f>
        <v/>
      </c>
      <c r="BR154" s="142" t="str">
        <f>_xlfn.IFNA(VLOOKUP($BC154,Programma!$F$3:$U$1101,16,0),"")</f>
        <v/>
      </c>
      <c r="BS154" s="142" t="str">
        <f>_xlfn.IFNA(VLOOKUP($BC154,Programma!$F$3:$V$1101,17,0),"")</f>
        <v/>
      </c>
      <c r="BT154" s="142" t="str">
        <f>_xlfn.IFNA(VLOOKUP($BC154,Programma!$F$3:$W$1101,18,0),"")</f>
        <v/>
      </c>
      <c r="BU154" s="142" t="str">
        <f>_xlfn.IFNA(VLOOKUP($BC154,Programma!$F$3:$X$1101,19,0),"")</f>
        <v/>
      </c>
      <c r="BV154" s="142" t="str">
        <f>_xlfn.IFNA(VLOOKUP($BC154,Programma!$F$3:$Y$1101,20,0),"")</f>
        <v/>
      </c>
      <c r="BW154" s="28"/>
      <c r="BX154" s="28"/>
      <c r="BY154" s="28"/>
      <c r="BZ154" s="28"/>
      <c r="CA154" s="28"/>
      <c r="CB154" s="28"/>
      <c r="CC154" s="28"/>
      <c r="CD154" s="28"/>
      <c r="CE154" s="28"/>
      <c r="CF154" s="28"/>
      <c r="CG154" s="28"/>
      <c r="CH154" s="28"/>
      <c r="CI154" s="28"/>
      <c r="CJ154" s="28"/>
      <c r="CK154" s="28"/>
      <c r="CL154" s="28"/>
      <c r="CM154" s="28"/>
      <c r="CN154" s="28"/>
      <c r="CO154" s="28"/>
      <c r="CP154" s="28"/>
      <c r="CQ154" s="28"/>
      <c r="CR154" s="28"/>
      <c r="CS154" s="28"/>
      <c r="CT154" s="28"/>
      <c r="CU154" s="28"/>
      <c r="CV154" s="28"/>
      <c r="CW154" s="28"/>
      <c r="CX154" s="28"/>
      <c r="CY154" s="28"/>
      <c r="CZ154" s="28"/>
      <c r="DA154" s="28"/>
      <c r="DB154" s="28"/>
      <c r="DC154" s="28"/>
      <c r="DD154" s="28"/>
      <c r="DE154" s="28"/>
      <c r="DF154" s="28"/>
      <c r="DG154" s="28"/>
      <c r="DH154" s="28"/>
      <c r="DI154" s="28"/>
      <c r="DJ154" s="28"/>
      <c r="DK154" s="28"/>
      <c r="DL154" s="28"/>
      <c r="DM154" s="28"/>
      <c r="DN154" s="28"/>
      <c r="DO154" s="28"/>
      <c r="DP154" s="28"/>
      <c r="DQ154" s="28"/>
      <c r="DR154" s="28"/>
      <c r="DS154" s="28"/>
      <c r="DT154" s="28"/>
      <c r="DU154" s="28"/>
      <c r="DV154" s="28"/>
      <c r="DW154" s="28"/>
      <c r="DX154" s="28"/>
      <c r="DY154" s="28"/>
      <c r="DZ154" s="28"/>
      <c r="EA154" s="28"/>
      <c r="EB154" s="28"/>
      <c r="EC154" s="28"/>
      <c r="ED154" s="28"/>
      <c r="EE154" s="28"/>
      <c r="EF154" s="28"/>
      <c r="EG154" s="28"/>
      <c r="EH154" s="28"/>
      <c r="EI154" s="28"/>
      <c r="EJ154" s="28"/>
      <c r="EK154" s="28"/>
      <c r="EL154" s="28"/>
      <c r="EM154" s="28"/>
      <c r="EN154" s="28"/>
      <c r="EO154" s="28"/>
      <c r="EP154" s="28"/>
      <c r="EQ154" s="28"/>
      <c r="ER154" s="28"/>
      <c r="ES154" s="28"/>
      <c r="ET154" s="28"/>
      <c r="EU154" s="28"/>
      <c r="EV154" s="28"/>
      <c r="EW154" s="28"/>
      <c r="EX154" s="28"/>
      <c r="EY154" s="28"/>
      <c r="EZ154" s="28"/>
      <c r="FA154" s="28"/>
      <c r="FB154" s="28"/>
      <c r="FC154" s="28"/>
      <c r="FD154" s="28"/>
      <c r="FE154" s="28"/>
      <c r="FF154" s="28"/>
      <c r="FG154" s="28"/>
      <c r="FH154" s="28"/>
      <c r="FI154" s="28"/>
      <c r="FJ154" s="28"/>
      <c r="FK154" s="28"/>
      <c r="FL154" s="28"/>
      <c r="FM154" s="28"/>
      <c r="FN154" s="28"/>
      <c r="FO154" s="28"/>
      <c r="FP154" s="28"/>
      <c r="FQ154" s="28"/>
      <c r="FR154" s="28"/>
      <c r="FS154" s="28"/>
      <c r="FT154" s="28"/>
      <c r="FU154" s="28"/>
      <c r="FV154" s="28"/>
      <c r="FW154" s="28"/>
      <c r="FX154" s="28"/>
      <c r="FY154" s="28"/>
      <c r="FZ154" s="28"/>
      <c r="GA154" s="28"/>
      <c r="GB154" s="28"/>
      <c r="GC154" s="28"/>
      <c r="GD154" s="28"/>
      <c r="GE154" s="28"/>
      <c r="GF154" s="28"/>
      <c r="GG154" s="28"/>
      <c r="GH154" s="28"/>
      <c r="GI154" s="28"/>
      <c r="GJ154" s="28"/>
      <c r="GK154" s="28"/>
      <c r="GL154" s="28"/>
      <c r="GM154" s="28"/>
      <c r="GN154" s="28"/>
      <c r="GO154" s="28"/>
      <c r="GP154" s="28"/>
      <c r="GQ154" s="28"/>
      <c r="GR154" s="28"/>
      <c r="GS154" s="28"/>
      <c r="GT154" s="28"/>
      <c r="GU154" s="28"/>
      <c r="GV154" s="28"/>
      <c r="GW154" s="28"/>
      <c r="GX154" s="28"/>
      <c r="GY154" s="28"/>
      <c r="GZ154" s="28"/>
      <c r="HA154" s="28"/>
      <c r="HB154" s="28"/>
      <c r="HC154" s="28"/>
      <c r="HD154" s="28"/>
      <c r="HE154" s="28"/>
      <c r="HF154" s="28"/>
      <c r="HG154" s="28"/>
      <c r="HH154" s="28"/>
      <c r="HI154" s="28"/>
      <c r="HJ154" s="28"/>
      <c r="HK154" s="28"/>
    </row>
    <row r="155" spans="1:219" ht="15" customHeight="1">
      <c r="A155" s="49">
        <v>1</v>
      </c>
      <c r="B155" s="132" t="str">
        <f>VLOOKUP(Ruimtestaat[[#This Row],[Code]],Locaties[[Code]:[Locatie]],2,FALSE)</f>
        <v>Mirtehuis</v>
      </c>
      <c r="C155" s="132" t="str">
        <f>VLOOKUP(Ruimtestaat[[#This Row],[Code]],Locaties[[#All],[Code]:[Adres]],4,FALSE)</f>
        <v>Weseperweg 6</v>
      </c>
      <c r="D155" s="132" t="str">
        <f>VLOOKUP(Ruimtestaat[[#This Row],[Code]],Locaties[[#All],[Code]:[Postcode]],5,FALSE)</f>
        <v>8111 PK</v>
      </c>
      <c r="E155" s="132" t="str">
        <f>VLOOKUP(Ruimtestaat[[#This Row],[Code]],Locaties[#All],6,FALSE)</f>
        <v>Heeten</v>
      </c>
      <c r="F155" s="100"/>
      <c r="G155" s="100" t="s">
        <v>1677</v>
      </c>
      <c r="I155" s="140" t="s">
        <v>1632</v>
      </c>
      <c r="J155" s="49">
        <v>6</v>
      </c>
      <c r="K155" s="140" t="str">
        <f>VLOOKUP(Ruimtestaat[[#This Row],[Ruimte code]],Ruimtegroepen[[#All],[Code]:[Ruimte omschrijving]],2,FALSE)</f>
        <v>Gangen/hallen</v>
      </c>
      <c r="L155" s="100" t="s">
        <v>100</v>
      </c>
      <c r="M155" s="345" t="s">
        <v>1636</v>
      </c>
      <c r="N155" s="133">
        <v>8.25</v>
      </c>
      <c r="O155" s="139"/>
      <c r="P155" s="134" t="str">
        <f>VLOOKUP(Ruimtestaat[[#This Row],[Ruimte code]],Ruimtegroepen[],4,FALSE)</f>
        <v>Ve</v>
      </c>
      <c r="Q155" s="100">
        <v>51</v>
      </c>
      <c r="R155" s="100" t="s">
        <v>2</v>
      </c>
      <c r="S155" s="100">
        <f>IF(Q155&gt;0,IF(RIGHT(Ruimtestaat[[#This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55" s="100">
        <f>IF(S155&gt;0,VLOOKUP($J155,Ruimtegroepen[],3,FALSE)*VLOOKUP($L155,Vloersoorten[],3,FALSE)*VLOOKUP($R155,Frequenties[],3,FALSE)*VLOOKUP($A155,Locaties[],3,FALSE),0)</f>
        <v>0</v>
      </c>
      <c r="U155" s="100">
        <f>Ruimtestaat[[#This Row],[Uitvoeringen werkdagen]]*Ruimtestaat[[#This Row],[Oppervlak (netto)]]</f>
        <v>2103.75</v>
      </c>
      <c r="V155" s="135">
        <f>IF(T155&gt;0,Ruimtestaat[[#This Row],[Prest. (m2 /jaar) werkdagen]]/Ruimtestaat[[#This Row],[Norm (m2/uur) werkdagen]],0)</f>
        <v>0</v>
      </c>
      <c r="W155" s="136">
        <f>Ruimtestaat[[#This Row],[uren / jaar werkdagen]]*Tariefsopbouw!$E$35</f>
        <v>0</v>
      </c>
      <c r="X155" s="100"/>
      <c r="Y155" s="100">
        <f>IF(Ruimtestaat[[#This Row],[Frequentie weekend]]&gt;0,VALUE(LEFT(X155,1))*Q155,0)</f>
        <v>0</v>
      </c>
      <c r="Z155" s="99">
        <f>IF($Y155&gt;0,VLOOKUP($J155,Ruimtegroepen[],3,FALSE)*VLOOKUP($L155,Vloersoorten[],3,FALSE)*VLOOKUP($X155,Frequenties[],3,FALSE)*VLOOKUP(Ruimtestaat[[#This Row],[Code]],Locaties[],3,FALSE),0)</f>
        <v>0</v>
      </c>
      <c r="AA155" s="99">
        <f>Ruimtestaat[[#This Row],[Uitvoeringen weekend]]*Ruimtestaat[[#This Row],[Oppervlak (netto)]]</f>
        <v>0</v>
      </c>
      <c r="AB155" s="99">
        <f>IF(Z155&gt;0,Ruimtestaat[[#This Row],[Prest. (m2 /jaar) weekend]]/Ruimtestaat[[#This Row],[Norm (m2/uur) weekend]],0)</f>
        <v>0</v>
      </c>
      <c r="AC155" s="136">
        <f>Ruimtestaat[[#This Row],[uren / jaar weekend]]*Tariefsopbouw!$D$40</f>
        <v>0</v>
      </c>
      <c r="AD155" s="135">
        <f>Ruimtestaat[[#This Row],[Prest. (m2 /jaar) weekend]]+Ruimtestaat[[#This Row],[Prest. (m2 /jaar) werkdagen]]</f>
        <v>2103.75</v>
      </c>
      <c r="AE155" s="135">
        <f>Ruimtestaat[[#This Row],[uren / jaar weekend]]+Ruimtestaat[[#This Row],[uren / jaar werkdagen]]</f>
        <v>0</v>
      </c>
      <c r="AF155" s="130">
        <f>Ruimtestaat[[#This Row],[kosten / jaar weekend]]+Ruimtestaat[[#This Row],[kosten / jaar werkdagen]]</f>
        <v>0</v>
      </c>
      <c r="AG155" s="130"/>
      <c r="AH155" s="137" t="str">
        <f>IF(Ruimtestaat[[#This Row],[Frequentie werkdagen]]="","",_xlfn.CONCAT(Ruimtestaat[[#This Row],[Ruimte code]],"-",Ruimtestaat[[#This Row],[Frequentie werkdagen]]," ",Ruimtestaat[[#This Row],[Vloer code]]))</f>
        <v>6-5w L</v>
      </c>
      <c r="AI155" s="142" t="str">
        <f>_xlfn.IFNA(VLOOKUP($AH155,Programma!$F$3:$G$1101,2,0),"")</f>
        <v>_</v>
      </c>
      <c r="AJ155" s="142" t="str">
        <f>_xlfn.IFNA(VLOOKUP($AH155,Programma!$F$3:$H$1101,3,0),"")</f>
        <v>_</v>
      </c>
      <c r="AK155" s="142" t="str">
        <f>_xlfn.IFNA(VLOOKUP($AH155,Programma!$F$3:$I$1101,4,0),"")</f>
        <v>_</v>
      </c>
      <c r="AL155" s="142" t="str">
        <f>_xlfn.IFNA(VLOOKUP($AH155,Programma!$F$3:$J$1101,5,0),"")</f>
        <v>5w</v>
      </c>
      <c r="AM155" s="142" t="str">
        <f>_xlfn.IFNA(VLOOKUP($AH155,Programma!$F$3:$K$1101,6,0),"")</f>
        <v>_</v>
      </c>
      <c r="AN155" s="142" t="str">
        <f>_xlfn.IFNA(VLOOKUP($AH155,Programma!$F$3:$L$1101,7,0),"")</f>
        <v>_</v>
      </c>
      <c r="AO155" s="142" t="str">
        <f>_xlfn.IFNA(VLOOKUP($AH155,Programma!$F$3:$M$1101,8,0),"")</f>
        <v>_</v>
      </c>
      <c r="AP155" s="142" t="str">
        <f>_xlfn.IFNA(VLOOKUP($AH155,Programma!$F$3:$N$1101,9,0),"")</f>
        <v>_</v>
      </c>
      <c r="AQ155" s="142" t="str">
        <f>_xlfn.IFNA(VLOOKUP($AH155,Programma!$F$3:$O$1101,10,0),"")</f>
        <v>5w</v>
      </c>
      <c r="AR155" s="142" t="str">
        <f>_xlfn.IFNA(VLOOKUP($AH155,Programma!$F$3:$P$1101,11,0),"")</f>
        <v>5w</v>
      </c>
      <c r="AS155" s="142" t="str">
        <f>_xlfn.IFNA(VLOOKUP($AH155,Programma!$F$3:$Q$1101,12,0),"")</f>
        <v>1w</v>
      </c>
      <c r="AT155" s="142" t="str">
        <f>_xlfn.IFNA(VLOOKUP($AH155,Programma!$F$3:$R$1101,13,0),"")</f>
        <v>1w</v>
      </c>
      <c r="AU155" s="142" t="str">
        <f>_xlfn.IFNA(VLOOKUP($AH155,Programma!$F$3:$S$1101,14,0),"")</f>
        <v>1m</v>
      </c>
      <c r="AV155" s="142" t="str">
        <f>_xlfn.IFNA(VLOOKUP($AH155,Programma!$F$3:$T$1101,15,0),"")</f>
        <v>2j</v>
      </c>
      <c r="AW155" s="142" t="str">
        <f>_xlfn.IFNA(VLOOKUP($AH155,Programma!$F$3:$U$1101,16,0),"")</f>
        <v>1j</v>
      </c>
      <c r="AX155" s="142" t="str">
        <f>_xlfn.IFNA(VLOOKUP($AH155,Programma!$F$3:$V$1101,17,0),"")</f>
        <v>_</v>
      </c>
      <c r="AY155" s="142" t="str">
        <f>_xlfn.IFNA(VLOOKUP($AH155,Programma!$F$3:$W$1101,18,0),"")</f>
        <v>_</v>
      </c>
      <c r="AZ155" s="142" t="str">
        <f>_xlfn.IFNA(VLOOKUP($AH155,Programma!$F$3:$X$1101,19,0),"")</f>
        <v>_</v>
      </c>
      <c r="BA155" s="142" t="str">
        <f>_xlfn.IFNA(VLOOKUP($AH155,Programma!$F$3:$Y$1101,20,0),"")</f>
        <v>_</v>
      </c>
      <c r="BB155" s="138"/>
      <c r="BC155" s="137" t="str">
        <f>IF(Ruimtestaat[[#This Row],[Frequentie weekend]]="","",_xlfn.CONCAT(Ruimtestaat[[#This Row],[Ruimte code]],"-",Ruimtestaat[[#This Row],[Frequentie weekend]]," ",Ruimtestaat[[#This Row],[Vloer code]]))</f>
        <v/>
      </c>
      <c r="BD155" s="142" t="str">
        <f>_xlfn.IFNA(VLOOKUP($BC155,Programma!$F$3:$G$1101,2,0),"")</f>
        <v/>
      </c>
      <c r="BE155" s="142" t="str">
        <f>_xlfn.IFNA(VLOOKUP($BC155,Programma!$F$3:$H$1101,3,0),"")</f>
        <v/>
      </c>
      <c r="BF155" s="142" t="str">
        <f>_xlfn.IFNA(VLOOKUP($BC155,Programma!$F$3:$I$1101,4,0),"")</f>
        <v/>
      </c>
      <c r="BG155" s="142" t="str">
        <f>_xlfn.IFNA(VLOOKUP($BC155,Programma!$F$3:$J$1101,5,0),"")</f>
        <v/>
      </c>
      <c r="BH155" s="142" t="str">
        <f>_xlfn.IFNA(VLOOKUP($BC155,Programma!$F$3:$K$1101,6,0),"")</f>
        <v/>
      </c>
      <c r="BI155" s="142" t="str">
        <f>_xlfn.IFNA(VLOOKUP($BC155,Programma!$F$3:$L$1101,7,0),"")</f>
        <v/>
      </c>
      <c r="BJ155" s="142" t="str">
        <f>_xlfn.IFNA(VLOOKUP($BC155,Programma!$F$3:$M$1101,8,0),"")</f>
        <v/>
      </c>
      <c r="BK155" s="142" t="str">
        <f>_xlfn.IFNA(VLOOKUP($BC155,Programma!$F$3:$N$1101,9,0),"")</f>
        <v/>
      </c>
      <c r="BL155" s="142" t="str">
        <f>_xlfn.IFNA(VLOOKUP($BC155,Programma!$F$3:$O$1101,10,0),"")</f>
        <v/>
      </c>
      <c r="BM155" s="142" t="str">
        <f>_xlfn.IFNA(VLOOKUP($BC155,Programma!$F$3:$P$1101,11,0),"")</f>
        <v/>
      </c>
      <c r="BN155" s="142" t="str">
        <f>_xlfn.IFNA(VLOOKUP($BC155,Programma!$F$3:$Q$1101,12,0),"")</f>
        <v/>
      </c>
      <c r="BO155" s="142" t="str">
        <f>_xlfn.IFNA(VLOOKUP($BC155,Programma!$F$3:$R$1101,13,0),"")</f>
        <v/>
      </c>
      <c r="BP155" s="142" t="str">
        <f>_xlfn.IFNA(VLOOKUP($BC155,Programma!$F$3:$S$1101,14,0),"")</f>
        <v/>
      </c>
      <c r="BQ155" s="142" t="str">
        <f>_xlfn.IFNA(VLOOKUP($BC155,Programma!$F$3:$T$1101,15,0),"")</f>
        <v/>
      </c>
      <c r="BR155" s="142" t="str">
        <f>_xlfn.IFNA(VLOOKUP($BC155,Programma!$F$3:$U$1101,16,0),"")</f>
        <v/>
      </c>
      <c r="BS155" s="142" t="str">
        <f>_xlfn.IFNA(VLOOKUP($BC155,Programma!$F$3:$V$1101,17,0),"")</f>
        <v/>
      </c>
      <c r="BT155" s="142" t="str">
        <f>_xlfn.IFNA(VLOOKUP($BC155,Programma!$F$3:$W$1101,18,0),"")</f>
        <v/>
      </c>
      <c r="BU155" s="142" t="str">
        <f>_xlfn.IFNA(VLOOKUP($BC155,Programma!$F$3:$X$1101,19,0),"")</f>
        <v/>
      </c>
      <c r="BV155" s="142" t="str">
        <f>_xlfn.IFNA(VLOOKUP($BC155,Programma!$F$3:$Y$1101,20,0),"")</f>
        <v/>
      </c>
      <c r="BW155" s="28"/>
      <c r="BX155" s="28"/>
      <c r="BY155" s="28"/>
      <c r="BZ155" s="28"/>
      <c r="CA155" s="28"/>
      <c r="CB155" s="28"/>
      <c r="CC155" s="28"/>
      <c r="CD155" s="28"/>
      <c r="CE155" s="28"/>
      <c r="CF155" s="28"/>
      <c r="CG155" s="28"/>
      <c r="CH155" s="28"/>
      <c r="CI155" s="28"/>
      <c r="CJ155" s="28"/>
      <c r="CK155" s="28"/>
      <c r="CL155" s="28"/>
      <c r="CM155" s="28"/>
      <c r="CN155" s="28"/>
      <c r="CO155" s="28"/>
      <c r="CP155" s="28"/>
      <c r="CQ155" s="28"/>
      <c r="CR155" s="28"/>
      <c r="CS155" s="28"/>
      <c r="CT155" s="28"/>
      <c r="CU155" s="28"/>
      <c r="CV155" s="28"/>
      <c r="CW155" s="28"/>
      <c r="CX155" s="28"/>
      <c r="CY155" s="28"/>
      <c r="CZ155" s="28"/>
      <c r="DA155" s="28"/>
      <c r="DB155" s="28"/>
      <c r="DC155" s="28"/>
      <c r="DD155" s="28"/>
      <c r="DE155" s="28"/>
      <c r="DF155" s="28"/>
      <c r="DG155" s="28"/>
      <c r="DH155" s="28"/>
      <c r="DI155" s="28"/>
      <c r="DJ155" s="28"/>
      <c r="DK155" s="28"/>
      <c r="DL155" s="28"/>
      <c r="DM155" s="28"/>
      <c r="DN155" s="28"/>
      <c r="DO155" s="28"/>
      <c r="DP155" s="28"/>
      <c r="DQ155" s="28"/>
      <c r="DR155" s="28"/>
      <c r="DS155" s="28"/>
      <c r="DT155" s="28"/>
      <c r="DU155" s="28"/>
      <c r="DV155" s="28"/>
      <c r="DW155" s="28"/>
      <c r="DX155" s="28"/>
      <c r="DY155" s="28"/>
      <c r="DZ155" s="28"/>
      <c r="EA155" s="28"/>
      <c r="EB155" s="28"/>
      <c r="EC155" s="28"/>
      <c r="ED155" s="28"/>
      <c r="EE155" s="28"/>
      <c r="EF155" s="28"/>
      <c r="EG155" s="28"/>
      <c r="EH155" s="28"/>
      <c r="EI155" s="28"/>
      <c r="EJ155" s="28"/>
      <c r="EK155" s="28"/>
      <c r="EL155" s="28"/>
      <c r="EM155" s="28"/>
      <c r="EN155" s="28"/>
      <c r="EO155" s="28"/>
      <c r="EP155" s="28"/>
      <c r="EQ155" s="28"/>
      <c r="ER155" s="28"/>
      <c r="ES155" s="28"/>
      <c r="ET155" s="28"/>
      <c r="EU155" s="28"/>
      <c r="EV155" s="28"/>
      <c r="EW155" s="28"/>
      <c r="EX155" s="28"/>
      <c r="EY155" s="28"/>
      <c r="EZ155" s="28"/>
      <c r="FA155" s="28"/>
      <c r="FB155" s="28"/>
      <c r="FC155" s="28"/>
      <c r="FD155" s="28"/>
      <c r="FE155" s="28"/>
      <c r="FF155" s="28"/>
      <c r="FG155" s="28"/>
      <c r="FH155" s="28"/>
      <c r="FI155" s="28"/>
      <c r="FJ155" s="28"/>
      <c r="FK155" s="28"/>
      <c r="FL155" s="28"/>
      <c r="FM155" s="28"/>
      <c r="FN155" s="28"/>
      <c r="FO155" s="28"/>
      <c r="FP155" s="28"/>
      <c r="FQ155" s="28"/>
      <c r="FR155" s="28"/>
      <c r="FS155" s="28"/>
      <c r="FT155" s="28"/>
      <c r="FU155" s="28"/>
      <c r="FV155" s="28"/>
      <c r="FW155" s="28"/>
      <c r="FX155" s="28"/>
      <c r="FY155" s="28"/>
      <c r="FZ155" s="28"/>
      <c r="GA155" s="28"/>
      <c r="GB155" s="28"/>
      <c r="GC155" s="28"/>
      <c r="GD155" s="28"/>
      <c r="GE155" s="28"/>
      <c r="GF155" s="28"/>
      <c r="GG155" s="28"/>
      <c r="GH155" s="28"/>
      <c r="GI155" s="28"/>
      <c r="GJ155" s="28"/>
      <c r="GK155" s="28"/>
      <c r="GL155" s="28"/>
      <c r="GM155" s="28"/>
      <c r="GN155" s="28"/>
      <c r="GO155" s="28"/>
      <c r="GP155" s="28"/>
      <c r="GQ155" s="28"/>
      <c r="GR155" s="28"/>
      <c r="GS155" s="28"/>
      <c r="GT155" s="28"/>
      <c r="GU155" s="28"/>
      <c r="GV155" s="28"/>
      <c r="GW155" s="28"/>
      <c r="GX155" s="28"/>
      <c r="GY155" s="28"/>
      <c r="GZ155" s="28"/>
      <c r="HA155" s="28"/>
      <c r="HB155" s="28"/>
      <c r="HC155" s="28"/>
      <c r="HD155" s="28"/>
      <c r="HE155" s="28"/>
      <c r="HF155" s="28"/>
      <c r="HG155" s="28"/>
      <c r="HH155" s="28"/>
      <c r="HI155" s="28"/>
      <c r="HJ155" s="28"/>
      <c r="HK155" s="28"/>
    </row>
    <row r="156" spans="1:219" ht="15" customHeight="1">
      <c r="A156" s="49">
        <v>1</v>
      </c>
      <c r="B156" s="132" t="str">
        <f>VLOOKUP(Ruimtestaat[[#This Row],[Code]],Locaties[[Code]:[Locatie]],2,FALSE)</f>
        <v>Mirtehuis</v>
      </c>
      <c r="C156" s="132" t="str">
        <f>VLOOKUP(Ruimtestaat[[#This Row],[Code]],Locaties[[#All],[Code]:[Adres]],4,FALSE)</f>
        <v>Weseperweg 6</v>
      </c>
      <c r="D156" s="132" t="str">
        <f>VLOOKUP(Ruimtestaat[[#This Row],[Code]],Locaties[[#All],[Code]:[Postcode]],5,FALSE)</f>
        <v>8111 PK</v>
      </c>
      <c r="E156" s="132" t="str">
        <f>VLOOKUP(Ruimtestaat[[#This Row],[Code]],Locaties[#All],6,FALSE)</f>
        <v>Heeten</v>
      </c>
      <c r="F156" s="100"/>
      <c r="G156" s="100" t="s">
        <v>1677</v>
      </c>
      <c r="I156" s="140" t="s">
        <v>1641</v>
      </c>
      <c r="J156" s="49">
        <v>5</v>
      </c>
      <c r="K156" s="140" t="str">
        <f>VLOOKUP(Ruimtestaat[[#This Row],[Ruimte code]],Ruimtegroepen[[#All],[Code]:[Ruimte omschrijving]],2,FALSE)</f>
        <v>Sanitair</v>
      </c>
      <c r="L156" s="100" t="s">
        <v>101</v>
      </c>
      <c r="M156" s="345" t="s">
        <v>1642</v>
      </c>
      <c r="N156" s="133">
        <v>1.25</v>
      </c>
      <c r="O156" s="139"/>
      <c r="P156" s="134" t="str">
        <f>VLOOKUP(Ruimtestaat[[#This Row],[Ruimte code]],Ruimtegroepen[],4,FALSE)</f>
        <v>Sa</v>
      </c>
      <c r="Q156" s="100">
        <v>51</v>
      </c>
      <c r="R156" s="100" t="s">
        <v>2</v>
      </c>
      <c r="S156" s="100">
        <f>IF(Q156&gt;0,IF(RIGHT(Ruimtestaat[[#This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56" s="100">
        <f>IF(S156&gt;0,VLOOKUP($J156,Ruimtegroepen[],3,FALSE)*VLOOKUP($L156,Vloersoorten[],3,FALSE)*VLOOKUP($R156,Frequenties[],3,FALSE)*VLOOKUP($A156,Locaties[],3,FALSE),0)</f>
        <v>0</v>
      </c>
      <c r="U156" s="100">
        <f>Ruimtestaat[[#This Row],[Uitvoeringen werkdagen]]*Ruimtestaat[[#This Row],[Oppervlak (netto)]]</f>
        <v>318.75</v>
      </c>
      <c r="V156" s="135">
        <f>IF(T156&gt;0,Ruimtestaat[[#This Row],[Prest. (m2 /jaar) werkdagen]]/Ruimtestaat[[#This Row],[Norm (m2/uur) werkdagen]],0)</f>
        <v>0</v>
      </c>
      <c r="W156" s="136">
        <f>Ruimtestaat[[#This Row],[uren / jaar werkdagen]]*Tariefsopbouw!$E$35</f>
        <v>0</v>
      </c>
      <c r="X156" s="100"/>
      <c r="Y156" s="100">
        <f>IF(Ruimtestaat[[#This Row],[Frequentie weekend]]&gt;0,VALUE(LEFT(X156,1))*Q156,0)</f>
        <v>0</v>
      </c>
      <c r="Z156" s="99">
        <f>IF($Y156&gt;0,VLOOKUP($J156,Ruimtegroepen[],3,FALSE)*VLOOKUP($L156,Vloersoorten[],3,FALSE)*VLOOKUP($X156,Frequenties[],3,FALSE)*VLOOKUP(Ruimtestaat[[#This Row],[Code]],Locaties[],3,FALSE),0)</f>
        <v>0</v>
      </c>
      <c r="AA156" s="99">
        <f>Ruimtestaat[[#This Row],[Uitvoeringen weekend]]*Ruimtestaat[[#This Row],[Oppervlak (netto)]]</f>
        <v>0</v>
      </c>
      <c r="AB156" s="99">
        <f>IF(Z156&gt;0,Ruimtestaat[[#This Row],[Prest. (m2 /jaar) weekend]]/Ruimtestaat[[#This Row],[Norm (m2/uur) weekend]],0)</f>
        <v>0</v>
      </c>
      <c r="AC156" s="136">
        <f>Ruimtestaat[[#This Row],[uren / jaar weekend]]*Tariefsopbouw!$D$40</f>
        <v>0</v>
      </c>
      <c r="AD156" s="135">
        <f>Ruimtestaat[[#This Row],[Prest. (m2 /jaar) weekend]]+Ruimtestaat[[#This Row],[Prest. (m2 /jaar) werkdagen]]</f>
        <v>318.75</v>
      </c>
      <c r="AE156" s="135">
        <f>Ruimtestaat[[#This Row],[uren / jaar weekend]]+Ruimtestaat[[#This Row],[uren / jaar werkdagen]]</f>
        <v>0</v>
      </c>
      <c r="AF156" s="130">
        <f>Ruimtestaat[[#This Row],[kosten / jaar weekend]]+Ruimtestaat[[#This Row],[kosten / jaar werkdagen]]</f>
        <v>0</v>
      </c>
      <c r="AG156" s="130"/>
      <c r="AH156" s="137" t="str">
        <f>IF(Ruimtestaat[[#This Row],[Frequentie werkdagen]]="","",_xlfn.CONCAT(Ruimtestaat[[#This Row],[Ruimte code]],"-",Ruimtestaat[[#This Row],[Frequentie werkdagen]]," ",Ruimtestaat[[#This Row],[Vloer code]]))</f>
        <v>5-5w S</v>
      </c>
      <c r="AI156" s="142" t="str">
        <f>_xlfn.IFNA(VLOOKUP($AH156,Programma!$F$3:$G$1101,2,0),"")</f>
        <v>_</v>
      </c>
      <c r="AJ156" s="142" t="str">
        <f>_xlfn.IFNA(VLOOKUP($AH156,Programma!$F$3:$H$1101,3,0),"")</f>
        <v>_</v>
      </c>
      <c r="AK156" s="142" t="str">
        <f>_xlfn.IFNA(VLOOKUP($AH156,Programma!$F$3:$I$1101,4,0),"")</f>
        <v>_</v>
      </c>
      <c r="AL156" s="142" t="str">
        <f>_xlfn.IFNA(VLOOKUP($AH156,Programma!$F$3:$J$1101,5,0),"")</f>
        <v>4w</v>
      </c>
      <c r="AM156" s="142" t="str">
        <f>_xlfn.IFNA(VLOOKUP($AH156,Programma!$F$3:$K$1101,6,0),"")</f>
        <v>1w</v>
      </c>
      <c r="AN156" s="142" t="str">
        <f>_xlfn.IFNA(VLOOKUP($AH156,Programma!$F$3:$L$1101,7,0),"")</f>
        <v>_</v>
      </c>
      <c r="AO156" s="142" t="str">
        <f>_xlfn.IFNA(VLOOKUP($AH156,Programma!$F$3:$M$1101,8,0),"")</f>
        <v>_</v>
      </c>
      <c r="AP156" s="142" t="str">
        <f>_xlfn.IFNA(VLOOKUP($AH156,Programma!$F$3:$N$1101,9,0),"")</f>
        <v>_</v>
      </c>
      <c r="AQ156" s="142" t="str">
        <f>_xlfn.IFNA(VLOOKUP($AH156,Programma!$F$3:$O$1101,10,0),"")</f>
        <v>_</v>
      </c>
      <c r="AR156" s="142" t="str">
        <f>_xlfn.IFNA(VLOOKUP($AH156,Programma!$F$3:$P$1101,11,0),"")</f>
        <v>_</v>
      </c>
      <c r="AS156" s="142" t="str">
        <f>_xlfn.IFNA(VLOOKUP($AH156,Programma!$F$3:$Q$1101,12,0),"")</f>
        <v>_</v>
      </c>
      <c r="AT156" s="142" t="str">
        <f>_xlfn.IFNA(VLOOKUP($AH156,Programma!$F$3:$R$1101,13,0),"")</f>
        <v>_</v>
      </c>
      <c r="AU156" s="142" t="str">
        <f>_xlfn.IFNA(VLOOKUP($AH156,Programma!$F$3:$S$1101,14,0),"")</f>
        <v>_</v>
      </c>
      <c r="AV156" s="142" t="str">
        <f>_xlfn.IFNA(VLOOKUP($AH156,Programma!$F$3:$T$1101,15,0),"")</f>
        <v>_</v>
      </c>
      <c r="AW156" s="142" t="str">
        <f>_xlfn.IFNA(VLOOKUP($AH156,Programma!$F$3:$U$1101,16,0),"")</f>
        <v>_</v>
      </c>
      <c r="AX156" s="142" t="str">
        <f>_xlfn.IFNA(VLOOKUP($AH156,Programma!$F$3:$V$1101,17,0),"")</f>
        <v>_</v>
      </c>
      <c r="AY156" s="142" t="str">
        <f>_xlfn.IFNA(VLOOKUP($AH156,Programma!$F$3:$W$1101,18,0),"")</f>
        <v>4w</v>
      </c>
      <c r="AZ156" s="142" t="str">
        <f>_xlfn.IFNA(VLOOKUP($AH156,Programma!$F$3:$X$1101,19,0),"")</f>
        <v>1w</v>
      </c>
      <c r="BA156" s="142" t="str">
        <f>_xlfn.IFNA(VLOOKUP($AH156,Programma!$F$3:$Y$1101,20,0),"")</f>
        <v>_</v>
      </c>
      <c r="BB156" s="138"/>
      <c r="BC156" s="137" t="str">
        <f>IF(Ruimtestaat[[#This Row],[Frequentie weekend]]="","",_xlfn.CONCAT(Ruimtestaat[[#This Row],[Ruimte code]],"-",Ruimtestaat[[#This Row],[Frequentie weekend]]," ",Ruimtestaat[[#This Row],[Vloer code]]))</f>
        <v/>
      </c>
      <c r="BD156" s="142" t="str">
        <f>_xlfn.IFNA(VLOOKUP($BC156,Programma!$F$3:$G$1101,2,0),"")</f>
        <v/>
      </c>
      <c r="BE156" s="142" t="str">
        <f>_xlfn.IFNA(VLOOKUP($BC156,Programma!$F$3:$H$1101,3,0),"")</f>
        <v/>
      </c>
      <c r="BF156" s="142" t="str">
        <f>_xlfn.IFNA(VLOOKUP($BC156,Programma!$F$3:$I$1101,4,0),"")</f>
        <v/>
      </c>
      <c r="BG156" s="142" t="str">
        <f>_xlfn.IFNA(VLOOKUP($BC156,Programma!$F$3:$J$1101,5,0),"")</f>
        <v/>
      </c>
      <c r="BH156" s="142" t="str">
        <f>_xlfn.IFNA(VLOOKUP($BC156,Programma!$F$3:$K$1101,6,0),"")</f>
        <v/>
      </c>
      <c r="BI156" s="142" t="str">
        <f>_xlfn.IFNA(VLOOKUP($BC156,Programma!$F$3:$L$1101,7,0),"")</f>
        <v/>
      </c>
      <c r="BJ156" s="142" t="str">
        <f>_xlfn.IFNA(VLOOKUP($BC156,Programma!$F$3:$M$1101,8,0),"")</f>
        <v/>
      </c>
      <c r="BK156" s="142" t="str">
        <f>_xlfn.IFNA(VLOOKUP($BC156,Programma!$F$3:$N$1101,9,0),"")</f>
        <v/>
      </c>
      <c r="BL156" s="142" t="str">
        <f>_xlfn.IFNA(VLOOKUP($BC156,Programma!$F$3:$O$1101,10,0),"")</f>
        <v/>
      </c>
      <c r="BM156" s="142" t="str">
        <f>_xlfn.IFNA(VLOOKUP($BC156,Programma!$F$3:$P$1101,11,0),"")</f>
        <v/>
      </c>
      <c r="BN156" s="142" t="str">
        <f>_xlfn.IFNA(VLOOKUP($BC156,Programma!$F$3:$Q$1101,12,0),"")</f>
        <v/>
      </c>
      <c r="BO156" s="142" t="str">
        <f>_xlfn.IFNA(VLOOKUP($BC156,Programma!$F$3:$R$1101,13,0),"")</f>
        <v/>
      </c>
      <c r="BP156" s="142" t="str">
        <f>_xlfn.IFNA(VLOOKUP($BC156,Programma!$F$3:$S$1101,14,0),"")</f>
        <v/>
      </c>
      <c r="BQ156" s="142" t="str">
        <f>_xlfn.IFNA(VLOOKUP($BC156,Programma!$F$3:$T$1101,15,0),"")</f>
        <v/>
      </c>
      <c r="BR156" s="142" t="str">
        <f>_xlfn.IFNA(VLOOKUP($BC156,Programma!$F$3:$U$1101,16,0),"")</f>
        <v/>
      </c>
      <c r="BS156" s="142" t="str">
        <f>_xlfn.IFNA(VLOOKUP($BC156,Programma!$F$3:$V$1101,17,0),"")</f>
        <v/>
      </c>
      <c r="BT156" s="142" t="str">
        <f>_xlfn.IFNA(VLOOKUP($BC156,Programma!$F$3:$W$1101,18,0),"")</f>
        <v/>
      </c>
      <c r="BU156" s="142" t="str">
        <f>_xlfn.IFNA(VLOOKUP($BC156,Programma!$F$3:$X$1101,19,0),"")</f>
        <v/>
      </c>
      <c r="BV156" s="142" t="str">
        <f>_xlfn.IFNA(VLOOKUP($BC156,Programma!$F$3:$Y$1101,20,0),"")</f>
        <v/>
      </c>
      <c r="BW156" s="28"/>
      <c r="BX156" s="28"/>
      <c r="BY156" s="28"/>
      <c r="BZ156" s="28"/>
      <c r="CA156" s="28"/>
      <c r="CB156" s="28"/>
      <c r="CC156" s="28"/>
      <c r="CD156" s="28"/>
      <c r="CE156" s="28"/>
      <c r="CF156" s="28"/>
      <c r="CG156" s="28"/>
      <c r="CH156" s="28"/>
      <c r="CI156" s="28"/>
      <c r="CJ156" s="28"/>
      <c r="CK156" s="28"/>
      <c r="CL156" s="28"/>
      <c r="CM156" s="28"/>
      <c r="CN156" s="28"/>
      <c r="CO156" s="28"/>
      <c r="CP156" s="28"/>
      <c r="CQ156" s="28"/>
      <c r="CR156" s="28"/>
      <c r="CS156" s="28"/>
      <c r="CT156" s="28"/>
      <c r="CU156" s="28"/>
      <c r="CV156" s="28"/>
      <c r="CW156" s="28"/>
      <c r="CX156" s="28"/>
      <c r="CY156" s="28"/>
      <c r="CZ156" s="28"/>
      <c r="DA156" s="28"/>
      <c r="DB156" s="28"/>
      <c r="DC156" s="28"/>
      <c r="DD156" s="28"/>
      <c r="DE156" s="28"/>
      <c r="DF156" s="28"/>
      <c r="DG156" s="28"/>
      <c r="DH156" s="28"/>
      <c r="DI156" s="28"/>
      <c r="DJ156" s="28"/>
      <c r="DK156" s="28"/>
      <c r="DL156" s="28"/>
      <c r="DM156" s="28"/>
      <c r="DN156" s="28"/>
      <c r="DO156" s="28"/>
      <c r="DP156" s="28"/>
      <c r="DQ156" s="28"/>
      <c r="DR156" s="28"/>
      <c r="DS156" s="28"/>
      <c r="DT156" s="28"/>
      <c r="DU156" s="28"/>
      <c r="DV156" s="28"/>
      <c r="DW156" s="28"/>
      <c r="DX156" s="28"/>
      <c r="DY156" s="28"/>
      <c r="DZ156" s="28"/>
      <c r="EA156" s="28"/>
      <c r="EB156" s="28"/>
      <c r="EC156" s="28"/>
      <c r="ED156" s="28"/>
      <c r="EE156" s="28"/>
      <c r="EF156" s="28"/>
      <c r="EG156" s="28"/>
      <c r="EH156" s="28"/>
      <c r="EI156" s="28"/>
      <c r="EJ156" s="28"/>
      <c r="EK156" s="28"/>
      <c r="EL156" s="28"/>
      <c r="EM156" s="28"/>
      <c r="EN156" s="28"/>
      <c r="EO156" s="28"/>
      <c r="EP156" s="28"/>
      <c r="EQ156" s="28"/>
      <c r="ER156" s="28"/>
      <c r="ES156" s="28"/>
      <c r="ET156" s="28"/>
      <c r="EU156" s="28"/>
      <c r="EV156" s="28"/>
      <c r="EW156" s="28"/>
      <c r="EX156" s="28"/>
      <c r="EY156" s="28"/>
      <c r="EZ156" s="28"/>
      <c r="FA156" s="28"/>
      <c r="FB156" s="28"/>
      <c r="FC156" s="28"/>
      <c r="FD156" s="28"/>
      <c r="FE156" s="28"/>
      <c r="FF156" s="28"/>
      <c r="FG156" s="28"/>
      <c r="FH156" s="28"/>
      <c r="FI156" s="28"/>
      <c r="FJ156" s="28"/>
      <c r="FK156" s="28"/>
      <c r="FL156" s="28"/>
      <c r="FM156" s="28"/>
      <c r="FN156" s="28"/>
      <c r="FO156" s="28"/>
      <c r="FP156" s="28"/>
      <c r="FQ156" s="28"/>
      <c r="FR156" s="28"/>
      <c r="FS156" s="28"/>
      <c r="FT156" s="28"/>
      <c r="FU156" s="28"/>
      <c r="FV156" s="28"/>
      <c r="FW156" s="28"/>
      <c r="FX156" s="28"/>
      <c r="FY156" s="28"/>
      <c r="FZ156" s="28"/>
      <c r="GA156" s="28"/>
      <c r="GB156" s="28"/>
      <c r="GC156" s="28"/>
      <c r="GD156" s="28"/>
      <c r="GE156" s="28"/>
      <c r="GF156" s="28"/>
      <c r="GG156" s="28"/>
      <c r="GH156" s="28"/>
      <c r="GI156" s="28"/>
      <c r="GJ156" s="28"/>
      <c r="GK156" s="28"/>
      <c r="GL156" s="28"/>
      <c r="GM156" s="28"/>
      <c r="GN156" s="28"/>
      <c r="GO156" s="28"/>
      <c r="GP156" s="28"/>
      <c r="GQ156" s="28"/>
      <c r="GR156" s="28"/>
      <c r="GS156" s="28"/>
      <c r="GT156" s="28"/>
      <c r="GU156" s="28"/>
      <c r="GV156" s="28"/>
      <c r="GW156" s="28"/>
      <c r="GX156" s="28"/>
      <c r="GY156" s="28"/>
      <c r="GZ156" s="28"/>
      <c r="HA156" s="28"/>
      <c r="HB156" s="28"/>
      <c r="HC156" s="28"/>
      <c r="HD156" s="28"/>
      <c r="HE156" s="28"/>
      <c r="HF156" s="28"/>
      <c r="HG156" s="28"/>
      <c r="HH156" s="28"/>
      <c r="HI156" s="28"/>
      <c r="HJ156" s="28"/>
      <c r="HK156" s="28"/>
    </row>
    <row r="157" spans="1:219" ht="15" customHeight="1">
      <c r="A157" s="49">
        <v>1</v>
      </c>
      <c r="B157" s="132" t="str">
        <f>VLOOKUP(Ruimtestaat[[#This Row],[Code]],Locaties[[Code]:[Locatie]],2,FALSE)</f>
        <v>Mirtehuis</v>
      </c>
      <c r="C157" s="132" t="str">
        <f>VLOOKUP(Ruimtestaat[[#This Row],[Code]],Locaties[[#All],[Code]:[Adres]],4,FALSE)</f>
        <v>Weseperweg 6</v>
      </c>
      <c r="D157" s="132" t="str">
        <f>VLOOKUP(Ruimtestaat[[#This Row],[Code]],Locaties[[#All],[Code]:[Postcode]],5,FALSE)</f>
        <v>8111 PK</v>
      </c>
      <c r="E157" s="132" t="str">
        <f>VLOOKUP(Ruimtestaat[[#This Row],[Code]],Locaties[#All],6,FALSE)</f>
        <v>Heeten</v>
      </c>
      <c r="F157" s="100"/>
      <c r="G157" s="100" t="s">
        <v>1677</v>
      </c>
      <c r="I157" s="140" t="s">
        <v>1668</v>
      </c>
      <c r="J157" s="49">
        <v>5</v>
      </c>
      <c r="K157" s="140" t="str">
        <f>VLOOKUP(Ruimtestaat[[#This Row],[Ruimte code]],Ruimtegroepen[[#All],[Code]:[Ruimte omschrijving]],2,FALSE)</f>
        <v>Sanitair</v>
      </c>
      <c r="L157" s="100" t="s">
        <v>101</v>
      </c>
      <c r="M157" s="345" t="s">
        <v>1642</v>
      </c>
      <c r="N157" s="133">
        <v>1.75</v>
      </c>
      <c r="O157" s="100"/>
      <c r="P157" s="134" t="str">
        <f>VLOOKUP(Ruimtestaat[[#This Row],[Ruimte code]],Ruimtegroepen[],4,FALSE)</f>
        <v>Sa</v>
      </c>
      <c r="Q157" s="100">
        <v>51</v>
      </c>
      <c r="R157" s="100" t="s">
        <v>2</v>
      </c>
      <c r="S157" s="100">
        <f>IF(Q157&gt;0,IF(RIGHT(Ruimtestaat[[#This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57" s="100">
        <f>IF(S157&gt;0,VLOOKUP($J157,Ruimtegroepen[],3,FALSE)*VLOOKUP($L157,Vloersoorten[],3,FALSE)*VLOOKUP($R157,Frequenties[],3,FALSE)*VLOOKUP($A157,Locaties[],3,FALSE),0)</f>
        <v>0</v>
      </c>
      <c r="U157" s="100">
        <f>Ruimtestaat[[#This Row],[Uitvoeringen werkdagen]]*Ruimtestaat[[#This Row],[Oppervlak (netto)]]</f>
        <v>446.25</v>
      </c>
      <c r="V157" s="135">
        <f>IF(T157&gt;0,Ruimtestaat[[#This Row],[Prest. (m2 /jaar) werkdagen]]/Ruimtestaat[[#This Row],[Norm (m2/uur) werkdagen]],0)</f>
        <v>0</v>
      </c>
      <c r="W157" s="136">
        <f>Ruimtestaat[[#This Row],[uren / jaar werkdagen]]*Tariefsopbouw!$E$35</f>
        <v>0</v>
      </c>
      <c r="X157" s="100"/>
      <c r="Y157" s="100">
        <f>IF(Ruimtestaat[[#This Row],[Frequentie weekend]]&gt;0,VALUE(LEFT(X157,1))*Q157,0)</f>
        <v>0</v>
      </c>
      <c r="Z157" s="99">
        <f>IF($Y157&gt;0,VLOOKUP($J157,Ruimtegroepen[],3,FALSE)*VLOOKUP($L157,Vloersoorten[],3,FALSE)*VLOOKUP($X157,Frequenties[],3,FALSE)*VLOOKUP(Ruimtestaat[[#This Row],[Code]],Locaties[],3,FALSE),0)</f>
        <v>0</v>
      </c>
      <c r="AA157" s="99">
        <f>Ruimtestaat[[#This Row],[Uitvoeringen weekend]]*Ruimtestaat[[#This Row],[Oppervlak (netto)]]</f>
        <v>0</v>
      </c>
      <c r="AB157" s="99">
        <f>IF(Z157&gt;0,Ruimtestaat[[#This Row],[Prest. (m2 /jaar) weekend]]/Ruimtestaat[[#This Row],[Norm (m2/uur) weekend]],0)</f>
        <v>0</v>
      </c>
      <c r="AC157" s="136">
        <f>Ruimtestaat[[#This Row],[uren / jaar weekend]]*Tariefsopbouw!$D$40</f>
        <v>0</v>
      </c>
      <c r="AD157" s="135">
        <f>Ruimtestaat[[#This Row],[Prest. (m2 /jaar) weekend]]+Ruimtestaat[[#This Row],[Prest. (m2 /jaar) werkdagen]]</f>
        <v>446.25</v>
      </c>
      <c r="AE157" s="135">
        <f>Ruimtestaat[[#This Row],[uren / jaar weekend]]+Ruimtestaat[[#This Row],[uren / jaar werkdagen]]</f>
        <v>0</v>
      </c>
      <c r="AF157" s="130">
        <f>Ruimtestaat[[#This Row],[kosten / jaar weekend]]+Ruimtestaat[[#This Row],[kosten / jaar werkdagen]]</f>
        <v>0</v>
      </c>
      <c r="AG157" s="130"/>
      <c r="AH157" s="137" t="str">
        <f>IF(Ruimtestaat[[#This Row],[Frequentie werkdagen]]="","",_xlfn.CONCAT(Ruimtestaat[[#This Row],[Ruimte code]],"-",Ruimtestaat[[#This Row],[Frequentie werkdagen]]," ",Ruimtestaat[[#This Row],[Vloer code]]))</f>
        <v>5-5w S</v>
      </c>
      <c r="AI157" s="142" t="str">
        <f>_xlfn.IFNA(VLOOKUP($AH157,Programma!$F$3:$G$1101,2,0),"")</f>
        <v>_</v>
      </c>
      <c r="AJ157" s="142" t="str">
        <f>_xlfn.IFNA(VLOOKUP($AH157,Programma!$F$3:$H$1101,3,0),"")</f>
        <v>_</v>
      </c>
      <c r="AK157" s="142" t="str">
        <f>_xlfn.IFNA(VLOOKUP($AH157,Programma!$F$3:$I$1101,4,0),"")</f>
        <v>_</v>
      </c>
      <c r="AL157" s="142" t="str">
        <f>_xlfn.IFNA(VLOOKUP($AH157,Programma!$F$3:$J$1101,5,0),"")</f>
        <v>4w</v>
      </c>
      <c r="AM157" s="142" t="str">
        <f>_xlfn.IFNA(VLOOKUP($AH157,Programma!$F$3:$K$1101,6,0),"")</f>
        <v>1w</v>
      </c>
      <c r="AN157" s="142" t="str">
        <f>_xlfn.IFNA(VLOOKUP($AH157,Programma!$F$3:$L$1101,7,0),"")</f>
        <v>_</v>
      </c>
      <c r="AO157" s="142" t="str">
        <f>_xlfn.IFNA(VLOOKUP($AH157,Programma!$F$3:$M$1101,8,0),"")</f>
        <v>_</v>
      </c>
      <c r="AP157" s="142" t="str">
        <f>_xlfn.IFNA(VLOOKUP($AH157,Programma!$F$3:$N$1101,9,0),"")</f>
        <v>_</v>
      </c>
      <c r="AQ157" s="142" t="str">
        <f>_xlfn.IFNA(VLOOKUP($AH157,Programma!$F$3:$O$1101,10,0),"")</f>
        <v>_</v>
      </c>
      <c r="AR157" s="142" t="str">
        <f>_xlfn.IFNA(VLOOKUP($AH157,Programma!$F$3:$P$1101,11,0),"")</f>
        <v>_</v>
      </c>
      <c r="AS157" s="142" t="str">
        <f>_xlfn.IFNA(VLOOKUP($AH157,Programma!$F$3:$Q$1101,12,0),"")</f>
        <v>_</v>
      </c>
      <c r="AT157" s="142" t="str">
        <f>_xlfn.IFNA(VLOOKUP($AH157,Programma!$F$3:$R$1101,13,0),"")</f>
        <v>_</v>
      </c>
      <c r="AU157" s="142" t="str">
        <f>_xlfn.IFNA(VLOOKUP($AH157,Programma!$F$3:$S$1101,14,0),"")</f>
        <v>_</v>
      </c>
      <c r="AV157" s="142" t="str">
        <f>_xlfn.IFNA(VLOOKUP($AH157,Programma!$F$3:$T$1101,15,0),"")</f>
        <v>_</v>
      </c>
      <c r="AW157" s="142" t="str">
        <f>_xlfn.IFNA(VLOOKUP($AH157,Programma!$F$3:$U$1101,16,0),"")</f>
        <v>_</v>
      </c>
      <c r="AX157" s="142" t="str">
        <f>_xlfn.IFNA(VLOOKUP($AH157,Programma!$F$3:$V$1101,17,0),"")</f>
        <v>_</v>
      </c>
      <c r="AY157" s="142" t="str">
        <f>_xlfn.IFNA(VLOOKUP($AH157,Programma!$F$3:$W$1101,18,0),"")</f>
        <v>4w</v>
      </c>
      <c r="AZ157" s="142" t="str">
        <f>_xlfn.IFNA(VLOOKUP($AH157,Programma!$F$3:$X$1101,19,0),"")</f>
        <v>1w</v>
      </c>
      <c r="BA157" s="142" t="str">
        <f>_xlfn.IFNA(VLOOKUP($AH157,Programma!$F$3:$Y$1101,20,0),"")</f>
        <v>_</v>
      </c>
      <c r="BB157" s="138"/>
      <c r="BC157" s="137" t="str">
        <f>IF(Ruimtestaat[[#This Row],[Frequentie weekend]]="","",_xlfn.CONCAT(Ruimtestaat[[#This Row],[Ruimte code]],"-",Ruimtestaat[[#This Row],[Frequentie weekend]]," ",Ruimtestaat[[#This Row],[Vloer code]]))</f>
        <v/>
      </c>
      <c r="BD157" s="142" t="str">
        <f>_xlfn.IFNA(VLOOKUP($BC157,Programma!$F$3:$G$1101,2,0),"")</f>
        <v/>
      </c>
      <c r="BE157" s="142" t="str">
        <f>_xlfn.IFNA(VLOOKUP($BC157,Programma!$F$3:$H$1101,3,0),"")</f>
        <v/>
      </c>
      <c r="BF157" s="142" t="str">
        <f>_xlfn.IFNA(VLOOKUP($BC157,Programma!$F$3:$I$1101,4,0),"")</f>
        <v/>
      </c>
      <c r="BG157" s="142" t="str">
        <f>_xlfn.IFNA(VLOOKUP($BC157,Programma!$F$3:$J$1101,5,0),"")</f>
        <v/>
      </c>
      <c r="BH157" s="142" t="str">
        <f>_xlfn.IFNA(VLOOKUP($BC157,Programma!$F$3:$K$1101,6,0),"")</f>
        <v/>
      </c>
      <c r="BI157" s="142" t="str">
        <f>_xlfn.IFNA(VLOOKUP($BC157,Programma!$F$3:$L$1101,7,0),"")</f>
        <v/>
      </c>
      <c r="BJ157" s="142" t="str">
        <f>_xlfn.IFNA(VLOOKUP($BC157,Programma!$F$3:$M$1101,8,0),"")</f>
        <v/>
      </c>
      <c r="BK157" s="142" t="str">
        <f>_xlfn.IFNA(VLOOKUP($BC157,Programma!$F$3:$N$1101,9,0),"")</f>
        <v/>
      </c>
      <c r="BL157" s="142" t="str">
        <f>_xlfn.IFNA(VLOOKUP($BC157,Programma!$F$3:$O$1101,10,0),"")</f>
        <v/>
      </c>
      <c r="BM157" s="142" t="str">
        <f>_xlfn.IFNA(VLOOKUP($BC157,Programma!$F$3:$P$1101,11,0),"")</f>
        <v/>
      </c>
      <c r="BN157" s="142" t="str">
        <f>_xlfn.IFNA(VLOOKUP($BC157,Programma!$F$3:$Q$1101,12,0),"")</f>
        <v/>
      </c>
      <c r="BO157" s="142" t="str">
        <f>_xlfn.IFNA(VLOOKUP($BC157,Programma!$F$3:$R$1101,13,0),"")</f>
        <v/>
      </c>
      <c r="BP157" s="142" t="str">
        <f>_xlfn.IFNA(VLOOKUP($BC157,Programma!$F$3:$S$1101,14,0),"")</f>
        <v/>
      </c>
      <c r="BQ157" s="142" t="str">
        <f>_xlfn.IFNA(VLOOKUP($BC157,Programma!$F$3:$T$1101,15,0),"")</f>
        <v/>
      </c>
      <c r="BR157" s="142" t="str">
        <f>_xlfn.IFNA(VLOOKUP($BC157,Programma!$F$3:$U$1101,16,0),"")</f>
        <v/>
      </c>
      <c r="BS157" s="142" t="str">
        <f>_xlfn.IFNA(VLOOKUP($BC157,Programma!$F$3:$V$1101,17,0),"")</f>
        <v/>
      </c>
      <c r="BT157" s="142" t="str">
        <f>_xlfn.IFNA(VLOOKUP($BC157,Programma!$F$3:$W$1101,18,0),"")</f>
        <v/>
      </c>
      <c r="BU157" s="142" t="str">
        <f>_xlfn.IFNA(VLOOKUP($BC157,Programma!$F$3:$X$1101,19,0),"")</f>
        <v/>
      </c>
      <c r="BV157" s="142" t="str">
        <f>_xlfn.IFNA(VLOOKUP($BC157,Programma!$F$3:$Y$1101,20,0),"")</f>
        <v/>
      </c>
      <c r="BW157" s="28"/>
      <c r="BX157" s="28"/>
      <c r="BY157" s="28"/>
      <c r="BZ157" s="28"/>
      <c r="CA157" s="28"/>
      <c r="CB157" s="28"/>
      <c r="CC157" s="28"/>
      <c r="CD157" s="28"/>
      <c r="CE157" s="28"/>
      <c r="CF157" s="28"/>
      <c r="CG157" s="28"/>
      <c r="CH157" s="28"/>
      <c r="CI157" s="28"/>
      <c r="CJ157" s="28"/>
      <c r="CK157" s="28"/>
      <c r="CL157" s="28"/>
      <c r="CM157" s="28"/>
      <c r="CN157" s="28"/>
      <c r="CO157" s="28"/>
      <c r="CP157" s="28"/>
      <c r="CQ157" s="28"/>
      <c r="CR157" s="28"/>
      <c r="CS157" s="28"/>
      <c r="CT157" s="28"/>
      <c r="CU157" s="28"/>
      <c r="CV157" s="28"/>
      <c r="CW157" s="28"/>
      <c r="CX157" s="28"/>
      <c r="CY157" s="28"/>
      <c r="CZ157" s="28"/>
      <c r="DA157" s="28"/>
      <c r="DB157" s="28"/>
      <c r="DC157" s="28"/>
      <c r="DD157" s="28"/>
      <c r="DE157" s="28"/>
      <c r="DF157" s="28"/>
      <c r="DG157" s="28"/>
      <c r="DH157" s="28"/>
      <c r="DI157" s="28"/>
      <c r="DJ157" s="28"/>
      <c r="DK157" s="28"/>
      <c r="DL157" s="28"/>
      <c r="DM157" s="28"/>
      <c r="DN157" s="28"/>
      <c r="DO157" s="28"/>
      <c r="DP157" s="28"/>
      <c r="DQ157" s="28"/>
      <c r="DR157" s="28"/>
      <c r="DS157" s="28"/>
      <c r="DT157" s="28"/>
      <c r="DU157" s="28"/>
      <c r="DV157" s="28"/>
      <c r="DW157" s="28"/>
      <c r="DX157" s="28"/>
      <c r="DY157" s="28"/>
      <c r="DZ157" s="28"/>
      <c r="EA157" s="28"/>
      <c r="EB157" s="28"/>
      <c r="EC157" s="28"/>
      <c r="ED157" s="28"/>
      <c r="EE157" s="28"/>
      <c r="EF157" s="28"/>
      <c r="EG157" s="28"/>
      <c r="EH157" s="28"/>
      <c r="EI157" s="28"/>
      <c r="EJ157" s="28"/>
      <c r="EK157" s="28"/>
      <c r="EL157" s="28"/>
      <c r="EM157" s="28"/>
      <c r="EN157" s="28"/>
      <c r="EO157" s="28"/>
      <c r="EP157" s="28"/>
      <c r="EQ157" s="28"/>
      <c r="ER157" s="28"/>
      <c r="ES157" s="28"/>
      <c r="ET157" s="28"/>
      <c r="EU157" s="28"/>
      <c r="EV157" s="28"/>
      <c r="EW157" s="28"/>
      <c r="EX157" s="28"/>
      <c r="EY157" s="28"/>
      <c r="EZ157" s="28"/>
      <c r="FA157" s="28"/>
      <c r="FB157" s="28"/>
      <c r="FC157" s="28"/>
      <c r="FD157" s="28"/>
      <c r="FE157" s="28"/>
      <c r="FF157" s="28"/>
      <c r="FG157" s="28"/>
      <c r="FH157" s="28"/>
      <c r="FI157" s="28"/>
      <c r="FJ157" s="28"/>
      <c r="FK157" s="28"/>
      <c r="FL157" s="28"/>
      <c r="FM157" s="28"/>
      <c r="FN157" s="28"/>
      <c r="FO157" s="28"/>
      <c r="FP157" s="28"/>
      <c r="FQ157" s="28"/>
      <c r="FR157" s="28"/>
      <c r="FS157" s="28"/>
      <c r="FT157" s="28"/>
      <c r="FU157" s="28"/>
      <c r="FV157" s="28"/>
      <c r="FW157" s="28"/>
      <c r="FX157" s="28"/>
      <c r="FY157" s="28"/>
      <c r="FZ157" s="28"/>
      <c r="GA157" s="28"/>
      <c r="GB157" s="28"/>
      <c r="GC157" s="28"/>
      <c r="GD157" s="28"/>
      <c r="GE157" s="28"/>
      <c r="GF157" s="28"/>
      <c r="GG157" s="28"/>
      <c r="GH157" s="28"/>
      <c r="GI157" s="28"/>
      <c r="GJ157" s="28"/>
      <c r="GK157" s="28"/>
      <c r="GL157" s="28"/>
      <c r="GM157" s="28"/>
      <c r="GN157" s="28"/>
      <c r="GO157" s="28"/>
      <c r="GP157" s="28"/>
      <c r="GQ157" s="28"/>
      <c r="GR157" s="28"/>
      <c r="GS157" s="28"/>
      <c r="GT157" s="28"/>
      <c r="GU157" s="28"/>
      <c r="GV157" s="28"/>
      <c r="GW157" s="28"/>
      <c r="GX157" s="28"/>
      <c r="GY157" s="28"/>
      <c r="GZ157" s="28"/>
      <c r="HA157" s="28"/>
      <c r="HB157" s="28"/>
      <c r="HC157" s="28"/>
      <c r="HD157" s="28"/>
      <c r="HE157" s="28"/>
      <c r="HF157" s="28"/>
      <c r="HG157" s="28"/>
      <c r="HH157" s="28"/>
      <c r="HI157" s="28"/>
      <c r="HJ157" s="28"/>
      <c r="HK157" s="28"/>
    </row>
    <row r="158" spans="1:219" ht="15" customHeight="1">
      <c r="A158" s="49">
        <v>1</v>
      </c>
      <c r="B158" s="132" t="str">
        <f>VLOOKUP(Ruimtestaat[[#This Row],[Code]],Locaties[[Code]:[Locatie]],2,FALSE)</f>
        <v>Mirtehuis</v>
      </c>
      <c r="C158" s="132" t="str">
        <f>VLOOKUP(Ruimtestaat[[#This Row],[Code]],Locaties[[#All],[Code]:[Adres]],4,FALSE)</f>
        <v>Weseperweg 6</v>
      </c>
      <c r="D158" s="132" t="str">
        <f>VLOOKUP(Ruimtestaat[[#This Row],[Code]],Locaties[[#All],[Code]:[Postcode]],5,FALSE)</f>
        <v>8111 PK</v>
      </c>
      <c r="E158" s="132" t="str">
        <f>VLOOKUP(Ruimtestaat[[#This Row],[Code]],Locaties[#All],6,FALSE)</f>
        <v>Heeten</v>
      </c>
      <c r="F158" s="100"/>
      <c r="G158" s="100" t="s">
        <v>1677</v>
      </c>
      <c r="H158" s="49" t="s">
        <v>1690</v>
      </c>
      <c r="I158" s="140" t="s">
        <v>1656</v>
      </c>
      <c r="J158" s="49">
        <v>20</v>
      </c>
      <c r="K158" s="140" t="str">
        <f>VLOOKUP(Ruimtestaat[[#This Row],[Ruimte code]],Ruimtegroepen[[#All],[Code]:[Ruimte omschrijving]],2,FALSE)</f>
        <v>Niet in Onderhoud</v>
      </c>
      <c r="L158" s="100"/>
      <c r="M158" s="345"/>
      <c r="N158" s="133"/>
      <c r="O158" s="139"/>
      <c r="P158" s="134">
        <f>VLOOKUP(Ruimtestaat[[#This Row],[Ruimte code]],Ruimtegroepen[],4,FALSE)</f>
        <v>0</v>
      </c>
      <c r="Q158" s="100"/>
      <c r="R158" s="100"/>
      <c r="S158" s="100">
        <f>IF(Q158&gt;0,IF(RIGHT(Ruimtestaat[[#This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58" s="100">
        <f>IF(S158&gt;0,VLOOKUP($J158,Ruimtegroepen[],3,FALSE)*VLOOKUP($L158,Vloersoorten[],3,FALSE)*VLOOKUP($R158,Frequenties[],3,FALSE)*VLOOKUP($A158,Locaties[],3,FALSE),0)</f>
        <v>0</v>
      </c>
      <c r="U158" s="100">
        <f>Ruimtestaat[[#This Row],[Uitvoeringen werkdagen]]*Ruimtestaat[[#This Row],[Oppervlak (netto)]]</f>
        <v>0</v>
      </c>
      <c r="V158" s="135">
        <f>IF(T158&gt;0,Ruimtestaat[[#This Row],[Prest. (m2 /jaar) werkdagen]]/Ruimtestaat[[#This Row],[Norm (m2/uur) werkdagen]],0)</f>
        <v>0</v>
      </c>
      <c r="W158" s="136">
        <f>Ruimtestaat[[#This Row],[uren / jaar werkdagen]]*Tariefsopbouw!$E$35</f>
        <v>0</v>
      </c>
      <c r="X158" s="100"/>
      <c r="Y158" s="100">
        <f>IF(Ruimtestaat[[#This Row],[Frequentie weekend]]&gt;0,VALUE(LEFT(X158,1))*Q158,0)</f>
        <v>0</v>
      </c>
      <c r="Z158" s="99">
        <f>IF($Y158&gt;0,VLOOKUP($J158,Ruimtegroepen[],3,FALSE)*VLOOKUP($L158,Vloersoorten[],3,FALSE)*VLOOKUP($X158,Frequenties[],3,FALSE)*VLOOKUP(Ruimtestaat[[#This Row],[Code]],Locaties[],3,FALSE),0)</f>
        <v>0</v>
      </c>
      <c r="AA158" s="99">
        <f>Ruimtestaat[[#This Row],[Uitvoeringen weekend]]*Ruimtestaat[[#This Row],[Oppervlak (netto)]]</f>
        <v>0</v>
      </c>
      <c r="AB158" s="99">
        <f>IF(Z158&gt;0,Ruimtestaat[[#This Row],[Prest. (m2 /jaar) weekend]]/Ruimtestaat[[#This Row],[Norm (m2/uur) weekend]],0)</f>
        <v>0</v>
      </c>
      <c r="AC158" s="136">
        <f>Ruimtestaat[[#This Row],[uren / jaar weekend]]*Tariefsopbouw!$D$40</f>
        <v>0</v>
      </c>
      <c r="AD158" s="135">
        <f>Ruimtestaat[[#This Row],[Prest. (m2 /jaar) weekend]]+Ruimtestaat[[#This Row],[Prest. (m2 /jaar) werkdagen]]</f>
        <v>0</v>
      </c>
      <c r="AE158" s="135">
        <f>Ruimtestaat[[#This Row],[uren / jaar weekend]]+Ruimtestaat[[#This Row],[uren / jaar werkdagen]]</f>
        <v>0</v>
      </c>
      <c r="AF158" s="130">
        <f>Ruimtestaat[[#This Row],[kosten / jaar weekend]]+Ruimtestaat[[#This Row],[kosten / jaar werkdagen]]</f>
        <v>0</v>
      </c>
      <c r="AG158" s="130"/>
      <c r="AH158" s="137" t="str">
        <f>IF(Ruimtestaat[[#This Row],[Frequentie werkdagen]]="","",_xlfn.CONCAT(Ruimtestaat[[#This Row],[Ruimte code]],"-",Ruimtestaat[[#This Row],[Frequentie werkdagen]]," ",Ruimtestaat[[#This Row],[Vloer code]]))</f>
        <v/>
      </c>
      <c r="AI158" s="142" t="str">
        <f>_xlfn.IFNA(VLOOKUP($AH158,Programma!$F$3:$G$1101,2,0),"")</f>
        <v/>
      </c>
      <c r="AJ158" s="142" t="str">
        <f>_xlfn.IFNA(VLOOKUP($AH158,Programma!$F$3:$H$1101,3,0),"")</f>
        <v/>
      </c>
      <c r="AK158" s="142" t="str">
        <f>_xlfn.IFNA(VLOOKUP($AH158,Programma!$F$3:$I$1101,4,0),"")</f>
        <v/>
      </c>
      <c r="AL158" s="142" t="str">
        <f>_xlfn.IFNA(VLOOKUP($AH158,Programma!$F$3:$J$1101,5,0),"")</f>
        <v/>
      </c>
      <c r="AM158" s="142" t="str">
        <f>_xlfn.IFNA(VLOOKUP($AH158,Programma!$F$3:$K$1101,6,0),"")</f>
        <v/>
      </c>
      <c r="AN158" s="142" t="str">
        <f>_xlfn.IFNA(VLOOKUP($AH158,Programma!$F$3:$L$1101,7,0),"")</f>
        <v/>
      </c>
      <c r="AO158" s="142" t="str">
        <f>_xlfn.IFNA(VLOOKUP($AH158,Programma!$F$3:$M$1101,8,0),"")</f>
        <v/>
      </c>
      <c r="AP158" s="142" t="str">
        <f>_xlfn.IFNA(VLOOKUP($AH158,Programma!$F$3:$N$1101,9,0),"")</f>
        <v/>
      </c>
      <c r="AQ158" s="142" t="str">
        <f>_xlfn.IFNA(VLOOKUP($AH158,Programma!$F$3:$O$1101,10,0),"")</f>
        <v/>
      </c>
      <c r="AR158" s="142" t="str">
        <f>_xlfn.IFNA(VLOOKUP($AH158,Programma!$F$3:$P$1101,11,0),"")</f>
        <v/>
      </c>
      <c r="AS158" s="142" t="str">
        <f>_xlfn.IFNA(VLOOKUP($AH158,Programma!$F$3:$Q$1101,12,0),"")</f>
        <v/>
      </c>
      <c r="AT158" s="142" t="str">
        <f>_xlfn.IFNA(VLOOKUP($AH158,Programma!$F$3:$R$1101,13,0),"")</f>
        <v/>
      </c>
      <c r="AU158" s="142" t="str">
        <f>_xlfn.IFNA(VLOOKUP($AH158,Programma!$F$3:$S$1101,14,0),"")</f>
        <v/>
      </c>
      <c r="AV158" s="142" t="str">
        <f>_xlfn.IFNA(VLOOKUP($AH158,Programma!$F$3:$T$1101,15,0),"")</f>
        <v/>
      </c>
      <c r="AW158" s="142" t="str">
        <f>_xlfn.IFNA(VLOOKUP($AH158,Programma!$F$3:$U$1101,16,0),"")</f>
        <v/>
      </c>
      <c r="AX158" s="142" t="str">
        <f>_xlfn.IFNA(VLOOKUP($AH158,Programma!$F$3:$V$1101,17,0),"")</f>
        <v/>
      </c>
      <c r="AY158" s="142" t="str">
        <f>_xlfn.IFNA(VLOOKUP($AH158,Programma!$F$3:$W$1101,18,0),"")</f>
        <v/>
      </c>
      <c r="AZ158" s="142" t="str">
        <f>_xlfn.IFNA(VLOOKUP($AH158,Programma!$F$3:$X$1101,19,0),"")</f>
        <v/>
      </c>
      <c r="BA158" s="142" t="str">
        <f>_xlfn.IFNA(VLOOKUP($AH158,Programma!$F$3:$Y$1101,20,0),"")</f>
        <v/>
      </c>
      <c r="BB158" s="138"/>
      <c r="BC158" s="137" t="str">
        <f>IF(Ruimtestaat[[#This Row],[Frequentie weekend]]="","",_xlfn.CONCAT(Ruimtestaat[[#This Row],[Ruimte code]],"-",Ruimtestaat[[#This Row],[Frequentie weekend]]," ",Ruimtestaat[[#This Row],[Vloer code]]))</f>
        <v/>
      </c>
      <c r="BD158" s="142" t="str">
        <f>_xlfn.IFNA(VLOOKUP($BC158,Programma!$F$3:$G$1101,2,0),"")</f>
        <v/>
      </c>
      <c r="BE158" s="142" t="str">
        <f>_xlfn.IFNA(VLOOKUP($BC158,Programma!$F$3:$H$1101,3,0),"")</f>
        <v/>
      </c>
      <c r="BF158" s="142" t="str">
        <f>_xlfn.IFNA(VLOOKUP($BC158,Programma!$F$3:$I$1101,4,0),"")</f>
        <v/>
      </c>
      <c r="BG158" s="142" t="str">
        <f>_xlfn.IFNA(VLOOKUP($BC158,Programma!$F$3:$J$1101,5,0),"")</f>
        <v/>
      </c>
      <c r="BH158" s="142" t="str">
        <f>_xlfn.IFNA(VLOOKUP($BC158,Programma!$F$3:$K$1101,6,0),"")</f>
        <v/>
      </c>
      <c r="BI158" s="142" t="str">
        <f>_xlfn.IFNA(VLOOKUP($BC158,Programma!$F$3:$L$1101,7,0),"")</f>
        <v/>
      </c>
      <c r="BJ158" s="142" t="str">
        <f>_xlfn.IFNA(VLOOKUP($BC158,Programma!$F$3:$M$1101,8,0),"")</f>
        <v/>
      </c>
      <c r="BK158" s="142" t="str">
        <f>_xlfn.IFNA(VLOOKUP($BC158,Programma!$F$3:$N$1101,9,0),"")</f>
        <v/>
      </c>
      <c r="BL158" s="142" t="str">
        <f>_xlfn.IFNA(VLOOKUP($BC158,Programma!$F$3:$O$1101,10,0),"")</f>
        <v/>
      </c>
      <c r="BM158" s="142" t="str">
        <f>_xlfn.IFNA(VLOOKUP($BC158,Programma!$F$3:$P$1101,11,0),"")</f>
        <v/>
      </c>
      <c r="BN158" s="142" t="str">
        <f>_xlfn.IFNA(VLOOKUP($BC158,Programma!$F$3:$Q$1101,12,0),"")</f>
        <v/>
      </c>
      <c r="BO158" s="142" t="str">
        <f>_xlfn.IFNA(VLOOKUP($BC158,Programma!$F$3:$R$1101,13,0),"")</f>
        <v/>
      </c>
      <c r="BP158" s="142" t="str">
        <f>_xlfn.IFNA(VLOOKUP($BC158,Programma!$F$3:$S$1101,14,0),"")</f>
        <v/>
      </c>
      <c r="BQ158" s="142" t="str">
        <f>_xlfn.IFNA(VLOOKUP($BC158,Programma!$F$3:$T$1101,15,0),"")</f>
        <v/>
      </c>
      <c r="BR158" s="142" t="str">
        <f>_xlfn.IFNA(VLOOKUP($BC158,Programma!$F$3:$U$1101,16,0),"")</f>
        <v/>
      </c>
      <c r="BS158" s="142" t="str">
        <f>_xlfn.IFNA(VLOOKUP($BC158,Programma!$F$3:$V$1101,17,0),"")</f>
        <v/>
      </c>
      <c r="BT158" s="142" t="str">
        <f>_xlfn.IFNA(VLOOKUP($BC158,Programma!$F$3:$W$1101,18,0),"")</f>
        <v/>
      </c>
      <c r="BU158" s="142" t="str">
        <f>_xlfn.IFNA(VLOOKUP($BC158,Programma!$F$3:$X$1101,19,0),"")</f>
        <v/>
      </c>
      <c r="BV158" s="142" t="str">
        <f>_xlfn.IFNA(VLOOKUP($BC158,Programma!$F$3:$Y$1101,20,0),"")</f>
        <v/>
      </c>
      <c r="BW158" s="28"/>
      <c r="BX158" s="28"/>
      <c r="BY158" s="28"/>
      <c r="BZ158" s="28"/>
      <c r="CA158" s="28"/>
      <c r="CB158" s="28"/>
      <c r="CC158" s="28"/>
      <c r="CD158" s="28"/>
      <c r="CE158" s="28"/>
      <c r="CF158" s="28"/>
      <c r="CG158" s="28"/>
      <c r="CH158" s="28"/>
      <c r="CI158" s="28"/>
      <c r="CJ158" s="28"/>
      <c r="CK158" s="28"/>
      <c r="CL158" s="28"/>
      <c r="CM158" s="28"/>
      <c r="CN158" s="28"/>
      <c r="CO158" s="28"/>
      <c r="CP158" s="28"/>
      <c r="CQ158" s="28"/>
      <c r="CR158" s="28"/>
      <c r="CS158" s="28"/>
      <c r="CT158" s="28"/>
      <c r="CU158" s="28"/>
      <c r="CV158" s="28"/>
      <c r="CW158" s="28"/>
      <c r="CX158" s="28"/>
      <c r="CY158" s="28"/>
      <c r="CZ158" s="28"/>
      <c r="DA158" s="28"/>
      <c r="DB158" s="28"/>
      <c r="DC158" s="28"/>
      <c r="DD158" s="28"/>
      <c r="DE158" s="28"/>
      <c r="DF158" s="28"/>
      <c r="DG158" s="28"/>
      <c r="DH158" s="28"/>
      <c r="DI158" s="28"/>
      <c r="DJ158" s="28"/>
      <c r="DK158" s="28"/>
      <c r="DL158" s="28"/>
      <c r="DM158" s="28"/>
      <c r="DN158" s="28"/>
      <c r="DO158" s="28"/>
      <c r="DP158" s="28"/>
      <c r="DQ158" s="28"/>
      <c r="DR158" s="28"/>
      <c r="DS158" s="28"/>
      <c r="DT158" s="28"/>
      <c r="DU158" s="28"/>
      <c r="DV158" s="28"/>
      <c r="DW158" s="28"/>
      <c r="DX158" s="28"/>
      <c r="DY158" s="28"/>
      <c r="DZ158" s="28"/>
      <c r="EA158" s="28"/>
      <c r="EB158" s="28"/>
      <c r="EC158" s="28"/>
      <c r="ED158" s="28"/>
      <c r="EE158" s="28"/>
      <c r="EF158" s="28"/>
      <c r="EG158" s="28"/>
      <c r="EH158" s="28"/>
      <c r="EI158" s="28"/>
      <c r="EJ158" s="28"/>
      <c r="EK158" s="28"/>
      <c r="EL158" s="28"/>
      <c r="EM158" s="28"/>
      <c r="EN158" s="28"/>
      <c r="EO158" s="28"/>
      <c r="EP158" s="28"/>
      <c r="EQ158" s="28"/>
      <c r="ER158" s="28"/>
      <c r="ES158" s="28"/>
      <c r="ET158" s="28"/>
      <c r="EU158" s="28"/>
      <c r="EV158" s="28"/>
      <c r="EW158" s="28"/>
      <c r="EX158" s="28"/>
      <c r="EY158" s="28"/>
      <c r="EZ158" s="28"/>
      <c r="FA158" s="28"/>
      <c r="FB158" s="28"/>
      <c r="FC158" s="28"/>
      <c r="FD158" s="28"/>
      <c r="FE158" s="28"/>
      <c r="FF158" s="28"/>
      <c r="FG158" s="28"/>
      <c r="FH158" s="28"/>
      <c r="FI158" s="28"/>
      <c r="FJ158" s="28"/>
      <c r="FK158" s="28"/>
      <c r="FL158" s="28"/>
      <c r="FM158" s="28"/>
      <c r="FN158" s="28"/>
      <c r="FO158" s="28"/>
      <c r="FP158" s="28"/>
      <c r="FQ158" s="28"/>
      <c r="FR158" s="28"/>
      <c r="FS158" s="28"/>
      <c r="FT158" s="28"/>
      <c r="FU158" s="28"/>
      <c r="FV158" s="28"/>
      <c r="FW158" s="28"/>
      <c r="FX158" s="28"/>
      <c r="FY158" s="28"/>
      <c r="FZ158" s="28"/>
      <c r="GA158" s="28"/>
      <c r="GB158" s="28"/>
      <c r="GC158" s="28"/>
      <c r="GD158" s="28"/>
      <c r="GE158" s="28"/>
      <c r="GF158" s="28"/>
      <c r="GG158" s="28"/>
      <c r="GH158" s="28"/>
      <c r="GI158" s="28"/>
      <c r="GJ158" s="28"/>
      <c r="GK158" s="28"/>
      <c r="GL158" s="28"/>
      <c r="GM158" s="28"/>
      <c r="GN158" s="28"/>
      <c r="GO158" s="28"/>
      <c r="GP158" s="28"/>
      <c r="GQ158" s="28"/>
      <c r="GR158" s="28"/>
      <c r="GS158" s="28"/>
      <c r="GT158" s="28"/>
      <c r="GU158" s="28"/>
      <c r="GV158" s="28"/>
      <c r="GW158" s="28"/>
      <c r="GX158" s="28"/>
      <c r="GY158" s="28"/>
      <c r="GZ158" s="28"/>
      <c r="HA158" s="28"/>
      <c r="HB158" s="28"/>
      <c r="HC158" s="28"/>
      <c r="HD158" s="28"/>
      <c r="HE158" s="28"/>
      <c r="HF158" s="28"/>
      <c r="HG158" s="28"/>
      <c r="HH158" s="28"/>
      <c r="HI158" s="28"/>
      <c r="HJ158" s="28"/>
      <c r="HK158" s="28"/>
    </row>
    <row r="159" spans="1:219" ht="15" customHeight="1">
      <c r="A159" s="49">
        <v>1</v>
      </c>
      <c r="B159" s="132" t="str">
        <f>VLOOKUP(Ruimtestaat[[#This Row],[Code]],Locaties[[Code]:[Locatie]],2,FALSE)</f>
        <v>Mirtehuis</v>
      </c>
      <c r="C159" s="132" t="str">
        <f>VLOOKUP(Ruimtestaat[[#This Row],[Code]],Locaties[[#All],[Code]:[Adres]],4,FALSE)</f>
        <v>Weseperweg 6</v>
      </c>
      <c r="D159" s="132" t="str">
        <f>VLOOKUP(Ruimtestaat[[#This Row],[Code]],Locaties[[#All],[Code]:[Postcode]],5,FALSE)</f>
        <v>8111 PK</v>
      </c>
      <c r="E159" s="132" t="str">
        <f>VLOOKUP(Ruimtestaat[[#This Row],[Code]],Locaties[#All],6,FALSE)</f>
        <v>Heeten</v>
      </c>
      <c r="F159" s="100"/>
      <c r="G159" s="100" t="s">
        <v>1677</v>
      </c>
      <c r="H159" s="49">
        <v>15</v>
      </c>
      <c r="I159" s="140" t="s">
        <v>1656</v>
      </c>
      <c r="J159" s="49">
        <v>20</v>
      </c>
      <c r="K159" s="140" t="str">
        <f>VLOOKUP(Ruimtestaat[[#This Row],[Ruimte code]],Ruimtegroepen[[#All],[Code]:[Ruimte omschrijving]],2,FALSE)</f>
        <v>Niet in Onderhoud</v>
      </c>
      <c r="L159" s="100"/>
      <c r="M159" s="345"/>
      <c r="N159" s="133"/>
      <c r="O159" s="139"/>
      <c r="P159" s="134">
        <f>VLOOKUP(Ruimtestaat[[#This Row],[Ruimte code]],Ruimtegroepen[],4,FALSE)</f>
        <v>0</v>
      </c>
      <c r="Q159" s="100"/>
      <c r="R159" s="100"/>
      <c r="S159" s="100">
        <f>IF(Q159&gt;0,IF(RIGHT(Ruimtestaat[[#This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59" s="100">
        <f>IF(S159&gt;0,VLOOKUP($J159,Ruimtegroepen[],3,FALSE)*VLOOKUP($L159,Vloersoorten[],3,FALSE)*VLOOKUP($R159,Frequenties[],3,FALSE)*VLOOKUP($A159,Locaties[],3,FALSE),0)</f>
        <v>0</v>
      </c>
      <c r="U159" s="100">
        <f>Ruimtestaat[[#This Row],[Uitvoeringen werkdagen]]*Ruimtestaat[[#This Row],[Oppervlak (netto)]]</f>
        <v>0</v>
      </c>
      <c r="V159" s="135">
        <f>IF(T159&gt;0,Ruimtestaat[[#This Row],[Prest. (m2 /jaar) werkdagen]]/Ruimtestaat[[#This Row],[Norm (m2/uur) werkdagen]],0)</f>
        <v>0</v>
      </c>
      <c r="W159" s="136">
        <f>Ruimtestaat[[#This Row],[uren / jaar werkdagen]]*Tariefsopbouw!$E$35</f>
        <v>0</v>
      </c>
      <c r="X159" s="100"/>
      <c r="Y159" s="100">
        <f>IF(Ruimtestaat[[#This Row],[Frequentie weekend]]&gt;0,VALUE(LEFT(X159,1))*Q159,0)</f>
        <v>0</v>
      </c>
      <c r="Z159" s="99">
        <f>IF($Y159&gt;0,VLOOKUP($J159,Ruimtegroepen[],3,FALSE)*VLOOKUP($L159,Vloersoorten[],3,FALSE)*VLOOKUP($X159,Frequenties[],3,FALSE)*VLOOKUP(Ruimtestaat[[#This Row],[Code]],Locaties[],3,FALSE),0)</f>
        <v>0</v>
      </c>
      <c r="AA159" s="99">
        <f>Ruimtestaat[[#This Row],[Uitvoeringen weekend]]*Ruimtestaat[[#This Row],[Oppervlak (netto)]]</f>
        <v>0</v>
      </c>
      <c r="AB159" s="99">
        <f>IF(Z159&gt;0,Ruimtestaat[[#This Row],[Prest. (m2 /jaar) weekend]]/Ruimtestaat[[#This Row],[Norm (m2/uur) weekend]],0)</f>
        <v>0</v>
      </c>
      <c r="AC159" s="136">
        <f>Ruimtestaat[[#This Row],[uren / jaar weekend]]*Tariefsopbouw!$D$40</f>
        <v>0</v>
      </c>
      <c r="AD159" s="135">
        <f>Ruimtestaat[[#This Row],[Prest. (m2 /jaar) weekend]]+Ruimtestaat[[#This Row],[Prest. (m2 /jaar) werkdagen]]</f>
        <v>0</v>
      </c>
      <c r="AE159" s="135">
        <f>Ruimtestaat[[#This Row],[uren / jaar weekend]]+Ruimtestaat[[#This Row],[uren / jaar werkdagen]]</f>
        <v>0</v>
      </c>
      <c r="AF159" s="130">
        <f>Ruimtestaat[[#This Row],[kosten / jaar weekend]]+Ruimtestaat[[#This Row],[kosten / jaar werkdagen]]</f>
        <v>0</v>
      </c>
      <c r="AG159" s="130"/>
      <c r="AH159" s="137" t="str">
        <f>IF(Ruimtestaat[[#This Row],[Frequentie werkdagen]]="","",_xlfn.CONCAT(Ruimtestaat[[#This Row],[Ruimte code]],"-",Ruimtestaat[[#This Row],[Frequentie werkdagen]]," ",Ruimtestaat[[#This Row],[Vloer code]]))</f>
        <v/>
      </c>
      <c r="AI159" s="142" t="str">
        <f>_xlfn.IFNA(VLOOKUP($AH159,Programma!$F$3:$G$1101,2,0),"")</f>
        <v/>
      </c>
      <c r="AJ159" s="142" t="str">
        <f>_xlfn.IFNA(VLOOKUP($AH159,Programma!$F$3:$H$1101,3,0),"")</f>
        <v/>
      </c>
      <c r="AK159" s="142" t="str">
        <f>_xlfn.IFNA(VLOOKUP($AH159,Programma!$F$3:$I$1101,4,0),"")</f>
        <v/>
      </c>
      <c r="AL159" s="142" t="str">
        <f>_xlfn.IFNA(VLOOKUP($AH159,Programma!$F$3:$J$1101,5,0),"")</f>
        <v/>
      </c>
      <c r="AM159" s="142" t="str">
        <f>_xlfn.IFNA(VLOOKUP($AH159,Programma!$F$3:$K$1101,6,0),"")</f>
        <v/>
      </c>
      <c r="AN159" s="142" t="str">
        <f>_xlfn.IFNA(VLOOKUP($AH159,Programma!$F$3:$L$1101,7,0),"")</f>
        <v/>
      </c>
      <c r="AO159" s="142" t="str">
        <f>_xlfn.IFNA(VLOOKUP($AH159,Programma!$F$3:$M$1101,8,0),"")</f>
        <v/>
      </c>
      <c r="AP159" s="142" t="str">
        <f>_xlfn.IFNA(VLOOKUP($AH159,Programma!$F$3:$N$1101,9,0),"")</f>
        <v/>
      </c>
      <c r="AQ159" s="142" t="str">
        <f>_xlfn.IFNA(VLOOKUP($AH159,Programma!$F$3:$O$1101,10,0),"")</f>
        <v/>
      </c>
      <c r="AR159" s="142" t="str">
        <f>_xlfn.IFNA(VLOOKUP($AH159,Programma!$F$3:$P$1101,11,0),"")</f>
        <v/>
      </c>
      <c r="AS159" s="142" t="str">
        <f>_xlfn.IFNA(VLOOKUP($AH159,Programma!$F$3:$Q$1101,12,0),"")</f>
        <v/>
      </c>
      <c r="AT159" s="142" t="str">
        <f>_xlfn.IFNA(VLOOKUP($AH159,Programma!$F$3:$R$1101,13,0),"")</f>
        <v/>
      </c>
      <c r="AU159" s="142" t="str">
        <f>_xlfn.IFNA(VLOOKUP($AH159,Programma!$F$3:$S$1101,14,0),"")</f>
        <v/>
      </c>
      <c r="AV159" s="142" t="str">
        <f>_xlfn.IFNA(VLOOKUP($AH159,Programma!$F$3:$T$1101,15,0),"")</f>
        <v/>
      </c>
      <c r="AW159" s="142" t="str">
        <f>_xlfn.IFNA(VLOOKUP($AH159,Programma!$F$3:$U$1101,16,0),"")</f>
        <v/>
      </c>
      <c r="AX159" s="142" t="str">
        <f>_xlfn.IFNA(VLOOKUP($AH159,Programma!$F$3:$V$1101,17,0),"")</f>
        <v/>
      </c>
      <c r="AY159" s="142" t="str">
        <f>_xlfn.IFNA(VLOOKUP($AH159,Programma!$F$3:$W$1101,18,0),"")</f>
        <v/>
      </c>
      <c r="AZ159" s="142" t="str">
        <f>_xlfn.IFNA(VLOOKUP($AH159,Programma!$F$3:$X$1101,19,0),"")</f>
        <v/>
      </c>
      <c r="BA159" s="142" t="str">
        <f>_xlfn.IFNA(VLOOKUP($AH159,Programma!$F$3:$Y$1101,20,0),"")</f>
        <v/>
      </c>
      <c r="BB159" s="138"/>
      <c r="BC159" s="137" t="str">
        <f>IF(Ruimtestaat[[#This Row],[Frequentie weekend]]="","",_xlfn.CONCAT(Ruimtestaat[[#This Row],[Ruimte code]],"-",Ruimtestaat[[#This Row],[Frequentie weekend]]," ",Ruimtestaat[[#This Row],[Vloer code]]))</f>
        <v/>
      </c>
      <c r="BD159" s="142" t="str">
        <f>_xlfn.IFNA(VLOOKUP($BC159,Programma!$F$3:$G$1101,2,0),"")</f>
        <v/>
      </c>
      <c r="BE159" s="142" t="str">
        <f>_xlfn.IFNA(VLOOKUP($BC159,Programma!$F$3:$H$1101,3,0),"")</f>
        <v/>
      </c>
      <c r="BF159" s="142" t="str">
        <f>_xlfn.IFNA(VLOOKUP($BC159,Programma!$F$3:$I$1101,4,0),"")</f>
        <v/>
      </c>
      <c r="BG159" s="142" t="str">
        <f>_xlfn.IFNA(VLOOKUP($BC159,Programma!$F$3:$J$1101,5,0),"")</f>
        <v/>
      </c>
      <c r="BH159" s="142" t="str">
        <f>_xlfn.IFNA(VLOOKUP($BC159,Programma!$F$3:$K$1101,6,0),"")</f>
        <v/>
      </c>
      <c r="BI159" s="142" t="str">
        <f>_xlfn.IFNA(VLOOKUP($BC159,Programma!$F$3:$L$1101,7,0),"")</f>
        <v/>
      </c>
      <c r="BJ159" s="142" t="str">
        <f>_xlfn.IFNA(VLOOKUP($BC159,Programma!$F$3:$M$1101,8,0),"")</f>
        <v/>
      </c>
      <c r="BK159" s="142" t="str">
        <f>_xlfn.IFNA(VLOOKUP($BC159,Programma!$F$3:$N$1101,9,0),"")</f>
        <v/>
      </c>
      <c r="BL159" s="142" t="str">
        <f>_xlfn.IFNA(VLOOKUP($BC159,Programma!$F$3:$O$1101,10,0),"")</f>
        <v/>
      </c>
      <c r="BM159" s="142" t="str">
        <f>_xlfn.IFNA(VLOOKUP($BC159,Programma!$F$3:$P$1101,11,0),"")</f>
        <v/>
      </c>
      <c r="BN159" s="142" t="str">
        <f>_xlfn.IFNA(VLOOKUP($BC159,Programma!$F$3:$Q$1101,12,0),"")</f>
        <v/>
      </c>
      <c r="BO159" s="142" t="str">
        <f>_xlfn.IFNA(VLOOKUP($BC159,Programma!$F$3:$R$1101,13,0),"")</f>
        <v/>
      </c>
      <c r="BP159" s="142" t="str">
        <f>_xlfn.IFNA(VLOOKUP($BC159,Programma!$F$3:$S$1101,14,0),"")</f>
        <v/>
      </c>
      <c r="BQ159" s="142" t="str">
        <f>_xlfn.IFNA(VLOOKUP($BC159,Programma!$F$3:$T$1101,15,0),"")</f>
        <v/>
      </c>
      <c r="BR159" s="142" t="str">
        <f>_xlfn.IFNA(VLOOKUP($BC159,Programma!$F$3:$U$1101,16,0),"")</f>
        <v/>
      </c>
      <c r="BS159" s="142" t="str">
        <f>_xlfn.IFNA(VLOOKUP($BC159,Programma!$F$3:$V$1101,17,0),"")</f>
        <v/>
      </c>
      <c r="BT159" s="142" t="str">
        <f>_xlfn.IFNA(VLOOKUP($BC159,Programma!$F$3:$W$1101,18,0),"")</f>
        <v/>
      </c>
      <c r="BU159" s="142" t="str">
        <f>_xlfn.IFNA(VLOOKUP($BC159,Programma!$F$3:$X$1101,19,0),"")</f>
        <v/>
      </c>
      <c r="BV159" s="142" t="str">
        <f>_xlfn.IFNA(VLOOKUP($BC159,Programma!$F$3:$Y$1101,20,0),"")</f>
        <v/>
      </c>
      <c r="BW159" s="28"/>
      <c r="BX159" s="28"/>
      <c r="BY159" s="28"/>
      <c r="BZ159" s="28"/>
      <c r="CA159" s="28"/>
      <c r="CB159" s="28"/>
      <c r="CC159" s="28"/>
      <c r="CD159" s="28"/>
      <c r="CE159" s="28"/>
      <c r="CF159" s="28"/>
      <c r="CG159" s="28"/>
      <c r="CH159" s="28"/>
      <c r="CI159" s="28"/>
      <c r="CJ159" s="28"/>
      <c r="CK159" s="28"/>
      <c r="CL159" s="28"/>
      <c r="CM159" s="28"/>
      <c r="CN159" s="28"/>
      <c r="CO159" s="28"/>
      <c r="CP159" s="28"/>
      <c r="CQ159" s="28"/>
      <c r="CR159" s="28"/>
      <c r="CS159" s="28"/>
      <c r="CT159" s="28"/>
      <c r="CU159" s="28"/>
      <c r="CV159" s="28"/>
      <c r="CW159" s="28"/>
      <c r="CX159" s="28"/>
      <c r="CY159" s="28"/>
      <c r="CZ159" s="28"/>
      <c r="DA159" s="28"/>
      <c r="DB159" s="28"/>
      <c r="DC159" s="28"/>
      <c r="DD159" s="28"/>
      <c r="DE159" s="28"/>
      <c r="DF159" s="28"/>
      <c r="DG159" s="28"/>
      <c r="DH159" s="28"/>
      <c r="DI159" s="28"/>
      <c r="DJ159" s="28"/>
      <c r="DK159" s="28"/>
      <c r="DL159" s="28"/>
      <c r="DM159" s="28"/>
      <c r="DN159" s="28"/>
      <c r="DO159" s="28"/>
      <c r="DP159" s="28"/>
      <c r="DQ159" s="28"/>
      <c r="DR159" s="28"/>
      <c r="DS159" s="28"/>
      <c r="DT159" s="28"/>
      <c r="DU159" s="28"/>
      <c r="DV159" s="28"/>
      <c r="DW159" s="28"/>
      <c r="DX159" s="28"/>
      <c r="DY159" s="28"/>
      <c r="DZ159" s="28"/>
      <c r="EA159" s="28"/>
      <c r="EB159" s="28"/>
      <c r="EC159" s="28"/>
      <c r="ED159" s="28"/>
      <c r="EE159" s="28"/>
      <c r="EF159" s="28"/>
      <c r="EG159" s="28"/>
      <c r="EH159" s="28"/>
      <c r="EI159" s="28"/>
      <c r="EJ159" s="28"/>
      <c r="EK159" s="28"/>
      <c r="EL159" s="28"/>
      <c r="EM159" s="28"/>
      <c r="EN159" s="28"/>
      <c r="EO159" s="28"/>
      <c r="EP159" s="28"/>
      <c r="EQ159" s="28"/>
      <c r="ER159" s="28"/>
      <c r="ES159" s="28"/>
      <c r="ET159" s="28"/>
      <c r="EU159" s="28"/>
      <c r="EV159" s="28"/>
      <c r="EW159" s="28"/>
      <c r="EX159" s="28"/>
      <c r="EY159" s="28"/>
      <c r="EZ159" s="28"/>
      <c r="FA159" s="28"/>
      <c r="FB159" s="28"/>
      <c r="FC159" s="28"/>
      <c r="FD159" s="28"/>
      <c r="FE159" s="28"/>
      <c r="FF159" s="28"/>
      <c r="FG159" s="28"/>
      <c r="FH159" s="28"/>
      <c r="FI159" s="28"/>
      <c r="FJ159" s="28"/>
      <c r="FK159" s="28"/>
      <c r="FL159" s="28"/>
      <c r="FM159" s="28"/>
      <c r="FN159" s="28"/>
      <c r="FO159" s="28"/>
      <c r="FP159" s="28"/>
      <c r="FQ159" s="28"/>
      <c r="FR159" s="28"/>
      <c r="FS159" s="28"/>
      <c r="FT159" s="28"/>
      <c r="FU159" s="28"/>
      <c r="FV159" s="28"/>
      <c r="FW159" s="28"/>
      <c r="FX159" s="28"/>
      <c r="FY159" s="28"/>
      <c r="FZ159" s="28"/>
      <c r="GA159" s="28"/>
      <c r="GB159" s="28"/>
      <c r="GC159" s="28"/>
      <c r="GD159" s="28"/>
      <c r="GE159" s="28"/>
      <c r="GF159" s="28"/>
      <c r="GG159" s="28"/>
      <c r="GH159" s="28"/>
      <c r="GI159" s="28"/>
      <c r="GJ159" s="28"/>
      <c r="GK159" s="28"/>
      <c r="GL159" s="28"/>
      <c r="GM159" s="28"/>
      <c r="GN159" s="28"/>
      <c r="GO159" s="28"/>
      <c r="GP159" s="28"/>
      <c r="GQ159" s="28"/>
      <c r="GR159" s="28"/>
      <c r="GS159" s="28"/>
      <c r="GT159" s="28"/>
      <c r="GU159" s="28"/>
      <c r="GV159" s="28"/>
      <c r="GW159" s="28"/>
      <c r="GX159" s="28"/>
      <c r="GY159" s="28"/>
      <c r="GZ159" s="28"/>
      <c r="HA159" s="28"/>
      <c r="HB159" s="28"/>
      <c r="HC159" s="28"/>
      <c r="HD159" s="28"/>
      <c r="HE159" s="28"/>
      <c r="HF159" s="28"/>
      <c r="HG159" s="28"/>
      <c r="HH159" s="28"/>
      <c r="HI159" s="28"/>
      <c r="HJ159" s="28"/>
      <c r="HK159" s="28"/>
    </row>
    <row r="160" spans="1:219" ht="15" customHeight="1">
      <c r="A160" s="49">
        <v>1</v>
      </c>
      <c r="B160" s="132" t="str">
        <f>VLOOKUP(Ruimtestaat[[#This Row],[Code]],Locaties[[Code]:[Locatie]],2,FALSE)</f>
        <v>Mirtehuis</v>
      </c>
      <c r="C160" s="132" t="str">
        <f>VLOOKUP(Ruimtestaat[[#This Row],[Code]],Locaties[[#All],[Code]:[Adres]],4,FALSE)</f>
        <v>Weseperweg 6</v>
      </c>
      <c r="D160" s="132" t="str">
        <f>VLOOKUP(Ruimtestaat[[#This Row],[Code]],Locaties[[#All],[Code]:[Postcode]],5,FALSE)</f>
        <v>8111 PK</v>
      </c>
      <c r="E160" s="132" t="str">
        <f>VLOOKUP(Ruimtestaat[[#This Row],[Code]],Locaties[#All],6,FALSE)</f>
        <v>Heeten</v>
      </c>
      <c r="F160" s="100"/>
      <c r="G160" s="100" t="s">
        <v>1677</v>
      </c>
      <c r="H160" s="49">
        <v>6</v>
      </c>
      <c r="I160" s="140" t="s">
        <v>1650</v>
      </c>
      <c r="J160" s="49">
        <v>20</v>
      </c>
      <c r="K160" s="140" t="str">
        <f>VLOOKUP(Ruimtestaat[[#This Row],[Ruimte code]],Ruimtegroepen[[#All],[Code]:[Ruimte omschrijving]],2,FALSE)</f>
        <v>Niet in Onderhoud</v>
      </c>
      <c r="L160" s="100"/>
      <c r="M160" s="345"/>
      <c r="N160" s="133"/>
      <c r="O160" s="100"/>
      <c r="P160" s="134">
        <f>VLOOKUP(Ruimtestaat[[#This Row],[Ruimte code]],Ruimtegroepen[],4,FALSE)</f>
        <v>0</v>
      </c>
      <c r="Q160" s="100"/>
      <c r="R160" s="100"/>
      <c r="S160" s="100">
        <f>IF(Q160&gt;0,IF(RIGHT(Ruimtestaat[[#This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60" s="100">
        <f>IF(S160&gt;0,VLOOKUP($J160,Ruimtegroepen[],3,FALSE)*VLOOKUP($L160,Vloersoorten[],3,FALSE)*VLOOKUP($R160,Frequenties[],3,FALSE)*VLOOKUP($A160,Locaties[],3,FALSE),0)</f>
        <v>0</v>
      </c>
      <c r="U160" s="100">
        <f>Ruimtestaat[[#This Row],[Uitvoeringen werkdagen]]*Ruimtestaat[[#This Row],[Oppervlak (netto)]]</f>
        <v>0</v>
      </c>
      <c r="V160" s="135">
        <f>IF(T160&gt;0,Ruimtestaat[[#This Row],[Prest. (m2 /jaar) werkdagen]]/Ruimtestaat[[#This Row],[Norm (m2/uur) werkdagen]],0)</f>
        <v>0</v>
      </c>
      <c r="W160" s="136">
        <f>Ruimtestaat[[#This Row],[uren / jaar werkdagen]]*Tariefsopbouw!$E$35</f>
        <v>0</v>
      </c>
      <c r="X160" s="100"/>
      <c r="Y160" s="100">
        <f>IF(Ruimtestaat[[#This Row],[Frequentie weekend]]&gt;0,VALUE(LEFT(X160,1))*Q160,0)</f>
        <v>0</v>
      </c>
      <c r="Z160" s="99">
        <f>IF($Y160&gt;0,VLOOKUP($J160,Ruimtegroepen[],3,FALSE)*VLOOKUP($L160,Vloersoorten[],3,FALSE)*VLOOKUP($X160,Frequenties[],3,FALSE)*VLOOKUP(Ruimtestaat[[#This Row],[Code]],Locaties[],3,FALSE),0)</f>
        <v>0</v>
      </c>
      <c r="AA160" s="99">
        <f>Ruimtestaat[[#This Row],[Uitvoeringen weekend]]*Ruimtestaat[[#This Row],[Oppervlak (netto)]]</f>
        <v>0</v>
      </c>
      <c r="AB160" s="99">
        <f>IF(Z160&gt;0,Ruimtestaat[[#This Row],[Prest. (m2 /jaar) weekend]]/Ruimtestaat[[#This Row],[Norm (m2/uur) weekend]],0)</f>
        <v>0</v>
      </c>
      <c r="AC160" s="136">
        <f>Ruimtestaat[[#This Row],[uren / jaar weekend]]*Tariefsopbouw!$D$40</f>
        <v>0</v>
      </c>
      <c r="AD160" s="135">
        <f>Ruimtestaat[[#This Row],[Prest. (m2 /jaar) weekend]]+Ruimtestaat[[#This Row],[Prest. (m2 /jaar) werkdagen]]</f>
        <v>0</v>
      </c>
      <c r="AE160" s="135">
        <f>Ruimtestaat[[#This Row],[uren / jaar weekend]]+Ruimtestaat[[#This Row],[uren / jaar werkdagen]]</f>
        <v>0</v>
      </c>
      <c r="AF160" s="130">
        <f>Ruimtestaat[[#This Row],[kosten / jaar weekend]]+Ruimtestaat[[#This Row],[kosten / jaar werkdagen]]</f>
        <v>0</v>
      </c>
      <c r="AG160" s="130"/>
      <c r="AH160" s="137" t="str">
        <f>IF(Ruimtestaat[[#This Row],[Frequentie werkdagen]]="","",_xlfn.CONCAT(Ruimtestaat[[#This Row],[Ruimte code]],"-",Ruimtestaat[[#This Row],[Frequentie werkdagen]]," ",Ruimtestaat[[#This Row],[Vloer code]]))</f>
        <v/>
      </c>
      <c r="AI160" s="142" t="str">
        <f>_xlfn.IFNA(VLOOKUP($AH160,Programma!$F$3:$G$1101,2,0),"")</f>
        <v/>
      </c>
      <c r="AJ160" s="142" t="str">
        <f>_xlfn.IFNA(VLOOKUP($AH160,Programma!$F$3:$H$1101,3,0),"")</f>
        <v/>
      </c>
      <c r="AK160" s="142" t="str">
        <f>_xlfn.IFNA(VLOOKUP($AH160,Programma!$F$3:$I$1101,4,0),"")</f>
        <v/>
      </c>
      <c r="AL160" s="142" t="str">
        <f>_xlfn.IFNA(VLOOKUP($AH160,Programma!$F$3:$J$1101,5,0),"")</f>
        <v/>
      </c>
      <c r="AM160" s="142" t="str">
        <f>_xlfn.IFNA(VLOOKUP($AH160,Programma!$F$3:$K$1101,6,0),"")</f>
        <v/>
      </c>
      <c r="AN160" s="142" t="str">
        <f>_xlfn.IFNA(VLOOKUP($AH160,Programma!$F$3:$L$1101,7,0),"")</f>
        <v/>
      </c>
      <c r="AO160" s="142" t="str">
        <f>_xlfn.IFNA(VLOOKUP($AH160,Programma!$F$3:$M$1101,8,0),"")</f>
        <v/>
      </c>
      <c r="AP160" s="142" t="str">
        <f>_xlfn.IFNA(VLOOKUP($AH160,Programma!$F$3:$N$1101,9,0),"")</f>
        <v/>
      </c>
      <c r="AQ160" s="142" t="str">
        <f>_xlfn.IFNA(VLOOKUP($AH160,Programma!$F$3:$O$1101,10,0),"")</f>
        <v/>
      </c>
      <c r="AR160" s="142" t="str">
        <f>_xlfn.IFNA(VLOOKUP($AH160,Programma!$F$3:$P$1101,11,0),"")</f>
        <v/>
      </c>
      <c r="AS160" s="142" t="str">
        <f>_xlfn.IFNA(VLOOKUP($AH160,Programma!$F$3:$Q$1101,12,0),"")</f>
        <v/>
      </c>
      <c r="AT160" s="142" t="str">
        <f>_xlfn.IFNA(VLOOKUP($AH160,Programma!$F$3:$R$1101,13,0),"")</f>
        <v/>
      </c>
      <c r="AU160" s="142" t="str">
        <f>_xlfn.IFNA(VLOOKUP($AH160,Programma!$F$3:$S$1101,14,0),"")</f>
        <v/>
      </c>
      <c r="AV160" s="142" t="str">
        <f>_xlfn.IFNA(VLOOKUP($AH160,Programma!$F$3:$T$1101,15,0),"")</f>
        <v/>
      </c>
      <c r="AW160" s="142" t="str">
        <f>_xlfn.IFNA(VLOOKUP($AH160,Programma!$F$3:$U$1101,16,0),"")</f>
        <v/>
      </c>
      <c r="AX160" s="142" t="str">
        <f>_xlfn.IFNA(VLOOKUP($AH160,Programma!$F$3:$V$1101,17,0),"")</f>
        <v/>
      </c>
      <c r="AY160" s="142" t="str">
        <f>_xlfn.IFNA(VLOOKUP($AH160,Programma!$F$3:$W$1101,18,0),"")</f>
        <v/>
      </c>
      <c r="AZ160" s="142" t="str">
        <f>_xlfn.IFNA(VLOOKUP($AH160,Programma!$F$3:$X$1101,19,0),"")</f>
        <v/>
      </c>
      <c r="BA160" s="142" t="str">
        <f>_xlfn.IFNA(VLOOKUP($AH160,Programma!$F$3:$Y$1101,20,0),"")</f>
        <v/>
      </c>
      <c r="BB160" s="138"/>
      <c r="BC160" s="137" t="str">
        <f>IF(Ruimtestaat[[#This Row],[Frequentie weekend]]="","",_xlfn.CONCAT(Ruimtestaat[[#This Row],[Ruimte code]],"-",Ruimtestaat[[#This Row],[Frequentie weekend]]," ",Ruimtestaat[[#This Row],[Vloer code]]))</f>
        <v/>
      </c>
      <c r="BD160" s="142" t="str">
        <f>_xlfn.IFNA(VLOOKUP($BC160,Programma!$F$3:$G$1101,2,0),"")</f>
        <v/>
      </c>
      <c r="BE160" s="142" t="str">
        <f>_xlfn.IFNA(VLOOKUP($BC160,Programma!$F$3:$H$1101,3,0),"")</f>
        <v/>
      </c>
      <c r="BF160" s="142" t="str">
        <f>_xlfn.IFNA(VLOOKUP($BC160,Programma!$F$3:$I$1101,4,0),"")</f>
        <v/>
      </c>
      <c r="BG160" s="142" t="str">
        <f>_xlfn.IFNA(VLOOKUP($BC160,Programma!$F$3:$J$1101,5,0),"")</f>
        <v/>
      </c>
      <c r="BH160" s="142" t="str">
        <f>_xlfn.IFNA(VLOOKUP($BC160,Programma!$F$3:$K$1101,6,0),"")</f>
        <v/>
      </c>
      <c r="BI160" s="142" t="str">
        <f>_xlfn.IFNA(VLOOKUP($BC160,Programma!$F$3:$L$1101,7,0),"")</f>
        <v/>
      </c>
      <c r="BJ160" s="142" t="str">
        <f>_xlfn.IFNA(VLOOKUP($BC160,Programma!$F$3:$M$1101,8,0),"")</f>
        <v/>
      </c>
      <c r="BK160" s="142" t="str">
        <f>_xlfn.IFNA(VLOOKUP($BC160,Programma!$F$3:$N$1101,9,0),"")</f>
        <v/>
      </c>
      <c r="BL160" s="142" t="str">
        <f>_xlfn.IFNA(VLOOKUP($BC160,Programma!$F$3:$O$1101,10,0),"")</f>
        <v/>
      </c>
      <c r="BM160" s="142" t="str">
        <f>_xlfn.IFNA(VLOOKUP($BC160,Programma!$F$3:$P$1101,11,0),"")</f>
        <v/>
      </c>
      <c r="BN160" s="142" t="str">
        <f>_xlfn.IFNA(VLOOKUP($BC160,Programma!$F$3:$Q$1101,12,0),"")</f>
        <v/>
      </c>
      <c r="BO160" s="142" t="str">
        <f>_xlfn.IFNA(VLOOKUP($BC160,Programma!$F$3:$R$1101,13,0),"")</f>
        <v/>
      </c>
      <c r="BP160" s="142" t="str">
        <f>_xlfn.IFNA(VLOOKUP($BC160,Programma!$F$3:$S$1101,14,0),"")</f>
        <v/>
      </c>
      <c r="BQ160" s="142" t="str">
        <f>_xlfn.IFNA(VLOOKUP($BC160,Programma!$F$3:$T$1101,15,0),"")</f>
        <v/>
      </c>
      <c r="BR160" s="142" t="str">
        <f>_xlfn.IFNA(VLOOKUP($BC160,Programma!$F$3:$U$1101,16,0),"")</f>
        <v/>
      </c>
      <c r="BS160" s="142" t="str">
        <f>_xlfn.IFNA(VLOOKUP($BC160,Programma!$F$3:$V$1101,17,0),"")</f>
        <v/>
      </c>
      <c r="BT160" s="142" t="str">
        <f>_xlfn.IFNA(VLOOKUP($BC160,Programma!$F$3:$W$1101,18,0),"")</f>
        <v/>
      </c>
      <c r="BU160" s="142" t="str">
        <f>_xlfn.IFNA(VLOOKUP($BC160,Programma!$F$3:$X$1101,19,0),"")</f>
        <v/>
      </c>
      <c r="BV160" s="142" t="str">
        <f>_xlfn.IFNA(VLOOKUP($BC160,Programma!$F$3:$Y$1101,20,0),"")</f>
        <v/>
      </c>
      <c r="BW160" s="28"/>
      <c r="BX160" s="28"/>
      <c r="BY160" s="28"/>
      <c r="BZ160" s="28"/>
      <c r="CA160" s="28"/>
      <c r="CB160" s="28"/>
      <c r="CC160" s="28"/>
      <c r="CD160" s="28"/>
      <c r="CE160" s="28"/>
      <c r="CF160" s="28"/>
      <c r="CG160" s="28"/>
      <c r="CH160" s="28"/>
      <c r="CI160" s="28"/>
      <c r="CJ160" s="28"/>
      <c r="CK160" s="28"/>
      <c r="CL160" s="28"/>
      <c r="CM160" s="28"/>
      <c r="CN160" s="28"/>
      <c r="CO160" s="28"/>
      <c r="CP160" s="28"/>
      <c r="CQ160" s="28"/>
      <c r="CR160" s="28"/>
      <c r="CS160" s="28"/>
      <c r="CT160" s="28"/>
      <c r="CU160" s="28"/>
      <c r="CV160" s="28"/>
      <c r="CW160" s="28"/>
      <c r="CX160" s="28"/>
      <c r="CY160" s="28"/>
      <c r="CZ160" s="28"/>
      <c r="DA160" s="28"/>
      <c r="DB160" s="28"/>
      <c r="DC160" s="28"/>
      <c r="DD160" s="28"/>
      <c r="DE160" s="28"/>
      <c r="DF160" s="28"/>
      <c r="DG160" s="28"/>
      <c r="DH160" s="28"/>
      <c r="DI160" s="28"/>
      <c r="DJ160" s="28"/>
      <c r="DK160" s="28"/>
      <c r="DL160" s="28"/>
      <c r="DM160" s="28"/>
      <c r="DN160" s="28"/>
      <c r="DO160" s="28"/>
      <c r="DP160" s="28"/>
      <c r="DQ160" s="28"/>
      <c r="DR160" s="28"/>
      <c r="DS160" s="28"/>
      <c r="DT160" s="28"/>
      <c r="DU160" s="28"/>
      <c r="DV160" s="28"/>
      <c r="DW160" s="28"/>
      <c r="DX160" s="28"/>
      <c r="DY160" s="28"/>
      <c r="DZ160" s="28"/>
      <c r="EA160" s="28"/>
      <c r="EB160" s="28"/>
      <c r="EC160" s="28"/>
      <c r="ED160" s="28"/>
      <c r="EE160" s="28"/>
      <c r="EF160" s="28"/>
      <c r="EG160" s="28"/>
      <c r="EH160" s="28"/>
      <c r="EI160" s="28"/>
      <c r="EJ160" s="28"/>
      <c r="EK160" s="28"/>
      <c r="EL160" s="28"/>
      <c r="EM160" s="28"/>
      <c r="EN160" s="28"/>
      <c r="EO160" s="28"/>
      <c r="EP160" s="28"/>
      <c r="EQ160" s="28"/>
      <c r="ER160" s="28"/>
      <c r="ES160" s="28"/>
      <c r="ET160" s="28"/>
      <c r="EU160" s="28"/>
      <c r="EV160" s="28"/>
      <c r="EW160" s="28"/>
      <c r="EX160" s="28"/>
      <c r="EY160" s="28"/>
      <c r="EZ160" s="28"/>
      <c r="FA160" s="28"/>
      <c r="FB160" s="28"/>
      <c r="FC160" s="28"/>
      <c r="FD160" s="28"/>
      <c r="FE160" s="28"/>
      <c r="FF160" s="28"/>
      <c r="FG160" s="28"/>
      <c r="FH160" s="28"/>
      <c r="FI160" s="28"/>
      <c r="FJ160" s="28"/>
      <c r="FK160" s="28"/>
      <c r="FL160" s="28"/>
      <c r="FM160" s="28"/>
      <c r="FN160" s="28"/>
      <c r="FO160" s="28"/>
      <c r="FP160" s="28"/>
      <c r="FQ160" s="28"/>
      <c r="FR160" s="28"/>
      <c r="FS160" s="28"/>
      <c r="FT160" s="28"/>
      <c r="FU160" s="28"/>
      <c r="FV160" s="28"/>
      <c r="FW160" s="28"/>
      <c r="FX160" s="28"/>
      <c r="FY160" s="28"/>
      <c r="FZ160" s="28"/>
      <c r="GA160" s="28"/>
      <c r="GB160" s="28"/>
      <c r="GC160" s="28"/>
      <c r="GD160" s="28"/>
      <c r="GE160" s="28"/>
      <c r="GF160" s="28"/>
      <c r="GG160" s="28"/>
      <c r="GH160" s="28"/>
      <c r="GI160" s="28"/>
      <c r="GJ160" s="28"/>
      <c r="GK160" s="28"/>
      <c r="GL160" s="28"/>
      <c r="GM160" s="28"/>
      <c r="GN160" s="28"/>
      <c r="GO160" s="28"/>
      <c r="GP160" s="28"/>
      <c r="GQ160" s="28"/>
      <c r="GR160" s="28"/>
      <c r="GS160" s="28"/>
      <c r="GT160" s="28"/>
      <c r="GU160" s="28"/>
      <c r="GV160" s="28"/>
      <c r="GW160" s="28"/>
      <c r="GX160" s="28"/>
      <c r="GY160" s="28"/>
      <c r="GZ160" s="28"/>
      <c r="HA160" s="28"/>
      <c r="HB160" s="28"/>
      <c r="HC160" s="28"/>
      <c r="HD160" s="28"/>
      <c r="HE160" s="28"/>
      <c r="HF160" s="28"/>
      <c r="HG160" s="28"/>
      <c r="HH160" s="28"/>
      <c r="HI160" s="28"/>
      <c r="HJ160" s="28"/>
      <c r="HK160" s="28"/>
    </row>
    <row r="161" spans="1:219" ht="15" customHeight="1">
      <c r="A161" s="49">
        <v>1</v>
      </c>
      <c r="B161" s="132" t="str">
        <f>VLOOKUP(Ruimtestaat[[#This Row],[Code]],Locaties[[Code]:[Locatie]],2,FALSE)</f>
        <v>Mirtehuis</v>
      </c>
      <c r="C161" s="132" t="str">
        <f>VLOOKUP(Ruimtestaat[[#This Row],[Code]],Locaties[[#All],[Code]:[Adres]],4,FALSE)</f>
        <v>Weseperweg 6</v>
      </c>
      <c r="D161" s="132" t="str">
        <f>VLOOKUP(Ruimtestaat[[#This Row],[Code]],Locaties[[#All],[Code]:[Postcode]],5,FALSE)</f>
        <v>8111 PK</v>
      </c>
      <c r="E161" s="132" t="str">
        <f>VLOOKUP(Ruimtestaat[[#This Row],[Code]],Locaties[#All],6,FALSE)</f>
        <v>Heeten</v>
      </c>
      <c r="F161" s="100"/>
      <c r="G161" s="100" t="s">
        <v>1677</v>
      </c>
      <c r="I161" s="140" t="s">
        <v>1656</v>
      </c>
      <c r="J161" s="49">
        <v>20</v>
      </c>
      <c r="K161" s="140" t="str">
        <f>VLOOKUP(Ruimtestaat[[#This Row],[Ruimte code]],Ruimtegroepen[[#All],[Code]:[Ruimte omschrijving]],2,FALSE)</f>
        <v>Niet in Onderhoud</v>
      </c>
      <c r="L161" s="100"/>
      <c r="M161" s="345"/>
      <c r="N161" s="133"/>
      <c r="O161" s="139"/>
      <c r="P161" s="134">
        <f>VLOOKUP(Ruimtestaat[[#This Row],[Ruimte code]],Ruimtegroepen[],4,FALSE)</f>
        <v>0</v>
      </c>
      <c r="Q161" s="100"/>
      <c r="R161" s="100"/>
      <c r="S161" s="100">
        <f>IF(Q161&gt;0,IF(RIGHT(Ruimtestaat[[#This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61" s="100">
        <f>IF(S161&gt;0,VLOOKUP($J161,Ruimtegroepen[],3,FALSE)*VLOOKUP($L161,Vloersoorten[],3,FALSE)*VLOOKUP($R161,Frequenties[],3,FALSE)*VLOOKUP($A161,Locaties[],3,FALSE),0)</f>
        <v>0</v>
      </c>
      <c r="U161" s="100">
        <f>Ruimtestaat[[#This Row],[Uitvoeringen werkdagen]]*Ruimtestaat[[#This Row],[Oppervlak (netto)]]</f>
        <v>0</v>
      </c>
      <c r="V161" s="135">
        <f>IF(T161&gt;0,Ruimtestaat[[#This Row],[Prest. (m2 /jaar) werkdagen]]/Ruimtestaat[[#This Row],[Norm (m2/uur) werkdagen]],0)</f>
        <v>0</v>
      </c>
      <c r="W161" s="136">
        <f>Ruimtestaat[[#This Row],[uren / jaar werkdagen]]*Tariefsopbouw!$E$35</f>
        <v>0</v>
      </c>
      <c r="X161" s="100"/>
      <c r="Y161" s="100">
        <f>IF(Ruimtestaat[[#This Row],[Frequentie weekend]]&gt;0,VALUE(LEFT(X161,1))*Q161,0)</f>
        <v>0</v>
      </c>
      <c r="Z161" s="99">
        <f>IF($Y161&gt;0,VLOOKUP($J161,Ruimtegroepen[],3,FALSE)*VLOOKUP($L161,Vloersoorten[],3,FALSE)*VLOOKUP($X161,Frequenties[],3,FALSE)*VLOOKUP(Ruimtestaat[[#This Row],[Code]],Locaties[],3,FALSE),0)</f>
        <v>0</v>
      </c>
      <c r="AA161" s="99">
        <f>Ruimtestaat[[#This Row],[Uitvoeringen weekend]]*Ruimtestaat[[#This Row],[Oppervlak (netto)]]</f>
        <v>0</v>
      </c>
      <c r="AB161" s="99">
        <f>IF(Z161&gt;0,Ruimtestaat[[#This Row],[Prest. (m2 /jaar) weekend]]/Ruimtestaat[[#This Row],[Norm (m2/uur) weekend]],0)</f>
        <v>0</v>
      </c>
      <c r="AC161" s="136">
        <f>Ruimtestaat[[#This Row],[uren / jaar weekend]]*Tariefsopbouw!$D$40</f>
        <v>0</v>
      </c>
      <c r="AD161" s="135">
        <f>Ruimtestaat[[#This Row],[Prest. (m2 /jaar) weekend]]+Ruimtestaat[[#This Row],[Prest. (m2 /jaar) werkdagen]]</f>
        <v>0</v>
      </c>
      <c r="AE161" s="135">
        <f>Ruimtestaat[[#This Row],[uren / jaar weekend]]+Ruimtestaat[[#This Row],[uren / jaar werkdagen]]</f>
        <v>0</v>
      </c>
      <c r="AF161" s="130">
        <f>Ruimtestaat[[#This Row],[kosten / jaar weekend]]+Ruimtestaat[[#This Row],[kosten / jaar werkdagen]]</f>
        <v>0</v>
      </c>
      <c r="AG161" s="130"/>
      <c r="AH161" s="137" t="str">
        <f>IF(Ruimtestaat[[#This Row],[Frequentie werkdagen]]="","",_xlfn.CONCAT(Ruimtestaat[[#This Row],[Ruimte code]],"-",Ruimtestaat[[#This Row],[Frequentie werkdagen]]," ",Ruimtestaat[[#This Row],[Vloer code]]))</f>
        <v/>
      </c>
      <c r="AI161" s="142" t="str">
        <f>_xlfn.IFNA(VLOOKUP($AH161,Programma!$F$3:$G$1101,2,0),"")</f>
        <v/>
      </c>
      <c r="AJ161" s="142" t="str">
        <f>_xlfn.IFNA(VLOOKUP($AH161,Programma!$F$3:$H$1101,3,0),"")</f>
        <v/>
      </c>
      <c r="AK161" s="142" t="str">
        <f>_xlfn.IFNA(VLOOKUP($AH161,Programma!$F$3:$I$1101,4,0),"")</f>
        <v/>
      </c>
      <c r="AL161" s="142" t="str">
        <f>_xlfn.IFNA(VLOOKUP($AH161,Programma!$F$3:$J$1101,5,0),"")</f>
        <v/>
      </c>
      <c r="AM161" s="142" t="str">
        <f>_xlfn.IFNA(VLOOKUP($AH161,Programma!$F$3:$K$1101,6,0),"")</f>
        <v/>
      </c>
      <c r="AN161" s="142" t="str">
        <f>_xlfn.IFNA(VLOOKUP($AH161,Programma!$F$3:$L$1101,7,0),"")</f>
        <v/>
      </c>
      <c r="AO161" s="142" t="str">
        <f>_xlfn.IFNA(VLOOKUP($AH161,Programma!$F$3:$M$1101,8,0),"")</f>
        <v/>
      </c>
      <c r="AP161" s="142" t="str">
        <f>_xlfn.IFNA(VLOOKUP($AH161,Programma!$F$3:$N$1101,9,0),"")</f>
        <v/>
      </c>
      <c r="AQ161" s="142" t="str">
        <f>_xlfn.IFNA(VLOOKUP($AH161,Programma!$F$3:$O$1101,10,0),"")</f>
        <v/>
      </c>
      <c r="AR161" s="142" t="str">
        <f>_xlfn.IFNA(VLOOKUP($AH161,Programma!$F$3:$P$1101,11,0),"")</f>
        <v/>
      </c>
      <c r="AS161" s="142" t="str">
        <f>_xlfn.IFNA(VLOOKUP($AH161,Programma!$F$3:$Q$1101,12,0),"")</f>
        <v/>
      </c>
      <c r="AT161" s="142" t="str">
        <f>_xlfn.IFNA(VLOOKUP($AH161,Programma!$F$3:$R$1101,13,0),"")</f>
        <v/>
      </c>
      <c r="AU161" s="142" t="str">
        <f>_xlfn.IFNA(VLOOKUP($AH161,Programma!$F$3:$S$1101,14,0),"")</f>
        <v/>
      </c>
      <c r="AV161" s="142" t="str">
        <f>_xlfn.IFNA(VLOOKUP($AH161,Programma!$F$3:$T$1101,15,0),"")</f>
        <v/>
      </c>
      <c r="AW161" s="142" t="str">
        <f>_xlfn.IFNA(VLOOKUP($AH161,Programma!$F$3:$U$1101,16,0),"")</f>
        <v/>
      </c>
      <c r="AX161" s="142" t="str">
        <f>_xlfn.IFNA(VLOOKUP($AH161,Programma!$F$3:$V$1101,17,0),"")</f>
        <v/>
      </c>
      <c r="AY161" s="142" t="str">
        <f>_xlfn.IFNA(VLOOKUP($AH161,Programma!$F$3:$W$1101,18,0),"")</f>
        <v/>
      </c>
      <c r="AZ161" s="142" t="str">
        <f>_xlfn.IFNA(VLOOKUP($AH161,Programma!$F$3:$X$1101,19,0),"")</f>
        <v/>
      </c>
      <c r="BA161" s="142" t="str">
        <f>_xlfn.IFNA(VLOOKUP($AH161,Programma!$F$3:$Y$1101,20,0),"")</f>
        <v/>
      </c>
      <c r="BB161" s="138"/>
      <c r="BC161" s="137" t="str">
        <f>IF(Ruimtestaat[[#This Row],[Frequentie weekend]]="","",_xlfn.CONCAT(Ruimtestaat[[#This Row],[Ruimte code]],"-",Ruimtestaat[[#This Row],[Frequentie weekend]]," ",Ruimtestaat[[#This Row],[Vloer code]]))</f>
        <v/>
      </c>
      <c r="BD161" s="142" t="str">
        <f>_xlfn.IFNA(VLOOKUP($BC161,Programma!$F$3:$G$1101,2,0),"")</f>
        <v/>
      </c>
      <c r="BE161" s="142" t="str">
        <f>_xlfn.IFNA(VLOOKUP($BC161,Programma!$F$3:$H$1101,3,0),"")</f>
        <v/>
      </c>
      <c r="BF161" s="142" t="str">
        <f>_xlfn.IFNA(VLOOKUP($BC161,Programma!$F$3:$I$1101,4,0),"")</f>
        <v/>
      </c>
      <c r="BG161" s="142" t="str">
        <f>_xlfn.IFNA(VLOOKUP($BC161,Programma!$F$3:$J$1101,5,0),"")</f>
        <v/>
      </c>
      <c r="BH161" s="142" t="str">
        <f>_xlfn.IFNA(VLOOKUP($BC161,Programma!$F$3:$K$1101,6,0),"")</f>
        <v/>
      </c>
      <c r="BI161" s="142" t="str">
        <f>_xlfn.IFNA(VLOOKUP($BC161,Programma!$F$3:$L$1101,7,0),"")</f>
        <v/>
      </c>
      <c r="BJ161" s="142" t="str">
        <f>_xlfn.IFNA(VLOOKUP($BC161,Programma!$F$3:$M$1101,8,0),"")</f>
        <v/>
      </c>
      <c r="BK161" s="142" t="str">
        <f>_xlfn.IFNA(VLOOKUP($BC161,Programma!$F$3:$N$1101,9,0),"")</f>
        <v/>
      </c>
      <c r="BL161" s="142" t="str">
        <f>_xlfn.IFNA(VLOOKUP($BC161,Programma!$F$3:$O$1101,10,0),"")</f>
        <v/>
      </c>
      <c r="BM161" s="142" t="str">
        <f>_xlfn.IFNA(VLOOKUP($BC161,Programma!$F$3:$P$1101,11,0),"")</f>
        <v/>
      </c>
      <c r="BN161" s="142" t="str">
        <f>_xlfn.IFNA(VLOOKUP($BC161,Programma!$F$3:$Q$1101,12,0),"")</f>
        <v/>
      </c>
      <c r="BO161" s="142" t="str">
        <f>_xlfn.IFNA(VLOOKUP($BC161,Programma!$F$3:$R$1101,13,0),"")</f>
        <v/>
      </c>
      <c r="BP161" s="142" t="str">
        <f>_xlfn.IFNA(VLOOKUP($BC161,Programma!$F$3:$S$1101,14,0),"")</f>
        <v/>
      </c>
      <c r="BQ161" s="142" t="str">
        <f>_xlfn.IFNA(VLOOKUP($BC161,Programma!$F$3:$T$1101,15,0),"")</f>
        <v/>
      </c>
      <c r="BR161" s="142" t="str">
        <f>_xlfn.IFNA(VLOOKUP($BC161,Programma!$F$3:$U$1101,16,0),"")</f>
        <v/>
      </c>
      <c r="BS161" s="142" t="str">
        <f>_xlfn.IFNA(VLOOKUP($BC161,Programma!$F$3:$V$1101,17,0),"")</f>
        <v/>
      </c>
      <c r="BT161" s="142" t="str">
        <f>_xlfn.IFNA(VLOOKUP($BC161,Programma!$F$3:$W$1101,18,0),"")</f>
        <v/>
      </c>
      <c r="BU161" s="142" t="str">
        <f>_xlfn.IFNA(VLOOKUP($BC161,Programma!$F$3:$X$1101,19,0),"")</f>
        <v/>
      </c>
      <c r="BV161" s="142" t="str">
        <f>_xlfn.IFNA(VLOOKUP($BC161,Programma!$F$3:$Y$1101,20,0),"")</f>
        <v/>
      </c>
      <c r="BW161" s="28"/>
      <c r="BX161" s="28"/>
      <c r="BY161" s="28"/>
      <c r="BZ161" s="28"/>
      <c r="CA161" s="28"/>
      <c r="CB161" s="28"/>
      <c r="CC161" s="28"/>
      <c r="CD161" s="28"/>
      <c r="CE161" s="28"/>
      <c r="CF161" s="28"/>
      <c r="CG161" s="28"/>
      <c r="CH161" s="28"/>
      <c r="CI161" s="28"/>
      <c r="CJ161" s="28"/>
      <c r="CK161" s="28"/>
      <c r="CL161" s="28"/>
      <c r="CM161" s="28"/>
      <c r="CN161" s="28"/>
      <c r="CO161" s="28"/>
      <c r="CP161" s="28"/>
      <c r="CQ161" s="28"/>
      <c r="CR161" s="28"/>
      <c r="CS161" s="28"/>
      <c r="CT161" s="28"/>
      <c r="CU161" s="28"/>
      <c r="CV161" s="28"/>
      <c r="CW161" s="28"/>
      <c r="CX161" s="28"/>
      <c r="CY161" s="28"/>
      <c r="CZ161" s="28"/>
      <c r="DA161" s="28"/>
      <c r="DB161" s="28"/>
      <c r="DC161" s="28"/>
      <c r="DD161" s="28"/>
      <c r="DE161" s="28"/>
      <c r="DF161" s="28"/>
      <c r="DG161" s="28"/>
      <c r="DH161" s="28"/>
      <c r="DI161" s="28"/>
      <c r="DJ161" s="28"/>
      <c r="DK161" s="28"/>
      <c r="DL161" s="28"/>
      <c r="DM161" s="28"/>
      <c r="DN161" s="28"/>
      <c r="DO161" s="28"/>
      <c r="DP161" s="28"/>
      <c r="DQ161" s="28"/>
      <c r="DR161" s="28"/>
      <c r="DS161" s="28"/>
      <c r="DT161" s="28"/>
      <c r="DU161" s="28"/>
      <c r="DV161" s="28"/>
      <c r="DW161" s="28"/>
      <c r="DX161" s="28"/>
      <c r="DY161" s="28"/>
      <c r="DZ161" s="28"/>
      <c r="EA161" s="28"/>
      <c r="EB161" s="28"/>
      <c r="EC161" s="28"/>
      <c r="ED161" s="28"/>
      <c r="EE161" s="28"/>
      <c r="EF161" s="28"/>
      <c r="EG161" s="28"/>
      <c r="EH161" s="28"/>
      <c r="EI161" s="28"/>
      <c r="EJ161" s="28"/>
      <c r="EK161" s="28"/>
      <c r="EL161" s="28"/>
      <c r="EM161" s="28"/>
      <c r="EN161" s="28"/>
      <c r="EO161" s="28"/>
      <c r="EP161" s="28"/>
      <c r="EQ161" s="28"/>
      <c r="ER161" s="28"/>
      <c r="ES161" s="28"/>
      <c r="ET161" s="28"/>
      <c r="EU161" s="28"/>
      <c r="EV161" s="28"/>
      <c r="EW161" s="28"/>
      <c r="EX161" s="28"/>
      <c r="EY161" s="28"/>
      <c r="EZ161" s="28"/>
      <c r="FA161" s="28"/>
      <c r="FB161" s="28"/>
      <c r="FC161" s="28"/>
      <c r="FD161" s="28"/>
      <c r="FE161" s="28"/>
      <c r="FF161" s="28"/>
      <c r="FG161" s="28"/>
      <c r="FH161" s="28"/>
      <c r="FI161" s="28"/>
      <c r="FJ161" s="28"/>
      <c r="FK161" s="28"/>
      <c r="FL161" s="28"/>
      <c r="FM161" s="28"/>
      <c r="FN161" s="28"/>
      <c r="FO161" s="28"/>
      <c r="FP161" s="28"/>
      <c r="FQ161" s="28"/>
      <c r="FR161" s="28"/>
      <c r="FS161" s="28"/>
      <c r="FT161" s="28"/>
      <c r="FU161" s="28"/>
      <c r="FV161" s="28"/>
      <c r="FW161" s="28"/>
      <c r="FX161" s="28"/>
      <c r="FY161" s="28"/>
      <c r="FZ161" s="28"/>
      <c r="GA161" s="28"/>
      <c r="GB161" s="28"/>
      <c r="GC161" s="28"/>
      <c r="GD161" s="28"/>
      <c r="GE161" s="28"/>
      <c r="GF161" s="28"/>
      <c r="GG161" s="28"/>
      <c r="GH161" s="28"/>
      <c r="GI161" s="28"/>
      <c r="GJ161" s="28"/>
      <c r="GK161" s="28"/>
      <c r="GL161" s="28"/>
      <c r="GM161" s="28"/>
      <c r="GN161" s="28"/>
      <c r="GO161" s="28"/>
      <c r="GP161" s="28"/>
      <c r="GQ161" s="28"/>
      <c r="GR161" s="28"/>
      <c r="GS161" s="28"/>
      <c r="GT161" s="28"/>
      <c r="GU161" s="28"/>
      <c r="GV161" s="28"/>
      <c r="GW161" s="28"/>
      <c r="GX161" s="28"/>
      <c r="GY161" s="28"/>
      <c r="GZ161" s="28"/>
      <c r="HA161" s="28"/>
      <c r="HB161" s="28"/>
      <c r="HC161" s="28"/>
      <c r="HD161" s="28"/>
      <c r="HE161" s="28"/>
      <c r="HF161" s="28"/>
      <c r="HG161" s="28"/>
      <c r="HH161" s="28"/>
      <c r="HI161" s="28"/>
      <c r="HJ161" s="28"/>
      <c r="HK161" s="28"/>
    </row>
    <row r="162" spans="1:219" ht="15" customHeight="1">
      <c r="A162" s="49">
        <v>1</v>
      </c>
      <c r="B162" s="132" t="str">
        <f>VLOOKUP(Ruimtestaat[[#This Row],[Code]],Locaties[[Code]:[Locatie]],2,FALSE)</f>
        <v>Mirtehuis</v>
      </c>
      <c r="C162" s="132" t="str">
        <f>VLOOKUP(Ruimtestaat[[#This Row],[Code]],Locaties[[#All],[Code]:[Adres]],4,FALSE)</f>
        <v>Weseperweg 6</v>
      </c>
      <c r="D162" s="132" t="str">
        <f>VLOOKUP(Ruimtestaat[[#This Row],[Code]],Locaties[[#All],[Code]:[Postcode]],5,FALSE)</f>
        <v>8111 PK</v>
      </c>
      <c r="E162" s="132" t="str">
        <f>VLOOKUP(Ruimtestaat[[#This Row],[Code]],Locaties[#All],6,FALSE)</f>
        <v>Heeten</v>
      </c>
      <c r="F162" s="100"/>
      <c r="G162" s="100" t="s">
        <v>1677</v>
      </c>
      <c r="I162" s="140" t="s">
        <v>1668</v>
      </c>
      <c r="J162" s="49">
        <v>20</v>
      </c>
      <c r="K162" s="140" t="str">
        <f>VLOOKUP(Ruimtestaat[[#This Row],[Ruimte code]],Ruimtegroepen[[#All],[Code]:[Ruimte omschrijving]],2,FALSE)</f>
        <v>Niet in Onderhoud</v>
      </c>
      <c r="L162" s="100"/>
      <c r="M162" s="345"/>
      <c r="N162" s="133"/>
      <c r="O162" s="139"/>
      <c r="P162" s="134">
        <f>VLOOKUP(Ruimtestaat[[#This Row],[Ruimte code]],Ruimtegroepen[],4,FALSE)</f>
        <v>0</v>
      </c>
      <c r="Q162" s="100"/>
      <c r="R162" s="100"/>
      <c r="S162" s="100">
        <f>IF(Q162&gt;0,IF(RIGHT(Ruimtestaat[[#This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62" s="100">
        <f>IF(S162&gt;0,VLOOKUP($J162,Ruimtegroepen[],3,FALSE)*VLOOKUP($L162,Vloersoorten[],3,FALSE)*VLOOKUP($R162,Frequenties[],3,FALSE)*VLOOKUP($A162,Locaties[],3,FALSE),0)</f>
        <v>0</v>
      </c>
      <c r="U162" s="100">
        <f>Ruimtestaat[[#This Row],[Uitvoeringen werkdagen]]*Ruimtestaat[[#This Row],[Oppervlak (netto)]]</f>
        <v>0</v>
      </c>
      <c r="V162" s="135">
        <f>IF(T162&gt;0,Ruimtestaat[[#This Row],[Prest. (m2 /jaar) werkdagen]]/Ruimtestaat[[#This Row],[Norm (m2/uur) werkdagen]],0)</f>
        <v>0</v>
      </c>
      <c r="W162" s="136">
        <f>Ruimtestaat[[#This Row],[uren / jaar werkdagen]]*Tariefsopbouw!$E$35</f>
        <v>0</v>
      </c>
      <c r="X162" s="100"/>
      <c r="Y162" s="100">
        <f>IF(Ruimtestaat[[#This Row],[Frequentie weekend]]&gt;0,VALUE(LEFT(X162,1))*Q162,0)</f>
        <v>0</v>
      </c>
      <c r="Z162" s="99">
        <f>IF($Y162&gt;0,VLOOKUP($J162,Ruimtegroepen[],3,FALSE)*VLOOKUP($L162,Vloersoorten[],3,FALSE)*VLOOKUP($X162,Frequenties[],3,FALSE)*VLOOKUP(Ruimtestaat[[#This Row],[Code]],Locaties[],3,FALSE),0)</f>
        <v>0</v>
      </c>
      <c r="AA162" s="99">
        <f>Ruimtestaat[[#This Row],[Uitvoeringen weekend]]*Ruimtestaat[[#This Row],[Oppervlak (netto)]]</f>
        <v>0</v>
      </c>
      <c r="AB162" s="99">
        <f>IF(Z162&gt;0,Ruimtestaat[[#This Row],[Prest. (m2 /jaar) weekend]]/Ruimtestaat[[#This Row],[Norm (m2/uur) weekend]],0)</f>
        <v>0</v>
      </c>
      <c r="AC162" s="136">
        <f>Ruimtestaat[[#This Row],[uren / jaar weekend]]*Tariefsopbouw!$D$40</f>
        <v>0</v>
      </c>
      <c r="AD162" s="135">
        <f>Ruimtestaat[[#This Row],[Prest. (m2 /jaar) weekend]]+Ruimtestaat[[#This Row],[Prest. (m2 /jaar) werkdagen]]</f>
        <v>0</v>
      </c>
      <c r="AE162" s="135">
        <f>Ruimtestaat[[#This Row],[uren / jaar weekend]]+Ruimtestaat[[#This Row],[uren / jaar werkdagen]]</f>
        <v>0</v>
      </c>
      <c r="AF162" s="130">
        <f>Ruimtestaat[[#This Row],[kosten / jaar weekend]]+Ruimtestaat[[#This Row],[kosten / jaar werkdagen]]</f>
        <v>0</v>
      </c>
      <c r="AG162" s="130"/>
      <c r="AH162" s="137" t="str">
        <f>IF(Ruimtestaat[[#This Row],[Frequentie werkdagen]]="","",_xlfn.CONCAT(Ruimtestaat[[#This Row],[Ruimte code]],"-",Ruimtestaat[[#This Row],[Frequentie werkdagen]]," ",Ruimtestaat[[#This Row],[Vloer code]]))</f>
        <v/>
      </c>
      <c r="AI162" s="142" t="str">
        <f>_xlfn.IFNA(VLOOKUP($AH162,Programma!$F$3:$G$1101,2,0),"")</f>
        <v/>
      </c>
      <c r="AJ162" s="142" t="str">
        <f>_xlfn.IFNA(VLOOKUP($AH162,Programma!$F$3:$H$1101,3,0),"")</f>
        <v/>
      </c>
      <c r="AK162" s="142" t="str">
        <f>_xlfn.IFNA(VLOOKUP($AH162,Programma!$F$3:$I$1101,4,0),"")</f>
        <v/>
      </c>
      <c r="AL162" s="142" t="str">
        <f>_xlfn.IFNA(VLOOKUP($AH162,Programma!$F$3:$J$1101,5,0),"")</f>
        <v/>
      </c>
      <c r="AM162" s="142" t="str">
        <f>_xlfn.IFNA(VLOOKUP($AH162,Programma!$F$3:$K$1101,6,0),"")</f>
        <v/>
      </c>
      <c r="AN162" s="142" t="str">
        <f>_xlfn.IFNA(VLOOKUP($AH162,Programma!$F$3:$L$1101,7,0),"")</f>
        <v/>
      </c>
      <c r="AO162" s="142" t="str">
        <f>_xlfn.IFNA(VLOOKUP($AH162,Programma!$F$3:$M$1101,8,0),"")</f>
        <v/>
      </c>
      <c r="AP162" s="142" t="str">
        <f>_xlfn.IFNA(VLOOKUP($AH162,Programma!$F$3:$N$1101,9,0),"")</f>
        <v/>
      </c>
      <c r="AQ162" s="142" t="str">
        <f>_xlfn.IFNA(VLOOKUP($AH162,Programma!$F$3:$O$1101,10,0),"")</f>
        <v/>
      </c>
      <c r="AR162" s="142" t="str">
        <f>_xlfn.IFNA(VLOOKUP($AH162,Programma!$F$3:$P$1101,11,0),"")</f>
        <v/>
      </c>
      <c r="AS162" s="142" t="str">
        <f>_xlfn.IFNA(VLOOKUP($AH162,Programma!$F$3:$Q$1101,12,0),"")</f>
        <v/>
      </c>
      <c r="AT162" s="142" t="str">
        <f>_xlfn.IFNA(VLOOKUP($AH162,Programma!$F$3:$R$1101,13,0),"")</f>
        <v/>
      </c>
      <c r="AU162" s="142" t="str">
        <f>_xlfn.IFNA(VLOOKUP($AH162,Programma!$F$3:$S$1101,14,0),"")</f>
        <v/>
      </c>
      <c r="AV162" s="142" t="str">
        <f>_xlfn.IFNA(VLOOKUP($AH162,Programma!$F$3:$T$1101,15,0),"")</f>
        <v/>
      </c>
      <c r="AW162" s="142" t="str">
        <f>_xlfn.IFNA(VLOOKUP($AH162,Programma!$F$3:$U$1101,16,0),"")</f>
        <v/>
      </c>
      <c r="AX162" s="142" t="str">
        <f>_xlfn.IFNA(VLOOKUP($AH162,Programma!$F$3:$V$1101,17,0),"")</f>
        <v/>
      </c>
      <c r="AY162" s="142" t="str">
        <f>_xlfn.IFNA(VLOOKUP($AH162,Programma!$F$3:$W$1101,18,0),"")</f>
        <v/>
      </c>
      <c r="AZ162" s="142" t="str">
        <f>_xlfn.IFNA(VLOOKUP($AH162,Programma!$F$3:$X$1101,19,0),"")</f>
        <v/>
      </c>
      <c r="BA162" s="142" t="str">
        <f>_xlfn.IFNA(VLOOKUP($AH162,Programma!$F$3:$Y$1101,20,0),"")</f>
        <v/>
      </c>
      <c r="BB162" s="138"/>
      <c r="BC162" s="137" t="str">
        <f>IF(Ruimtestaat[[#This Row],[Frequentie weekend]]="","",_xlfn.CONCAT(Ruimtestaat[[#This Row],[Ruimte code]],"-",Ruimtestaat[[#This Row],[Frequentie weekend]]," ",Ruimtestaat[[#This Row],[Vloer code]]))</f>
        <v/>
      </c>
      <c r="BD162" s="142" t="str">
        <f>_xlfn.IFNA(VLOOKUP($BC162,Programma!$F$3:$G$1101,2,0),"")</f>
        <v/>
      </c>
      <c r="BE162" s="142" t="str">
        <f>_xlfn.IFNA(VLOOKUP($BC162,Programma!$F$3:$H$1101,3,0),"")</f>
        <v/>
      </c>
      <c r="BF162" s="142" t="str">
        <f>_xlfn.IFNA(VLOOKUP($BC162,Programma!$F$3:$I$1101,4,0),"")</f>
        <v/>
      </c>
      <c r="BG162" s="142" t="str">
        <f>_xlfn.IFNA(VLOOKUP($BC162,Programma!$F$3:$J$1101,5,0),"")</f>
        <v/>
      </c>
      <c r="BH162" s="142" t="str">
        <f>_xlfn.IFNA(VLOOKUP($BC162,Programma!$F$3:$K$1101,6,0),"")</f>
        <v/>
      </c>
      <c r="BI162" s="142" t="str">
        <f>_xlfn.IFNA(VLOOKUP($BC162,Programma!$F$3:$L$1101,7,0),"")</f>
        <v/>
      </c>
      <c r="BJ162" s="142" t="str">
        <f>_xlfn.IFNA(VLOOKUP($BC162,Programma!$F$3:$M$1101,8,0),"")</f>
        <v/>
      </c>
      <c r="BK162" s="142" t="str">
        <f>_xlfn.IFNA(VLOOKUP($BC162,Programma!$F$3:$N$1101,9,0),"")</f>
        <v/>
      </c>
      <c r="BL162" s="142" t="str">
        <f>_xlfn.IFNA(VLOOKUP($BC162,Programma!$F$3:$O$1101,10,0),"")</f>
        <v/>
      </c>
      <c r="BM162" s="142" t="str">
        <f>_xlfn.IFNA(VLOOKUP($BC162,Programma!$F$3:$P$1101,11,0),"")</f>
        <v/>
      </c>
      <c r="BN162" s="142" t="str">
        <f>_xlfn.IFNA(VLOOKUP($BC162,Programma!$F$3:$Q$1101,12,0),"")</f>
        <v/>
      </c>
      <c r="BO162" s="142" t="str">
        <f>_xlfn.IFNA(VLOOKUP($BC162,Programma!$F$3:$R$1101,13,0),"")</f>
        <v/>
      </c>
      <c r="BP162" s="142" t="str">
        <f>_xlfn.IFNA(VLOOKUP($BC162,Programma!$F$3:$S$1101,14,0),"")</f>
        <v/>
      </c>
      <c r="BQ162" s="142" t="str">
        <f>_xlfn.IFNA(VLOOKUP($BC162,Programma!$F$3:$T$1101,15,0),"")</f>
        <v/>
      </c>
      <c r="BR162" s="142" t="str">
        <f>_xlfn.IFNA(VLOOKUP($BC162,Programma!$F$3:$U$1101,16,0),"")</f>
        <v/>
      </c>
      <c r="BS162" s="142" t="str">
        <f>_xlfn.IFNA(VLOOKUP($BC162,Programma!$F$3:$V$1101,17,0),"")</f>
        <v/>
      </c>
      <c r="BT162" s="142" t="str">
        <f>_xlfn.IFNA(VLOOKUP($BC162,Programma!$F$3:$W$1101,18,0),"")</f>
        <v/>
      </c>
      <c r="BU162" s="142" t="str">
        <f>_xlfn.IFNA(VLOOKUP($BC162,Programma!$F$3:$X$1101,19,0),"")</f>
        <v/>
      </c>
      <c r="BV162" s="142" t="str">
        <f>_xlfn.IFNA(VLOOKUP($BC162,Programma!$F$3:$Y$1101,20,0),"")</f>
        <v/>
      </c>
      <c r="BW162" s="28"/>
      <c r="BX162" s="28"/>
      <c r="BY162" s="28"/>
      <c r="BZ162" s="28"/>
      <c r="CA162" s="28"/>
      <c r="CB162" s="28"/>
      <c r="CC162" s="28"/>
      <c r="CD162" s="28"/>
      <c r="CE162" s="28"/>
      <c r="CF162" s="28"/>
      <c r="CG162" s="28"/>
      <c r="CH162" s="28"/>
      <c r="CI162" s="28"/>
      <c r="CJ162" s="28"/>
      <c r="CK162" s="28"/>
      <c r="CL162" s="28"/>
      <c r="CM162" s="28"/>
      <c r="CN162" s="28"/>
      <c r="CO162" s="28"/>
      <c r="CP162" s="28"/>
      <c r="CQ162" s="28"/>
      <c r="CR162" s="28"/>
      <c r="CS162" s="28"/>
      <c r="CT162" s="28"/>
      <c r="CU162" s="28"/>
      <c r="CV162" s="28"/>
      <c r="CW162" s="28"/>
      <c r="CX162" s="28"/>
      <c r="CY162" s="28"/>
      <c r="CZ162" s="28"/>
      <c r="DA162" s="28"/>
      <c r="DB162" s="28"/>
      <c r="DC162" s="28"/>
      <c r="DD162" s="28"/>
      <c r="DE162" s="28"/>
      <c r="DF162" s="28"/>
      <c r="DG162" s="28"/>
      <c r="DH162" s="28"/>
      <c r="DI162" s="28"/>
      <c r="DJ162" s="28"/>
      <c r="DK162" s="28"/>
      <c r="DL162" s="28"/>
      <c r="DM162" s="28"/>
      <c r="DN162" s="28"/>
      <c r="DO162" s="28"/>
      <c r="DP162" s="28"/>
      <c r="DQ162" s="28"/>
      <c r="DR162" s="28"/>
      <c r="DS162" s="28"/>
      <c r="DT162" s="28"/>
      <c r="DU162" s="28"/>
      <c r="DV162" s="28"/>
      <c r="DW162" s="28"/>
      <c r="DX162" s="28"/>
      <c r="DY162" s="28"/>
      <c r="DZ162" s="28"/>
      <c r="EA162" s="28"/>
      <c r="EB162" s="28"/>
      <c r="EC162" s="28"/>
      <c r="ED162" s="28"/>
      <c r="EE162" s="28"/>
      <c r="EF162" s="28"/>
      <c r="EG162" s="28"/>
      <c r="EH162" s="28"/>
      <c r="EI162" s="28"/>
      <c r="EJ162" s="28"/>
      <c r="EK162" s="28"/>
      <c r="EL162" s="28"/>
      <c r="EM162" s="28"/>
      <c r="EN162" s="28"/>
      <c r="EO162" s="28"/>
      <c r="EP162" s="28"/>
      <c r="EQ162" s="28"/>
      <c r="ER162" s="28"/>
      <c r="ES162" s="28"/>
      <c r="ET162" s="28"/>
      <c r="EU162" s="28"/>
      <c r="EV162" s="28"/>
      <c r="EW162" s="28"/>
      <c r="EX162" s="28"/>
      <c r="EY162" s="28"/>
      <c r="EZ162" s="28"/>
      <c r="FA162" s="28"/>
      <c r="FB162" s="28"/>
      <c r="FC162" s="28"/>
      <c r="FD162" s="28"/>
      <c r="FE162" s="28"/>
      <c r="FF162" s="28"/>
      <c r="FG162" s="28"/>
      <c r="FH162" s="28"/>
      <c r="FI162" s="28"/>
      <c r="FJ162" s="28"/>
      <c r="FK162" s="28"/>
      <c r="FL162" s="28"/>
      <c r="FM162" s="28"/>
      <c r="FN162" s="28"/>
      <c r="FO162" s="28"/>
      <c r="FP162" s="28"/>
      <c r="FQ162" s="28"/>
      <c r="FR162" s="28"/>
      <c r="FS162" s="28"/>
      <c r="FT162" s="28"/>
      <c r="FU162" s="28"/>
      <c r="FV162" s="28"/>
      <c r="FW162" s="28"/>
      <c r="FX162" s="28"/>
      <c r="FY162" s="28"/>
      <c r="FZ162" s="28"/>
      <c r="GA162" s="28"/>
      <c r="GB162" s="28"/>
      <c r="GC162" s="28"/>
      <c r="GD162" s="28"/>
      <c r="GE162" s="28"/>
      <c r="GF162" s="28"/>
      <c r="GG162" s="28"/>
      <c r="GH162" s="28"/>
      <c r="GI162" s="28"/>
      <c r="GJ162" s="28"/>
      <c r="GK162" s="28"/>
      <c r="GL162" s="28"/>
      <c r="GM162" s="28"/>
      <c r="GN162" s="28"/>
      <c r="GO162" s="28"/>
      <c r="GP162" s="28"/>
      <c r="GQ162" s="28"/>
      <c r="GR162" s="28"/>
      <c r="GS162" s="28"/>
      <c r="GT162" s="28"/>
      <c r="GU162" s="28"/>
      <c r="GV162" s="28"/>
      <c r="GW162" s="28"/>
      <c r="GX162" s="28"/>
      <c r="GY162" s="28"/>
      <c r="GZ162" s="28"/>
      <c r="HA162" s="28"/>
      <c r="HB162" s="28"/>
      <c r="HC162" s="28"/>
      <c r="HD162" s="28"/>
      <c r="HE162" s="28"/>
      <c r="HF162" s="28"/>
      <c r="HG162" s="28"/>
      <c r="HH162" s="28"/>
      <c r="HI162" s="28"/>
      <c r="HJ162" s="28"/>
      <c r="HK162" s="28"/>
    </row>
    <row r="163" spans="1:219" ht="15" customHeight="1">
      <c r="A163" s="49">
        <v>1</v>
      </c>
      <c r="B163" s="132" t="str">
        <f>VLOOKUP(Ruimtestaat[[#This Row],[Code]],Locaties[[Code]:[Locatie]],2,FALSE)</f>
        <v>Mirtehuis</v>
      </c>
      <c r="C163" s="132" t="str">
        <f>VLOOKUP(Ruimtestaat[[#This Row],[Code]],Locaties[[#All],[Code]:[Adres]],4,FALSE)</f>
        <v>Weseperweg 6</v>
      </c>
      <c r="D163" s="132" t="str">
        <f>VLOOKUP(Ruimtestaat[[#This Row],[Code]],Locaties[[#All],[Code]:[Postcode]],5,FALSE)</f>
        <v>8111 PK</v>
      </c>
      <c r="E163" s="132" t="str">
        <f>VLOOKUP(Ruimtestaat[[#This Row],[Code]],Locaties[#All],6,FALSE)</f>
        <v>Heeten</v>
      </c>
      <c r="F163" s="100"/>
      <c r="G163" s="100" t="s">
        <v>1677</v>
      </c>
      <c r="I163" s="140" t="s">
        <v>1656</v>
      </c>
      <c r="J163" s="49">
        <v>20</v>
      </c>
      <c r="K163" s="140" t="str">
        <f>VLOOKUP(Ruimtestaat[[#This Row],[Ruimte code]],Ruimtegroepen[[#All],[Code]:[Ruimte omschrijving]],2,FALSE)</f>
        <v>Niet in Onderhoud</v>
      </c>
      <c r="L163" s="100"/>
      <c r="M163" s="345"/>
      <c r="N163" s="133"/>
      <c r="O163" s="100"/>
      <c r="P163" s="134">
        <f>VLOOKUP(Ruimtestaat[[#This Row],[Ruimte code]],Ruimtegroepen[],4,FALSE)</f>
        <v>0</v>
      </c>
      <c r="Q163" s="100"/>
      <c r="R163" s="100"/>
      <c r="S163" s="100">
        <f>IF(Q163&gt;0,IF(RIGHT(Ruimtestaat[[#This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63" s="100">
        <f>IF(S163&gt;0,VLOOKUP($J163,Ruimtegroepen[],3,FALSE)*VLOOKUP($L163,Vloersoorten[],3,FALSE)*VLOOKUP($R163,Frequenties[],3,FALSE)*VLOOKUP($A163,Locaties[],3,FALSE),0)</f>
        <v>0</v>
      </c>
      <c r="U163" s="100">
        <f>Ruimtestaat[[#This Row],[Uitvoeringen werkdagen]]*Ruimtestaat[[#This Row],[Oppervlak (netto)]]</f>
        <v>0</v>
      </c>
      <c r="V163" s="135">
        <f>IF(T163&gt;0,Ruimtestaat[[#This Row],[Prest. (m2 /jaar) werkdagen]]/Ruimtestaat[[#This Row],[Norm (m2/uur) werkdagen]],0)</f>
        <v>0</v>
      </c>
      <c r="W163" s="136">
        <f>Ruimtestaat[[#This Row],[uren / jaar werkdagen]]*Tariefsopbouw!$E$35</f>
        <v>0</v>
      </c>
      <c r="X163" s="100"/>
      <c r="Y163" s="100">
        <f>IF(Ruimtestaat[[#This Row],[Frequentie weekend]]&gt;0,VALUE(LEFT(X163,1))*Q163,0)</f>
        <v>0</v>
      </c>
      <c r="Z163" s="99">
        <f>IF($Y163&gt;0,VLOOKUP($J163,Ruimtegroepen[],3,FALSE)*VLOOKUP($L163,Vloersoorten[],3,FALSE)*VLOOKUP($X163,Frequenties[],3,FALSE)*VLOOKUP(Ruimtestaat[[#This Row],[Code]],Locaties[],3,FALSE),0)</f>
        <v>0</v>
      </c>
      <c r="AA163" s="99">
        <f>Ruimtestaat[[#This Row],[Uitvoeringen weekend]]*Ruimtestaat[[#This Row],[Oppervlak (netto)]]</f>
        <v>0</v>
      </c>
      <c r="AB163" s="99">
        <f>IF(Z163&gt;0,Ruimtestaat[[#This Row],[Prest. (m2 /jaar) weekend]]/Ruimtestaat[[#This Row],[Norm (m2/uur) weekend]],0)</f>
        <v>0</v>
      </c>
      <c r="AC163" s="136">
        <f>Ruimtestaat[[#This Row],[uren / jaar weekend]]*Tariefsopbouw!$D$40</f>
        <v>0</v>
      </c>
      <c r="AD163" s="135">
        <f>Ruimtestaat[[#This Row],[Prest. (m2 /jaar) weekend]]+Ruimtestaat[[#This Row],[Prest. (m2 /jaar) werkdagen]]</f>
        <v>0</v>
      </c>
      <c r="AE163" s="135">
        <f>Ruimtestaat[[#This Row],[uren / jaar weekend]]+Ruimtestaat[[#This Row],[uren / jaar werkdagen]]</f>
        <v>0</v>
      </c>
      <c r="AF163" s="130">
        <f>Ruimtestaat[[#This Row],[kosten / jaar weekend]]+Ruimtestaat[[#This Row],[kosten / jaar werkdagen]]</f>
        <v>0</v>
      </c>
      <c r="AG163" s="130"/>
      <c r="AH163" s="137" t="str">
        <f>IF(Ruimtestaat[[#This Row],[Frequentie werkdagen]]="","",_xlfn.CONCAT(Ruimtestaat[[#This Row],[Ruimte code]],"-",Ruimtestaat[[#This Row],[Frequentie werkdagen]]," ",Ruimtestaat[[#This Row],[Vloer code]]))</f>
        <v/>
      </c>
      <c r="AI163" s="142" t="str">
        <f>_xlfn.IFNA(VLOOKUP($AH163,Programma!$F$3:$G$1101,2,0),"")</f>
        <v/>
      </c>
      <c r="AJ163" s="142" t="str">
        <f>_xlfn.IFNA(VLOOKUP($AH163,Programma!$F$3:$H$1101,3,0),"")</f>
        <v/>
      </c>
      <c r="AK163" s="142" t="str">
        <f>_xlfn.IFNA(VLOOKUP($AH163,Programma!$F$3:$I$1101,4,0),"")</f>
        <v/>
      </c>
      <c r="AL163" s="142" t="str">
        <f>_xlfn.IFNA(VLOOKUP($AH163,Programma!$F$3:$J$1101,5,0),"")</f>
        <v/>
      </c>
      <c r="AM163" s="142" t="str">
        <f>_xlfn.IFNA(VLOOKUP($AH163,Programma!$F$3:$K$1101,6,0),"")</f>
        <v/>
      </c>
      <c r="AN163" s="142" t="str">
        <f>_xlfn.IFNA(VLOOKUP($AH163,Programma!$F$3:$L$1101,7,0),"")</f>
        <v/>
      </c>
      <c r="AO163" s="142" t="str">
        <f>_xlfn.IFNA(VLOOKUP($AH163,Programma!$F$3:$M$1101,8,0),"")</f>
        <v/>
      </c>
      <c r="AP163" s="142" t="str">
        <f>_xlfn.IFNA(VLOOKUP($AH163,Programma!$F$3:$N$1101,9,0),"")</f>
        <v/>
      </c>
      <c r="AQ163" s="142" t="str">
        <f>_xlfn.IFNA(VLOOKUP($AH163,Programma!$F$3:$O$1101,10,0),"")</f>
        <v/>
      </c>
      <c r="AR163" s="142" t="str">
        <f>_xlfn.IFNA(VLOOKUP($AH163,Programma!$F$3:$P$1101,11,0),"")</f>
        <v/>
      </c>
      <c r="AS163" s="142" t="str">
        <f>_xlfn.IFNA(VLOOKUP($AH163,Programma!$F$3:$Q$1101,12,0),"")</f>
        <v/>
      </c>
      <c r="AT163" s="142" t="str">
        <f>_xlfn.IFNA(VLOOKUP($AH163,Programma!$F$3:$R$1101,13,0),"")</f>
        <v/>
      </c>
      <c r="AU163" s="142" t="str">
        <f>_xlfn.IFNA(VLOOKUP($AH163,Programma!$F$3:$S$1101,14,0),"")</f>
        <v/>
      </c>
      <c r="AV163" s="142" t="str">
        <f>_xlfn.IFNA(VLOOKUP($AH163,Programma!$F$3:$T$1101,15,0),"")</f>
        <v/>
      </c>
      <c r="AW163" s="142" t="str">
        <f>_xlfn.IFNA(VLOOKUP($AH163,Programma!$F$3:$U$1101,16,0),"")</f>
        <v/>
      </c>
      <c r="AX163" s="142" t="str">
        <f>_xlfn.IFNA(VLOOKUP($AH163,Programma!$F$3:$V$1101,17,0),"")</f>
        <v/>
      </c>
      <c r="AY163" s="142" t="str">
        <f>_xlfn.IFNA(VLOOKUP($AH163,Programma!$F$3:$W$1101,18,0),"")</f>
        <v/>
      </c>
      <c r="AZ163" s="142" t="str">
        <f>_xlfn.IFNA(VLOOKUP($AH163,Programma!$F$3:$X$1101,19,0),"")</f>
        <v/>
      </c>
      <c r="BA163" s="142" t="str">
        <f>_xlfn.IFNA(VLOOKUP($AH163,Programma!$F$3:$Y$1101,20,0),"")</f>
        <v/>
      </c>
      <c r="BB163" s="138"/>
      <c r="BC163" s="137" t="str">
        <f>IF(Ruimtestaat[[#This Row],[Frequentie weekend]]="","",_xlfn.CONCAT(Ruimtestaat[[#This Row],[Ruimte code]],"-",Ruimtestaat[[#This Row],[Frequentie weekend]]," ",Ruimtestaat[[#This Row],[Vloer code]]))</f>
        <v/>
      </c>
      <c r="BD163" s="142" t="str">
        <f>_xlfn.IFNA(VLOOKUP($BC163,Programma!$F$3:$G$1101,2,0),"")</f>
        <v/>
      </c>
      <c r="BE163" s="142" t="str">
        <f>_xlfn.IFNA(VLOOKUP($BC163,Programma!$F$3:$H$1101,3,0),"")</f>
        <v/>
      </c>
      <c r="BF163" s="142" t="str">
        <f>_xlfn.IFNA(VLOOKUP($BC163,Programma!$F$3:$I$1101,4,0),"")</f>
        <v/>
      </c>
      <c r="BG163" s="142" t="str">
        <f>_xlfn.IFNA(VLOOKUP($BC163,Programma!$F$3:$J$1101,5,0),"")</f>
        <v/>
      </c>
      <c r="BH163" s="142" t="str">
        <f>_xlfn.IFNA(VLOOKUP($BC163,Programma!$F$3:$K$1101,6,0),"")</f>
        <v/>
      </c>
      <c r="BI163" s="142" t="str">
        <f>_xlfn.IFNA(VLOOKUP($BC163,Programma!$F$3:$L$1101,7,0),"")</f>
        <v/>
      </c>
      <c r="BJ163" s="142" t="str">
        <f>_xlfn.IFNA(VLOOKUP($BC163,Programma!$F$3:$M$1101,8,0),"")</f>
        <v/>
      </c>
      <c r="BK163" s="142" t="str">
        <f>_xlfn.IFNA(VLOOKUP($BC163,Programma!$F$3:$N$1101,9,0),"")</f>
        <v/>
      </c>
      <c r="BL163" s="142" t="str">
        <f>_xlfn.IFNA(VLOOKUP($BC163,Programma!$F$3:$O$1101,10,0),"")</f>
        <v/>
      </c>
      <c r="BM163" s="142" t="str">
        <f>_xlfn.IFNA(VLOOKUP($BC163,Programma!$F$3:$P$1101,11,0),"")</f>
        <v/>
      </c>
      <c r="BN163" s="142" t="str">
        <f>_xlfn.IFNA(VLOOKUP($BC163,Programma!$F$3:$Q$1101,12,0),"")</f>
        <v/>
      </c>
      <c r="BO163" s="142" t="str">
        <f>_xlfn.IFNA(VLOOKUP($BC163,Programma!$F$3:$R$1101,13,0),"")</f>
        <v/>
      </c>
      <c r="BP163" s="142" t="str">
        <f>_xlfn.IFNA(VLOOKUP($BC163,Programma!$F$3:$S$1101,14,0),"")</f>
        <v/>
      </c>
      <c r="BQ163" s="142" t="str">
        <f>_xlfn.IFNA(VLOOKUP($BC163,Programma!$F$3:$T$1101,15,0),"")</f>
        <v/>
      </c>
      <c r="BR163" s="142" t="str">
        <f>_xlfn.IFNA(VLOOKUP($BC163,Programma!$F$3:$U$1101,16,0),"")</f>
        <v/>
      </c>
      <c r="BS163" s="142" t="str">
        <f>_xlfn.IFNA(VLOOKUP($BC163,Programma!$F$3:$V$1101,17,0),"")</f>
        <v/>
      </c>
      <c r="BT163" s="142" t="str">
        <f>_xlfn.IFNA(VLOOKUP($BC163,Programma!$F$3:$W$1101,18,0),"")</f>
        <v/>
      </c>
      <c r="BU163" s="142" t="str">
        <f>_xlfn.IFNA(VLOOKUP($BC163,Programma!$F$3:$X$1101,19,0),"")</f>
        <v/>
      </c>
      <c r="BV163" s="142" t="str">
        <f>_xlfn.IFNA(VLOOKUP($BC163,Programma!$F$3:$Y$1101,20,0),"")</f>
        <v/>
      </c>
      <c r="BW163" s="28"/>
      <c r="BX163" s="28"/>
      <c r="BY163" s="28"/>
      <c r="BZ163" s="28"/>
      <c r="CA163" s="28"/>
      <c r="CB163" s="28"/>
      <c r="CC163" s="28"/>
      <c r="CD163" s="28"/>
      <c r="CE163" s="28"/>
      <c r="CF163" s="28"/>
      <c r="CG163" s="28"/>
      <c r="CH163" s="28"/>
      <c r="CI163" s="28"/>
      <c r="CJ163" s="28"/>
      <c r="CK163" s="28"/>
      <c r="CL163" s="28"/>
      <c r="CM163" s="28"/>
      <c r="CN163" s="28"/>
      <c r="CO163" s="28"/>
      <c r="CP163" s="28"/>
      <c r="CQ163" s="28"/>
      <c r="CR163" s="28"/>
      <c r="CS163" s="28"/>
      <c r="CT163" s="28"/>
      <c r="CU163" s="28"/>
      <c r="CV163" s="28"/>
      <c r="CW163" s="28"/>
      <c r="CX163" s="28"/>
      <c r="CY163" s="28"/>
      <c r="CZ163" s="28"/>
      <c r="DA163" s="28"/>
      <c r="DB163" s="28"/>
      <c r="DC163" s="28"/>
      <c r="DD163" s="28"/>
      <c r="DE163" s="28"/>
      <c r="DF163" s="28"/>
      <c r="DG163" s="28"/>
      <c r="DH163" s="28"/>
      <c r="DI163" s="28"/>
      <c r="DJ163" s="28"/>
      <c r="DK163" s="28"/>
      <c r="DL163" s="28"/>
      <c r="DM163" s="28"/>
      <c r="DN163" s="28"/>
      <c r="DO163" s="28"/>
      <c r="DP163" s="28"/>
      <c r="DQ163" s="28"/>
      <c r="DR163" s="28"/>
      <c r="DS163" s="28"/>
      <c r="DT163" s="28"/>
      <c r="DU163" s="28"/>
      <c r="DV163" s="28"/>
      <c r="DW163" s="28"/>
      <c r="DX163" s="28"/>
      <c r="DY163" s="28"/>
      <c r="DZ163" s="28"/>
      <c r="EA163" s="28"/>
      <c r="EB163" s="28"/>
      <c r="EC163" s="28"/>
      <c r="ED163" s="28"/>
      <c r="EE163" s="28"/>
      <c r="EF163" s="28"/>
      <c r="EG163" s="28"/>
      <c r="EH163" s="28"/>
      <c r="EI163" s="28"/>
      <c r="EJ163" s="28"/>
      <c r="EK163" s="28"/>
      <c r="EL163" s="28"/>
      <c r="EM163" s="28"/>
      <c r="EN163" s="28"/>
      <c r="EO163" s="28"/>
      <c r="EP163" s="28"/>
      <c r="EQ163" s="28"/>
      <c r="ER163" s="28"/>
      <c r="ES163" s="28"/>
      <c r="ET163" s="28"/>
      <c r="EU163" s="28"/>
      <c r="EV163" s="28"/>
      <c r="EW163" s="28"/>
      <c r="EX163" s="28"/>
      <c r="EY163" s="28"/>
      <c r="EZ163" s="28"/>
      <c r="FA163" s="28"/>
      <c r="FB163" s="28"/>
      <c r="FC163" s="28"/>
      <c r="FD163" s="28"/>
      <c r="FE163" s="28"/>
      <c r="FF163" s="28"/>
      <c r="FG163" s="28"/>
      <c r="FH163" s="28"/>
      <c r="FI163" s="28"/>
      <c r="FJ163" s="28"/>
      <c r="FK163" s="28"/>
      <c r="FL163" s="28"/>
      <c r="FM163" s="28"/>
      <c r="FN163" s="28"/>
      <c r="FO163" s="28"/>
      <c r="FP163" s="28"/>
      <c r="FQ163" s="28"/>
      <c r="FR163" s="28"/>
      <c r="FS163" s="28"/>
      <c r="FT163" s="28"/>
      <c r="FU163" s="28"/>
      <c r="FV163" s="28"/>
      <c r="FW163" s="28"/>
      <c r="FX163" s="28"/>
      <c r="FY163" s="28"/>
      <c r="FZ163" s="28"/>
      <c r="GA163" s="28"/>
      <c r="GB163" s="28"/>
      <c r="GC163" s="28"/>
      <c r="GD163" s="28"/>
      <c r="GE163" s="28"/>
      <c r="GF163" s="28"/>
      <c r="GG163" s="28"/>
      <c r="GH163" s="28"/>
      <c r="GI163" s="28"/>
      <c r="GJ163" s="28"/>
      <c r="GK163" s="28"/>
      <c r="GL163" s="28"/>
      <c r="GM163" s="28"/>
      <c r="GN163" s="28"/>
      <c r="GO163" s="28"/>
      <c r="GP163" s="28"/>
      <c r="GQ163" s="28"/>
      <c r="GR163" s="28"/>
      <c r="GS163" s="28"/>
      <c r="GT163" s="28"/>
      <c r="GU163" s="28"/>
      <c r="GV163" s="28"/>
      <c r="GW163" s="28"/>
      <c r="GX163" s="28"/>
      <c r="GY163" s="28"/>
      <c r="GZ163" s="28"/>
      <c r="HA163" s="28"/>
      <c r="HB163" s="28"/>
      <c r="HC163" s="28"/>
      <c r="HD163" s="28"/>
      <c r="HE163" s="28"/>
      <c r="HF163" s="28"/>
      <c r="HG163" s="28"/>
      <c r="HH163" s="28"/>
      <c r="HI163" s="28"/>
      <c r="HJ163" s="28"/>
      <c r="HK163" s="28"/>
    </row>
    <row r="164" spans="1:219" ht="15" customHeight="1">
      <c r="A164" s="49">
        <v>1</v>
      </c>
      <c r="B164" s="132" t="str">
        <f>VLOOKUP(Ruimtestaat[[#This Row],[Code]],Locaties[[Code]:[Locatie]],2,FALSE)</f>
        <v>Mirtehuis</v>
      </c>
      <c r="C164" s="132" t="str">
        <f>VLOOKUP(Ruimtestaat[[#This Row],[Code]],Locaties[[#All],[Code]:[Adres]],4,FALSE)</f>
        <v>Weseperweg 6</v>
      </c>
      <c r="D164" s="132" t="str">
        <f>VLOOKUP(Ruimtestaat[[#This Row],[Code]],Locaties[[#All],[Code]:[Postcode]],5,FALSE)</f>
        <v>8111 PK</v>
      </c>
      <c r="E164" s="132" t="str">
        <f>VLOOKUP(Ruimtestaat[[#This Row],[Code]],Locaties[#All],6,FALSE)</f>
        <v>Heeten</v>
      </c>
      <c r="F164" s="100"/>
      <c r="G164" s="100" t="s">
        <v>1677</v>
      </c>
      <c r="H164" s="49">
        <v>5</v>
      </c>
      <c r="I164" s="140" t="s">
        <v>1650</v>
      </c>
      <c r="J164" s="49">
        <v>20</v>
      </c>
      <c r="K164" s="140" t="str">
        <f>VLOOKUP(Ruimtestaat[[#This Row],[Ruimte code]],Ruimtegroepen[[#All],[Code]:[Ruimte omschrijving]],2,FALSE)</f>
        <v>Niet in Onderhoud</v>
      </c>
      <c r="L164" s="100"/>
      <c r="M164" s="345"/>
      <c r="N164" s="133"/>
      <c r="O164" s="139"/>
      <c r="P164" s="134">
        <f>VLOOKUP(Ruimtestaat[[#This Row],[Ruimte code]],Ruimtegroepen[],4,FALSE)</f>
        <v>0</v>
      </c>
      <c r="Q164" s="100"/>
      <c r="R164" s="100"/>
      <c r="S164" s="100">
        <f>IF(Q164&gt;0,IF(RIGHT(Ruimtestaat[[#This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64" s="100">
        <f>IF(S164&gt;0,VLOOKUP($J164,Ruimtegroepen[],3,FALSE)*VLOOKUP($L164,Vloersoorten[],3,FALSE)*VLOOKUP($R164,Frequenties[],3,FALSE)*VLOOKUP($A164,Locaties[],3,FALSE),0)</f>
        <v>0</v>
      </c>
      <c r="U164" s="100">
        <f>Ruimtestaat[[#This Row],[Uitvoeringen werkdagen]]*Ruimtestaat[[#This Row],[Oppervlak (netto)]]</f>
        <v>0</v>
      </c>
      <c r="V164" s="135">
        <f>IF(T164&gt;0,Ruimtestaat[[#This Row],[Prest. (m2 /jaar) werkdagen]]/Ruimtestaat[[#This Row],[Norm (m2/uur) werkdagen]],0)</f>
        <v>0</v>
      </c>
      <c r="W164" s="136">
        <f>Ruimtestaat[[#This Row],[uren / jaar werkdagen]]*Tariefsopbouw!$E$35</f>
        <v>0</v>
      </c>
      <c r="X164" s="100"/>
      <c r="Y164" s="100">
        <f>IF(Ruimtestaat[[#This Row],[Frequentie weekend]]&gt;0,VALUE(LEFT(X164,1))*Q164,0)</f>
        <v>0</v>
      </c>
      <c r="Z164" s="99">
        <f>IF($Y164&gt;0,VLOOKUP($J164,Ruimtegroepen[],3,FALSE)*VLOOKUP($L164,Vloersoorten[],3,FALSE)*VLOOKUP($X164,Frequenties[],3,FALSE)*VLOOKUP(Ruimtestaat[[#This Row],[Code]],Locaties[],3,FALSE),0)</f>
        <v>0</v>
      </c>
      <c r="AA164" s="99">
        <f>Ruimtestaat[[#This Row],[Uitvoeringen weekend]]*Ruimtestaat[[#This Row],[Oppervlak (netto)]]</f>
        <v>0</v>
      </c>
      <c r="AB164" s="99">
        <f>IF(Z164&gt;0,Ruimtestaat[[#This Row],[Prest. (m2 /jaar) weekend]]/Ruimtestaat[[#This Row],[Norm (m2/uur) weekend]],0)</f>
        <v>0</v>
      </c>
      <c r="AC164" s="136">
        <f>Ruimtestaat[[#This Row],[uren / jaar weekend]]*Tariefsopbouw!$D$40</f>
        <v>0</v>
      </c>
      <c r="AD164" s="135">
        <f>Ruimtestaat[[#This Row],[Prest. (m2 /jaar) weekend]]+Ruimtestaat[[#This Row],[Prest. (m2 /jaar) werkdagen]]</f>
        <v>0</v>
      </c>
      <c r="AE164" s="135">
        <f>Ruimtestaat[[#This Row],[uren / jaar weekend]]+Ruimtestaat[[#This Row],[uren / jaar werkdagen]]</f>
        <v>0</v>
      </c>
      <c r="AF164" s="130">
        <f>Ruimtestaat[[#This Row],[kosten / jaar weekend]]+Ruimtestaat[[#This Row],[kosten / jaar werkdagen]]</f>
        <v>0</v>
      </c>
      <c r="AG164" s="130"/>
      <c r="AH164" s="137" t="str">
        <f>IF(Ruimtestaat[[#This Row],[Frequentie werkdagen]]="","",_xlfn.CONCAT(Ruimtestaat[[#This Row],[Ruimte code]],"-",Ruimtestaat[[#This Row],[Frequentie werkdagen]]," ",Ruimtestaat[[#This Row],[Vloer code]]))</f>
        <v/>
      </c>
      <c r="AI164" s="142" t="str">
        <f>_xlfn.IFNA(VLOOKUP($AH164,Programma!$F$3:$G$1101,2,0),"")</f>
        <v/>
      </c>
      <c r="AJ164" s="142" t="str">
        <f>_xlfn.IFNA(VLOOKUP($AH164,Programma!$F$3:$H$1101,3,0),"")</f>
        <v/>
      </c>
      <c r="AK164" s="142" t="str">
        <f>_xlfn.IFNA(VLOOKUP($AH164,Programma!$F$3:$I$1101,4,0),"")</f>
        <v/>
      </c>
      <c r="AL164" s="142" t="str">
        <f>_xlfn.IFNA(VLOOKUP($AH164,Programma!$F$3:$J$1101,5,0),"")</f>
        <v/>
      </c>
      <c r="AM164" s="142" t="str">
        <f>_xlfn.IFNA(VLOOKUP($AH164,Programma!$F$3:$K$1101,6,0),"")</f>
        <v/>
      </c>
      <c r="AN164" s="142" t="str">
        <f>_xlfn.IFNA(VLOOKUP($AH164,Programma!$F$3:$L$1101,7,0),"")</f>
        <v/>
      </c>
      <c r="AO164" s="142" t="str">
        <f>_xlfn.IFNA(VLOOKUP($AH164,Programma!$F$3:$M$1101,8,0),"")</f>
        <v/>
      </c>
      <c r="AP164" s="142" t="str">
        <f>_xlfn.IFNA(VLOOKUP($AH164,Programma!$F$3:$N$1101,9,0),"")</f>
        <v/>
      </c>
      <c r="AQ164" s="142" t="str">
        <f>_xlfn.IFNA(VLOOKUP($AH164,Programma!$F$3:$O$1101,10,0),"")</f>
        <v/>
      </c>
      <c r="AR164" s="142" t="str">
        <f>_xlfn.IFNA(VLOOKUP($AH164,Programma!$F$3:$P$1101,11,0),"")</f>
        <v/>
      </c>
      <c r="AS164" s="142" t="str">
        <f>_xlfn.IFNA(VLOOKUP($AH164,Programma!$F$3:$Q$1101,12,0),"")</f>
        <v/>
      </c>
      <c r="AT164" s="142" t="str">
        <f>_xlfn.IFNA(VLOOKUP($AH164,Programma!$F$3:$R$1101,13,0),"")</f>
        <v/>
      </c>
      <c r="AU164" s="142" t="str">
        <f>_xlfn.IFNA(VLOOKUP($AH164,Programma!$F$3:$S$1101,14,0),"")</f>
        <v/>
      </c>
      <c r="AV164" s="142" t="str">
        <f>_xlfn.IFNA(VLOOKUP($AH164,Programma!$F$3:$T$1101,15,0),"")</f>
        <v/>
      </c>
      <c r="AW164" s="142" t="str">
        <f>_xlfn.IFNA(VLOOKUP($AH164,Programma!$F$3:$U$1101,16,0),"")</f>
        <v/>
      </c>
      <c r="AX164" s="142" t="str">
        <f>_xlfn.IFNA(VLOOKUP($AH164,Programma!$F$3:$V$1101,17,0),"")</f>
        <v/>
      </c>
      <c r="AY164" s="142" t="str">
        <f>_xlfn.IFNA(VLOOKUP($AH164,Programma!$F$3:$W$1101,18,0),"")</f>
        <v/>
      </c>
      <c r="AZ164" s="142" t="str">
        <f>_xlfn.IFNA(VLOOKUP($AH164,Programma!$F$3:$X$1101,19,0),"")</f>
        <v/>
      </c>
      <c r="BA164" s="142" t="str">
        <f>_xlfn.IFNA(VLOOKUP($AH164,Programma!$F$3:$Y$1101,20,0),"")</f>
        <v/>
      </c>
      <c r="BB164" s="138"/>
      <c r="BC164" s="137" t="str">
        <f>IF(Ruimtestaat[[#This Row],[Frequentie weekend]]="","",_xlfn.CONCAT(Ruimtestaat[[#This Row],[Ruimte code]],"-",Ruimtestaat[[#This Row],[Frequentie weekend]]," ",Ruimtestaat[[#This Row],[Vloer code]]))</f>
        <v/>
      </c>
      <c r="BD164" s="142" t="str">
        <f>_xlfn.IFNA(VLOOKUP($BC164,Programma!$F$3:$G$1101,2,0),"")</f>
        <v/>
      </c>
      <c r="BE164" s="142" t="str">
        <f>_xlfn.IFNA(VLOOKUP($BC164,Programma!$F$3:$H$1101,3,0),"")</f>
        <v/>
      </c>
      <c r="BF164" s="142" t="str">
        <f>_xlfn.IFNA(VLOOKUP($BC164,Programma!$F$3:$I$1101,4,0),"")</f>
        <v/>
      </c>
      <c r="BG164" s="142" t="str">
        <f>_xlfn.IFNA(VLOOKUP($BC164,Programma!$F$3:$J$1101,5,0),"")</f>
        <v/>
      </c>
      <c r="BH164" s="142" t="str">
        <f>_xlfn.IFNA(VLOOKUP($BC164,Programma!$F$3:$K$1101,6,0),"")</f>
        <v/>
      </c>
      <c r="BI164" s="142" t="str">
        <f>_xlfn.IFNA(VLOOKUP($BC164,Programma!$F$3:$L$1101,7,0),"")</f>
        <v/>
      </c>
      <c r="BJ164" s="142" t="str">
        <f>_xlfn.IFNA(VLOOKUP($BC164,Programma!$F$3:$M$1101,8,0),"")</f>
        <v/>
      </c>
      <c r="BK164" s="142" t="str">
        <f>_xlfn.IFNA(VLOOKUP($BC164,Programma!$F$3:$N$1101,9,0),"")</f>
        <v/>
      </c>
      <c r="BL164" s="142" t="str">
        <f>_xlfn.IFNA(VLOOKUP($BC164,Programma!$F$3:$O$1101,10,0),"")</f>
        <v/>
      </c>
      <c r="BM164" s="142" t="str">
        <f>_xlfn.IFNA(VLOOKUP($BC164,Programma!$F$3:$P$1101,11,0),"")</f>
        <v/>
      </c>
      <c r="BN164" s="142" t="str">
        <f>_xlfn.IFNA(VLOOKUP($BC164,Programma!$F$3:$Q$1101,12,0),"")</f>
        <v/>
      </c>
      <c r="BO164" s="142" t="str">
        <f>_xlfn.IFNA(VLOOKUP($BC164,Programma!$F$3:$R$1101,13,0),"")</f>
        <v/>
      </c>
      <c r="BP164" s="142" t="str">
        <f>_xlfn.IFNA(VLOOKUP($BC164,Programma!$F$3:$S$1101,14,0),"")</f>
        <v/>
      </c>
      <c r="BQ164" s="142" t="str">
        <f>_xlfn.IFNA(VLOOKUP($BC164,Programma!$F$3:$T$1101,15,0),"")</f>
        <v/>
      </c>
      <c r="BR164" s="142" t="str">
        <f>_xlfn.IFNA(VLOOKUP($BC164,Programma!$F$3:$U$1101,16,0),"")</f>
        <v/>
      </c>
      <c r="BS164" s="142" t="str">
        <f>_xlfn.IFNA(VLOOKUP($BC164,Programma!$F$3:$V$1101,17,0),"")</f>
        <v/>
      </c>
      <c r="BT164" s="142" t="str">
        <f>_xlfn.IFNA(VLOOKUP($BC164,Programma!$F$3:$W$1101,18,0),"")</f>
        <v/>
      </c>
      <c r="BU164" s="142" t="str">
        <f>_xlfn.IFNA(VLOOKUP($BC164,Programma!$F$3:$X$1101,19,0),"")</f>
        <v/>
      </c>
      <c r="BV164" s="142" t="str">
        <f>_xlfn.IFNA(VLOOKUP($BC164,Programma!$F$3:$Y$1101,20,0),"")</f>
        <v/>
      </c>
      <c r="BW164" s="28"/>
      <c r="BX164" s="28"/>
      <c r="BY164" s="28"/>
      <c r="BZ164" s="28"/>
      <c r="CA164" s="28"/>
      <c r="CB164" s="28"/>
      <c r="CC164" s="28"/>
      <c r="CD164" s="28"/>
      <c r="CE164" s="28"/>
      <c r="CF164" s="28"/>
      <c r="CG164" s="28"/>
      <c r="CH164" s="28"/>
      <c r="CI164" s="28"/>
      <c r="CJ164" s="28"/>
      <c r="CK164" s="28"/>
      <c r="CL164" s="28"/>
      <c r="CM164" s="28"/>
      <c r="CN164" s="28"/>
      <c r="CO164" s="28"/>
      <c r="CP164" s="28"/>
      <c r="CQ164" s="28"/>
      <c r="CR164" s="28"/>
      <c r="CS164" s="28"/>
      <c r="CT164" s="28"/>
      <c r="CU164" s="28"/>
      <c r="CV164" s="28"/>
      <c r="CW164" s="28"/>
      <c r="CX164" s="28"/>
      <c r="CY164" s="28"/>
      <c r="CZ164" s="28"/>
      <c r="DA164" s="28"/>
      <c r="DB164" s="28"/>
      <c r="DC164" s="28"/>
      <c r="DD164" s="28"/>
      <c r="DE164" s="28"/>
      <c r="DF164" s="28"/>
      <c r="DG164" s="28"/>
      <c r="DH164" s="28"/>
      <c r="DI164" s="28"/>
      <c r="DJ164" s="28"/>
      <c r="DK164" s="28"/>
      <c r="DL164" s="28"/>
      <c r="DM164" s="28"/>
      <c r="DN164" s="28"/>
      <c r="DO164" s="28"/>
      <c r="DP164" s="28"/>
      <c r="DQ164" s="28"/>
      <c r="DR164" s="28"/>
      <c r="DS164" s="28"/>
      <c r="DT164" s="28"/>
      <c r="DU164" s="28"/>
      <c r="DV164" s="28"/>
      <c r="DW164" s="28"/>
      <c r="DX164" s="28"/>
      <c r="DY164" s="28"/>
      <c r="DZ164" s="28"/>
      <c r="EA164" s="28"/>
      <c r="EB164" s="28"/>
      <c r="EC164" s="28"/>
      <c r="ED164" s="28"/>
      <c r="EE164" s="28"/>
      <c r="EF164" s="28"/>
      <c r="EG164" s="28"/>
      <c r="EH164" s="28"/>
      <c r="EI164" s="28"/>
      <c r="EJ164" s="28"/>
      <c r="EK164" s="28"/>
      <c r="EL164" s="28"/>
      <c r="EM164" s="28"/>
      <c r="EN164" s="28"/>
      <c r="EO164" s="28"/>
      <c r="EP164" s="28"/>
      <c r="EQ164" s="28"/>
      <c r="ER164" s="28"/>
      <c r="ES164" s="28"/>
      <c r="ET164" s="28"/>
      <c r="EU164" s="28"/>
      <c r="EV164" s="28"/>
      <c r="EW164" s="28"/>
      <c r="EX164" s="28"/>
      <c r="EY164" s="28"/>
      <c r="EZ164" s="28"/>
      <c r="FA164" s="28"/>
      <c r="FB164" s="28"/>
      <c r="FC164" s="28"/>
      <c r="FD164" s="28"/>
      <c r="FE164" s="28"/>
      <c r="FF164" s="28"/>
      <c r="FG164" s="28"/>
      <c r="FH164" s="28"/>
      <c r="FI164" s="28"/>
      <c r="FJ164" s="28"/>
      <c r="FK164" s="28"/>
      <c r="FL164" s="28"/>
      <c r="FM164" s="28"/>
      <c r="FN164" s="28"/>
      <c r="FO164" s="28"/>
      <c r="FP164" s="28"/>
      <c r="FQ164" s="28"/>
      <c r="FR164" s="28"/>
      <c r="FS164" s="28"/>
      <c r="FT164" s="28"/>
      <c r="FU164" s="28"/>
      <c r="FV164" s="28"/>
      <c r="FW164" s="28"/>
      <c r="FX164" s="28"/>
      <c r="FY164" s="28"/>
      <c r="FZ164" s="28"/>
      <c r="GA164" s="28"/>
      <c r="GB164" s="28"/>
      <c r="GC164" s="28"/>
      <c r="GD164" s="28"/>
      <c r="GE164" s="28"/>
      <c r="GF164" s="28"/>
      <c r="GG164" s="28"/>
      <c r="GH164" s="28"/>
      <c r="GI164" s="28"/>
      <c r="GJ164" s="28"/>
      <c r="GK164" s="28"/>
      <c r="GL164" s="28"/>
      <c r="GM164" s="28"/>
      <c r="GN164" s="28"/>
      <c r="GO164" s="28"/>
      <c r="GP164" s="28"/>
      <c r="GQ164" s="28"/>
      <c r="GR164" s="28"/>
      <c r="GS164" s="28"/>
      <c r="GT164" s="28"/>
      <c r="GU164" s="28"/>
      <c r="GV164" s="28"/>
      <c r="GW164" s="28"/>
      <c r="GX164" s="28"/>
      <c r="GY164" s="28"/>
      <c r="GZ164" s="28"/>
      <c r="HA164" s="28"/>
      <c r="HB164" s="28"/>
      <c r="HC164" s="28"/>
      <c r="HD164" s="28"/>
      <c r="HE164" s="28"/>
      <c r="HF164" s="28"/>
      <c r="HG164" s="28"/>
      <c r="HH164" s="28"/>
      <c r="HI164" s="28"/>
      <c r="HJ164" s="28"/>
      <c r="HK164" s="28"/>
    </row>
    <row r="165" spans="1:219" ht="15" customHeight="1">
      <c r="A165" s="49">
        <v>1</v>
      </c>
      <c r="B165" s="132" t="str">
        <f>VLOOKUP(Ruimtestaat[[#This Row],[Code]],Locaties[[Code]:[Locatie]],2,FALSE)</f>
        <v>Mirtehuis</v>
      </c>
      <c r="C165" s="132" t="str">
        <f>VLOOKUP(Ruimtestaat[[#This Row],[Code]],Locaties[[#All],[Code]:[Adres]],4,FALSE)</f>
        <v>Weseperweg 6</v>
      </c>
      <c r="D165" s="132" t="str">
        <f>VLOOKUP(Ruimtestaat[[#This Row],[Code]],Locaties[[#All],[Code]:[Postcode]],5,FALSE)</f>
        <v>8111 PK</v>
      </c>
      <c r="E165" s="132" t="str">
        <f>VLOOKUP(Ruimtestaat[[#This Row],[Code]],Locaties[#All],6,FALSE)</f>
        <v>Heeten</v>
      </c>
      <c r="F165" s="100"/>
      <c r="G165" s="100" t="s">
        <v>1677</v>
      </c>
      <c r="I165" s="140" t="s">
        <v>1656</v>
      </c>
      <c r="J165" s="49">
        <v>20</v>
      </c>
      <c r="K165" s="140" t="str">
        <f>VLOOKUP(Ruimtestaat[[#This Row],[Ruimte code]],Ruimtegroepen[[#All],[Code]:[Ruimte omschrijving]],2,FALSE)</f>
        <v>Niet in Onderhoud</v>
      </c>
      <c r="L165" s="100"/>
      <c r="M165" s="345"/>
      <c r="N165" s="133"/>
      <c r="O165" s="139"/>
      <c r="P165" s="134">
        <f>VLOOKUP(Ruimtestaat[[#This Row],[Ruimte code]],Ruimtegroepen[],4,FALSE)</f>
        <v>0</v>
      </c>
      <c r="Q165" s="100"/>
      <c r="R165" s="100"/>
      <c r="S165" s="100">
        <f>IF(Q165&gt;0,IF(RIGHT(Ruimtestaat[[#This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65" s="100">
        <f>IF(S165&gt;0,VLOOKUP($J165,Ruimtegroepen[],3,FALSE)*VLOOKUP($L165,Vloersoorten[],3,FALSE)*VLOOKUP($R165,Frequenties[],3,FALSE)*VLOOKUP($A165,Locaties[],3,FALSE),0)</f>
        <v>0</v>
      </c>
      <c r="U165" s="100">
        <f>Ruimtestaat[[#This Row],[Uitvoeringen werkdagen]]*Ruimtestaat[[#This Row],[Oppervlak (netto)]]</f>
        <v>0</v>
      </c>
      <c r="V165" s="135">
        <f>IF(T165&gt;0,Ruimtestaat[[#This Row],[Prest. (m2 /jaar) werkdagen]]/Ruimtestaat[[#This Row],[Norm (m2/uur) werkdagen]],0)</f>
        <v>0</v>
      </c>
      <c r="W165" s="136">
        <f>Ruimtestaat[[#This Row],[uren / jaar werkdagen]]*Tariefsopbouw!$E$35</f>
        <v>0</v>
      </c>
      <c r="X165" s="100"/>
      <c r="Y165" s="100">
        <f>IF(Ruimtestaat[[#This Row],[Frequentie weekend]]&gt;0,VALUE(LEFT(X165,1))*Q165,0)</f>
        <v>0</v>
      </c>
      <c r="Z165" s="99">
        <f>IF($Y165&gt;0,VLOOKUP($J165,Ruimtegroepen[],3,FALSE)*VLOOKUP($L165,Vloersoorten[],3,FALSE)*VLOOKUP($X165,Frequenties[],3,FALSE)*VLOOKUP(Ruimtestaat[[#This Row],[Code]],Locaties[],3,FALSE),0)</f>
        <v>0</v>
      </c>
      <c r="AA165" s="99">
        <f>Ruimtestaat[[#This Row],[Uitvoeringen weekend]]*Ruimtestaat[[#This Row],[Oppervlak (netto)]]</f>
        <v>0</v>
      </c>
      <c r="AB165" s="99">
        <f>IF(Z165&gt;0,Ruimtestaat[[#This Row],[Prest. (m2 /jaar) weekend]]/Ruimtestaat[[#This Row],[Norm (m2/uur) weekend]],0)</f>
        <v>0</v>
      </c>
      <c r="AC165" s="136">
        <f>Ruimtestaat[[#This Row],[uren / jaar weekend]]*Tariefsopbouw!$D$40</f>
        <v>0</v>
      </c>
      <c r="AD165" s="135">
        <f>Ruimtestaat[[#This Row],[Prest. (m2 /jaar) weekend]]+Ruimtestaat[[#This Row],[Prest. (m2 /jaar) werkdagen]]</f>
        <v>0</v>
      </c>
      <c r="AE165" s="135">
        <f>Ruimtestaat[[#This Row],[uren / jaar weekend]]+Ruimtestaat[[#This Row],[uren / jaar werkdagen]]</f>
        <v>0</v>
      </c>
      <c r="AF165" s="130">
        <f>Ruimtestaat[[#This Row],[kosten / jaar weekend]]+Ruimtestaat[[#This Row],[kosten / jaar werkdagen]]</f>
        <v>0</v>
      </c>
      <c r="AG165" s="130"/>
      <c r="AH165" s="137" t="str">
        <f>IF(Ruimtestaat[[#This Row],[Frequentie werkdagen]]="","",_xlfn.CONCAT(Ruimtestaat[[#This Row],[Ruimte code]],"-",Ruimtestaat[[#This Row],[Frequentie werkdagen]]," ",Ruimtestaat[[#This Row],[Vloer code]]))</f>
        <v/>
      </c>
      <c r="AI165" s="142" t="str">
        <f>_xlfn.IFNA(VLOOKUP($AH165,Programma!$F$3:$G$1101,2,0),"")</f>
        <v/>
      </c>
      <c r="AJ165" s="142" t="str">
        <f>_xlfn.IFNA(VLOOKUP($AH165,Programma!$F$3:$H$1101,3,0),"")</f>
        <v/>
      </c>
      <c r="AK165" s="142" t="str">
        <f>_xlfn.IFNA(VLOOKUP($AH165,Programma!$F$3:$I$1101,4,0),"")</f>
        <v/>
      </c>
      <c r="AL165" s="142" t="str">
        <f>_xlfn.IFNA(VLOOKUP($AH165,Programma!$F$3:$J$1101,5,0),"")</f>
        <v/>
      </c>
      <c r="AM165" s="142" t="str">
        <f>_xlfn.IFNA(VLOOKUP($AH165,Programma!$F$3:$K$1101,6,0),"")</f>
        <v/>
      </c>
      <c r="AN165" s="142" t="str">
        <f>_xlfn.IFNA(VLOOKUP($AH165,Programma!$F$3:$L$1101,7,0),"")</f>
        <v/>
      </c>
      <c r="AO165" s="142" t="str">
        <f>_xlfn.IFNA(VLOOKUP($AH165,Programma!$F$3:$M$1101,8,0),"")</f>
        <v/>
      </c>
      <c r="AP165" s="142" t="str">
        <f>_xlfn.IFNA(VLOOKUP($AH165,Programma!$F$3:$N$1101,9,0),"")</f>
        <v/>
      </c>
      <c r="AQ165" s="142" t="str">
        <f>_xlfn.IFNA(VLOOKUP($AH165,Programma!$F$3:$O$1101,10,0),"")</f>
        <v/>
      </c>
      <c r="AR165" s="142" t="str">
        <f>_xlfn.IFNA(VLOOKUP($AH165,Programma!$F$3:$P$1101,11,0),"")</f>
        <v/>
      </c>
      <c r="AS165" s="142" t="str">
        <f>_xlfn.IFNA(VLOOKUP($AH165,Programma!$F$3:$Q$1101,12,0),"")</f>
        <v/>
      </c>
      <c r="AT165" s="142" t="str">
        <f>_xlfn.IFNA(VLOOKUP($AH165,Programma!$F$3:$R$1101,13,0),"")</f>
        <v/>
      </c>
      <c r="AU165" s="142" t="str">
        <f>_xlfn.IFNA(VLOOKUP($AH165,Programma!$F$3:$S$1101,14,0),"")</f>
        <v/>
      </c>
      <c r="AV165" s="142" t="str">
        <f>_xlfn.IFNA(VLOOKUP($AH165,Programma!$F$3:$T$1101,15,0),"")</f>
        <v/>
      </c>
      <c r="AW165" s="142" t="str">
        <f>_xlfn.IFNA(VLOOKUP($AH165,Programma!$F$3:$U$1101,16,0),"")</f>
        <v/>
      </c>
      <c r="AX165" s="142" t="str">
        <f>_xlfn.IFNA(VLOOKUP($AH165,Programma!$F$3:$V$1101,17,0),"")</f>
        <v/>
      </c>
      <c r="AY165" s="142" t="str">
        <f>_xlfn.IFNA(VLOOKUP($AH165,Programma!$F$3:$W$1101,18,0),"")</f>
        <v/>
      </c>
      <c r="AZ165" s="142" t="str">
        <f>_xlfn.IFNA(VLOOKUP($AH165,Programma!$F$3:$X$1101,19,0),"")</f>
        <v/>
      </c>
      <c r="BA165" s="142" t="str">
        <f>_xlfn.IFNA(VLOOKUP($AH165,Programma!$F$3:$Y$1101,20,0),"")</f>
        <v/>
      </c>
      <c r="BB165" s="138"/>
      <c r="BC165" s="137" t="str">
        <f>IF(Ruimtestaat[[#This Row],[Frequentie weekend]]="","",_xlfn.CONCAT(Ruimtestaat[[#This Row],[Ruimte code]],"-",Ruimtestaat[[#This Row],[Frequentie weekend]]," ",Ruimtestaat[[#This Row],[Vloer code]]))</f>
        <v/>
      </c>
      <c r="BD165" s="142" t="str">
        <f>_xlfn.IFNA(VLOOKUP($BC165,Programma!$F$3:$G$1101,2,0),"")</f>
        <v/>
      </c>
      <c r="BE165" s="142" t="str">
        <f>_xlfn.IFNA(VLOOKUP($BC165,Programma!$F$3:$H$1101,3,0),"")</f>
        <v/>
      </c>
      <c r="BF165" s="142" t="str">
        <f>_xlfn.IFNA(VLOOKUP($BC165,Programma!$F$3:$I$1101,4,0),"")</f>
        <v/>
      </c>
      <c r="BG165" s="142" t="str">
        <f>_xlfn.IFNA(VLOOKUP($BC165,Programma!$F$3:$J$1101,5,0),"")</f>
        <v/>
      </c>
      <c r="BH165" s="142" t="str">
        <f>_xlfn.IFNA(VLOOKUP($BC165,Programma!$F$3:$K$1101,6,0),"")</f>
        <v/>
      </c>
      <c r="BI165" s="142" t="str">
        <f>_xlfn.IFNA(VLOOKUP($BC165,Programma!$F$3:$L$1101,7,0),"")</f>
        <v/>
      </c>
      <c r="BJ165" s="142" t="str">
        <f>_xlfn.IFNA(VLOOKUP($BC165,Programma!$F$3:$M$1101,8,0),"")</f>
        <v/>
      </c>
      <c r="BK165" s="142" t="str">
        <f>_xlfn.IFNA(VLOOKUP($BC165,Programma!$F$3:$N$1101,9,0),"")</f>
        <v/>
      </c>
      <c r="BL165" s="142" t="str">
        <f>_xlfn.IFNA(VLOOKUP($BC165,Programma!$F$3:$O$1101,10,0),"")</f>
        <v/>
      </c>
      <c r="BM165" s="142" t="str">
        <f>_xlfn.IFNA(VLOOKUP($BC165,Programma!$F$3:$P$1101,11,0),"")</f>
        <v/>
      </c>
      <c r="BN165" s="142" t="str">
        <f>_xlfn.IFNA(VLOOKUP($BC165,Programma!$F$3:$Q$1101,12,0),"")</f>
        <v/>
      </c>
      <c r="BO165" s="142" t="str">
        <f>_xlfn.IFNA(VLOOKUP($BC165,Programma!$F$3:$R$1101,13,0),"")</f>
        <v/>
      </c>
      <c r="BP165" s="142" t="str">
        <f>_xlfn.IFNA(VLOOKUP($BC165,Programma!$F$3:$S$1101,14,0),"")</f>
        <v/>
      </c>
      <c r="BQ165" s="142" t="str">
        <f>_xlfn.IFNA(VLOOKUP($BC165,Programma!$F$3:$T$1101,15,0),"")</f>
        <v/>
      </c>
      <c r="BR165" s="142" t="str">
        <f>_xlfn.IFNA(VLOOKUP($BC165,Programma!$F$3:$U$1101,16,0),"")</f>
        <v/>
      </c>
      <c r="BS165" s="142" t="str">
        <f>_xlfn.IFNA(VLOOKUP($BC165,Programma!$F$3:$V$1101,17,0),"")</f>
        <v/>
      </c>
      <c r="BT165" s="142" t="str">
        <f>_xlfn.IFNA(VLOOKUP($BC165,Programma!$F$3:$W$1101,18,0),"")</f>
        <v/>
      </c>
      <c r="BU165" s="142" t="str">
        <f>_xlfn.IFNA(VLOOKUP($BC165,Programma!$F$3:$X$1101,19,0),"")</f>
        <v/>
      </c>
      <c r="BV165" s="142" t="str">
        <f>_xlfn.IFNA(VLOOKUP($BC165,Programma!$F$3:$Y$1101,20,0),"")</f>
        <v/>
      </c>
      <c r="BW165" s="28"/>
      <c r="BX165" s="28"/>
      <c r="BY165" s="28"/>
      <c r="BZ165" s="28"/>
      <c r="CA165" s="28"/>
      <c r="CB165" s="28"/>
      <c r="CC165" s="28"/>
      <c r="CD165" s="28"/>
      <c r="CE165" s="28"/>
      <c r="CF165" s="28"/>
      <c r="CG165" s="28"/>
      <c r="CH165" s="28"/>
      <c r="CI165" s="28"/>
      <c r="CJ165" s="28"/>
      <c r="CK165" s="28"/>
      <c r="CL165" s="28"/>
      <c r="CM165" s="28"/>
      <c r="CN165" s="28"/>
      <c r="CO165" s="28"/>
      <c r="CP165" s="28"/>
      <c r="CQ165" s="28"/>
      <c r="CR165" s="28"/>
      <c r="CS165" s="28"/>
      <c r="CT165" s="28"/>
      <c r="CU165" s="28"/>
      <c r="CV165" s="28"/>
      <c r="CW165" s="28"/>
      <c r="CX165" s="28"/>
      <c r="CY165" s="28"/>
      <c r="CZ165" s="28"/>
      <c r="DA165" s="28"/>
      <c r="DB165" s="28"/>
      <c r="DC165" s="28"/>
      <c r="DD165" s="28"/>
      <c r="DE165" s="28"/>
      <c r="DF165" s="28"/>
      <c r="DG165" s="28"/>
      <c r="DH165" s="28"/>
      <c r="DI165" s="28"/>
      <c r="DJ165" s="28"/>
      <c r="DK165" s="28"/>
      <c r="DL165" s="28"/>
      <c r="DM165" s="28"/>
      <c r="DN165" s="28"/>
      <c r="DO165" s="28"/>
      <c r="DP165" s="28"/>
      <c r="DQ165" s="28"/>
      <c r="DR165" s="28"/>
      <c r="DS165" s="28"/>
      <c r="DT165" s="28"/>
      <c r="DU165" s="28"/>
      <c r="DV165" s="28"/>
      <c r="DW165" s="28"/>
      <c r="DX165" s="28"/>
      <c r="DY165" s="28"/>
      <c r="DZ165" s="28"/>
      <c r="EA165" s="28"/>
      <c r="EB165" s="28"/>
      <c r="EC165" s="28"/>
      <c r="ED165" s="28"/>
      <c r="EE165" s="28"/>
      <c r="EF165" s="28"/>
      <c r="EG165" s="28"/>
      <c r="EH165" s="28"/>
      <c r="EI165" s="28"/>
      <c r="EJ165" s="28"/>
      <c r="EK165" s="28"/>
      <c r="EL165" s="28"/>
      <c r="EM165" s="28"/>
      <c r="EN165" s="28"/>
      <c r="EO165" s="28"/>
      <c r="EP165" s="28"/>
      <c r="EQ165" s="28"/>
      <c r="ER165" s="28"/>
      <c r="ES165" s="28"/>
      <c r="ET165" s="28"/>
      <c r="EU165" s="28"/>
      <c r="EV165" s="28"/>
      <c r="EW165" s="28"/>
      <c r="EX165" s="28"/>
      <c r="EY165" s="28"/>
      <c r="EZ165" s="28"/>
      <c r="FA165" s="28"/>
      <c r="FB165" s="28"/>
      <c r="FC165" s="28"/>
      <c r="FD165" s="28"/>
      <c r="FE165" s="28"/>
      <c r="FF165" s="28"/>
      <c r="FG165" s="28"/>
      <c r="FH165" s="28"/>
      <c r="FI165" s="28"/>
      <c r="FJ165" s="28"/>
      <c r="FK165" s="28"/>
      <c r="FL165" s="28"/>
      <c r="FM165" s="28"/>
      <c r="FN165" s="28"/>
      <c r="FO165" s="28"/>
      <c r="FP165" s="28"/>
      <c r="FQ165" s="28"/>
      <c r="FR165" s="28"/>
      <c r="FS165" s="28"/>
      <c r="FT165" s="28"/>
      <c r="FU165" s="28"/>
      <c r="FV165" s="28"/>
      <c r="FW165" s="28"/>
      <c r="FX165" s="28"/>
      <c r="FY165" s="28"/>
      <c r="FZ165" s="28"/>
      <c r="GA165" s="28"/>
      <c r="GB165" s="28"/>
      <c r="GC165" s="28"/>
      <c r="GD165" s="28"/>
      <c r="GE165" s="28"/>
      <c r="GF165" s="28"/>
      <c r="GG165" s="28"/>
      <c r="GH165" s="28"/>
      <c r="GI165" s="28"/>
      <c r="GJ165" s="28"/>
      <c r="GK165" s="28"/>
      <c r="GL165" s="28"/>
      <c r="GM165" s="28"/>
      <c r="GN165" s="28"/>
      <c r="GO165" s="28"/>
      <c r="GP165" s="28"/>
      <c r="GQ165" s="28"/>
      <c r="GR165" s="28"/>
      <c r="GS165" s="28"/>
      <c r="GT165" s="28"/>
      <c r="GU165" s="28"/>
      <c r="GV165" s="28"/>
      <c r="GW165" s="28"/>
      <c r="GX165" s="28"/>
      <c r="GY165" s="28"/>
      <c r="GZ165" s="28"/>
      <c r="HA165" s="28"/>
      <c r="HB165" s="28"/>
      <c r="HC165" s="28"/>
      <c r="HD165" s="28"/>
      <c r="HE165" s="28"/>
      <c r="HF165" s="28"/>
      <c r="HG165" s="28"/>
      <c r="HH165" s="28"/>
      <c r="HI165" s="28"/>
      <c r="HJ165" s="28"/>
      <c r="HK165" s="28"/>
    </row>
    <row r="166" spans="1:219" ht="15" customHeight="1">
      <c r="A166" s="49">
        <v>1</v>
      </c>
      <c r="B166" s="132" t="str">
        <f>VLOOKUP(Ruimtestaat[[#This Row],[Code]],Locaties[[Code]:[Locatie]],2,FALSE)</f>
        <v>Mirtehuis</v>
      </c>
      <c r="C166" s="132" t="str">
        <f>VLOOKUP(Ruimtestaat[[#This Row],[Code]],Locaties[[#All],[Code]:[Adres]],4,FALSE)</f>
        <v>Weseperweg 6</v>
      </c>
      <c r="D166" s="132" t="str">
        <f>VLOOKUP(Ruimtestaat[[#This Row],[Code]],Locaties[[#All],[Code]:[Postcode]],5,FALSE)</f>
        <v>8111 PK</v>
      </c>
      <c r="E166" s="132" t="str">
        <f>VLOOKUP(Ruimtestaat[[#This Row],[Code]],Locaties[#All],6,FALSE)</f>
        <v>Heeten</v>
      </c>
      <c r="F166" s="100"/>
      <c r="G166" s="100" t="s">
        <v>1677</v>
      </c>
      <c r="I166" s="140" t="s">
        <v>1668</v>
      </c>
      <c r="J166" s="49">
        <v>20</v>
      </c>
      <c r="K166" s="140" t="str">
        <f>VLOOKUP(Ruimtestaat[[#This Row],[Ruimte code]],Ruimtegroepen[[#All],[Code]:[Ruimte omschrijving]],2,FALSE)</f>
        <v>Niet in Onderhoud</v>
      </c>
      <c r="L166" s="100"/>
      <c r="M166" s="345"/>
      <c r="N166" s="133"/>
      <c r="O166" s="100"/>
      <c r="P166" s="134">
        <f>VLOOKUP(Ruimtestaat[[#This Row],[Ruimte code]],Ruimtegroepen[],4,FALSE)</f>
        <v>0</v>
      </c>
      <c r="Q166" s="100"/>
      <c r="R166" s="100"/>
      <c r="S166" s="100">
        <f>IF(Q166&gt;0,IF(RIGHT(Ruimtestaat[[#This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66" s="100">
        <f>IF(S166&gt;0,VLOOKUP($J166,Ruimtegroepen[],3,FALSE)*VLOOKUP($L166,Vloersoorten[],3,FALSE)*VLOOKUP($R166,Frequenties[],3,FALSE)*VLOOKUP($A166,Locaties[],3,FALSE),0)</f>
        <v>0</v>
      </c>
      <c r="U166" s="100">
        <f>Ruimtestaat[[#This Row],[Uitvoeringen werkdagen]]*Ruimtestaat[[#This Row],[Oppervlak (netto)]]</f>
        <v>0</v>
      </c>
      <c r="V166" s="135">
        <f>IF(T166&gt;0,Ruimtestaat[[#This Row],[Prest. (m2 /jaar) werkdagen]]/Ruimtestaat[[#This Row],[Norm (m2/uur) werkdagen]],0)</f>
        <v>0</v>
      </c>
      <c r="W166" s="136">
        <f>Ruimtestaat[[#This Row],[uren / jaar werkdagen]]*Tariefsopbouw!$E$35</f>
        <v>0</v>
      </c>
      <c r="X166" s="100"/>
      <c r="Y166" s="100">
        <f>IF(Ruimtestaat[[#This Row],[Frequentie weekend]]&gt;0,VALUE(LEFT(X166,1))*Q166,0)</f>
        <v>0</v>
      </c>
      <c r="Z166" s="99">
        <f>IF($Y166&gt;0,VLOOKUP($J166,Ruimtegroepen[],3,FALSE)*VLOOKUP($L166,Vloersoorten[],3,FALSE)*VLOOKUP($X166,Frequenties[],3,FALSE)*VLOOKUP(Ruimtestaat[[#This Row],[Code]],Locaties[],3,FALSE),0)</f>
        <v>0</v>
      </c>
      <c r="AA166" s="99">
        <f>Ruimtestaat[[#This Row],[Uitvoeringen weekend]]*Ruimtestaat[[#This Row],[Oppervlak (netto)]]</f>
        <v>0</v>
      </c>
      <c r="AB166" s="99">
        <f>IF(Z166&gt;0,Ruimtestaat[[#This Row],[Prest. (m2 /jaar) weekend]]/Ruimtestaat[[#This Row],[Norm (m2/uur) weekend]],0)</f>
        <v>0</v>
      </c>
      <c r="AC166" s="136">
        <f>Ruimtestaat[[#This Row],[uren / jaar weekend]]*Tariefsopbouw!$D$40</f>
        <v>0</v>
      </c>
      <c r="AD166" s="135">
        <f>Ruimtestaat[[#This Row],[Prest. (m2 /jaar) weekend]]+Ruimtestaat[[#This Row],[Prest. (m2 /jaar) werkdagen]]</f>
        <v>0</v>
      </c>
      <c r="AE166" s="135">
        <f>Ruimtestaat[[#This Row],[uren / jaar weekend]]+Ruimtestaat[[#This Row],[uren / jaar werkdagen]]</f>
        <v>0</v>
      </c>
      <c r="AF166" s="130">
        <f>Ruimtestaat[[#This Row],[kosten / jaar weekend]]+Ruimtestaat[[#This Row],[kosten / jaar werkdagen]]</f>
        <v>0</v>
      </c>
      <c r="AG166" s="130"/>
      <c r="AH166" s="137" t="str">
        <f>IF(Ruimtestaat[[#This Row],[Frequentie werkdagen]]="","",_xlfn.CONCAT(Ruimtestaat[[#This Row],[Ruimte code]],"-",Ruimtestaat[[#This Row],[Frequentie werkdagen]]," ",Ruimtestaat[[#This Row],[Vloer code]]))</f>
        <v/>
      </c>
      <c r="AI166" s="142" t="str">
        <f>_xlfn.IFNA(VLOOKUP($AH166,Programma!$F$3:$G$1101,2,0),"")</f>
        <v/>
      </c>
      <c r="AJ166" s="142" t="str">
        <f>_xlfn.IFNA(VLOOKUP($AH166,Programma!$F$3:$H$1101,3,0),"")</f>
        <v/>
      </c>
      <c r="AK166" s="142" t="str">
        <f>_xlfn.IFNA(VLOOKUP($AH166,Programma!$F$3:$I$1101,4,0),"")</f>
        <v/>
      </c>
      <c r="AL166" s="142" t="str">
        <f>_xlfn.IFNA(VLOOKUP($AH166,Programma!$F$3:$J$1101,5,0),"")</f>
        <v/>
      </c>
      <c r="AM166" s="142" t="str">
        <f>_xlfn.IFNA(VLOOKUP($AH166,Programma!$F$3:$K$1101,6,0),"")</f>
        <v/>
      </c>
      <c r="AN166" s="142" t="str">
        <f>_xlfn.IFNA(VLOOKUP($AH166,Programma!$F$3:$L$1101,7,0),"")</f>
        <v/>
      </c>
      <c r="AO166" s="142" t="str">
        <f>_xlfn.IFNA(VLOOKUP($AH166,Programma!$F$3:$M$1101,8,0),"")</f>
        <v/>
      </c>
      <c r="AP166" s="142" t="str">
        <f>_xlfn.IFNA(VLOOKUP($AH166,Programma!$F$3:$N$1101,9,0),"")</f>
        <v/>
      </c>
      <c r="AQ166" s="142" t="str">
        <f>_xlfn.IFNA(VLOOKUP($AH166,Programma!$F$3:$O$1101,10,0),"")</f>
        <v/>
      </c>
      <c r="AR166" s="142" t="str">
        <f>_xlfn.IFNA(VLOOKUP($AH166,Programma!$F$3:$P$1101,11,0),"")</f>
        <v/>
      </c>
      <c r="AS166" s="142" t="str">
        <f>_xlfn.IFNA(VLOOKUP($AH166,Programma!$F$3:$Q$1101,12,0),"")</f>
        <v/>
      </c>
      <c r="AT166" s="142" t="str">
        <f>_xlfn.IFNA(VLOOKUP($AH166,Programma!$F$3:$R$1101,13,0),"")</f>
        <v/>
      </c>
      <c r="AU166" s="142" t="str">
        <f>_xlfn.IFNA(VLOOKUP($AH166,Programma!$F$3:$S$1101,14,0),"")</f>
        <v/>
      </c>
      <c r="AV166" s="142" t="str">
        <f>_xlfn.IFNA(VLOOKUP($AH166,Programma!$F$3:$T$1101,15,0),"")</f>
        <v/>
      </c>
      <c r="AW166" s="142" t="str">
        <f>_xlfn.IFNA(VLOOKUP($AH166,Programma!$F$3:$U$1101,16,0),"")</f>
        <v/>
      </c>
      <c r="AX166" s="142" t="str">
        <f>_xlfn.IFNA(VLOOKUP($AH166,Programma!$F$3:$V$1101,17,0),"")</f>
        <v/>
      </c>
      <c r="AY166" s="142" t="str">
        <f>_xlfn.IFNA(VLOOKUP($AH166,Programma!$F$3:$W$1101,18,0),"")</f>
        <v/>
      </c>
      <c r="AZ166" s="142" t="str">
        <f>_xlfn.IFNA(VLOOKUP($AH166,Programma!$F$3:$X$1101,19,0),"")</f>
        <v/>
      </c>
      <c r="BA166" s="142" t="str">
        <f>_xlfn.IFNA(VLOOKUP($AH166,Programma!$F$3:$Y$1101,20,0),"")</f>
        <v/>
      </c>
      <c r="BB166" s="138"/>
      <c r="BC166" s="137" t="str">
        <f>IF(Ruimtestaat[[#This Row],[Frequentie weekend]]="","",_xlfn.CONCAT(Ruimtestaat[[#This Row],[Ruimte code]],"-",Ruimtestaat[[#This Row],[Frequentie weekend]]," ",Ruimtestaat[[#This Row],[Vloer code]]))</f>
        <v/>
      </c>
      <c r="BD166" s="142" t="str">
        <f>_xlfn.IFNA(VLOOKUP($BC166,Programma!$F$3:$G$1101,2,0),"")</f>
        <v/>
      </c>
      <c r="BE166" s="142" t="str">
        <f>_xlfn.IFNA(VLOOKUP($BC166,Programma!$F$3:$H$1101,3,0),"")</f>
        <v/>
      </c>
      <c r="BF166" s="142" t="str">
        <f>_xlfn.IFNA(VLOOKUP($BC166,Programma!$F$3:$I$1101,4,0),"")</f>
        <v/>
      </c>
      <c r="BG166" s="142" t="str">
        <f>_xlfn.IFNA(VLOOKUP($BC166,Programma!$F$3:$J$1101,5,0),"")</f>
        <v/>
      </c>
      <c r="BH166" s="142" t="str">
        <f>_xlfn.IFNA(VLOOKUP($BC166,Programma!$F$3:$K$1101,6,0),"")</f>
        <v/>
      </c>
      <c r="BI166" s="142" t="str">
        <f>_xlfn.IFNA(VLOOKUP($BC166,Programma!$F$3:$L$1101,7,0),"")</f>
        <v/>
      </c>
      <c r="BJ166" s="142" t="str">
        <f>_xlfn.IFNA(VLOOKUP($BC166,Programma!$F$3:$M$1101,8,0),"")</f>
        <v/>
      </c>
      <c r="BK166" s="142" t="str">
        <f>_xlfn.IFNA(VLOOKUP($BC166,Programma!$F$3:$N$1101,9,0),"")</f>
        <v/>
      </c>
      <c r="BL166" s="142" t="str">
        <f>_xlfn.IFNA(VLOOKUP($BC166,Programma!$F$3:$O$1101,10,0),"")</f>
        <v/>
      </c>
      <c r="BM166" s="142" t="str">
        <f>_xlfn.IFNA(VLOOKUP($BC166,Programma!$F$3:$P$1101,11,0),"")</f>
        <v/>
      </c>
      <c r="BN166" s="142" t="str">
        <f>_xlfn.IFNA(VLOOKUP($BC166,Programma!$F$3:$Q$1101,12,0),"")</f>
        <v/>
      </c>
      <c r="BO166" s="142" t="str">
        <f>_xlfn.IFNA(VLOOKUP($BC166,Programma!$F$3:$R$1101,13,0),"")</f>
        <v/>
      </c>
      <c r="BP166" s="142" t="str">
        <f>_xlfn.IFNA(VLOOKUP($BC166,Programma!$F$3:$S$1101,14,0),"")</f>
        <v/>
      </c>
      <c r="BQ166" s="142" t="str">
        <f>_xlfn.IFNA(VLOOKUP($BC166,Programma!$F$3:$T$1101,15,0),"")</f>
        <v/>
      </c>
      <c r="BR166" s="142" t="str">
        <f>_xlfn.IFNA(VLOOKUP($BC166,Programma!$F$3:$U$1101,16,0),"")</f>
        <v/>
      </c>
      <c r="BS166" s="142" t="str">
        <f>_xlfn.IFNA(VLOOKUP($BC166,Programma!$F$3:$V$1101,17,0),"")</f>
        <v/>
      </c>
      <c r="BT166" s="142" t="str">
        <f>_xlfn.IFNA(VLOOKUP($BC166,Programma!$F$3:$W$1101,18,0),"")</f>
        <v/>
      </c>
      <c r="BU166" s="142" t="str">
        <f>_xlfn.IFNA(VLOOKUP($BC166,Programma!$F$3:$X$1101,19,0),"")</f>
        <v/>
      </c>
      <c r="BV166" s="142" t="str">
        <f>_xlfn.IFNA(VLOOKUP($BC166,Programma!$F$3:$Y$1101,20,0),"")</f>
        <v/>
      </c>
      <c r="BW166" s="28"/>
      <c r="BX166" s="28"/>
      <c r="BY166" s="28"/>
      <c r="BZ166" s="28"/>
      <c r="CA166" s="28"/>
      <c r="CB166" s="28"/>
      <c r="CC166" s="28"/>
      <c r="CD166" s="28"/>
      <c r="CE166" s="28"/>
      <c r="CF166" s="28"/>
      <c r="CG166" s="28"/>
      <c r="CH166" s="28"/>
      <c r="CI166" s="28"/>
      <c r="CJ166" s="28"/>
      <c r="CK166" s="28"/>
      <c r="CL166" s="28"/>
      <c r="CM166" s="28"/>
      <c r="CN166" s="28"/>
      <c r="CO166" s="28"/>
      <c r="CP166" s="28"/>
      <c r="CQ166" s="28"/>
      <c r="CR166" s="28"/>
      <c r="CS166" s="28"/>
      <c r="CT166" s="28"/>
      <c r="CU166" s="28"/>
      <c r="CV166" s="28"/>
      <c r="CW166" s="28"/>
      <c r="CX166" s="28"/>
      <c r="CY166" s="28"/>
      <c r="CZ166" s="28"/>
      <c r="DA166" s="28"/>
      <c r="DB166" s="28"/>
      <c r="DC166" s="28"/>
      <c r="DD166" s="28"/>
      <c r="DE166" s="28"/>
      <c r="DF166" s="28"/>
      <c r="DG166" s="28"/>
      <c r="DH166" s="28"/>
      <c r="DI166" s="28"/>
      <c r="DJ166" s="28"/>
      <c r="DK166" s="28"/>
      <c r="DL166" s="28"/>
      <c r="DM166" s="28"/>
      <c r="DN166" s="28"/>
      <c r="DO166" s="28"/>
      <c r="DP166" s="28"/>
      <c r="DQ166" s="28"/>
      <c r="DR166" s="28"/>
      <c r="DS166" s="28"/>
      <c r="DT166" s="28"/>
      <c r="DU166" s="28"/>
      <c r="DV166" s="28"/>
      <c r="DW166" s="28"/>
      <c r="DX166" s="28"/>
      <c r="DY166" s="28"/>
      <c r="DZ166" s="28"/>
      <c r="EA166" s="28"/>
      <c r="EB166" s="28"/>
      <c r="EC166" s="28"/>
      <c r="ED166" s="28"/>
      <c r="EE166" s="28"/>
      <c r="EF166" s="28"/>
      <c r="EG166" s="28"/>
      <c r="EH166" s="28"/>
      <c r="EI166" s="28"/>
      <c r="EJ166" s="28"/>
      <c r="EK166" s="28"/>
      <c r="EL166" s="28"/>
      <c r="EM166" s="28"/>
      <c r="EN166" s="28"/>
      <c r="EO166" s="28"/>
      <c r="EP166" s="28"/>
      <c r="EQ166" s="28"/>
      <c r="ER166" s="28"/>
      <c r="ES166" s="28"/>
      <c r="ET166" s="28"/>
      <c r="EU166" s="28"/>
      <c r="EV166" s="28"/>
      <c r="EW166" s="28"/>
      <c r="EX166" s="28"/>
      <c r="EY166" s="28"/>
      <c r="EZ166" s="28"/>
      <c r="FA166" s="28"/>
      <c r="FB166" s="28"/>
      <c r="FC166" s="28"/>
      <c r="FD166" s="28"/>
      <c r="FE166" s="28"/>
      <c r="FF166" s="28"/>
      <c r="FG166" s="28"/>
      <c r="FH166" s="28"/>
      <c r="FI166" s="28"/>
      <c r="FJ166" s="28"/>
      <c r="FK166" s="28"/>
      <c r="FL166" s="28"/>
      <c r="FM166" s="28"/>
      <c r="FN166" s="28"/>
      <c r="FO166" s="28"/>
      <c r="FP166" s="28"/>
      <c r="FQ166" s="28"/>
      <c r="FR166" s="28"/>
      <c r="FS166" s="28"/>
      <c r="FT166" s="28"/>
      <c r="FU166" s="28"/>
      <c r="FV166" s="28"/>
      <c r="FW166" s="28"/>
      <c r="FX166" s="28"/>
      <c r="FY166" s="28"/>
      <c r="FZ166" s="28"/>
      <c r="GA166" s="28"/>
      <c r="GB166" s="28"/>
      <c r="GC166" s="28"/>
      <c r="GD166" s="28"/>
      <c r="GE166" s="28"/>
      <c r="GF166" s="28"/>
      <c r="GG166" s="28"/>
      <c r="GH166" s="28"/>
      <c r="GI166" s="28"/>
      <c r="GJ166" s="28"/>
      <c r="GK166" s="28"/>
      <c r="GL166" s="28"/>
      <c r="GM166" s="28"/>
      <c r="GN166" s="28"/>
      <c r="GO166" s="28"/>
      <c r="GP166" s="28"/>
      <c r="GQ166" s="28"/>
      <c r="GR166" s="28"/>
      <c r="GS166" s="28"/>
      <c r="GT166" s="28"/>
      <c r="GU166" s="28"/>
      <c r="GV166" s="28"/>
      <c r="GW166" s="28"/>
      <c r="GX166" s="28"/>
      <c r="GY166" s="28"/>
      <c r="GZ166" s="28"/>
      <c r="HA166" s="28"/>
      <c r="HB166" s="28"/>
      <c r="HC166" s="28"/>
      <c r="HD166" s="28"/>
      <c r="HE166" s="28"/>
      <c r="HF166" s="28"/>
      <c r="HG166" s="28"/>
      <c r="HH166" s="28"/>
      <c r="HI166" s="28"/>
      <c r="HJ166" s="28"/>
      <c r="HK166" s="28"/>
    </row>
    <row r="167" spans="1:219" ht="15" customHeight="1">
      <c r="A167" s="49">
        <v>1</v>
      </c>
      <c r="B167" s="132" t="str">
        <f>VLOOKUP(Ruimtestaat[[#This Row],[Code]],Locaties[[Code]:[Locatie]],2,FALSE)</f>
        <v>Mirtehuis</v>
      </c>
      <c r="C167" s="132" t="str">
        <f>VLOOKUP(Ruimtestaat[[#This Row],[Code]],Locaties[[#All],[Code]:[Adres]],4,FALSE)</f>
        <v>Weseperweg 6</v>
      </c>
      <c r="D167" s="132" t="str">
        <f>VLOOKUP(Ruimtestaat[[#This Row],[Code]],Locaties[[#All],[Code]:[Postcode]],5,FALSE)</f>
        <v>8111 PK</v>
      </c>
      <c r="E167" s="132" t="str">
        <f>VLOOKUP(Ruimtestaat[[#This Row],[Code]],Locaties[#All],6,FALSE)</f>
        <v>Heeten</v>
      </c>
      <c r="F167" s="100"/>
      <c r="G167" s="100" t="s">
        <v>1677</v>
      </c>
      <c r="I167" s="140" t="s">
        <v>1656</v>
      </c>
      <c r="J167" s="49">
        <v>20</v>
      </c>
      <c r="K167" s="140" t="str">
        <f>VLOOKUP(Ruimtestaat[[#This Row],[Ruimte code]],Ruimtegroepen[[#All],[Code]:[Ruimte omschrijving]],2,FALSE)</f>
        <v>Niet in Onderhoud</v>
      </c>
      <c r="L167" s="100"/>
      <c r="M167" s="345"/>
      <c r="N167" s="133"/>
      <c r="O167" s="139"/>
      <c r="P167" s="134">
        <f>VLOOKUP(Ruimtestaat[[#This Row],[Ruimte code]],Ruimtegroepen[],4,FALSE)</f>
        <v>0</v>
      </c>
      <c r="Q167" s="100"/>
      <c r="R167" s="100"/>
      <c r="S167" s="100">
        <f>IF(Q167&gt;0,IF(RIGHT(Ruimtestaat[[#This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67" s="100">
        <f>IF(S167&gt;0,VLOOKUP($J167,Ruimtegroepen[],3,FALSE)*VLOOKUP($L167,Vloersoorten[],3,FALSE)*VLOOKUP($R167,Frequenties[],3,FALSE)*VLOOKUP($A167,Locaties[],3,FALSE),0)</f>
        <v>0</v>
      </c>
      <c r="U167" s="100">
        <f>Ruimtestaat[[#This Row],[Uitvoeringen werkdagen]]*Ruimtestaat[[#This Row],[Oppervlak (netto)]]</f>
        <v>0</v>
      </c>
      <c r="V167" s="135">
        <f>IF(T167&gt;0,Ruimtestaat[[#This Row],[Prest. (m2 /jaar) werkdagen]]/Ruimtestaat[[#This Row],[Norm (m2/uur) werkdagen]],0)</f>
        <v>0</v>
      </c>
      <c r="W167" s="136">
        <f>Ruimtestaat[[#This Row],[uren / jaar werkdagen]]*Tariefsopbouw!$E$35</f>
        <v>0</v>
      </c>
      <c r="X167" s="100"/>
      <c r="Y167" s="100">
        <f>IF(Ruimtestaat[[#This Row],[Frequentie weekend]]&gt;0,VALUE(LEFT(X167,1))*Q167,0)</f>
        <v>0</v>
      </c>
      <c r="Z167" s="99">
        <f>IF($Y167&gt;0,VLOOKUP($J167,Ruimtegroepen[],3,FALSE)*VLOOKUP($L167,Vloersoorten[],3,FALSE)*VLOOKUP($X167,Frequenties[],3,FALSE)*VLOOKUP(Ruimtestaat[[#This Row],[Code]],Locaties[],3,FALSE),0)</f>
        <v>0</v>
      </c>
      <c r="AA167" s="99">
        <f>Ruimtestaat[[#This Row],[Uitvoeringen weekend]]*Ruimtestaat[[#This Row],[Oppervlak (netto)]]</f>
        <v>0</v>
      </c>
      <c r="AB167" s="99">
        <f>IF(Z167&gt;0,Ruimtestaat[[#This Row],[Prest. (m2 /jaar) weekend]]/Ruimtestaat[[#This Row],[Norm (m2/uur) weekend]],0)</f>
        <v>0</v>
      </c>
      <c r="AC167" s="136">
        <f>Ruimtestaat[[#This Row],[uren / jaar weekend]]*Tariefsopbouw!$D$40</f>
        <v>0</v>
      </c>
      <c r="AD167" s="135">
        <f>Ruimtestaat[[#This Row],[Prest. (m2 /jaar) weekend]]+Ruimtestaat[[#This Row],[Prest. (m2 /jaar) werkdagen]]</f>
        <v>0</v>
      </c>
      <c r="AE167" s="135">
        <f>Ruimtestaat[[#This Row],[uren / jaar weekend]]+Ruimtestaat[[#This Row],[uren / jaar werkdagen]]</f>
        <v>0</v>
      </c>
      <c r="AF167" s="130">
        <f>Ruimtestaat[[#This Row],[kosten / jaar weekend]]+Ruimtestaat[[#This Row],[kosten / jaar werkdagen]]</f>
        <v>0</v>
      </c>
      <c r="AG167" s="130"/>
      <c r="AH167" s="137" t="str">
        <f>IF(Ruimtestaat[[#This Row],[Frequentie werkdagen]]="","",_xlfn.CONCAT(Ruimtestaat[[#This Row],[Ruimte code]],"-",Ruimtestaat[[#This Row],[Frequentie werkdagen]]," ",Ruimtestaat[[#This Row],[Vloer code]]))</f>
        <v/>
      </c>
      <c r="AI167" s="142" t="str">
        <f>_xlfn.IFNA(VLOOKUP($AH167,Programma!$F$3:$G$1101,2,0),"")</f>
        <v/>
      </c>
      <c r="AJ167" s="142" t="str">
        <f>_xlfn.IFNA(VLOOKUP($AH167,Programma!$F$3:$H$1101,3,0),"")</f>
        <v/>
      </c>
      <c r="AK167" s="142" t="str">
        <f>_xlfn.IFNA(VLOOKUP($AH167,Programma!$F$3:$I$1101,4,0),"")</f>
        <v/>
      </c>
      <c r="AL167" s="142" t="str">
        <f>_xlfn.IFNA(VLOOKUP($AH167,Programma!$F$3:$J$1101,5,0),"")</f>
        <v/>
      </c>
      <c r="AM167" s="142" t="str">
        <f>_xlfn.IFNA(VLOOKUP($AH167,Programma!$F$3:$K$1101,6,0),"")</f>
        <v/>
      </c>
      <c r="AN167" s="142" t="str">
        <f>_xlfn.IFNA(VLOOKUP($AH167,Programma!$F$3:$L$1101,7,0),"")</f>
        <v/>
      </c>
      <c r="AO167" s="142" t="str">
        <f>_xlfn.IFNA(VLOOKUP($AH167,Programma!$F$3:$M$1101,8,0),"")</f>
        <v/>
      </c>
      <c r="AP167" s="142" t="str">
        <f>_xlfn.IFNA(VLOOKUP($AH167,Programma!$F$3:$N$1101,9,0),"")</f>
        <v/>
      </c>
      <c r="AQ167" s="142" t="str">
        <f>_xlfn.IFNA(VLOOKUP($AH167,Programma!$F$3:$O$1101,10,0),"")</f>
        <v/>
      </c>
      <c r="AR167" s="142" t="str">
        <f>_xlfn.IFNA(VLOOKUP($AH167,Programma!$F$3:$P$1101,11,0),"")</f>
        <v/>
      </c>
      <c r="AS167" s="142" t="str">
        <f>_xlfn.IFNA(VLOOKUP($AH167,Programma!$F$3:$Q$1101,12,0),"")</f>
        <v/>
      </c>
      <c r="AT167" s="142" t="str">
        <f>_xlfn.IFNA(VLOOKUP($AH167,Programma!$F$3:$R$1101,13,0),"")</f>
        <v/>
      </c>
      <c r="AU167" s="142" t="str">
        <f>_xlfn.IFNA(VLOOKUP($AH167,Programma!$F$3:$S$1101,14,0),"")</f>
        <v/>
      </c>
      <c r="AV167" s="142" t="str">
        <f>_xlfn.IFNA(VLOOKUP($AH167,Programma!$F$3:$T$1101,15,0),"")</f>
        <v/>
      </c>
      <c r="AW167" s="142" t="str">
        <f>_xlfn.IFNA(VLOOKUP($AH167,Programma!$F$3:$U$1101,16,0),"")</f>
        <v/>
      </c>
      <c r="AX167" s="142" t="str">
        <f>_xlfn.IFNA(VLOOKUP($AH167,Programma!$F$3:$V$1101,17,0),"")</f>
        <v/>
      </c>
      <c r="AY167" s="142" t="str">
        <f>_xlfn.IFNA(VLOOKUP($AH167,Programma!$F$3:$W$1101,18,0),"")</f>
        <v/>
      </c>
      <c r="AZ167" s="142" t="str">
        <f>_xlfn.IFNA(VLOOKUP($AH167,Programma!$F$3:$X$1101,19,0),"")</f>
        <v/>
      </c>
      <c r="BA167" s="142" t="str">
        <f>_xlfn.IFNA(VLOOKUP($AH167,Programma!$F$3:$Y$1101,20,0),"")</f>
        <v/>
      </c>
      <c r="BB167" s="138"/>
      <c r="BC167" s="137" t="str">
        <f>IF(Ruimtestaat[[#This Row],[Frequentie weekend]]="","",_xlfn.CONCAT(Ruimtestaat[[#This Row],[Ruimte code]],"-",Ruimtestaat[[#This Row],[Frequentie weekend]]," ",Ruimtestaat[[#This Row],[Vloer code]]))</f>
        <v/>
      </c>
      <c r="BD167" s="142" t="str">
        <f>_xlfn.IFNA(VLOOKUP($BC167,Programma!$F$3:$G$1101,2,0),"")</f>
        <v/>
      </c>
      <c r="BE167" s="142" t="str">
        <f>_xlfn.IFNA(VLOOKUP($BC167,Programma!$F$3:$H$1101,3,0),"")</f>
        <v/>
      </c>
      <c r="BF167" s="142" t="str">
        <f>_xlfn.IFNA(VLOOKUP($BC167,Programma!$F$3:$I$1101,4,0),"")</f>
        <v/>
      </c>
      <c r="BG167" s="142" t="str">
        <f>_xlfn.IFNA(VLOOKUP($BC167,Programma!$F$3:$J$1101,5,0),"")</f>
        <v/>
      </c>
      <c r="BH167" s="142" t="str">
        <f>_xlfn.IFNA(VLOOKUP($BC167,Programma!$F$3:$K$1101,6,0),"")</f>
        <v/>
      </c>
      <c r="BI167" s="142" t="str">
        <f>_xlfn.IFNA(VLOOKUP($BC167,Programma!$F$3:$L$1101,7,0),"")</f>
        <v/>
      </c>
      <c r="BJ167" s="142" t="str">
        <f>_xlfn.IFNA(VLOOKUP($BC167,Programma!$F$3:$M$1101,8,0),"")</f>
        <v/>
      </c>
      <c r="BK167" s="142" t="str">
        <f>_xlfn.IFNA(VLOOKUP($BC167,Programma!$F$3:$N$1101,9,0),"")</f>
        <v/>
      </c>
      <c r="BL167" s="142" t="str">
        <f>_xlfn.IFNA(VLOOKUP($BC167,Programma!$F$3:$O$1101,10,0),"")</f>
        <v/>
      </c>
      <c r="BM167" s="142" t="str">
        <f>_xlfn.IFNA(VLOOKUP($BC167,Programma!$F$3:$P$1101,11,0),"")</f>
        <v/>
      </c>
      <c r="BN167" s="142" t="str">
        <f>_xlfn.IFNA(VLOOKUP($BC167,Programma!$F$3:$Q$1101,12,0),"")</f>
        <v/>
      </c>
      <c r="BO167" s="142" t="str">
        <f>_xlfn.IFNA(VLOOKUP($BC167,Programma!$F$3:$R$1101,13,0),"")</f>
        <v/>
      </c>
      <c r="BP167" s="142" t="str">
        <f>_xlfn.IFNA(VLOOKUP($BC167,Programma!$F$3:$S$1101,14,0),"")</f>
        <v/>
      </c>
      <c r="BQ167" s="142" t="str">
        <f>_xlfn.IFNA(VLOOKUP($BC167,Programma!$F$3:$T$1101,15,0),"")</f>
        <v/>
      </c>
      <c r="BR167" s="142" t="str">
        <f>_xlfn.IFNA(VLOOKUP($BC167,Programma!$F$3:$U$1101,16,0),"")</f>
        <v/>
      </c>
      <c r="BS167" s="142" t="str">
        <f>_xlfn.IFNA(VLOOKUP($BC167,Programma!$F$3:$V$1101,17,0),"")</f>
        <v/>
      </c>
      <c r="BT167" s="142" t="str">
        <f>_xlfn.IFNA(VLOOKUP($BC167,Programma!$F$3:$W$1101,18,0),"")</f>
        <v/>
      </c>
      <c r="BU167" s="142" t="str">
        <f>_xlfn.IFNA(VLOOKUP($BC167,Programma!$F$3:$X$1101,19,0),"")</f>
        <v/>
      </c>
      <c r="BV167" s="142" t="str">
        <f>_xlfn.IFNA(VLOOKUP($BC167,Programma!$F$3:$Y$1101,20,0),"")</f>
        <v/>
      </c>
      <c r="BW167" s="28"/>
      <c r="BX167" s="28"/>
      <c r="BY167" s="28"/>
      <c r="BZ167" s="28"/>
      <c r="CA167" s="28"/>
      <c r="CB167" s="28"/>
      <c r="CC167" s="28"/>
      <c r="CD167" s="28"/>
      <c r="CE167" s="28"/>
      <c r="CF167" s="28"/>
      <c r="CG167" s="28"/>
      <c r="CH167" s="28"/>
      <c r="CI167" s="28"/>
      <c r="CJ167" s="28"/>
      <c r="CK167" s="28"/>
      <c r="CL167" s="28"/>
      <c r="CM167" s="28"/>
      <c r="CN167" s="28"/>
      <c r="CO167" s="28"/>
      <c r="CP167" s="28"/>
      <c r="CQ167" s="28"/>
      <c r="CR167" s="28"/>
      <c r="CS167" s="28"/>
      <c r="CT167" s="28"/>
      <c r="CU167" s="28"/>
      <c r="CV167" s="28"/>
      <c r="CW167" s="28"/>
      <c r="CX167" s="28"/>
      <c r="CY167" s="28"/>
      <c r="CZ167" s="28"/>
      <c r="DA167" s="28"/>
      <c r="DB167" s="28"/>
      <c r="DC167" s="28"/>
      <c r="DD167" s="28"/>
      <c r="DE167" s="28"/>
      <c r="DF167" s="28"/>
      <c r="DG167" s="28"/>
      <c r="DH167" s="28"/>
      <c r="DI167" s="28"/>
      <c r="DJ167" s="28"/>
      <c r="DK167" s="28"/>
      <c r="DL167" s="28"/>
      <c r="DM167" s="28"/>
      <c r="DN167" s="28"/>
      <c r="DO167" s="28"/>
      <c r="DP167" s="28"/>
      <c r="DQ167" s="28"/>
      <c r="DR167" s="28"/>
      <c r="DS167" s="28"/>
      <c r="DT167" s="28"/>
      <c r="DU167" s="28"/>
      <c r="DV167" s="28"/>
      <c r="DW167" s="28"/>
      <c r="DX167" s="28"/>
      <c r="DY167" s="28"/>
      <c r="DZ167" s="28"/>
      <c r="EA167" s="28"/>
      <c r="EB167" s="28"/>
      <c r="EC167" s="28"/>
      <c r="ED167" s="28"/>
      <c r="EE167" s="28"/>
      <c r="EF167" s="28"/>
      <c r="EG167" s="28"/>
      <c r="EH167" s="28"/>
      <c r="EI167" s="28"/>
      <c r="EJ167" s="28"/>
      <c r="EK167" s="28"/>
      <c r="EL167" s="28"/>
      <c r="EM167" s="28"/>
      <c r="EN167" s="28"/>
      <c r="EO167" s="28"/>
      <c r="EP167" s="28"/>
      <c r="EQ167" s="28"/>
      <c r="ER167" s="28"/>
      <c r="ES167" s="28"/>
      <c r="ET167" s="28"/>
      <c r="EU167" s="28"/>
      <c r="EV167" s="28"/>
      <c r="EW167" s="28"/>
      <c r="EX167" s="28"/>
      <c r="EY167" s="28"/>
      <c r="EZ167" s="28"/>
      <c r="FA167" s="28"/>
      <c r="FB167" s="28"/>
      <c r="FC167" s="28"/>
      <c r="FD167" s="28"/>
      <c r="FE167" s="28"/>
      <c r="FF167" s="28"/>
      <c r="FG167" s="28"/>
      <c r="FH167" s="28"/>
      <c r="FI167" s="28"/>
      <c r="FJ167" s="28"/>
      <c r="FK167" s="28"/>
      <c r="FL167" s="28"/>
      <c r="FM167" s="28"/>
      <c r="FN167" s="28"/>
      <c r="FO167" s="28"/>
      <c r="FP167" s="28"/>
      <c r="FQ167" s="28"/>
      <c r="FR167" s="28"/>
      <c r="FS167" s="28"/>
      <c r="FT167" s="28"/>
      <c r="FU167" s="28"/>
      <c r="FV167" s="28"/>
      <c r="FW167" s="28"/>
      <c r="FX167" s="28"/>
      <c r="FY167" s="28"/>
      <c r="FZ167" s="28"/>
      <c r="GA167" s="28"/>
      <c r="GB167" s="28"/>
      <c r="GC167" s="28"/>
      <c r="GD167" s="28"/>
      <c r="GE167" s="28"/>
      <c r="GF167" s="28"/>
      <c r="GG167" s="28"/>
      <c r="GH167" s="28"/>
      <c r="GI167" s="28"/>
      <c r="GJ167" s="28"/>
      <c r="GK167" s="28"/>
      <c r="GL167" s="28"/>
      <c r="GM167" s="28"/>
      <c r="GN167" s="28"/>
      <c r="GO167" s="28"/>
      <c r="GP167" s="28"/>
      <c r="GQ167" s="28"/>
      <c r="GR167" s="28"/>
      <c r="GS167" s="28"/>
      <c r="GT167" s="28"/>
      <c r="GU167" s="28"/>
      <c r="GV167" s="28"/>
      <c r="GW167" s="28"/>
      <c r="GX167" s="28"/>
      <c r="GY167" s="28"/>
      <c r="GZ167" s="28"/>
      <c r="HA167" s="28"/>
      <c r="HB167" s="28"/>
      <c r="HC167" s="28"/>
      <c r="HD167" s="28"/>
      <c r="HE167" s="28"/>
      <c r="HF167" s="28"/>
      <c r="HG167" s="28"/>
      <c r="HH167" s="28"/>
      <c r="HI167" s="28"/>
      <c r="HJ167" s="28"/>
      <c r="HK167" s="28"/>
    </row>
    <row r="168" spans="1:219" ht="15" customHeight="1">
      <c r="A168" s="49">
        <v>1</v>
      </c>
      <c r="B168" s="132" t="str">
        <f>VLOOKUP(Ruimtestaat[[#This Row],[Code]],Locaties[[Code]:[Locatie]],2,FALSE)</f>
        <v>Mirtehuis</v>
      </c>
      <c r="C168" s="132" t="str">
        <f>VLOOKUP(Ruimtestaat[[#This Row],[Code]],Locaties[[#All],[Code]:[Adres]],4,FALSE)</f>
        <v>Weseperweg 6</v>
      </c>
      <c r="D168" s="132" t="str">
        <f>VLOOKUP(Ruimtestaat[[#This Row],[Code]],Locaties[[#All],[Code]:[Postcode]],5,FALSE)</f>
        <v>8111 PK</v>
      </c>
      <c r="E168" s="132" t="str">
        <f>VLOOKUP(Ruimtestaat[[#This Row],[Code]],Locaties[#All],6,FALSE)</f>
        <v>Heeten</v>
      </c>
      <c r="F168" s="100"/>
      <c r="G168" s="100" t="s">
        <v>1677</v>
      </c>
      <c r="H168" s="49">
        <v>4</v>
      </c>
      <c r="I168" s="140" t="s">
        <v>1650</v>
      </c>
      <c r="J168" s="49">
        <v>20</v>
      </c>
      <c r="K168" s="140" t="str">
        <f>VLOOKUP(Ruimtestaat[[#This Row],[Ruimte code]],Ruimtegroepen[[#All],[Code]:[Ruimte omschrijving]],2,FALSE)</f>
        <v>Niet in Onderhoud</v>
      </c>
      <c r="L168" s="100"/>
      <c r="M168" s="345"/>
      <c r="N168" s="133"/>
      <c r="O168" s="139"/>
      <c r="P168" s="134">
        <f>VLOOKUP(Ruimtestaat[[#This Row],[Ruimte code]],Ruimtegroepen[],4,FALSE)</f>
        <v>0</v>
      </c>
      <c r="Q168" s="100"/>
      <c r="R168" s="100"/>
      <c r="S168" s="100">
        <f>IF(Q168&gt;0,IF(RIGHT(Ruimtestaat[[#This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68" s="100">
        <f>IF(S168&gt;0,VLOOKUP($J168,Ruimtegroepen[],3,FALSE)*VLOOKUP($L168,Vloersoorten[],3,FALSE)*VLOOKUP($R168,Frequenties[],3,FALSE)*VLOOKUP($A168,Locaties[],3,FALSE),0)</f>
        <v>0</v>
      </c>
      <c r="U168" s="100">
        <f>Ruimtestaat[[#This Row],[Uitvoeringen werkdagen]]*Ruimtestaat[[#This Row],[Oppervlak (netto)]]</f>
        <v>0</v>
      </c>
      <c r="V168" s="135">
        <f>IF(T168&gt;0,Ruimtestaat[[#This Row],[Prest. (m2 /jaar) werkdagen]]/Ruimtestaat[[#This Row],[Norm (m2/uur) werkdagen]],0)</f>
        <v>0</v>
      </c>
      <c r="W168" s="136">
        <f>Ruimtestaat[[#This Row],[uren / jaar werkdagen]]*Tariefsopbouw!$E$35</f>
        <v>0</v>
      </c>
      <c r="X168" s="100"/>
      <c r="Y168" s="100">
        <f>IF(Ruimtestaat[[#This Row],[Frequentie weekend]]&gt;0,VALUE(LEFT(X168,1))*Q168,0)</f>
        <v>0</v>
      </c>
      <c r="Z168" s="99">
        <f>IF($Y168&gt;0,VLOOKUP($J168,Ruimtegroepen[],3,FALSE)*VLOOKUP($L168,Vloersoorten[],3,FALSE)*VLOOKUP($X168,Frequenties[],3,FALSE)*VLOOKUP(Ruimtestaat[[#This Row],[Code]],Locaties[],3,FALSE),0)</f>
        <v>0</v>
      </c>
      <c r="AA168" s="99">
        <f>Ruimtestaat[[#This Row],[Uitvoeringen weekend]]*Ruimtestaat[[#This Row],[Oppervlak (netto)]]</f>
        <v>0</v>
      </c>
      <c r="AB168" s="99">
        <f>IF(Z168&gt;0,Ruimtestaat[[#This Row],[Prest. (m2 /jaar) weekend]]/Ruimtestaat[[#This Row],[Norm (m2/uur) weekend]],0)</f>
        <v>0</v>
      </c>
      <c r="AC168" s="136">
        <f>Ruimtestaat[[#This Row],[uren / jaar weekend]]*Tariefsopbouw!$D$40</f>
        <v>0</v>
      </c>
      <c r="AD168" s="135">
        <f>Ruimtestaat[[#This Row],[Prest. (m2 /jaar) weekend]]+Ruimtestaat[[#This Row],[Prest. (m2 /jaar) werkdagen]]</f>
        <v>0</v>
      </c>
      <c r="AE168" s="135">
        <f>Ruimtestaat[[#This Row],[uren / jaar weekend]]+Ruimtestaat[[#This Row],[uren / jaar werkdagen]]</f>
        <v>0</v>
      </c>
      <c r="AF168" s="130">
        <f>Ruimtestaat[[#This Row],[kosten / jaar weekend]]+Ruimtestaat[[#This Row],[kosten / jaar werkdagen]]</f>
        <v>0</v>
      </c>
      <c r="AG168" s="130"/>
      <c r="AH168" s="137" t="str">
        <f>IF(Ruimtestaat[[#This Row],[Frequentie werkdagen]]="","",_xlfn.CONCAT(Ruimtestaat[[#This Row],[Ruimte code]],"-",Ruimtestaat[[#This Row],[Frequentie werkdagen]]," ",Ruimtestaat[[#This Row],[Vloer code]]))</f>
        <v/>
      </c>
      <c r="AI168" s="142" t="str">
        <f>_xlfn.IFNA(VLOOKUP($AH168,Programma!$F$3:$G$1101,2,0),"")</f>
        <v/>
      </c>
      <c r="AJ168" s="142" t="str">
        <f>_xlfn.IFNA(VLOOKUP($AH168,Programma!$F$3:$H$1101,3,0),"")</f>
        <v/>
      </c>
      <c r="AK168" s="142" t="str">
        <f>_xlfn.IFNA(VLOOKUP($AH168,Programma!$F$3:$I$1101,4,0),"")</f>
        <v/>
      </c>
      <c r="AL168" s="142" t="str">
        <f>_xlfn.IFNA(VLOOKUP($AH168,Programma!$F$3:$J$1101,5,0),"")</f>
        <v/>
      </c>
      <c r="AM168" s="142" t="str">
        <f>_xlfn.IFNA(VLOOKUP($AH168,Programma!$F$3:$K$1101,6,0),"")</f>
        <v/>
      </c>
      <c r="AN168" s="142" t="str">
        <f>_xlfn.IFNA(VLOOKUP($AH168,Programma!$F$3:$L$1101,7,0),"")</f>
        <v/>
      </c>
      <c r="AO168" s="142" t="str">
        <f>_xlfn.IFNA(VLOOKUP($AH168,Programma!$F$3:$M$1101,8,0),"")</f>
        <v/>
      </c>
      <c r="AP168" s="142" t="str">
        <f>_xlfn.IFNA(VLOOKUP($AH168,Programma!$F$3:$N$1101,9,0),"")</f>
        <v/>
      </c>
      <c r="AQ168" s="142" t="str">
        <f>_xlfn.IFNA(VLOOKUP($AH168,Programma!$F$3:$O$1101,10,0),"")</f>
        <v/>
      </c>
      <c r="AR168" s="142" t="str">
        <f>_xlfn.IFNA(VLOOKUP($AH168,Programma!$F$3:$P$1101,11,0),"")</f>
        <v/>
      </c>
      <c r="AS168" s="142" t="str">
        <f>_xlfn.IFNA(VLOOKUP($AH168,Programma!$F$3:$Q$1101,12,0),"")</f>
        <v/>
      </c>
      <c r="AT168" s="142" t="str">
        <f>_xlfn.IFNA(VLOOKUP($AH168,Programma!$F$3:$R$1101,13,0),"")</f>
        <v/>
      </c>
      <c r="AU168" s="142" t="str">
        <f>_xlfn.IFNA(VLOOKUP($AH168,Programma!$F$3:$S$1101,14,0),"")</f>
        <v/>
      </c>
      <c r="AV168" s="142" t="str">
        <f>_xlfn.IFNA(VLOOKUP($AH168,Programma!$F$3:$T$1101,15,0),"")</f>
        <v/>
      </c>
      <c r="AW168" s="142" t="str">
        <f>_xlfn.IFNA(VLOOKUP($AH168,Programma!$F$3:$U$1101,16,0),"")</f>
        <v/>
      </c>
      <c r="AX168" s="142" t="str">
        <f>_xlfn.IFNA(VLOOKUP($AH168,Programma!$F$3:$V$1101,17,0),"")</f>
        <v/>
      </c>
      <c r="AY168" s="142" t="str">
        <f>_xlfn.IFNA(VLOOKUP($AH168,Programma!$F$3:$W$1101,18,0),"")</f>
        <v/>
      </c>
      <c r="AZ168" s="142" t="str">
        <f>_xlfn.IFNA(VLOOKUP($AH168,Programma!$F$3:$X$1101,19,0),"")</f>
        <v/>
      </c>
      <c r="BA168" s="142" t="str">
        <f>_xlfn.IFNA(VLOOKUP($AH168,Programma!$F$3:$Y$1101,20,0),"")</f>
        <v/>
      </c>
      <c r="BB168" s="138"/>
      <c r="BC168" s="137" t="str">
        <f>IF(Ruimtestaat[[#This Row],[Frequentie weekend]]="","",_xlfn.CONCAT(Ruimtestaat[[#This Row],[Ruimte code]],"-",Ruimtestaat[[#This Row],[Frequentie weekend]]," ",Ruimtestaat[[#This Row],[Vloer code]]))</f>
        <v/>
      </c>
      <c r="BD168" s="142" t="str">
        <f>_xlfn.IFNA(VLOOKUP($BC168,Programma!$F$3:$G$1101,2,0),"")</f>
        <v/>
      </c>
      <c r="BE168" s="142" t="str">
        <f>_xlfn.IFNA(VLOOKUP($BC168,Programma!$F$3:$H$1101,3,0),"")</f>
        <v/>
      </c>
      <c r="BF168" s="142" t="str">
        <f>_xlfn.IFNA(VLOOKUP($BC168,Programma!$F$3:$I$1101,4,0),"")</f>
        <v/>
      </c>
      <c r="BG168" s="142" t="str">
        <f>_xlfn.IFNA(VLOOKUP($BC168,Programma!$F$3:$J$1101,5,0),"")</f>
        <v/>
      </c>
      <c r="BH168" s="142" t="str">
        <f>_xlfn.IFNA(VLOOKUP($BC168,Programma!$F$3:$K$1101,6,0),"")</f>
        <v/>
      </c>
      <c r="BI168" s="142" t="str">
        <f>_xlfn.IFNA(VLOOKUP($BC168,Programma!$F$3:$L$1101,7,0),"")</f>
        <v/>
      </c>
      <c r="BJ168" s="142" t="str">
        <f>_xlfn.IFNA(VLOOKUP($BC168,Programma!$F$3:$M$1101,8,0),"")</f>
        <v/>
      </c>
      <c r="BK168" s="142" t="str">
        <f>_xlfn.IFNA(VLOOKUP($BC168,Programma!$F$3:$N$1101,9,0),"")</f>
        <v/>
      </c>
      <c r="BL168" s="142" t="str">
        <f>_xlfn.IFNA(VLOOKUP($BC168,Programma!$F$3:$O$1101,10,0),"")</f>
        <v/>
      </c>
      <c r="BM168" s="142" t="str">
        <f>_xlfn.IFNA(VLOOKUP($BC168,Programma!$F$3:$P$1101,11,0),"")</f>
        <v/>
      </c>
      <c r="BN168" s="142" t="str">
        <f>_xlfn.IFNA(VLOOKUP($BC168,Programma!$F$3:$Q$1101,12,0),"")</f>
        <v/>
      </c>
      <c r="BO168" s="142" t="str">
        <f>_xlfn.IFNA(VLOOKUP($BC168,Programma!$F$3:$R$1101,13,0),"")</f>
        <v/>
      </c>
      <c r="BP168" s="142" t="str">
        <f>_xlfn.IFNA(VLOOKUP($BC168,Programma!$F$3:$S$1101,14,0),"")</f>
        <v/>
      </c>
      <c r="BQ168" s="142" t="str">
        <f>_xlfn.IFNA(VLOOKUP($BC168,Programma!$F$3:$T$1101,15,0),"")</f>
        <v/>
      </c>
      <c r="BR168" s="142" t="str">
        <f>_xlfn.IFNA(VLOOKUP($BC168,Programma!$F$3:$U$1101,16,0),"")</f>
        <v/>
      </c>
      <c r="BS168" s="142" t="str">
        <f>_xlfn.IFNA(VLOOKUP($BC168,Programma!$F$3:$V$1101,17,0),"")</f>
        <v/>
      </c>
      <c r="BT168" s="142" t="str">
        <f>_xlfn.IFNA(VLOOKUP($BC168,Programma!$F$3:$W$1101,18,0),"")</f>
        <v/>
      </c>
      <c r="BU168" s="142" t="str">
        <f>_xlfn.IFNA(VLOOKUP($BC168,Programma!$F$3:$X$1101,19,0),"")</f>
        <v/>
      </c>
      <c r="BV168" s="142" t="str">
        <f>_xlfn.IFNA(VLOOKUP($BC168,Programma!$F$3:$Y$1101,20,0),"")</f>
        <v/>
      </c>
      <c r="BW168" s="28"/>
      <c r="BX168" s="28"/>
      <c r="BY168" s="28"/>
      <c r="BZ168" s="28"/>
      <c r="CA168" s="28"/>
      <c r="CB168" s="28"/>
      <c r="CC168" s="28"/>
      <c r="CD168" s="28"/>
      <c r="CE168" s="28"/>
      <c r="CF168" s="28"/>
      <c r="CG168" s="28"/>
      <c r="CH168" s="28"/>
      <c r="CI168" s="28"/>
      <c r="CJ168" s="28"/>
      <c r="CK168" s="28"/>
      <c r="CL168" s="28"/>
      <c r="CM168" s="28"/>
      <c r="CN168" s="28"/>
      <c r="CO168" s="28"/>
      <c r="CP168" s="28"/>
      <c r="CQ168" s="28"/>
      <c r="CR168" s="28"/>
      <c r="CS168" s="28"/>
      <c r="CT168" s="28"/>
      <c r="CU168" s="28"/>
      <c r="CV168" s="28"/>
      <c r="CW168" s="28"/>
      <c r="CX168" s="28"/>
      <c r="CY168" s="28"/>
      <c r="CZ168" s="28"/>
      <c r="DA168" s="28"/>
      <c r="DB168" s="28"/>
      <c r="DC168" s="28"/>
      <c r="DD168" s="28"/>
      <c r="DE168" s="28"/>
      <c r="DF168" s="28"/>
      <c r="DG168" s="28"/>
      <c r="DH168" s="28"/>
      <c r="DI168" s="28"/>
      <c r="DJ168" s="28"/>
      <c r="DK168" s="28"/>
      <c r="DL168" s="28"/>
      <c r="DM168" s="28"/>
      <c r="DN168" s="28"/>
      <c r="DO168" s="28"/>
      <c r="DP168" s="28"/>
      <c r="DQ168" s="28"/>
      <c r="DR168" s="28"/>
      <c r="DS168" s="28"/>
      <c r="DT168" s="28"/>
      <c r="DU168" s="28"/>
      <c r="DV168" s="28"/>
      <c r="DW168" s="28"/>
      <c r="DX168" s="28"/>
      <c r="DY168" s="28"/>
      <c r="DZ168" s="28"/>
      <c r="EA168" s="28"/>
      <c r="EB168" s="28"/>
      <c r="EC168" s="28"/>
      <c r="ED168" s="28"/>
      <c r="EE168" s="28"/>
      <c r="EF168" s="28"/>
      <c r="EG168" s="28"/>
      <c r="EH168" s="28"/>
      <c r="EI168" s="28"/>
      <c r="EJ168" s="28"/>
      <c r="EK168" s="28"/>
      <c r="EL168" s="28"/>
      <c r="EM168" s="28"/>
      <c r="EN168" s="28"/>
      <c r="EO168" s="28"/>
      <c r="EP168" s="28"/>
      <c r="EQ168" s="28"/>
      <c r="ER168" s="28"/>
      <c r="ES168" s="28"/>
      <c r="ET168" s="28"/>
      <c r="EU168" s="28"/>
      <c r="EV168" s="28"/>
      <c r="EW168" s="28"/>
      <c r="EX168" s="28"/>
      <c r="EY168" s="28"/>
      <c r="EZ168" s="28"/>
      <c r="FA168" s="28"/>
      <c r="FB168" s="28"/>
      <c r="FC168" s="28"/>
      <c r="FD168" s="28"/>
      <c r="FE168" s="28"/>
      <c r="FF168" s="28"/>
      <c r="FG168" s="28"/>
      <c r="FH168" s="28"/>
      <c r="FI168" s="28"/>
      <c r="FJ168" s="28"/>
      <c r="FK168" s="28"/>
      <c r="FL168" s="28"/>
      <c r="FM168" s="28"/>
      <c r="FN168" s="28"/>
      <c r="FO168" s="28"/>
      <c r="FP168" s="28"/>
      <c r="FQ168" s="28"/>
      <c r="FR168" s="28"/>
      <c r="FS168" s="28"/>
      <c r="FT168" s="28"/>
      <c r="FU168" s="28"/>
      <c r="FV168" s="28"/>
      <c r="FW168" s="28"/>
      <c r="FX168" s="28"/>
      <c r="FY168" s="28"/>
      <c r="FZ168" s="28"/>
      <c r="GA168" s="28"/>
      <c r="GB168" s="28"/>
      <c r="GC168" s="28"/>
      <c r="GD168" s="28"/>
      <c r="GE168" s="28"/>
      <c r="GF168" s="28"/>
      <c r="GG168" s="28"/>
      <c r="GH168" s="28"/>
      <c r="GI168" s="28"/>
      <c r="GJ168" s="28"/>
      <c r="GK168" s="28"/>
      <c r="GL168" s="28"/>
      <c r="GM168" s="28"/>
      <c r="GN168" s="28"/>
      <c r="GO168" s="28"/>
      <c r="GP168" s="28"/>
      <c r="GQ168" s="28"/>
      <c r="GR168" s="28"/>
      <c r="GS168" s="28"/>
      <c r="GT168" s="28"/>
      <c r="GU168" s="28"/>
      <c r="GV168" s="28"/>
      <c r="GW168" s="28"/>
      <c r="GX168" s="28"/>
      <c r="GY168" s="28"/>
      <c r="GZ168" s="28"/>
      <c r="HA168" s="28"/>
      <c r="HB168" s="28"/>
      <c r="HC168" s="28"/>
      <c r="HD168" s="28"/>
      <c r="HE168" s="28"/>
      <c r="HF168" s="28"/>
      <c r="HG168" s="28"/>
      <c r="HH168" s="28"/>
      <c r="HI168" s="28"/>
      <c r="HJ168" s="28"/>
      <c r="HK168" s="28"/>
    </row>
    <row r="169" spans="1:219" ht="15" customHeight="1">
      <c r="A169" s="49">
        <v>1</v>
      </c>
      <c r="B169" s="132" t="str">
        <f>VLOOKUP(Ruimtestaat[[#This Row],[Code]],Locaties[[Code]:[Locatie]],2,FALSE)</f>
        <v>Mirtehuis</v>
      </c>
      <c r="C169" s="132" t="str">
        <f>VLOOKUP(Ruimtestaat[[#This Row],[Code]],Locaties[[#All],[Code]:[Adres]],4,FALSE)</f>
        <v>Weseperweg 6</v>
      </c>
      <c r="D169" s="132" t="str">
        <f>VLOOKUP(Ruimtestaat[[#This Row],[Code]],Locaties[[#All],[Code]:[Postcode]],5,FALSE)</f>
        <v>8111 PK</v>
      </c>
      <c r="E169" s="132" t="str">
        <f>VLOOKUP(Ruimtestaat[[#This Row],[Code]],Locaties[#All],6,FALSE)</f>
        <v>Heeten</v>
      </c>
      <c r="F169" s="100"/>
      <c r="G169" s="100" t="s">
        <v>1677</v>
      </c>
      <c r="I169" s="140" t="s">
        <v>1656</v>
      </c>
      <c r="J169" s="49">
        <v>20</v>
      </c>
      <c r="K169" s="140" t="str">
        <f>VLOOKUP(Ruimtestaat[[#This Row],[Ruimte code]],Ruimtegroepen[[#All],[Code]:[Ruimte omschrijving]],2,FALSE)</f>
        <v>Niet in Onderhoud</v>
      </c>
      <c r="L169" s="100"/>
      <c r="M169" s="345"/>
      <c r="N169" s="133"/>
      <c r="O169" s="100"/>
      <c r="P169" s="134">
        <f>VLOOKUP(Ruimtestaat[[#This Row],[Ruimte code]],Ruimtegroepen[],4,FALSE)</f>
        <v>0</v>
      </c>
      <c r="Q169" s="100"/>
      <c r="R169" s="100"/>
      <c r="S169" s="100">
        <f>IF(Q169&gt;0,IF(RIGHT(Ruimtestaat[[#This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69" s="100">
        <f>IF(S169&gt;0,VLOOKUP($J169,Ruimtegroepen[],3,FALSE)*VLOOKUP($L169,Vloersoorten[],3,FALSE)*VLOOKUP($R169,Frequenties[],3,FALSE)*VLOOKUP($A169,Locaties[],3,FALSE),0)</f>
        <v>0</v>
      </c>
      <c r="U169" s="100">
        <f>Ruimtestaat[[#This Row],[Uitvoeringen werkdagen]]*Ruimtestaat[[#This Row],[Oppervlak (netto)]]</f>
        <v>0</v>
      </c>
      <c r="V169" s="135">
        <f>IF(T169&gt;0,Ruimtestaat[[#This Row],[Prest. (m2 /jaar) werkdagen]]/Ruimtestaat[[#This Row],[Norm (m2/uur) werkdagen]],0)</f>
        <v>0</v>
      </c>
      <c r="W169" s="136">
        <f>Ruimtestaat[[#This Row],[uren / jaar werkdagen]]*Tariefsopbouw!$E$35</f>
        <v>0</v>
      </c>
      <c r="X169" s="100"/>
      <c r="Y169" s="100">
        <f>IF(Ruimtestaat[[#This Row],[Frequentie weekend]]&gt;0,VALUE(LEFT(X169,1))*Q169,0)</f>
        <v>0</v>
      </c>
      <c r="Z169" s="99">
        <f>IF($Y169&gt;0,VLOOKUP($J169,Ruimtegroepen[],3,FALSE)*VLOOKUP($L169,Vloersoorten[],3,FALSE)*VLOOKUP($X169,Frequenties[],3,FALSE)*VLOOKUP(Ruimtestaat[[#This Row],[Code]],Locaties[],3,FALSE),0)</f>
        <v>0</v>
      </c>
      <c r="AA169" s="99">
        <f>Ruimtestaat[[#This Row],[Uitvoeringen weekend]]*Ruimtestaat[[#This Row],[Oppervlak (netto)]]</f>
        <v>0</v>
      </c>
      <c r="AB169" s="99">
        <f>IF(Z169&gt;0,Ruimtestaat[[#This Row],[Prest. (m2 /jaar) weekend]]/Ruimtestaat[[#This Row],[Norm (m2/uur) weekend]],0)</f>
        <v>0</v>
      </c>
      <c r="AC169" s="136">
        <f>Ruimtestaat[[#This Row],[uren / jaar weekend]]*Tariefsopbouw!$D$40</f>
        <v>0</v>
      </c>
      <c r="AD169" s="135">
        <f>Ruimtestaat[[#This Row],[Prest. (m2 /jaar) weekend]]+Ruimtestaat[[#This Row],[Prest. (m2 /jaar) werkdagen]]</f>
        <v>0</v>
      </c>
      <c r="AE169" s="135">
        <f>Ruimtestaat[[#This Row],[uren / jaar weekend]]+Ruimtestaat[[#This Row],[uren / jaar werkdagen]]</f>
        <v>0</v>
      </c>
      <c r="AF169" s="130">
        <f>Ruimtestaat[[#This Row],[kosten / jaar weekend]]+Ruimtestaat[[#This Row],[kosten / jaar werkdagen]]</f>
        <v>0</v>
      </c>
      <c r="AG169" s="130"/>
      <c r="AH169" s="137" t="str">
        <f>IF(Ruimtestaat[[#This Row],[Frequentie werkdagen]]="","",_xlfn.CONCAT(Ruimtestaat[[#This Row],[Ruimte code]],"-",Ruimtestaat[[#This Row],[Frequentie werkdagen]]," ",Ruimtestaat[[#This Row],[Vloer code]]))</f>
        <v/>
      </c>
      <c r="AI169" s="142" t="str">
        <f>_xlfn.IFNA(VLOOKUP($AH169,Programma!$F$3:$G$1101,2,0),"")</f>
        <v/>
      </c>
      <c r="AJ169" s="142" t="str">
        <f>_xlfn.IFNA(VLOOKUP($AH169,Programma!$F$3:$H$1101,3,0),"")</f>
        <v/>
      </c>
      <c r="AK169" s="142" t="str">
        <f>_xlfn.IFNA(VLOOKUP($AH169,Programma!$F$3:$I$1101,4,0),"")</f>
        <v/>
      </c>
      <c r="AL169" s="142" t="str">
        <f>_xlfn.IFNA(VLOOKUP($AH169,Programma!$F$3:$J$1101,5,0),"")</f>
        <v/>
      </c>
      <c r="AM169" s="142" t="str">
        <f>_xlfn.IFNA(VLOOKUP($AH169,Programma!$F$3:$K$1101,6,0),"")</f>
        <v/>
      </c>
      <c r="AN169" s="142" t="str">
        <f>_xlfn.IFNA(VLOOKUP($AH169,Programma!$F$3:$L$1101,7,0),"")</f>
        <v/>
      </c>
      <c r="AO169" s="142" t="str">
        <f>_xlfn.IFNA(VLOOKUP($AH169,Programma!$F$3:$M$1101,8,0),"")</f>
        <v/>
      </c>
      <c r="AP169" s="142" t="str">
        <f>_xlfn.IFNA(VLOOKUP($AH169,Programma!$F$3:$N$1101,9,0),"")</f>
        <v/>
      </c>
      <c r="AQ169" s="142" t="str">
        <f>_xlfn.IFNA(VLOOKUP($AH169,Programma!$F$3:$O$1101,10,0),"")</f>
        <v/>
      </c>
      <c r="AR169" s="142" t="str">
        <f>_xlfn.IFNA(VLOOKUP($AH169,Programma!$F$3:$P$1101,11,0),"")</f>
        <v/>
      </c>
      <c r="AS169" s="142" t="str">
        <f>_xlfn.IFNA(VLOOKUP($AH169,Programma!$F$3:$Q$1101,12,0),"")</f>
        <v/>
      </c>
      <c r="AT169" s="142" t="str">
        <f>_xlfn.IFNA(VLOOKUP($AH169,Programma!$F$3:$R$1101,13,0),"")</f>
        <v/>
      </c>
      <c r="AU169" s="142" t="str">
        <f>_xlfn.IFNA(VLOOKUP($AH169,Programma!$F$3:$S$1101,14,0),"")</f>
        <v/>
      </c>
      <c r="AV169" s="142" t="str">
        <f>_xlfn.IFNA(VLOOKUP($AH169,Programma!$F$3:$T$1101,15,0),"")</f>
        <v/>
      </c>
      <c r="AW169" s="142" t="str">
        <f>_xlfn.IFNA(VLOOKUP($AH169,Programma!$F$3:$U$1101,16,0),"")</f>
        <v/>
      </c>
      <c r="AX169" s="142" t="str">
        <f>_xlfn.IFNA(VLOOKUP($AH169,Programma!$F$3:$V$1101,17,0),"")</f>
        <v/>
      </c>
      <c r="AY169" s="142" t="str">
        <f>_xlfn.IFNA(VLOOKUP($AH169,Programma!$F$3:$W$1101,18,0),"")</f>
        <v/>
      </c>
      <c r="AZ169" s="142" t="str">
        <f>_xlfn.IFNA(VLOOKUP($AH169,Programma!$F$3:$X$1101,19,0),"")</f>
        <v/>
      </c>
      <c r="BA169" s="142" t="str">
        <f>_xlfn.IFNA(VLOOKUP($AH169,Programma!$F$3:$Y$1101,20,0),"")</f>
        <v/>
      </c>
      <c r="BB169" s="138"/>
      <c r="BC169" s="137" t="str">
        <f>IF(Ruimtestaat[[#This Row],[Frequentie weekend]]="","",_xlfn.CONCAT(Ruimtestaat[[#This Row],[Ruimte code]],"-",Ruimtestaat[[#This Row],[Frequentie weekend]]," ",Ruimtestaat[[#This Row],[Vloer code]]))</f>
        <v/>
      </c>
      <c r="BD169" s="142" t="str">
        <f>_xlfn.IFNA(VLOOKUP($BC169,Programma!$F$3:$G$1101,2,0),"")</f>
        <v/>
      </c>
      <c r="BE169" s="142" t="str">
        <f>_xlfn.IFNA(VLOOKUP($BC169,Programma!$F$3:$H$1101,3,0),"")</f>
        <v/>
      </c>
      <c r="BF169" s="142" t="str">
        <f>_xlfn.IFNA(VLOOKUP($BC169,Programma!$F$3:$I$1101,4,0),"")</f>
        <v/>
      </c>
      <c r="BG169" s="142" t="str">
        <f>_xlfn.IFNA(VLOOKUP($BC169,Programma!$F$3:$J$1101,5,0),"")</f>
        <v/>
      </c>
      <c r="BH169" s="142" t="str">
        <f>_xlfn.IFNA(VLOOKUP($BC169,Programma!$F$3:$K$1101,6,0),"")</f>
        <v/>
      </c>
      <c r="BI169" s="142" t="str">
        <f>_xlfn.IFNA(VLOOKUP($BC169,Programma!$F$3:$L$1101,7,0),"")</f>
        <v/>
      </c>
      <c r="BJ169" s="142" t="str">
        <f>_xlfn.IFNA(VLOOKUP($BC169,Programma!$F$3:$M$1101,8,0),"")</f>
        <v/>
      </c>
      <c r="BK169" s="142" t="str">
        <f>_xlfn.IFNA(VLOOKUP($BC169,Programma!$F$3:$N$1101,9,0),"")</f>
        <v/>
      </c>
      <c r="BL169" s="142" t="str">
        <f>_xlfn.IFNA(VLOOKUP($BC169,Programma!$F$3:$O$1101,10,0),"")</f>
        <v/>
      </c>
      <c r="BM169" s="142" t="str">
        <f>_xlfn.IFNA(VLOOKUP($BC169,Programma!$F$3:$P$1101,11,0),"")</f>
        <v/>
      </c>
      <c r="BN169" s="142" t="str">
        <f>_xlfn.IFNA(VLOOKUP($BC169,Programma!$F$3:$Q$1101,12,0),"")</f>
        <v/>
      </c>
      <c r="BO169" s="142" t="str">
        <f>_xlfn.IFNA(VLOOKUP($BC169,Programma!$F$3:$R$1101,13,0),"")</f>
        <v/>
      </c>
      <c r="BP169" s="142" t="str">
        <f>_xlfn.IFNA(VLOOKUP($BC169,Programma!$F$3:$S$1101,14,0),"")</f>
        <v/>
      </c>
      <c r="BQ169" s="142" t="str">
        <f>_xlfn.IFNA(VLOOKUP($BC169,Programma!$F$3:$T$1101,15,0),"")</f>
        <v/>
      </c>
      <c r="BR169" s="142" t="str">
        <f>_xlfn.IFNA(VLOOKUP($BC169,Programma!$F$3:$U$1101,16,0),"")</f>
        <v/>
      </c>
      <c r="BS169" s="142" t="str">
        <f>_xlfn.IFNA(VLOOKUP($BC169,Programma!$F$3:$V$1101,17,0),"")</f>
        <v/>
      </c>
      <c r="BT169" s="142" t="str">
        <f>_xlfn.IFNA(VLOOKUP($BC169,Programma!$F$3:$W$1101,18,0),"")</f>
        <v/>
      </c>
      <c r="BU169" s="142" t="str">
        <f>_xlfn.IFNA(VLOOKUP($BC169,Programma!$F$3:$X$1101,19,0),"")</f>
        <v/>
      </c>
      <c r="BV169" s="142" t="str">
        <f>_xlfn.IFNA(VLOOKUP($BC169,Programma!$F$3:$Y$1101,20,0),"")</f>
        <v/>
      </c>
      <c r="BW169" s="28"/>
      <c r="BX169" s="28"/>
      <c r="BY169" s="28"/>
      <c r="BZ169" s="28"/>
      <c r="CA169" s="28"/>
      <c r="CB169" s="28"/>
      <c r="CC169" s="28"/>
      <c r="CD169" s="28"/>
      <c r="CE169" s="28"/>
      <c r="CF169" s="28"/>
      <c r="CG169" s="28"/>
      <c r="CH169" s="28"/>
      <c r="CI169" s="28"/>
      <c r="CJ169" s="28"/>
      <c r="CK169" s="28"/>
      <c r="CL169" s="28"/>
      <c r="CM169" s="28"/>
      <c r="CN169" s="28"/>
      <c r="CO169" s="28"/>
      <c r="CP169" s="28"/>
      <c r="CQ169" s="28"/>
      <c r="CR169" s="28"/>
      <c r="CS169" s="28"/>
      <c r="CT169" s="28"/>
      <c r="CU169" s="28"/>
      <c r="CV169" s="28"/>
      <c r="CW169" s="28"/>
      <c r="CX169" s="28"/>
      <c r="CY169" s="28"/>
      <c r="CZ169" s="28"/>
      <c r="DA169" s="28"/>
      <c r="DB169" s="28"/>
      <c r="DC169" s="28"/>
      <c r="DD169" s="28"/>
      <c r="DE169" s="28"/>
      <c r="DF169" s="28"/>
      <c r="DG169" s="28"/>
      <c r="DH169" s="28"/>
      <c r="DI169" s="28"/>
      <c r="DJ169" s="28"/>
      <c r="DK169" s="28"/>
      <c r="DL169" s="28"/>
      <c r="DM169" s="28"/>
      <c r="DN169" s="28"/>
      <c r="DO169" s="28"/>
      <c r="DP169" s="28"/>
      <c r="DQ169" s="28"/>
      <c r="DR169" s="28"/>
      <c r="DS169" s="28"/>
      <c r="DT169" s="28"/>
      <c r="DU169" s="28"/>
      <c r="DV169" s="28"/>
      <c r="DW169" s="28"/>
      <c r="DX169" s="28"/>
      <c r="DY169" s="28"/>
      <c r="DZ169" s="28"/>
      <c r="EA169" s="28"/>
      <c r="EB169" s="28"/>
      <c r="EC169" s="28"/>
      <c r="ED169" s="28"/>
      <c r="EE169" s="28"/>
      <c r="EF169" s="28"/>
      <c r="EG169" s="28"/>
      <c r="EH169" s="28"/>
      <c r="EI169" s="28"/>
      <c r="EJ169" s="28"/>
      <c r="EK169" s="28"/>
      <c r="EL169" s="28"/>
      <c r="EM169" s="28"/>
      <c r="EN169" s="28"/>
      <c r="EO169" s="28"/>
      <c r="EP169" s="28"/>
      <c r="EQ169" s="28"/>
      <c r="ER169" s="28"/>
      <c r="ES169" s="28"/>
      <c r="ET169" s="28"/>
      <c r="EU169" s="28"/>
      <c r="EV169" s="28"/>
      <c r="EW169" s="28"/>
      <c r="EX169" s="28"/>
      <c r="EY169" s="28"/>
      <c r="EZ169" s="28"/>
      <c r="FA169" s="28"/>
      <c r="FB169" s="28"/>
      <c r="FC169" s="28"/>
      <c r="FD169" s="28"/>
      <c r="FE169" s="28"/>
      <c r="FF169" s="28"/>
      <c r="FG169" s="28"/>
      <c r="FH169" s="28"/>
      <c r="FI169" s="28"/>
      <c r="FJ169" s="28"/>
      <c r="FK169" s="28"/>
      <c r="FL169" s="28"/>
      <c r="FM169" s="28"/>
      <c r="FN169" s="28"/>
      <c r="FO169" s="28"/>
      <c r="FP169" s="28"/>
      <c r="FQ169" s="28"/>
      <c r="FR169" s="28"/>
      <c r="FS169" s="28"/>
      <c r="FT169" s="28"/>
      <c r="FU169" s="28"/>
      <c r="FV169" s="28"/>
      <c r="FW169" s="28"/>
      <c r="FX169" s="28"/>
      <c r="FY169" s="28"/>
      <c r="FZ169" s="28"/>
      <c r="GA169" s="28"/>
      <c r="GB169" s="28"/>
      <c r="GC169" s="28"/>
      <c r="GD169" s="28"/>
      <c r="GE169" s="28"/>
      <c r="GF169" s="28"/>
      <c r="GG169" s="28"/>
      <c r="GH169" s="28"/>
      <c r="GI169" s="28"/>
      <c r="GJ169" s="28"/>
      <c r="GK169" s="28"/>
      <c r="GL169" s="28"/>
      <c r="GM169" s="28"/>
      <c r="GN169" s="28"/>
      <c r="GO169" s="28"/>
      <c r="GP169" s="28"/>
      <c r="GQ169" s="28"/>
      <c r="GR169" s="28"/>
      <c r="GS169" s="28"/>
      <c r="GT169" s="28"/>
      <c r="GU169" s="28"/>
      <c r="GV169" s="28"/>
      <c r="GW169" s="28"/>
      <c r="GX169" s="28"/>
      <c r="GY169" s="28"/>
      <c r="GZ169" s="28"/>
      <c r="HA169" s="28"/>
      <c r="HB169" s="28"/>
      <c r="HC169" s="28"/>
      <c r="HD169" s="28"/>
      <c r="HE169" s="28"/>
      <c r="HF169" s="28"/>
      <c r="HG169" s="28"/>
      <c r="HH169" s="28"/>
      <c r="HI169" s="28"/>
      <c r="HJ169" s="28"/>
      <c r="HK169" s="28"/>
    </row>
    <row r="170" spans="1:219" ht="15" customHeight="1">
      <c r="A170" s="49">
        <v>1</v>
      </c>
      <c r="B170" s="132" t="str">
        <f>VLOOKUP(Ruimtestaat[[#This Row],[Code]],Locaties[[Code]:[Locatie]],2,FALSE)</f>
        <v>Mirtehuis</v>
      </c>
      <c r="C170" s="132" t="str">
        <f>VLOOKUP(Ruimtestaat[[#This Row],[Code]],Locaties[[#All],[Code]:[Adres]],4,FALSE)</f>
        <v>Weseperweg 6</v>
      </c>
      <c r="D170" s="132" t="str">
        <f>VLOOKUP(Ruimtestaat[[#This Row],[Code]],Locaties[[#All],[Code]:[Postcode]],5,FALSE)</f>
        <v>8111 PK</v>
      </c>
      <c r="E170" s="132" t="str">
        <f>VLOOKUP(Ruimtestaat[[#This Row],[Code]],Locaties[#All],6,FALSE)</f>
        <v>Heeten</v>
      </c>
      <c r="F170" s="100"/>
      <c r="G170" s="100" t="s">
        <v>1677</v>
      </c>
      <c r="I170" s="140" t="s">
        <v>1668</v>
      </c>
      <c r="J170" s="49">
        <v>20</v>
      </c>
      <c r="K170" s="140" t="str">
        <f>VLOOKUP(Ruimtestaat[[#This Row],[Ruimte code]],Ruimtegroepen[[#All],[Code]:[Ruimte omschrijving]],2,FALSE)</f>
        <v>Niet in Onderhoud</v>
      </c>
      <c r="L170" s="100"/>
      <c r="M170" s="345"/>
      <c r="N170" s="133"/>
      <c r="O170" s="139"/>
      <c r="P170" s="134">
        <f>VLOOKUP(Ruimtestaat[[#This Row],[Ruimte code]],Ruimtegroepen[],4,FALSE)</f>
        <v>0</v>
      </c>
      <c r="Q170" s="100"/>
      <c r="R170" s="100"/>
      <c r="S170" s="100">
        <f>IF(Q170&gt;0,IF(RIGHT(Ruimtestaat[[#This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70" s="100">
        <f>IF(S170&gt;0,VLOOKUP($J170,Ruimtegroepen[],3,FALSE)*VLOOKUP($L170,Vloersoorten[],3,FALSE)*VLOOKUP($R170,Frequenties[],3,FALSE)*VLOOKUP($A170,Locaties[],3,FALSE),0)</f>
        <v>0</v>
      </c>
      <c r="U170" s="100">
        <f>Ruimtestaat[[#This Row],[Uitvoeringen werkdagen]]*Ruimtestaat[[#This Row],[Oppervlak (netto)]]</f>
        <v>0</v>
      </c>
      <c r="V170" s="135">
        <f>IF(T170&gt;0,Ruimtestaat[[#This Row],[Prest. (m2 /jaar) werkdagen]]/Ruimtestaat[[#This Row],[Norm (m2/uur) werkdagen]],0)</f>
        <v>0</v>
      </c>
      <c r="W170" s="136">
        <f>Ruimtestaat[[#This Row],[uren / jaar werkdagen]]*Tariefsopbouw!$E$35</f>
        <v>0</v>
      </c>
      <c r="X170" s="100"/>
      <c r="Y170" s="100">
        <f>IF(Ruimtestaat[[#This Row],[Frequentie weekend]]&gt;0,VALUE(LEFT(X170,1))*Q170,0)</f>
        <v>0</v>
      </c>
      <c r="Z170" s="99">
        <f>IF($Y170&gt;0,VLOOKUP($J170,Ruimtegroepen[],3,FALSE)*VLOOKUP($L170,Vloersoorten[],3,FALSE)*VLOOKUP($X170,Frequenties[],3,FALSE)*VLOOKUP(Ruimtestaat[[#This Row],[Code]],Locaties[],3,FALSE),0)</f>
        <v>0</v>
      </c>
      <c r="AA170" s="99">
        <f>Ruimtestaat[[#This Row],[Uitvoeringen weekend]]*Ruimtestaat[[#This Row],[Oppervlak (netto)]]</f>
        <v>0</v>
      </c>
      <c r="AB170" s="99">
        <f>IF(Z170&gt;0,Ruimtestaat[[#This Row],[Prest. (m2 /jaar) weekend]]/Ruimtestaat[[#This Row],[Norm (m2/uur) weekend]],0)</f>
        <v>0</v>
      </c>
      <c r="AC170" s="136">
        <f>Ruimtestaat[[#This Row],[uren / jaar weekend]]*Tariefsopbouw!$D$40</f>
        <v>0</v>
      </c>
      <c r="AD170" s="135">
        <f>Ruimtestaat[[#This Row],[Prest. (m2 /jaar) weekend]]+Ruimtestaat[[#This Row],[Prest. (m2 /jaar) werkdagen]]</f>
        <v>0</v>
      </c>
      <c r="AE170" s="135">
        <f>Ruimtestaat[[#This Row],[uren / jaar weekend]]+Ruimtestaat[[#This Row],[uren / jaar werkdagen]]</f>
        <v>0</v>
      </c>
      <c r="AF170" s="130">
        <f>Ruimtestaat[[#This Row],[kosten / jaar weekend]]+Ruimtestaat[[#This Row],[kosten / jaar werkdagen]]</f>
        <v>0</v>
      </c>
      <c r="AG170" s="130"/>
      <c r="AH170" s="137" t="str">
        <f>IF(Ruimtestaat[[#This Row],[Frequentie werkdagen]]="","",_xlfn.CONCAT(Ruimtestaat[[#This Row],[Ruimte code]],"-",Ruimtestaat[[#This Row],[Frequentie werkdagen]]," ",Ruimtestaat[[#This Row],[Vloer code]]))</f>
        <v/>
      </c>
      <c r="AI170" s="142" t="str">
        <f>_xlfn.IFNA(VLOOKUP($AH170,Programma!$F$3:$G$1101,2,0),"")</f>
        <v/>
      </c>
      <c r="AJ170" s="142" t="str">
        <f>_xlfn.IFNA(VLOOKUP($AH170,Programma!$F$3:$H$1101,3,0),"")</f>
        <v/>
      </c>
      <c r="AK170" s="142" t="str">
        <f>_xlfn.IFNA(VLOOKUP($AH170,Programma!$F$3:$I$1101,4,0),"")</f>
        <v/>
      </c>
      <c r="AL170" s="142" t="str">
        <f>_xlfn.IFNA(VLOOKUP($AH170,Programma!$F$3:$J$1101,5,0),"")</f>
        <v/>
      </c>
      <c r="AM170" s="142" t="str">
        <f>_xlfn.IFNA(VLOOKUP($AH170,Programma!$F$3:$K$1101,6,0),"")</f>
        <v/>
      </c>
      <c r="AN170" s="142" t="str">
        <f>_xlfn.IFNA(VLOOKUP($AH170,Programma!$F$3:$L$1101,7,0),"")</f>
        <v/>
      </c>
      <c r="AO170" s="142" t="str">
        <f>_xlfn.IFNA(VLOOKUP($AH170,Programma!$F$3:$M$1101,8,0),"")</f>
        <v/>
      </c>
      <c r="AP170" s="142" t="str">
        <f>_xlfn.IFNA(VLOOKUP($AH170,Programma!$F$3:$N$1101,9,0),"")</f>
        <v/>
      </c>
      <c r="AQ170" s="142" t="str">
        <f>_xlfn.IFNA(VLOOKUP($AH170,Programma!$F$3:$O$1101,10,0),"")</f>
        <v/>
      </c>
      <c r="AR170" s="142" t="str">
        <f>_xlfn.IFNA(VLOOKUP($AH170,Programma!$F$3:$P$1101,11,0),"")</f>
        <v/>
      </c>
      <c r="AS170" s="142" t="str">
        <f>_xlfn.IFNA(VLOOKUP($AH170,Programma!$F$3:$Q$1101,12,0),"")</f>
        <v/>
      </c>
      <c r="AT170" s="142" t="str">
        <f>_xlfn.IFNA(VLOOKUP($AH170,Programma!$F$3:$R$1101,13,0),"")</f>
        <v/>
      </c>
      <c r="AU170" s="142" t="str">
        <f>_xlfn.IFNA(VLOOKUP($AH170,Programma!$F$3:$S$1101,14,0),"")</f>
        <v/>
      </c>
      <c r="AV170" s="142" t="str">
        <f>_xlfn.IFNA(VLOOKUP($AH170,Programma!$F$3:$T$1101,15,0),"")</f>
        <v/>
      </c>
      <c r="AW170" s="142" t="str">
        <f>_xlfn.IFNA(VLOOKUP($AH170,Programma!$F$3:$U$1101,16,0),"")</f>
        <v/>
      </c>
      <c r="AX170" s="142" t="str">
        <f>_xlfn.IFNA(VLOOKUP($AH170,Programma!$F$3:$V$1101,17,0),"")</f>
        <v/>
      </c>
      <c r="AY170" s="142" t="str">
        <f>_xlfn.IFNA(VLOOKUP($AH170,Programma!$F$3:$W$1101,18,0),"")</f>
        <v/>
      </c>
      <c r="AZ170" s="142" t="str">
        <f>_xlfn.IFNA(VLOOKUP($AH170,Programma!$F$3:$X$1101,19,0),"")</f>
        <v/>
      </c>
      <c r="BA170" s="142" t="str">
        <f>_xlfn.IFNA(VLOOKUP($AH170,Programma!$F$3:$Y$1101,20,0),"")</f>
        <v/>
      </c>
      <c r="BB170" s="138"/>
      <c r="BC170" s="137" t="str">
        <f>IF(Ruimtestaat[[#This Row],[Frequentie weekend]]="","",_xlfn.CONCAT(Ruimtestaat[[#This Row],[Ruimte code]],"-",Ruimtestaat[[#This Row],[Frequentie weekend]]," ",Ruimtestaat[[#This Row],[Vloer code]]))</f>
        <v/>
      </c>
      <c r="BD170" s="142" t="str">
        <f>_xlfn.IFNA(VLOOKUP($BC170,Programma!$F$3:$G$1101,2,0),"")</f>
        <v/>
      </c>
      <c r="BE170" s="142" t="str">
        <f>_xlfn.IFNA(VLOOKUP($BC170,Programma!$F$3:$H$1101,3,0),"")</f>
        <v/>
      </c>
      <c r="BF170" s="142" t="str">
        <f>_xlfn.IFNA(VLOOKUP($BC170,Programma!$F$3:$I$1101,4,0),"")</f>
        <v/>
      </c>
      <c r="BG170" s="142" t="str">
        <f>_xlfn.IFNA(VLOOKUP($BC170,Programma!$F$3:$J$1101,5,0),"")</f>
        <v/>
      </c>
      <c r="BH170" s="142" t="str">
        <f>_xlfn.IFNA(VLOOKUP($BC170,Programma!$F$3:$K$1101,6,0),"")</f>
        <v/>
      </c>
      <c r="BI170" s="142" t="str">
        <f>_xlfn.IFNA(VLOOKUP($BC170,Programma!$F$3:$L$1101,7,0),"")</f>
        <v/>
      </c>
      <c r="BJ170" s="142" t="str">
        <f>_xlfn.IFNA(VLOOKUP($BC170,Programma!$F$3:$M$1101,8,0),"")</f>
        <v/>
      </c>
      <c r="BK170" s="142" t="str">
        <f>_xlfn.IFNA(VLOOKUP($BC170,Programma!$F$3:$N$1101,9,0),"")</f>
        <v/>
      </c>
      <c r="BL170" s="142" t="str">
        <f>_xlfn.IFNA(VLOOKUP($BC170,Programma!$F$3:$O$1101,10,0),"")</f>
        <v/>
      </c>
      <c r="BM170" s="142" t="str">
        <f>_xlfn.IFNA(VLOOKUP($BC170,Programma!$F$3:$P$1101,11,0),"")</f>
        <v/>
      </c>
      <c r="BN170" s="142" t="str">
        <f>_xlfn.IFNA(VLOOKUP($BC170,Programma!$F$3:$Q$1101,12,0),"")</f>
        <v/>
      </c>
      <c r="BO170" s="142" t="str">
        <f>_xlfn.IFNA(VLOOKUP($BC170,Programma!$F$3:$R$1101,13,0),"")</f>
        <v/>
      </c>
      <c r="BP170" s="142" t="str">
        <f>_xlfn.IFNA(VLOOKUP($BC170,Programma!$F$3:$S$1101,14,0),"")</f>
        <v/>
      </c>
      <c r="BQ170" s="142" t="str">
        <f>_xlfn.IFNA(VLOOKUP($BC170,Programma!$F$3:$T$1101,15,0),"")</f>
        <v/>
      </c>
      <c r="BR170" s="142" t="str">
        <f>_xlfn.IFNA(VLOOKUP($BC170,Programma!$F$3:$U$1101,16,0),"")</f>
        <v/>
      </c>
      <c r="BS170" s="142" t="str">
        <f>_xlfn.IFNA(VLOOKUP($BC170,Programma!$F$3:$V$1101,17,0),"")</f>
        <v/>
      </c>
      <c r="BT170" s="142" t="str">
        <f>_xlfn.IFNA(VLOOKUP($BC170,Programma!$F$3:$W$1101,18,0),"")</f>
        <v/>
      </c>
      <c r="BU170" s="142" t="str">
        <f>_xlfn.IFNA(VLOOKUP($BC170,Programma!$F$3:$X$1101,19,0),"")</f>
        <v/>
      </c>
      <c r="BV170" s="142" t="str">
        <f>_xlfn.IFNA(VLOOKUP($BC170,Programma!$F$3:$Y$1101,20,0),"")</f>
        <v/>
      </c>
      <c r="BW170" s="28"/>
      <c r="BX170" s="28"/>
      <c r="BY170" s="28"/>
      <c r="BZ170" s="28"/>
      <c r="CA170" s="28"/>
      <c r="CB170" s="28"/>
      <c r="CC170" s="28"/>
      <c r="CD170" s="28"/>
      <c r="CE170" s="28"/>
      <c r="CF170" s="28"/>
      <c r="CG170" s="28"/>
      <c r="CH170" s="28"/>
      <c r="CI170" s="28"/>
      <c r="CJ170" s="28"/>
      <c r="CK170" s="28"/>
      <c r="CL170" s="28"/>
      <c r="CM170" s="28"/>
      <c r="CN170" s="28"/>
      <c r="CO170" s="28"/>
      <c r="CP170" s="28"/>
      <c r="CQ170" s="28"/>
      <c r="CR170" s="28"/>
      <c r="CS170" s="28"/>
      <c r="CT170" s="28"/>
      <c r="CU170" s="28"/>
      <c r="CV170" s="28"/>
      <c r="CW170" s="28"/>
      <c r="CX170" s="28"/>
      <c r="CY170" s="28"/>
      <c r="CZ170" s="28"/>
      <c r="DA170" s="28"/>
      <c r="DB170" s="28"/>
      <c r="DC170" s="28"/>
      <c r="DD170" s="28"/>
      <c r="DE170" s="28"/>
      <c r="DF170" s="28"/>
      <c r="DG170" s="28"/>
      <c r="DH170" s="28"/>
      <c r="DI170" s="28"/>
      <c r="DJ170" s="28"/>
      <c r="DK170" s="28"/>
      <c r="DL170" s="28"/>
      <c r="DM170" s="28"/>
      <c r="DN170" s="28"/>
      <c r="DO170" s="28"/>
      <c r="DP170" s="28"/>
      <c r="DQ170" s="28"/>
      <c r="DR170" s="28"/>
      <c r="DS170" s="28"/>
      <c r="DT170" s="28"/>
      <c r="DU170" s="28"/>
      <c r="DV170" s="28"/>
      <c r="DW170" s="28"/>
      <c r="DX170" s="28"/>
      <c r="DY170" s="28"/>
      <c r="DZ170" s="28"/>
      <c r="EA170" s="28"/>
      <c r="EB170" s="28"/>
      <c r="EC170" s="28"/>
      <c r="ED170" s="28"/>
      <c r="EE170" s="28"/>
      <c r="EF170" s="28"/>
      <c r="EG170" s="28"/>
      <c r="EH170" s="28"/>
      <c r="EI170" s="28"/>
      <c r="EJ170" s="28"/>
      <c r="EK170" s="28"/>
      <c r="EL170" s="28"/>
      <c r="EM170" s="28"/>
      <c r="EN170" s="28"/>
      <c r="EO170" s="28"/>
      <c r="EP170" s="28"/>
      <c r="EQ170" s="28"/>
      <c r="ER170" s="28"/>
      <c r="ES170" s="28"/>
      <c r="ET170" s="28"/>
      <c r="EU170" s="28"/>
      <c r="EV170" s="28"/>
      <c r="EW170" s="28"/>
      <c r="EX170" s="28"/>
      <c r="EY170" s="28"/>
      <c r="EZ170" s="28"/>
      <c r="FA170" s="28"/>
      <c r="FB170" s="28"/>
      <c r="FC170" s="28"/>
      <c r="FD170" s="28"/>
      <c r="FE170" s="28"/>
      <c r="FF170" s="28"/>
      <c r="FG170" s="28"/>
      <c r="FH170" s="28"/>
      <c r="FI170" s="28"/>
      <c r="FJ170" s="28"/>
      <c r="FK170" s="28"/>
      <c r="FL170" s="28"/>
      <c r="FM170" s="28"/>
      <c r="FN170" s="28"/>
      <c r="FO170" s="28"/>
      <c r="FP170" s="28"/>
      <c r="FQ170" s="28"/>
      <c r="FR170" s="28"/>
      <c r="FS170" s="28"/>
      <c r="FT170" s="28"/>
      <c r="FU170" s="28"/>
      <c r="FV170" s="28"/>
      <c r="FW170" s="28"/>
      <c r="FX170" s="28"/>
      <c r="FY170" s="28"/>
      <c r="FZ170" s="28"/>
      <c r="GA170" s="28"/>
      <c r="GB170" s="28"/>
      <c r="GC170" s="28"/>
      <c r="GD170" s="28"/>
      <c r="GE170" s="28"/>
      <c r="GF170" s="28"/>
      <c r="GG170" s="28"/>
      <c r="GH170" s="28"/>
      <c r="GI170" s="28"/>
      <c r="GJ170" s="28"/>
      <c r="GK170" s="28"/>
      <c r="GL170" s="28"/>
      <c r="GM170" s="28"/>
      <c r="GN170" s="28"/>
      <c r="GO170" s="28"/>
      <c r="GP170" s="28"/>
      <c r="GQ170" s="28"/>
      <c r="GR170" s="28"/>
      <c r="GS170" s="28"/>
      <c r="GT170" s="28"/>
      <c r="GU170" s="28"/>
      <c r="GV170" s="28"/>
      <c r="GW170" s="28"/>
      <c r="GX170" s="28"/>
      <c r="GY170" s="28"/>
      <c r="GZ170" s="28"/>
      <c r="HA170" s="28"/>
      <c r="HB170" s="28"/>
      <c r="HC170" s="28"/>
      <c r="HD170" s="28"/>
      <c r="HE170" s="28"/>
      <c r="HF170" s="28"/>
      <c r="HG170" s="28"/>
      <c r="HH170" s="28"/>
      <c r="HI170" s="28"/>
      <c r="HJ170" s="28"/>
      <c r="HK170" s="28"/>
    </row>
    <row r="171" spans="1:219" ht="15" customHeight="1">
      <c r="A171" s="49">
        <v>1</v>
      </c>
      <c r="B171" s="132" t="str">
        <f>VLOOKUP(Ruimtestaat[[#This Row],[Code]],Locaties[[Code]:[Locatie]],2,FALSE)</f>
        <v>Mirtehuis</v>
      </c>
      <c r="C171" s="132" t="str">
        <f>VLOOKUP(Ruimtestaat[[#This Row],[Code]],Locaties[[#All],[Code]:[Adres]],4,FALSE)</f>
        <v>Weseperweg 6</v>
      </c>
      <c r="D171" s="132" t="str">
        <f>VLOOKUP(Ruimtestaat[[#This Row],[Code]],Locaties[[#All],[Code]:[Postcode]],5,FALSE)</f>
        <v>8111 PK</v>
      </c>
      <c r="E171" s="132" t="str">
        <f>VLOOKUP(Ruimtestaat[[#This Row],[Code]],Locaties[#All],6,FALSE)</f>
        <v>Heeten</v>
      </c>
      <c r="F171" s="100"/>
      <c r="G171" s="100" t="s">
        <v>1677</v>
      </c>
      <c r="I171" s="140" t="s">
        <v>1656</v>
      </c>
      <c r="J171" s="49">
        <v>20</v>
      </c>
      <c r="K171" s="140" t="str">
        <f>VLOOKUP(Ruimtestaat[[#This Row],[Ruimte code]],Ruimtegroepen[[#All],[Code]:[Ruimte omschrijving]],2,FALSE)</f>
        <v>Niet in Onderhoud</v>
      </c>
      <c r="L171" s="100"/>
      <c r="M171" s="345"/>
      <c r="N171" s="133"/>
      <c r="O171" s="139"/>
      <c r="P171" s="134">
        <f>VLOOKUP(Ruimtestaat[[#This Row],[Ruimte code]],Ruimtegroepen[],4,FALSE)</f>
        <v>0</v>
      </c>
      <c r="Q171" s="100"/>
      <c r="R171" s="100"/>
      <c r="S171" s="100">
        <f>IF(Q171&gt;0,IF(RIGHT(Ruimtestaat[[#This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71" s="100">
        <f>IF(S171&gt;0,VLOOKUP($J171,Ruimtegroepen[],3,FALSE)*VLOOKUP($L171,Vloersoorten[],3,FALSE)*VLOOKUP($R171,Frequenties[],3,FALSE)*VLOOKUP($A171,Locaties[],3,FALSE),0)</f>
        <v>0</v>
      </c>
      <c r="U171" s="100">
        <f>Ruimtestaat[[#This Row],[Uitvoeringen werkdagen]]*Ruimtestaat[[#This Row],[Oppervlak (netto)]]</f>
        <v>0</v>
      </c>
      <c r="V171" s="135">
        <f>IF(T171&gt;0,Ruimtestaat[[#This Row],[Prest. (m2 /jaar) werkdagen]]/Ruimtestaat[[#This Row],[Norm (m2/uur) werkdagen]],0)</f>
        <v>0</v>
      </c>
      <c r="W171" s="136">
        <f>Ruimtestaat[[#This Row],[uren / jaar werkdagen]]*Tariefsopbouw!$E$35</f>
        <v>0</v>
      </c>
      <c r="X171" s="100"/>
      <c r="Y171" s="100">
        <f>IF(Ruimtestaat[[#This Row],[Frequentie weekend]]&gt;0,VALUE(LEFT(X171,1))*Q171,0)</f>
        <v>0</v>
      </c>
      <c r="Z171" s="99">
        <f>IF($Y171&gt;0,VLOOKUP($J171,Ruimtegroepen[],3,FALSE)*VLOOKUP($L171,Vloersoorten[],3,FALSE)*VLOOKUP($X171,Frequenties[],3,FALSE)*VLOOKUP(Ruimtestaat[[#This Row],[Code]],Locaties[],3,FALSE),0)</f>
        <v>0</v>
      </c>
      <c r="AA171" s="99">
        <f>Ruimtestaat[[#This Row],[Uitvoeringen weekend]]*Ruimtestaat[[#This Row],[Oppervlak (netto)]]</f>
        <v>0</v>
      </c>
      <c r="AB171" s="99">
        <f>IF(Z171&gt;0,Ruimtestaat[[#This Row],[Prest. (m2 /jaar) weekend]]/Ruimtestaat[[#This Row],[Norm (m2/uur) weekend]],0)</f>
        <v>0</v>
      </c>
      <c r="AC171" s="136">
        <f>Ruimtestaat[[#This Row],[uren / jaar weekend]]*Tariefsopbouw!$D$40</f>
        <v>0</v>
      </c>
      <c r="AD171" s="135">
        <f>Ruimtestaat[[#This Row],[Prest. (m2 /jaar) weekend]]+Ruimtestaat[[#This Row],[Prest. (m2 /jaar) werkdagen]]</f>
        <v>0</v>
      </c>
      <c r="AE171" s="135">
        <f>Ruimtestaat[[#This Row],[uren / jaar weekend]]+Ruimtestaat[[#This Row],[uren / jaar werkdagen]]</f>
        <v>0</v>
      </c>
      <c r="AF171" s="130">
        <f>Ruimtestaat[[#This Row],[kosten / jaar weekend]]+Ruimtestaat[[#This Row],[kosten / jaar werkdagen]]</f>
        <v>0</v>
      </c>
      <c r="AG171" s="130"/>
      <c r="AH171" s="137" t="str">
        <f>IF(Ruimtestaat[[#This Row],[Frequentie werkdagen]]="","",_xlfn.CONCAT(Ruimtestaat[[#This Row],[Ruimte code]],"-",Ruimtestaat[[#This Row],[Frequentie werkdagen]]," ",Ruimtestaat[[#This Row],[Vloer code]]))</f>
        <v/>
      </c>
      <c r="AI171" s="142" t="str">
        <f>_xlfn.IFNA(VLOOKUP($AH171,Programma!$F$3:$G$1101,2,0),"")</f>
        <v/>
      </c>
      <c r="AJ171" s="142" t="str">
        <f>_xlfn.IFNA(VLOOKUP($AH171,Programma!$F$3:$H$1101,3,0),"")</f>
        <v/>
      </c>
      <c r="AK171" s="142" t="str">
        <f>_xlfn.IFNA(VLOOKUP($AH171,Programma!$F$3:$I$1101,4,0),"")</f>
        <v/>
      </c>
      <c r="AL171" s="142" t="str">
        <f>_xlfn.IFNA(VLOOKUP($AH171,Programma!$F$3:$J$1101,5,0),"")</f>
        <v/>
      </c>
      <c r="AM171" s="142" t="str">
        <f>_xlfn.IFNA(VLOOKUP($AH171,Programma!$F$3:$K$1101,6,0),"")</f>
        <v/>
      </c>
      <c r="AN171" s="142" t="str">
        <f>_xlfn.IFNA(VLOOKUP($AH171,Programma!$F$3:$L$1101,7,0),"")</f>
        <v/>
      </c>
      <c r="AO171" s="142" t="str">
        <f>_xlfn.IFNA(VLOOKUP($AH171,Programma!$F$3:$M$1101,8,0),"")</f>
        <v/>
      </c>
      <c r="AP171" s="142" t="str">
        <f>_xlfn.IFNA(VLOOKUP($AH171,Programma!$F$3:$N$1101,9,0),"")</f>
        <v/>
      </c>
      <c r="AQ171" s="142" t="str">
        <f>_xlfn.IFNA(VLOOKUP($AH171,Programma!$F$3:$O$1101,10,0),"")</f>
        <v/>
      </c>
      <c r="AR171" s="142" t="str">
        <f>_xlfn.IFNA(VLOOKUP($AH171,Programma!$F$3:$P$1101,11,0),"")</f>
        <v/>
      </c>
      <c r="AS171" s="142" t="str">
        <f>_xlfn.IFNA(VLOOKUP($AH171,Programma!$F$3:$Q$1101,12,0),"")</f>
        <v/>
      </c>
      <c r="AT171" s="142" t="str">
        <f>_xlfn.IFNA(VLOOKUP($AH171,Programma!$F$3:$R$1101,13,0),"")</f>
        <v/>
      </c>
      <c r="AU171" s="142" t="str">
        <f>_xlfn.IFNA(VLOOKUP($AH171,Programma!$F$3:$S$1101,14,0),"")</f>
        <v/>
      </c>
      <c r="AV171" s="142" t="str">
        <f>_xlfn.IFNA(VLOOKUP($AH171,Programma!$F$3:$T$1101,15,0),"")</f>
        <v/>
      </c>
      <c r="AW171" s="142" t="str">
        <f>_xlfn.IFNA(VLOOKUP($AH171,Programma!$F$3:$U$1101,16,0),"")</f>
        <v/>
      </c>
      <c r="AX171" s="142" t="str">
        <f>_xlfn.IFNA(VLOOKUP($AH171,Programma!$F$3:$V$1101,17,0),"")</f>
        <v/>
      </c>
      <c r="AY171" s="142" t="str">
        <f>_xlfn.IFNA(VLOOKUP($AH171,Programma!$F$3:$W$1101,18,0),"")</f>
        <v/>
      </c>
      <c r="AZ171" s="142" t="str">
        <f>_xlfn.IFNA(VLOOKUP($AH171,Programma!$F$3:$X$1101,19,0),"")</f>
        <v/>
      </c>
      <c r="BA171" s="142" t="str">
        <f>_xlfn.IFNA(VLOOKUP($AH171,Programma!$F$3:$Y$1101,20,0),"")</f>
        <v/>
      </c>
      <c r="BB171" s="138"/>
      <c r="BC171" s="137" t="str">
        <f>IF(Ruimtestaat[[#This Row],[Frequentie weekend]]="","",_xlfn.CONCAT(Ruimtestaat[[#This Row],[Ruimte code]],"-",Ruimtestaat[[#This Row],[Frequentie weekend]]," ",Ruimtestaat[[#This Row],[Vloer code]]))</f>
        <v/>
      </c>
      <c r="BD171" s="142" t="str">
        <f>_xlfn.IFNA(VLOOKUP($BC171,Programma!$F$3:$G$1101,2,0),"")</f>
        <v/>
      </c>
      <c r="BE171" s="142" t="str">
        <f>_xlfn.IFNA(VLOOKUP($BC171,Programma!$F$3:$H$1101,3,0),"")</f>
        <v/>
      </c>
      <c r="BF171" s="142" t="str">
        <f>_xlfn.IFNA(VLOOKUP($BC171,Programma!$F$3:$I$1101,4,0),"")</f>
        <v/>
      </c>
      <c r="BG171" s="142" t="str">
        <f>_xlfn.IFNA(VLOOKUP($BC171,Programma!$F$3:$J$1101,5,0),"")</f>
        <v/>
      </c>
      <c r="BH171" s="142" t="str">
        <f>_xlfn.IFNA(VLOOKUP($BC171,Programma!$F$3:$K$1101,6,0),"")</f>
        <v/>
      </c>
      <c r="BI171" s="142" t="str">
        <f>_xlfn.IFNA(VLOOKUP($BC171,Programma!$F$3:$L$1101,7,0),"")</f>
        <v/>
      </c>
      <c r="BJ171" s="142" t="str">
        <f>_xlfn.IFNA(VLOOKUP($BC171,Programma!$F$3:$M$1101,8,0),"")</f>
        <v/>
      </c>
      <c r="BK171" s="142" t="str">
        <f>_xlfn.IFNA(VLOOKUP($BC171,Programma!$F$3:$N$1101,9,0),"")</f>
        <v/>
      </c>
      <c r="BL171" s="142" t="str">
        <f>_xlfn.IFNA(VLOOKUP($BC171,Programma!$F$3:$O$1101,10,0),"")</f>
        <v/>
      </c>
      <c r="BM171" s="142" t="str">
        <f>_xlfn.IFNA(VLOOKUP($BC171,Programma!$F$3:$P$1101,11,0),"")</f>
        <v/>
      </c>
      <c r="BN171" s="142" t="str">
        <f>_xlfn.IFNA(VLOOKUP($BC171,Programma!$F$3:$Q$1101,12,0),"")</f>
        <v/>
      </c>
      <c r="BO171" s="142" t="str">
        <f>_xlfn.IFNA(VLOOKUP($BC171,Programma!$F$3:$R$1101,13,0),"")</f>
        <v/>
      </c>
      <c r="BP171" s="142" t="str">
        <f>_xlfn.IFNA(VLOOKUP($BC171,Programma!$F$3:$S$1101,14,0),"")</f>
        <v/>
      </c>
      <c r="BQ171" s="142" t="str">
        <f>_xlfn.IFNA(VLOOKUP($BC171,Programma!$F$3:$T$1101,15,0),"")</f>
        <v/>
      </c>
      <c r="BR171" s="142" t="str">
        <f>_xlfn.IFNA(VLOOKUP($BC171,Programma!$F$3:$U$1101,16,0),"")</f>
        <v/>
      </c>
      <c r="BS171" s="142" t="str">
        <f>_xlfn.IFNA(VLOOKUP($BC171,Programma!$F$3:$V$1101,17,0),"")</f>
        <v/>
      </c>
      <c r="BT171" s="142" t="str">
        <f>_xlfn.IFNA(VLOOKUP($BC171,Programma!$F$3:$W$1101,18,0),"")</f>
        <v/>
      </c>
      <c r="BU171" s="142" t="str">
        <f>_xlfn.IFNA(VLOOKUP($BC171,Programma!$F$3:$X$1101,19,0),"")</f>
        <v/>
      </c>
      <c r="BV171" s="142" t="str">
        <f>_xlfn.IFNA(VLOOKUP($BC171,Programma!$F$3:$Y$1101,20,0),"")</f>
        <v/>
      </c>
      <c r="BW171" s="28"/>
      <c r="BX171" s="28"/>
      <c r="BY171" s="28"/>
      <c r="BZ171" s="28"/>
      <c r="CA171" s="28"/>
      <c r="CB171" s="28"/>
      <c r="CC171" s="28"/>
      <c r="CD171" s="28"/>
      <c r="CE171" s="28"/>
      <c r="CF171" s="28"/>
      <c r="CG171" s="28"/>
      <c r="CH171" s="28"/>
      <c r="CI171" s="28"/>
      <c r="CJ171" s="28"/>
      <c r="CK171" s="28"/>
      <c r="CL171" s="28"/>
      <c r="CM171" s="28"/>
      <c r="CN171" s="28"/>
      <c r="CO171" s="28"/>
      <c r="CP171" s="28"/>
      <c r="CQ171" s="28"/>
      <c r="CR171" s="28"/>
      <c r="CS171" s="28"/>
      <c r="CT171" s="28"/>
      <c r="CU171" s="28"/>
      <c r="CV171" s="28"/>
      <c r="CW171" s="28"/>
      <c r="CX171" s="28"/>
      <c r="CY171" s="28"/>
      <c r="CZ171" s="28"/>
      <c r="DA171" s="28"/>
      <c r="DB171" s="28"/>
      <c r="DC171" s="28"/>
      <c r="DD171" s="28"/>
      <c r="DE171" s="28"/>
      <c r="DF171" s="28"/>
      <c r="DG171" s="28"/>
      <c r="DH171" s="28"/>
      <c r="DI171" s="28"/>
      <c r="DJ171" s="28"/>
      <c r="DK171" s="28"/>
      <c r="DL171" s="28"/>
      <c r="DM171" s="28"/>
      <c r="DN171" s="28"/>
      <c r="DO171" s="28"/>
      <c r="DP171" s="28"/>
      <c r="DQ171" s="28"/>
      <c r="DR171" s="28"/>
      <c r="DS171" s="28"/>
      <c r="DT171" s="28"/>
      <c r="DU171" s="28"/>
      <c r="DV171" s="28"/>
      <c r="DW171" s="28"/>
      <c r="DX171" s="28"/>
      <c r="DY171" s="28"/>
      <c r="DZ171" s="28"/>
      <c r="EA171" s="28"/>
      <c r="EB171" s="28"/>
      <c r="EC171" s="28"/>
      <c r="ED171" s="28"/>
      <c r="EE171" s="28"/>
      <c r="EF171" s="28"/>
      <c r="EG171" s="28"/>
      <c r="EH171" s="28"/>
      <c r="EI171" s="28"/>
      <c r="EJ171" s="28"/>
      <c r="EK171" s="28"/>
      <c r="EL171" s="28"/>
      <c r="EM171" s="28"/>
      <c r="EN171" s="28"/>
      <c r="EO171" s="28"/>
      <c r="EP171" s="28"/>
      <c r="EQ171" s="28"/>
      <c r="ER171" s="28"/>
      <c r="ES171" s="28"/>
      <c r="ET171" s="28"/>
      <c r="EU171" s="28"/>
      <c r="EV171" s="28"/>
      <c r="EW171" s="28"/>
      <c r="EX171" s="28"/>
      <c r="EY171" s="28"/>
      <c r="EZ171" s="28"/>
      <c r="FA171" s="28"/>
      <c r="FB171" s="28"/>
      <c r="FC171" s="28"/>
      <c r="FD171" s="28"/>
      <c r="FE171" s="28"/>
      <c r="FF171" s="28"/>
      <c r="FG171" s="28"/>
      <c r="FH171" s="28"/>
      <c r="FI171" s="28"/>
      <c r="FJ171" s="28"/>
      <c r="FK171" s="28"/>
      <c r="FL171" s="28"/>
      <c r="FM171" s="28"/>
      <c r="FN171" s="28"/>
      <c r="FO171" s="28"/>
      <c r="FP171" s="28"/>
      <c r="FQ171" s="28"/>
      <c r="FR171" s="28"/>
      <c r="FS171" s="28"/>
      <c r="FT171" s="28"/>
      <c r="FU171" s="28"/>
      <c r="FV171" s="28"/>
      <c r="FW171" s="28"/>
      <c r="FX171" s="28"/>
      <c r="FY171" s="28"/>
      <c r="FZ171" s="28"/>
      <c r="GA171" s="28"/>
      <c r="GB171" s="28"/>
      <c r="GC171" s="28"/>
      <c r="GD171" s="28"/>
      <c r="GE171" s="28"/>
      <c r="GF171" s="28"/>
      <c r="GG171" s="28"/>
      <c r="GH171" s="28"/>
      <c r="GI171" s="28"/>
      <c r="GJ171" s="28"/>
      <c r="GK171" s="28"/>
      <c r="GL171" s="28"/>
      <c r="GM171" s="28"/>
      <c r="GN171" s="28"/>
      <c r="GO171" s="28"/>
      <c r="GP171" s="28"/>
      <c r="GQ171" s="28"/>
      <c r="GR171" s="28"/>
      <c r="GS171" s="28"/>
      <c r="GT171" s="28"/>
      <c r="GU171" s="28"/>
      <c r="GV171" s="28"/>
      <c r="GW171" s="28"/>
      <c r="GX171" s="28"/>
      <c r="GY171" s="28"/>
      <c r="GZ171" s="28"/>
      <c r="HA171" s="28"/>
      <c r="HB171" s="28"/>
      <c r="HC171" s="28"/>
      <c r="HD171" s="28"/>
      <c r="HE171" s="28"/>
      <c r="HF171" s="28"/>
      <c r="HG171" s="28"/>
      <c r="HH171" s="28"/>
      <c r="HI171" s="28"/>
      <c r="HJ171" s="28"/>
      <c r="HK171" s="28"/>
    </row>
    <row r="172" spans="1:219" ht="15" customHeight="1">
      <c r="A172" s="49">
        <v>1</v>
      </c>
      <c r="B172" s="132" t="str">
        <f>VLOOKUP(Ruimtestaat[[#This Row],[Code]],Locaties[[Code]:[Locatie]],2,FALSE)</f>
        <v>Mirtehuis</v>
      </c>
      <c r="C172" s="132" t="str">
        <f>VLOOKUP(Ruimtestaat[[#This Row],[Code]],Locaties[[#All],[Code]:[Adres]],4,FALSE)</f>
        <v>Weseperweg 6</v>
      </c>
      <c r="D172" s="132" t="str">
        <f>VLOOKUP(Ruimtestaat[[#This Row],[Code]],Locaties[[#All],[Code]:[Postcode]],5,FALSE)</f>
        <v>8111 PK</v>
      </c>
      <c r="E172" s="132" t="str">
        <f>VLOOKUP(Ruimtestaat[[#This Row],[Code]],Locaties[#All],6,FALSE)</f>
        <v>Heeten</v>
      </c>
      <c r="F172" s="100"/>
      <c r="G172" s="100" t="s">
        <v>1677</v>
      </c>
      <c r="H172" s="49">
        <v>3</v>
      </c>
      <c r="I172" s="140" t="s">
        <v>1650</v>
      </c>
      <c r="J172" s="49">
        <v>20</v>
      </c>
      <c r="K172" s="140" t="str">
        <f>VLOOKUP(Ruimtestaat[[#This Row],[Ruimte code]],Ruimtegroepen[[#All],[Code]:[Ruimte omschrijving]],2,FALSE)</f>
        <v>Niet in Onderhoud</v>
      </c>
      <c r="L172" s="100"/>
      <c r="M172" s="345"/>
      <c r="N172" s="133"/>
      <c r="O172" s="100"/>
      <c r="P172" s="134">
        <f>VLOOKUP(Ruimtestaat[[#This Row],[Ruimte code]],Ruimtegroepen[],4,FALSE)</f>
        <v>0</v>
      </c>
      <c r="Q172" s="100"/>
      <c r="R172" s="100"/>
      <c r="S172" s="100">
        <f>IF(Q172&gt;0,IF(RIGHT(Ruimtestaat[[#This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72" s="100">
        <f>IF(S172&gt;0,VLOOKUP($J172,Ruimtegroepen[],3,FALSE)*VLOOKUP($L172,Vloersoorten[],3,FALSE)*VLOOKUP($R172,Frequenties[],3,FALSE)*VLOOKUP($A172,Locaties[],3,FALSE),0)</f>
        <v>0</v>
      </c>
      <c r="U172" s="100">
        <f>Ruimtestaat[[#This Row],[Uitvoeringen werkdagen]]*Ruimtestaat[[#This Row],[Oppervlak (netto)]]</f>
        <v>0</v>
      </c>
      <c r="V172" s="135">
        <f>IF(T172&gt;0,Ruimtestaat[[#This Row],[Prest. (m2 /jaar) werkdagen]]/Ruimtestaat[[#This Row],[Norm (m2/uur) werkdagen]],0)</f>
        <v>0</v>
      </c>
      <c r="W172" s="136">
        <f>Ruimtestaat[[#This Row],[uren / jaar werkdagen]]*Tariefsopbouw!$E$35</f>
        <v>0</v>
      </c>
      <c r="X172" s="100"/>
      <c r="Y172" s="100">
        <f>IF(Ruimtestaat[[#This Row],[Frequentie weekend]]&gt;0,VALUE(LEFT(X172,1))*Q172,0)</f>
        <v>0</v>
      </c>
      <c r="Z172" s="99">
        <f>IF($Y172&gt;0,VLOOKUP($J172,Ruimtegroepen[],3,FALSE)*VLOOKUP($L172,Vloersoorten[],3,FALSE)*VLOOKUP($X172,Frequenties[],3,FALSE)*VLOOKUP(Ruimtestaat[[#This Row],[Code]],Locaties[],3,FALSE),0)</f>
        <v>0</v>
      </c>
      <c r="AA172" s="99">
        <f>Ruimtestaat[[#This Row],[Uitvoeringen weekend]]*Ruimtestaat[[#This Row],[Oppervlak (netto)]]</f>
        <v>0</v>
      </c>
      <c r="AB172" s="99">
        <f>IF(Z172&gt;0,Ruimtestaat[[#This Row],[Prest. (m2 /jaar) weekend]]/Ruimtestaat[[#This Row],[Norm (m2/uur) weekend]],0)</f>
        <v>0</v>
      </c>
      <c r="AC172" s="136">
        <f>Ruimtestaat[[#This Row],[uren / jaar weekend]]*Tariefsopbouw!$D$40</f>
        <v>0</v>
      </c>
      <c r="AD172" s="135">
        <f>Ruimtestaat[[#This Row],[Prest. (m2 /jaar) weekend]]+Ruimtestaat[[#This Row],[Prest. (m2 /jaar) werkdagen]]</f>
        <v>0</v>
      </c>
      <c r="AE172" s="135">
        <f>Ruimtestaat[[#This Row],[uren / jaar weekend]]+Ruimtestaat[[#This Row],[uren / jaar werkdagen]]</f>
        <v>0</v>
      </c>
      <c r="AF172" s="130">
        <f>Ruimtestaat[[#This Row],[kosten / jaar weekend]]+Ruimtestaat[[#This Row],[kosten / jaar werkdagen]]</f>
        <v>0</v>
      </c>
      <c r="AG172" s="130"/>
      <c r="AH172" s="137" t="str">
        <f>IF(Ruimtestaat[[#This Row],[Frequentie werkdagen]]="","",_xlfn.CONCAT(Ruimtestaat[[#This Row],[Ruimte code]],"-",Ruimtestaat[[#This Row],[Frequentie werkdagen]]," ",Ruimtestaat[[#This Row],[Vloer code]]))</f>
        <v/>
      </c>
      <c r="AI172" s="142" t="str">
        <f>_xlfn.IFNA(VLOOKUP($AH172,Programma!$F$3:$G$1101,2,0),"")</f>
        <v/>
      </c>
      <c r="AJ172" s="142" t="str">
        <f>_xlfn.IFNA(VLOOKUP($AH172,Programma!$F$3:$H$1101,3,0),"")</f>
        <v/>
      </c>
      <c r="AK172" s="142" t="str">
        <f>_xlfn.IFNA(VLOOKUP($AH172,Programma!$F$3:$I$1101,4,0),"")</f>
        <v/>
      </c>
      <c r="AL172" s="142" t="str">
        <f>_xlfn.IFNA(VLOOKUP($AH172,Programma!$F$3:$J$1101,5,0),"")</f>
        <v/>
      </c>
      <c r="AM172" s="142" t="str">
        <f>_xlfn.IFNA(VLOOKUP($AH172,Programma!$F$3:$K$1101,6,0),"")</f>
        <v/>
      </c>
      <c r="AN172" s="142" t="str">
        <f>_xlfn.IFNA(VLOOKUP($AH172,Programma!$F$3:$L$1101,7,0),"")</f>
        <v/>
      </c>
      <c r="AO172" s="142" t="str">
        <f>_xlfn.IFNA(VLOOKUP($AH172,Programma!$F$3:$M$1101,8,0),"")</f>
        <v/>
      </c>
      <c r="AP172" s="142" t="str">
        <f>_xlfn.IFNA(VLOOKUP($AH172,Programma!$F$3:$N$1101,9,0),"")</f>
        <v/>
      </c>
      <c r="AQ172" s="142" t="str">
        <f>_xlfn.IFNA(VLOOKUP($AH172,Programma!$F$3:$O$1101,10,0),"")</f>
        <v/>
      </c>
      <c r="AR172" s="142" t="str">
        <f>_xlfn.IFNA(VLOOKUP($AH172,Programma!$F$3:$P$1101,11,0),"")</f>
        <v/>
      </c>
      <c r="AS172" s="142" t="str">
        <f>_xlfn.IFNA(VLOOKUP($AH172,Programma!$F$3:$Q$1101,12,0),"")</f>
        <v/>
      </c>
      <c r="AT172" s="142" t="str">
        <f>_xlfn.IFNA(VLOOKUP($AH172,Programma!$F$3:$R$1101,13,0),"")</f>
        <v/>
      </c>
      <c r="AU172" s="142" t="str">
        <f>_xlfn.IFNA(VLOOKUP($AH172,Programma!$F$3:$S$1101,14,0),"")</f>
        <v/>
      </c>
      <c r="AV172" s="142" t="str">
        <f>_xlfn.IFNA(VLOOKUP($AH172,Programma!$F$3:$T$1101,15,0),"")</f>
        <v/>
      </c>
      <c r="AW172" s="142" t="str">
        <f>_xlfn.IFNA(VLOOKUP($AH172,Programma!$F$3:$U$1101,16,0),"")</f>
        <v/>
      </c>
      <c r="AX172" s="142" t="str">
        <f>_xlfn.IFNA(VLOOKUP($AH172,Programma!$F$3:$V$1101,17,0),"")</f>
        <v/>
      </c>
      <c r="AY172" s="142" t="str">
        <f>_xlfn.IFNA(VLOOKUP($AH172,Programma!$F$3:$W$1101,18,0),"")</f>
        <v/>
      </c>
      <c r="AZ172" s="142" t="str">
        <f>_xlfn.IFNA(VLOOKUP($AH172,Programma!$F$3:$X$1101,19,0),"")</f>
        <v/>
      </c>
      <c r="BA172" s="142" t="str">
        <f>_xlfn.IFNA(VLOOKUP($AH172,Programma!$F$3:$Y$1101,20,0),"")</f>
        <v/>
      </c>
      <c r="BB172" s="138"/>
      <c r="BC172" s="137" t="str">
        <f>IF(Ruimtestaat[[#This Row],[Frequentie weekend]]="","",_xlfn.CONCAT(Ruimtestaat[[#This Row],[Ruimte code]],"-",Ruimtestaat[[#This Row],[Frequentie weekend]]," ",Ruimtestaat[[#This Row],[Vloer code]]))</f>
        <v/>
      </c>
      <c r="BD172" s="142" t="str">
        <f>_xlfn.IFNA(VLOOKUP($BC172,Programma!$F$3:$G$1101,2,0),"")</f>
        <v/>
      </c>
      <c r="BE172" s="142" t="str">
        <f>_xlfn.IFNA(VLOOKUP($BC172,Programma!$F$3:$H$1101,3,0),"")</f>
        <v/>
      </c>
      <c r="BF172" s="142" t="str">
        <f>_xlfn.IFNA(VLOOKUP($BC172,Programma!$F$3:$I$1101,4,0),"")</f>
        <v/>
      </c>
      <c r="BG172" s="142" t="str">
        <f>_xlfn.IFNA(VLOOKUP($BC172,Programma!$F$3:$J$1101,5,0),"")</f>
        <v/>
      </c>
      <c r="BH172" s="142" t="str">
        <f>_xlfn.IFNA(VLOOKUP($BC172,Programma!$F$3:$K$1101,6,0),"")</f>
        <v/>
      </c>
      <c r="BI172" s="142" t="str">
        <f>_xlfn.IFNA(VLOOKUP($BC172,Programma!$F$3:$L$1101,7,0),"")</f>
        <v/>
      </c>
      <c r="BJ172" s="142" t="str">
        <f>_xlfn.IFNA(VLOOKUP($BC172,Programma!$F$3:$M$1101,8,0),"")</f>
        <v/>
      </c>
      <c r="BK172" s="142" t="str">
        <f>_xlfn.IFNA(VLOOKUP($BC172,Programma!$F$3:$N$1101,9,0),"")</f>
        <v/>
      </c>
      <c r="BL172" s="142" t="str">
        <f>_xlfn.IFNA(VLOOKUP($BC172,Programma!$F$3:$O$1101,10,0),"")</f>
        <v/>
      </c>
      <c r="BM172" s="142" t="str">
        <f>_xlfn.IFNA(VLOOKUP($BC172,Programma!$F$3:$P$1101,11,0),"")</f>
        <v/>
      </c>
      <c r="BN172" s="142" t="str">
        <f>_xlfn.IFNA(VLOOKUP($BC172,Programma!$F$3:$Q$1101,12,0),"")</f>
        <v/>
      </c>
      <c r="BO172" s="142" t="str">
        <f>_xlfn.IFNA(VLOOKUP($BC172,Programma!$F$3:$R$1101,13,0),"")</f>
        <v/>
      </c>
      <c r="BP172" s="142" t="str">
        <f>_xlfn.IFNA(VLOOKUP($BC172,Programma!$F$3:$S$1101,14,0),"")</f>
        <v/>
      </c>
      <c r="BQ172" s="142" t="str">
        <f>_xlfn.IFNA(VLOOKUP($BC172,Programma!$F$3:$T$1101,15,0),"")</f>
        <v/>
      </c>
      <c r="BR172" s="142" t="str">
        <f>_xlfn.IFNA(VLOOKUP($BC172,Programma!$F$3:$U$1101,16,0),"")</f>
        <v/>
      </c>
      <c r="BS172" s="142" t="str">
        <f>_xlfn.IFNA(VLOOKUP($BC172,Programma!$F$3:$V$1101,17,0),"")</f>
        <v/>
      </c>
      <c r="BT172" s="142" t="str">
        <f>_xlfn.IFNA(VLOOKUP($BC172,Programma!$F$3:$W$1101,18,0),"")</f>
        <v/>
      </c>
      <c r="BU172" s="142" t="str">
        <f>_xlfn.IFNA(VLOOKUP($BC172,Programma!$F$3:$X$1101,19,0),"")</f>
        <v/>
      </c>
      <c r="BV172" s="142" t="str">
        <f>_xlfn.IFNA(VLOOKUP($BC172,Programma!$F$3:$Y$1101,20,0),"")</f>
        <v/>
      </c>
      <c r="BW172" s="28"/>
      <c r="BX172" s="28"/>
      <c r="BY172" s="28"/>
      <c r="BZ172" s="28"/>
      <c r="CA172" s="28"/>
      <c r="CB172" s="28"/>
      <c r="CC172" s="28"/>
      <c r="CD172" s="28"/>
      <c r="CE172" s="28"/>
      <c r="CF172" s="28"/>
      <c r="CG172" s="28"/>
      <c r="CH172" s="28"/>
      <c r="CI172" s="28"/>
      <c r="CJ172" s="28"/>
      <c r="CK172" s="28"/>
      <c r="CL172" s="28"/>
      <c r="CM172" s="28"/>
      <c r="CN172" s="28"/>
      <c r="CO172" s="28"/>
      <c r="CP172" s="28"/>
      <c r="CQ172" s="28"/>
      <c r="CR172" s="28"/>
      <c r="CS172" s="28"/>
      <c r="CT172" s="28"/>
      <c r="CU172" s="28"/>
      <c r="CV172" s="28"/>
      <c r="CW172" s="28"/>
      <c r="CX172" s="28"/>
      <c r="CY172" s="28"/>
      <c r="CZ172" s="28"/>
      <c r="DA172" s="28"/>
      <c r="DB172" s="28"/>
      <c r="DC172" s="28"/>
      <c r="DD172" s="28"/>
      <c r="DE172" s="28"/>
      <c r="DF172" s="28"/>
      <c r="DG172" s="28"/>
      <c r="DH172" s="28"/>
      <c r="DI172" s="28"/>
      <c r="DJ172" s="28"/>
      <c r="DK172" s="28"/>
      <c r="DL172" s="28"/>
      <c r="DM172" s="28"/>
      <c r="DN172" s="28"/>
      <c r="DO172" s="28"/>
      <c r="DP172" s="28"/>
      <c r="DQ172" s="28"/>
      <c r="DR172" s="28"/>
      <c r="DS172" s="28"/>
      <c r="DT172" s="28"/>
      <c r="DU172" s="28"/>
      <c r="DV172" s="28"/>
      <c r="DW172" s="28"/>
      <c r="DX172" s="28"/>
      <c r="DY172" s="28"/>
      <c r="DZ172" s="28"/>
      <c r="EA172" s="28"/>
      <c r="EB172" s="28"/>
      <c r="EC172" s="28"/>
      <c r="ED172" s="28"/>
      <c r="EE172" s="28"/>
      <c r="EF172" s="28"/>
      <c r="EG172" s="28"/>
      <c r="EH172" s="28"/>
      <c r="EI172" s="28"/>
      <c r="EJ172" s="28"/>
      <c r="EK172" s="28"/>
      <c r="EL172" s="28"/>
      <c r="EM172" s="28"/>
      <c r="EN172" s="28"/>
      <c r="EO172" s="28"/>
      <c r="EP172" s="28"/>
      <c r="EQ172" s="28"/>
      <c r="ER172" s="28"/>
      <c r="ES172" s="28"/>
      <c r="ET172" s="28"/>
      <c r="EU172" s="28"/>
      <c r="EV172" s="28"/>
      <c r="EW172" s="28"/>
      <c r="EX172" s="28"/>
      <c r="EY172" s="28"/>
      <c r="EZ172" s="28"/>
      <c r="FA172" s="28"/>
      <c r="FB172" s="28"/>
      <c r="FC172" s="28"/>
      <c r="FD172" s="28"/>
      <c r="FE172" s="28"/>
      <c r="FF172" s="28"/>
      <c r="FG172" s="28"/>
      <c r="FH172" s="28"/>
      <c r="FI172" s="28"/>
      <c r="FJ172" s="28"/>
      <c r="FK172" s="28"/>
      <c r="FL172" s="28"/>
      <c r="FM172" s="28"/>
      <c r="FN172" s="28"/>
      <c r="FO172" s="28"/>
      <c r="FP172" s="28"/>
      <c r="FQ172" s="28"/>
      <c r="FR172" s="28"/>
      <c r="FS172" s="28"/>
      <c r="FT172" s="28"/>
      <c r="FU172" s="28"/>
      <c r="FV172" s="28"/>
      <c r="FW172" s="28"/>
      <c r="FX172" s="28"/>
      <c r="FY172" s="28"/>
      <c r="FZ172" s="28"/>
      <c r="GA172" s="28"/>
      <c r="GB172" s="28"/>
      <c r="GC172" s="28"/>
      <c r="GD172" s="28"/>
      <c r="GE172" s="28"/>
      <c r="GF172" s="28"/>
      <c r="GG172" s="28"/>
      <c r="GH172" s="28"/>
      <c r="GI172" s="28"/>
      <c r="GJ172" s="28"/>
      <c r="GK172" s="28"/>
      <c r="GL172" s="28"/>
      <c r="GM172" s="28"/>
      <c r="GN172" s="28"/>
      <c r="GO172" s="28"/>
      <c r="GP172" s="28"/>
      <c r="GQ172" s="28"/>
      <c r="GR172" s="28"/>
      <c r="GS172" s="28"/>
      <c r="GT172" s="28"/>
      <c r="GU172" s="28"/>
      <c r="GV172" s="28"/>
      <c r="GW172" s="28"/>
      <c r="GX172" s="28"/>
      <c r="GY172" s="28"/>
      <c r="GZ172" s="28"/>
      <c r="HA172" s="28"/>
      <c r="HB172" s="28"/>
      <c r="HC172" s="28"/>
      <c r="HD172" s="28"/>
      <c r="HE172" s="28"/>
      <c r="HF172" s="28"/>
      <c r="HG172" s="28"/>
      <c r="HH172" s="28"/>
      <c r="HI172" s="28"/>
      <c r="HJ172" s="28"/>
      <c r="HK172" s="28"/>
    </row>
    <row r="173" spans="1:219" ht="15" customHeight="1">
      <c r="A173" s="49">
        <v>1</v>
      </c>
      <c r="B173" s="132" t="str">
        <f>VLOOKUP(Ruimtestaat[[#This Row],[Code]],Locaties[[Code]:[Locatie]],2,FALSE)</f>
        <v>Mirtehuis</v>
      </c>
      <c r="C173" s="132" t="str">
        <f>VLOOKUP(Ruimtestaat[[#This Row],[Code]],Locaties[[#All],[Code]:[Adres]],4,FALSE)</f>
        <v>Weseperweg 6</v>
      </c>
      <c r="D173" s="132" t="str">
        <f>VLOOKUP(Ruimtestaat[[#This Row],[Code]],Locaties[[#All],[Code]:[Postcode]],5,FALSE)</f>
        <v>8111 PK</v>
      </c>
      <c r="E173" s="132" t="str">
        <f>VLOOKUP(Ruimtestaat[[#This Row],[Code]],Locaties[#All],6,FALSE)</f>
        <v>Heeten</v>
      </c>
      <c r="F173" s="100"/>
      <c r="G173" s="100" t="s">
        <v>1677</v>
      </c>
      <c r="I173" s="140" t="s">
        <v>1656</v>
      </c>
      <c r="J173" s="49">
        <v>20</v>
      </c>
      <c r="K173" s="140" t="str">
        <f>VLOOKUP(Ruimtestaat[[#This Row],[Ruimte code]],Ruimtegroepen[[#All],[Code]:[Ruimte omschrijving]],2,FALSE)</f>
        <v>Niet in Onderhoud</v>
      </c>
      <c r="L173" s="100"/>
      <c r="M173" s="345"/>
      <c r="N173" s="133"/>
      <c r="O173" s="139"/>
      <c r="P173" s="134">
        <f>VLOOKUP(Ruimtestaat[[#This Row],[Ruimte code]],Ruimtegroepen[],4,FALSE)</f>
        <v>0</v>
      </c>
      <c r="Q173" s="100"/>
      <c r="R173" s="100"/>
      <c r="S173" s="100">
        <f>IF(Q173&gt;0,IF(RIGHT(Ruimtestaat[[#This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73" s="100">
        <f>IF(S173&gt;0,VLOOKUP($J173,Ruimtegroepen[],3,FALSE)*VLOOKUP($L173,Vloersoorten[],3,FALSE)*VLOOKUP($R173,Frequenties[],3,FALSE)*VLOOKUP($A173,Locaties[],3,FALSE),0)</f>
        <v>0</v>
      </c>
      <c r="U173" s="100">
        <f>Ruimtestaat[[#This Row],[Uitvoeringen werkdagen]]*Ruimtestaat[[#This Row],[Oppervlak (netto)]]</f>
        <v>0</v>
      </c>
      <c r="V173" s="135">
        <f>IF(T173&gt;0,Ruimtestaat[[#This Row],[Prest. (m2 /jaar) werkdagen]]/Ruimtestaat[[#This Row],[Norm (m2/uur) werkdagen]],0)</f>
        <v>0</v>
      </c>
      <c r="W173" s="136">
        <f>Ruimtestaat[[#This Row],[uren / jaar werkdagen]]*Tariefsopbouw!$E$35</f>
        <v>0</v>
      </c>
      <c r="X173" s="100"/>
      <c r="Y173" s="100">
        <f>IF(Ruimtestaat[[#This Row],[Frequentie weekend]]&gt;0,VALUE(LEFT(X173,1))*Q173,0)</f>
        <v>0</v>
      </c>
      <c r="Z173" s="99">
        <f>IF($Y173&gt;0,VLOOKUP($J173,Ruimtegroepen[],3,FALSE)*VLOOKUP($L173,Vloersoorten[],3,FALSE)*VLOOKUP($X173,Frequenties[],3,FALSE)*VLOOKUP(Ruimtestaat[[#This Row],[Code]],Locaties[],3,FALSE),0)</f>
        <v>0</v>
      </c>
      <c r="AA173" s="99">
        <f>Ruimtestaat[[#This Row],[Uitvoeringen weekend]]*Ruimtestaat[[#This Row],[Oppervlak (netto)]]</f>
        <v>0</v>
      </c>
      <c r="AB173" s="99">
        <f>IF(Z173&gt;0,Ruimtestaat[[#This Row],[Prest. (m2 /jaar) weekend]]/Ruimtestaat[[#This Row],[Norm (m2/uur) weekend]],0)</f>
        <v>0</v>
      </c>
      <c r="AC173" s="136">
        <f>Ruimtestaat[[#This Row],[uren / jaar weekend]]*Tariefsopbouw!$D$40</f>
        <v>0</v>
      </c>
      <c r="AD173" s="135">
        <f>Ruimtestaat[[#This Row],[Prest. (m2 /jaar) weekend]]+Ruimtestaat[[#This Row],[Prest. (m2 /jaar) werkdagen]]</f>
        <v>0</v>
      </c>
      <c r="AE173" s="135">
        <f>Ruimtestaat[[#This Row],[uren / jaar weekend]]+Ruimtestaat[[#This Row],[uren / jaar werkdagen]]</f>
        <v>0</v>
      </c>
      <c r="AF173" s="130">
        <f>Ruimtestaat[[#This Row],[kosten / jaar weekend]]+Ruimtestaat[[#This Row],[kosten / jaar werkdagen]]</f>
        <v>0</v>
      </c>
      <c r="AG173" s="130"/>
      <c r="AH173" s="137" t="str">
        <f>IF(Ruimtestaat[[#This Row],[Frequentie werkdagen]]="","",_xlfn.CONCAT(Ruimtestaat[[#This Row],[Ruimte code]],"-",Ruimtestaat[[#This Row],[Frequentie werkdagen]]," ",Ruimtestaat[[#This Row],[Vloer code]]))</f>
        <v/>
      </c>
      <c r="AI173" s="142" t="str">
        <f>_xlfn.IFNA(VLOOKUP($AH173,Programma!$F$3:$G$1101,2,0),"")</f>
        <v/>
      </c>
      <c r="AJ173" s="142" t="str">
        <f>_xlfn.IFNA(VLOOKUP($AH173,Programma!$F$3:$H$1101,3,0),"")</f>
        <v/>
      </c>
      <c r="AK173" s="142" t="str">
        <f>_xlfn.IFNA(VLOOKUP($AH173,Programma!$F$3:$I$1101,4,0),"")</f>
        <v/>
      </c>
      <c r="AL173" s="142" t="str">
        <f>_xlfn.IFNA(VLOOKUP($AH173,Programma!$F$3:$J$1101,5,0),"")</f>
        <v/>
      </c>
      <c r="AM173" s="142" t="str">
        <f>_xlfn.IFNA(VLOOKUP($AH173,Programma!$F$3:$K$1101,6,0),"")</f>
        <v/>
      </c>
      <c r="AN173" s="142" t="str">
        <f>_xlfn.IFNA(VLOOKUP($AH173,Programma!$F$3:$L$1101,7,0),"")</f>
        <v/>
      </c>
      <c r="AO173" s="142" t="str">
        <f>_xlfn.IFNA(VLOOKUP($AH173,Programma!$F$3:$M$1101,8,0),"")</f>
        <v/>
      </c>
      <c r="AP173" s="142" t="str">
        <f>_xlfn.IFNA(VLOOKUP($AH173,Programma!$F$3:$N$1101,9,0),"")</f>
        <v/>
      </c>
      <c r="AQ173" s="142" t="str">
        <f>_xlfn.IFNA(VLOOKUP($AH173,Programma!$F$3:$O$1101,10,0),"")</f>
        <v/>
      </c>
      <c r="AR173" s="142" t="str">
        <f>_xlfn.IFNA(VLOOKUP($AH173,Programma!$F$3:$P$1101,11,0),"")</f>
        <v/>
      </c>
      <c r="AS173" s="142" t="str">
        <f>_xlfn.IFNA(VLOOKUP($AH173,Programma!$F$3:$Q$1101,12,0),"")</f>
        <v/>
      </c>
      <c r="AT173" s="142" t="str">
        <f>_xlfn.IFNA(VLOOKUP($AH173,Programma!$F$3:$R$1101,13,0),"")</f>
        <v/>
      </c>
      <c r="AU173" s="142" t="str">
        <f>_xlfn.IFNA(VLOOKUP($AH173,Programma!$F$3:$S$1101,14,0),"")</f>
        <v/>
      </c>
      <c r="AV173" s="142" t="str">
        <f>_xlfn.IFNA(VLOOKUP($AH173,Programma!$F$3:$T$1101,15,0),"")</f>
        <v/>
      </c>
      <c r="AW173" s="142" t="str">
        <f>_xlfn.IFNA(VLOOKUP($AH173,Programma!$F$3:$U$1101,16,0),"")</f>
        <v/>
      </c>
      <c r="AX173" s="142" t="str">
        <f>_xlfn.IFNA(VLOOKUP($AH173,Programma!$F$3:$V$1101,17,0),"")</f>
        <v/>
      </c>
      <c r="AY173" s="142" t="str">
        <f>_xlfn.IFNA(VLOOKUP($AH173,Programma!$F$3:$W$1101,18,0),"")</f>
        <v/>
      </c>
      <c r="AZ173" s="142" t="str">
        <f>_xlfn.IFNA(VLOOKUP($AH173,Programma!$F$3:$X$1101,19,0),"")</f>
        <v/>
      </c>
      <c r="BA173" s="142" t="str">
        <f>_xlfn.IFNA(VLOOKUP($AH173,Programma!$F$3:$Y$1101,20,0),"")</f>
        <v/>
      </c>
      <c r="BB173" s="138"/>
      <c r="BC173" s="137" t="str">
        <f>IF(Ruimtestaat[[#This Row],[Frequentie weekend]]="","",_xlfn.CONCAT(Ruimtestaat[[#This Row],[Ruimte code]],"-",Ruimtestaat[[#This Row],[Frequentie weekend]]," ",Ruimtestaat[[#This Row],[Vloer code]]))</f>
        <v/>
      </c>
      <c r="BD173" s="142" t="str">
        <f>_xlfn.IFNA(VLOOKUP($BC173,Programma!$F$3:$G$1101,2,0),"")</f>
        <v/>
      </c>
      <c r="BE173" s="142" t="str">
        <f>_xlfn.IFNA(VLOOKUP($BC173,Programma!$F$3:$H$1101,3,0),"")</f>
        <v/>
      </c>
      <c r="BF173" s="142" t="str">
        <f>_xlfn.IFNA(VLOOKUP($BC173,Programma!$F$3:$I$1101,4,0),"")</f>
        <v/>
      </c>
      <c r="BG173" s="142" t="str">
        <f>_xlfn.IFNA(VLOOKUP($BC173,Programma!$F$3:$J$1101,5,0),"")</f>
        <v/>
      </c>
      <c r="BH173" s="142" t="str">
        <f>_xlfn.IFNA(VLOOKUP($BC173,Programma!$F$3:$K$1101,6,0),"")</f>
        <v/>
      </c>
      <c r="BI173" s="142" t="str">
        <f>_xlfn.IFNA(VLOOKUP($BC173,Programma!$F$3:$L$1101,7,0),"")</f>
        <v/>
      </c>
      <c r="BJ173" s="142" t="str">
        <f>_xlfn.IFNA(VLOOKUP($BC173,Programma!$F$3:$M$1101,8,0),"")</f>
        <v/>
      </c>
      <c r="BK173" s="142" t="str">
        <f>_xlfn.IFNA(VLOOKUP($BC173,Programma!$F$3:$N$1101,9,0),"")</f>
        <v/>
      </c>
      <c r="BL173" s="142" t="str">
        <f>_xlfn.IFNA(VLOOKUP($BC173,Programma!$F$3:$O$1101,10,0),"")</f>
        <v/>
      </c>
      <c r="BM173" s="142" t="str">
        <f>_xlfn.IFNA(VLOOKUP($BC173,Programma!$F$3:$P$1101,11,0),"")</f>
        <v/>
      </c>
      <c r="BN173" s="142" t="str">
        <f>_xlfn.IFNA(VLOOKUP($BC173,Programma!$F$3:$Q$1101,12,0),"")</f>
        <v/>
      </c>
      <c r="BO173" s="142" t="str">
        <f>_xlfn.IFNA(VLOOKUP($BC173,Programma!$F$3:$R$1101,13,0),"")</f>
        <v/>
      </c>
      <c r="BP173" s="142" t="str">
        <f>_xlfn.IFNA(VLOOKUP($BC173,Programma!$F$3:$S$1101,14,0),"")</f>
        <v/>
      </c>
      <c r="BQ173" s="142" t="str">
        <f>_xlfn.IFNA(VLOOKUP($BC173,Programma!$F$3:$T$1101,15,0),"")</f>
        <v/>
      </c>
      <c r="BR173" s="142" t="str">
        <f>_xlfn.IFNA(VLOOKUP($BC173,Programma!$F$3:$U$1101,16,0),"")</f>
        <v/>
      </c>
      <c r="BS173" s="142" t="str">
        <f>_xlfn.IFNA(VLOOKUP($BC173,Programma!$F$3:$V$1101,17,0),"")</f>
        <v/>
      </c>
      <c r="BT173" s="142" t="str">
        <f>_xlfn.IFNA(VLOOKUP($BC173,Programma!$F$3:$W$1101,18,0),"")</f>
        <v/>
      </c>
      <c r="BU173" s="142" t="str">
        <f>_xlfn.IFNA(VLOOKUP($BC173,Programma!$F$3:$X$1101,19,0),"")</f>
        <v/>
      </c>
      <c r="BV173" s="142" t="str">
        <f>_xlfn.IFNA(VLOOKUP($BC173,Programma!$F$3:$Y$1101,20,0),"")</f>
        <v/>
      </c>
      <c r="BW173" s="28"/>
      <c r="BX173" s="28"/>
      <c r="BY173" s="28"/>
      <c r="BZ173" s="28"/>
      <c r="CA173" s="28"/>
      <c r="CB173" s="28"/>
      <c r="CC173" s="28"/>
      <c r="CD173" s="28"/>
      <c r="CE173" s="28"/>
      <c r="CF173" s="28"/>
      <c r="CG173" s="28"/>
      <c r="CH173" s="28"/>
      <c r="CI173" s="28"/>
      <c r="CJ173" s="28"/>
      <c r="CK173" s="28"/>
      <c r="CL173" s="28"/>
      <c r="CM173" s="28"/>
      <c r="CN173" s="28"/>
      <c r="CO173" s="28"/>
      <c r="CP173" s="28"/>
      <c r="CQ173" s="28"/>
      <c r="CR173" s="28"/>
      <c r="CS173" s="28"/>
      <c r="CT173" s="28"/>
      <c r="CU173" s="28"/>
      <c r="CV173" s="28"/>
      <c r="CW173" s="28"/>
      <c r="CX173" s="28"/>
      <c r="CY173" s="28"/>
      <c r="CZ173" s="28"/>
      <c r="DA173" s="28"/>
      <c r="DB173" s="28"/>
      <c r="DC173" s="28"/>
      <c r="DD173" s="28"/>
      <c r="DE173" s="28"/>
      <c r="DF173" s="28"/>
      <c r="DG173" s="28"/>
      <c r="DH173" s="28"/>
      <c r="DI173" s="28"/>
      <c r="DJ173" s="28"/>
      <c r="DK173" s="28"/>
      <c r="DL173" s="28"/>
      <c r="DM173" s="28"/>
      <c r="DN173" s="28"/>
      <c r="DO173" s="28"/>
      <c r="DP173" s="28"/>
      <c r="DQ173" s="28"/>
      <c r="DR173" s="28"/>
      <c r="DS173" s="28"/>
      <c r="DT173" s="28"/>
      <c r="DU173" s="28"/>
      <c r="DV173" s="28"/>
      <c r="DW173" s="28"/>
      <c r="DX173" s="28"/>
      <c r="DY173" s="28"/>
      <c r="DZ173" s="28"/>
      <c r="EA173" s="28"/>
      <c r="EB173" s="28"/>
      <c r="EC173" s="28"/>
      <c r="ED173" s="28"/>
      <c r="EE173" s="28"/>
      <c r="EF173" s="28"/>
      <c r="EG173" s="28"/>
      <c r="EH173" s="28"/>
      <c r="EI173" s="28"/>
      <c r="EJ173" s="28"/>
      <c r="EK173" s="28"/>
      <c r="EL173" s="28"/>
      <c r="EM173" s="28"/>
      <c r="EN173" s="28"/>
      <c r="EO173" s="28"/>
      <c r="EP173" s="28"/>
      <c r="EQ173" s="28"/>
      <c r="ER173" s="28"/>
      <c r="ES173" s="28"/>
      <c r="ET173" s="28"/>
      <c r="EU173" s="28"/>
      <c r="EV173" s="28"/>
      <c r="EW173" s="28"/>
      <c r="EX173" s="28"/>
      <c r="EY173" s="28"/>
      <c r="EZ173" s="28"/>
      <c r="FA173" s="28"/>
      <c r="FB173" s="28"/>
      <c r="FC173" s="28"/>
      <c r="FD173" s="28"/>
      <c r="FE173" s="28"/>
      <c r="FF173" s="28"/>
      <c r="FG173" s="28"/>
      <c r="FH173" s="28"/>
      <c r="FI173" s="28"/>
      <c r="FJ173" s="28"/>
      <c r="FK173" s="28"/>
      <c r="FL173" s="28"/>
      <c r="FM173" s="28"/>
      <c r="FN173" s="28"/>
      <c r="FO173" s="28"/>
      <c r="FP173" s="28"/>
      <c r="FQ173" s="28"/>
      <c r="FR173" s="28"/>
      <c r="FS173" s="28"/>
      <c r="FT173" s="28"/>
      <c r="FU173" s="28"/>
      <c r="FV173" s="28"/>
      <c r="FW173" s="28"/>
      <c r="FX173" s="28"/>
      <c r="FY173" s="28"/>
      <c r="FZ173" s="28"/>
      <c r="GA173" s="28"/>
      <c r="GB173" s="28"/>
      <c r="GC173" s="28"/>
      <c r="GD173" s="28"/>
      <c r="GE173" s="28"/>
      <c r="GF173" s="28"/>
      <c r="GG173" s="28"/>
      <c r="GH173" s="28"/>
      <c r="GI173" s="28"/>
      <c r="GJ173" s="28"/>
      <c r="GK173" s="28"/>
      <c r="GL173" s="28"/>
      <c r="GM173" s="28"/>
      <c r="GN173" s="28"/>
      <c r="GO173" s="28"/>
      <c r="GP173" s="28"/>
      <c r="GQ173" s="28"/>
      <c r="GR173" s="28"/>
      <c r="GS173" s="28"/>
      <c r="GT173" s="28"/>
      <c r="GU173" s="28"/>
      <c r="GV173" s="28"/>
      <c r="GW173" s="28"/>
      <c r="GX173" s="28"/>
      <c r="GY173" s="28"/>
      <c r="GZ173" s="28"/>
      <c r="HA173" s="28"/>
      <c r="HB173" s="28"/>
      <c r="HC173" s="28"/>
      <c r="HD173" s="28"/>
      <c r="HE173" s="28"/>
      <c r="HF173" s="28"/>
      <c r="HG173" s="28"/>
      <c r="HH173" s="28"/>
      <c r="HI173" s="28"/>
      <c r="HJ173" s="28"/>
      <c r="HK173" s="28"/>
    </row>
    <row r="174" spans="1:219" ht="15" customHeight="1">
      <c r="A174" s="49">
        <v>1</v>
      </c>
      <c r="B174" s="132" t="str">
        <f>VLOOKUP(Ruimtestaat[[#This Row],[Code]],Locaties[[Code]:[Locatie]],2,FALSE)</f>
        <v>Mirtehuis</v>
      </c>
      <c r="C174" s="132" t="str">
        <f>VLOOKUP(Ruimtestaat[[#This Row],[Code]],Locaties[[#All],[Code]:[Adres]],4,FALSE)</f>
        <v>Weseperweg 6</v>
      </c>
      <c r="D174" s="132" t="str">
        <f>VLOOKUP(Ruimtestaat[[#This Row],[Code]],Locaties[[#All],[Code]:[Postcode]],5,FALSE)</f>
        <v>8111 PK</v>
      </c>
      <c r="E174" s="132" t="str">
        <f>VLOOKUP(Ruimtestaat[[#This Row],[Code]],Locaties[#All],6,FALSE)</f>
        <v>Heeten</v>
      </c>
      <c r="F174" s="100"/>
      <c r="G174" s="100" t="s">
        <v>1677</v>
      </c>
      <c r="I174" s="140" t="s">
        <v>1668</v>
      </c>
      <c r="J174" s="49">
        <v>20</v>
      </c>
      <c r="K174" s="140" t="str">
        <f>VLOOKUP(Ruimtestaat[[#This Row],[Ruimte code]],Ruimtegroepen[[#All],[Code]:[Ruimte omschrijving]],2,FALSE)</f>
        <v>Niet in Onderhoud</v>
      </c>
      <c r="L174" s="100"/>
      <c r="M174" s="345"/>
      <c r="N174" s="133"/>
      <c r="O174" s="139"/>
      <c r="P174" s="134">
        <f>VLOOKUP(Ruimtestaat[[#This Row],[Ruimte code]],Ruimtegroepen[],4,FALSE)</f>
        <v>0</v>
      </c>
      <c r="Q174" s="100"/>
      <c r="R174" s="100"/>
      <c r="S174" s="100">
        <f>IF(Q174&gt;0,IF(RIGHT(Ruimtestaat[[#This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74" s="100">
        <f>IF(S174&gt;0,VLOOKUP($J174,Ruimtegroepen[],3,FALSE)*VLOOKUP($L174,Vloersoorten[],3,FALSE)*VLOOKUP($R174,Frequenties[],3,FALSE)*VLOOKUP($A174,Locaties[],3,FALSE),0)</f>
        <v>0</v>
      </c>
      <c r="U174" s="100">
        <f>Ruimtestaat[[#This Row],[Uitvoeringen werkdagen]]*Ruimtestaat[[#This Row],[Oppervlak (netto)]]</f>
        <v>0</v>
      </c>
      <c r="V174" s="135">
        <f>IF(T174&gt;0,Ruimtestaat[[#This Row],[Prest. (m2 /jaar) werkdagen]]/Ruimtestaat[[#This Row],[Norm (m2/uur) werkdagen]],0)</f>
        <v>0</v>
      </c>
      <c r="W174" s="136">
        <f>Ruimtestaat[[#This Row],[uren / jaar werkdagen]]*Tariefsopbouw!$E$35</f>
        <v>0</v>
      </c>
      <c r="X174" s="100"/>
      <c r="Y174" s="100">
        <f>IF(Ruimtestaat[[#This Row],[Frequentie weekend]]&gt;0,VALUE(LEFT(X174,1))*Q174,0)</f>
        <v>0</v>
      </c>
      <c r="Z174" s="99">
        <f>IF($Y174&gt;0,VLOOKUP($J174,Ruimtegroepen[],3,FALSE)*VLOOKUP($L174,Vloersoorten[],3,FALSE)*VLOOKUP($X174,Frequenties[],3,FALSE)*VLOOKUP(Ruimtestaat[[#This Row],[Code]],Locaties[],3,FALSE),0)</f>
        <v>0</v>
      </c>
      <c r="AA174" s="99">
        <f>Ruimtestaat[[#This Row],[Uitvoeringen weekend]]*Ruimtestaat[[#This Row],[Oppervlak (netto)]]</f>
        <v>0</v>
      </c>
      <c r="AB174" s="99">
        <f>IF(Z174&gt;0,Ruimtestaat[[#This Row],[Prest. (m2 /jaar) weekend]]/Ruimtestaat[[#This Row],[Norm (m2/uur) weekend]],0)</f>
        <v>0</v>
      </c>
      <c r="AC174" s="136">
        <f>Ruimtestaat[[#This Row],[uren / jaar weekend]]*Tariefsopbouw!$D$40</f>
        <v>0</v>
      </c>
      <c r="AD174" s="135">
        <f>Ruimtestaat[[#This Row],[Prest. (m2 /jaar) weekend]]+Ruimtestaat[[#This Row],[Prest. (m2 /jaar) werkdagen]]</f>
        <v>0</v>
      </c>
      <c r="AE174" s="135">
        <f>Ruimtestaat[[#This Row],[uren / jaar weekend]]+Ruimtestaat[[#This Row],[uren / jaar werkdagen]]</f>
        <v>0</v>
      </c>
      <c r="AF174" s="130">
        <f>Ruimtestaat[[#This Row],[kosten / jaar weekend]]+Ruimtestaat[[#This Row],[kosten / jaar werkdagen]]</f>
        <v>0</v>
      </c>
      <c r="AG174" s="130"/>
      <c r="AH174" s="137" t="str">
        <f>IF(Ruimtestaat[[#This Row],[Frequentie werkdagen]]="","",_xlfn.CONCAT(Ruimtestaat[[#This Row],[Ruimte code]],"-",Ruimtestaat[[#This Row],[Frequentie werkdagen]]," ",Ruimtestaat[[#This Row],[Vloer code]]))</f>
        <v/>
      </c>
      <c r="AI174" s="142" t="str">
        <f>_xlfn.IFNA(VLOOKUP($AH174,Programma!$F$3:$G$1101,2,0),"")</f>
        <v/>
      </c>
      <c r="AJ174" s="142" t="str">
        <f>_xlfn.IFNA(VLOOKUP($AH174,Programma!$F$3:$H$1101,3,0),"")</f>
        <v/>
      </c>
      <c r="AK174" s="142" t="str">
        <f>_xlfn.IFNA(VLOOKUP($AH174,Programma!$F$3:$I$1101,4,0),"")</f>
        <v/>
      </c>
      <c r="AL174" s="142" t="str">
        <f>_xlfn.IFNA(VLOOKUP($AH174,Programma!$F$3:$J$1101,5,0),"")</f>
        <v/>
      </c>
      <c r="AM174" s="142" t="str">
        <f>_xlfn.IFNA(VLOOKUP($AH174,Programma!$F$3:$K$1101,6,0),"")</f>
        <v/>
      </c>
      <c r="AN174" s="142" t="str">
        <f>_xlfn.IFNA(VLOOKUP($AH174,Programma!$F$3:$L$1101,7,0),"")</f>
        <v/>
      </c>
      <c r="AO174" s="142" t="str">
        <f>_xlfn.IFNA(VLOOKUP($AH174,Programma!$F$3:$M$1101,8,0),"")</f>
        <v/>
      </c>
      <c r="AP174" s="142" t="str">
        <f>_xlfn.IFNA(VLOOKUP($AH174,Programma!$F$3:$N$1101,9,0),"")</f>
        <v/>
      </c>
      <c r="AQ174" s="142" t="str">
        <f>_xlfn.IFNA(VLOOKUP($AH174,Programma!$F$3:$O$1101,10,0),"")</f>
        <v/>
      </c>
      <c r="AR174" s="142" t="str">
        <f>_xlfn.IFNA(VLOOKUP($AH174,Programma!$F$3:$P$1101,11,0),"")</f>
        <v/>
      </c>
      <c r="AS174" s="142" t="str">
        <f>_xlfn.IFNA(VLOOKUP($AH174,Programma!$F$3:$Q$1101,12,0),"")</f>
        <v/>
      </c>
      <c r="AT174" s="142" t="str">
        <f>_xlfn.IFNA(VLOOKUP($AH174,Programma!$F$3:$R$1101,13,0),"")</f>
        <v/>
      </c>
      <c r="AU174" s="142" t="str">
        <f>_xlfn.IFNA(VLOOKUP($AH174,Programma!$F$3:$S$1101,14,0),"")</f>
        <v/>
      </c>
      <c r="AV174" s="142" t="str">
        <f>_xlfn.IFNA(VLOOKUP($AH174,Programma!$F$3:$T$1101,15,0),"")</f>
        <v/>
      </c>
      <c r="AW174" s="142" t="str">
        <f>_xlfn.IFNA(VLOOKUP($AH174,Programma!$F$3:$U$1101,16,0),"")</f>
        <v/>
      </c>
      <c r="AX174" s="142" t="str">
        <f>_xlfn.IFNA(VLOOKUP($AH174,Programma!$F$3:$V$1101,17,0),"")</f>
        <v/>
      </c>
      <c r="AY174" s="142" t="str">
        <f>_xlfn.IFNA(VLOOKUP($AH174,Programma!$F$3:$W$1101,18,0),"")</f>
        <v/>
      </c>
      <c r="AZ174" s="142" t="str">
        <f>_xlfn.IFNA(VLOOKUP($AH174,Programma!$F$3:$X$1101,19,0),"")</f>
        <v/>
      </c>
      <c r="BA174" s="142" t="str">
        <f>_xlfn.IFNA(VLOOKUP($AH174,Programma!$F$3:$Y$1101,20,0),"")</f>
        <v/>
      </c>
      <c r="BB174" s="138"/>
      <c r="BC174" s="137" t="str">
        <f>IF(Ruimtestaat[[#This Row],[Frequentie weekend]]="","",_xlfn.CONCAT(Ruimtestaat[[#This Row],[Ruimte code]],"-",Ruimtestaat[[#This Row],[Frequentie weekend]]," ",Ruimtestaat[[#This Row],[Vloer code]]))</f>
        <v/>
      </c>
      <c r="BD174" s="142" t="str">
        <f>_xlfn.IFNA(VLOOKUP($BC174,Programma!$F$3:$G$1101,2,0),"")</f>
        <v/>
      </c>
      <c r="BE174" s="142" t="str">
        <f>_xlfn.IFNA(VLOOKUP($BC174,Programma!$F$3:$H$1101,3,0),"")</f>
        <v/>
      </c>
      <c r="BF174" s="142" t="str">
        <f>_xlfn.IFNA(VLOOKUP($BC174,Programma!$F$3:$I$1101,4,0),"")</f>
        <v/>
      </c>
      <c r="BG174" s="142" t="str">
        <f>_xlfn.IFNA(VLOOKUP($BC174,Programma!$F$3:$J$1101,5,0),"")</f>
        <v/>
      </c>
      <c r="BH174" s="142" t="str">
        <f>_xlfn.IFNA(VLOOKUP($BC174,Programma!$F$3:$K$1101,6,0),"")</f>
        <v/>
      </c>
      <c r="BI174" s="142" t="str">
        <f>_xlfn.IFNA(VLOOKUP($BC174,Programma!$F$3:$L$1101,7,0),"")</f>
        <v/>
      </c>
      <c r="BJ174" s="142" t="str">
        <f>_xlfn.IFNA(VLOOKUP($BC174,Programma!$F$3:$M$1101,8,0),"")</f>
        <v/>
      </c>
      <c r="BK174" s="142" t="str">
        <f>_xlfn.IFNA(VLOOKUP($BC174,Programma!$F$3:$N$1101,9,0),"")</f>
        <v/>
      </c>
      <c r="BL174" s="142" t="str">
        <f>_xlfn.IFNA(VLOOKUP($BC174,Programma!$F$3:$O$1101,10,0),"")</f>
        <v/>
      </c>
      <c r="BM174" s="142" t="str">
        <f>_xlfn.IFNA(VLOOKUP($BC174,Programma!$F$3:$P$1101,11,0),"")</f>
        <v/>
      </c>
      <c r="BN174" s="142" t="str">
        <f>_xlfn.IFNA(VLOOKUP($BC174,Programma!$F$3:$Q$1101,12,0),"")</f>
        <v/>
      </c>
      <c r="BO174" s="142" t="str">
        <f>_xlfn.IFNA(VLOOKUP($BC174,Programma!$F$3:$R$1101,13,0),"")</f>
        <v/>
      </c>
      <c r="BP174" s="142" t="str">
        <f>_xlfn.IFNA(VLOOKUP($BC174,Programma!$F$3:$S$1101,14,0),"")</f>
        <v/>
      </c>
      <c r="BQ174" s="142" t="str">
        <f>_xlfn.IFNA(VLOOKUP($BC174,Programma!$F$3:$T$1101,15,0),"")</f>
        <v/>
      </c>
      <c r="BR174" s="142" t="str">
        <f>_xlfn.IFNA(VLOOKUP($BC174,Programma!$F$3:$U$1101,16,0),"")</f>
        <v/>
      </c>
      <c r="BS174" s="142" t="str">
        <f>_xlfn.IFNA(VLOOKUP($BC174,Programma!$F$3:$V$1101,17,0),"")</f>
        <v/>
      </c>
      <c r="BT174" s="142" t="str">
        <f>_xlfn.IFNA(VLOOKUP($BC174,Programma!$F$3:$W$1101,18,0),"")</f>
        <v/>
      </c>
      <c r="BU174" s="142" t="str">
        <f>_xlfn.IFNA(VLOOKUP($BC174,Programma!$F$3:$X$1101,19,0),"")</f>
        <v/>
      </c>
      <c r="BV174" s="142" t="str">
        <f>_xlfn.IFNA(VLOOKUP($BC174,Programma!$F$3:$Y$1101,20,0),"")</f>
        <v/>
      </c>
      <c r="BW174" s="28"/>
      <c r="BX174" s="28"/>
      <c r="BY174" s="28"/>
      <c r="BZ174" s="28"/>
      <c r="CA174" s="28"/>
      <c r="CB174" s="28"/>
      <c r="CC174" s="28"/>
      <c r="CD174" s="28"/>
      <c r="CE174" s="28"/>
      <c r="CF174" s="28"/>
      <c r="CG174" s="28"/>
      <c r="CH174" s="28"/>
      <c r="CI174" s="28"/>
      <c r="CJ174" s="28"/>
      <c r="CK174" s="28"/>
      <c r="CL174" s="28"/>
      <c r="CM174" s="28"/>
      <c r="CN174" s="28"/>
      <c r="CO174" s="28"/>
      <c r="CP174" s="28"/>
      <c r="CQ174" s="28"/>
      <c r="CR174" s="28"/>
      <c r="CS174" s="28"/>
      <c r="CT174" s="28"/>
      <c r="CU174" s="28"/>
      <c r="CV174" s="28"/>
      <c r="CW174" s="28"/>
      <c r="CX174" s="28"/>
      <c r="CY174" s="28"/>
      <c r="CZ174" s="28"/>
      <c r="DA174" s="28"/>
      <c r="DB174" s="28"/>
      <c r="DC174" s="28"/>
      <c r="DD174" s="28"/>
      <c r="DE174" s="28"/>
      <c r="DF174" s="28"/>
      <c r="DG174" s="28"/>
      <c r="DH174" s="28"/>
      <c r="DI174" s="28"/>
      <c r="DJ174" s="28"/>
      <c r="DK174" s="28"/>
      <c r="DL174" s="28"/>
      <c r="DM174" s="28"/>
      <c r="DN174" s="28"/>
      <c r="DO174" s="28"/>
      <c r="DP174" s="28"/>
      <c r="DQ174" s="28"/>
      <c r="DR174" s="28"/>
      <c r="DS174" s="28"/>
      <c r="DT174" s="28"/>
      <c r="DU174" s="28"/>
      <c r="DV174" s="28"/>
      <c r="DW174" s="28"/>
      <c r="DX174" s="28"/>
      <c r="DY174" s="28"/>
      <c r="DZ174" s="28"/>
      <c r="EA174" s="28"/>
      <c r="EB174" s="28"/>
      <c r="EC174" s="28"/>
      <c r="ED174" s="28"/>
      <c r="EE174" s="28"/>
      <c r="EF174" s="28"/>
      <c r="EG174" s="28"/>
      <c r="EH174" s="28"/>
      <c r="EI174" s="28"/>
      <c r="EJ174" s="28"/>
      <c r="EK174" s="28"/>
      <c r="EL174" s="28"/>
      <c r="EM174" s="28"/>
      <c r="EN174" s="28"/>
      <c r="EO174" s="28"/>
      <c r="EP174" s="28"/>
      <c r="EQ174" s="28"/>
      <c r="ER174" s="28"/>
      <c r="ES174" s="28"/>
      <c r="ET174" s="28"/>
      <c r="EU174" s="28"/>
      <c r="EV174" s="28"/>
      <c r="EW174" s="28"/>
      <c r="EX174" s="28"/>
      <c r="EY174" s="28"/>
      <c r="EZ174" s="28"/>
      <c r="FA174" s="28"/>
      <c r="FB174" s="28"/>
      <c r="FC174" s="28"/>
      <c r="FD174" s="28"/>
      <c r="FE174" s="28"/>
      <c r="FF174" s="28"/>
      <c r="FG174" s="28"/>
      <c r="FH174" s="28"/>
      <c r="FI174" s="28"/>
      <c r="FJ174" s="28"/>
      <c r="FK174" s="28"/>
      <c r="FL174" s="28"/>
      <c r="FM174" s="28"/>
      <c r="FN174" s="28"/>
      <c r="FO174" s="28"/>
      <c r="FP174" s="28"/>
      <c r="FQ174" s="28"/>
      <c r="FR174" s="28"/>
      <c r="FS174" s="28"/>
      <c r="FT174" s="28"/>
      <c r="FU174" s="28"/>
      <c r="FV174" s="28"/>
      <c r="FW174" s="28"/>
      <c r="FX174" s="28"/>
      <c r="FY174" s="28"/>
      <c r="FZ174" s="28"/>
      <c r="GA174" s="28"/>
      <c r="GB174" s="28"/>
      <c r="GC174" s="28"/>
      <c r="GD174" s="28"/>
      <c r="GE174" s="28"/>
      <c r="GF174" s="28"/>
      <c r="GG174" s="28"/>
      <c r="GH174" s="28"/>
      <c r="GI174" s="28"/>
      <c r="GJ174" s="28"/>
      <c r="GK174" s="28"/>
      <c r="GL174" s="28"/>
      <c r="GM174" s="28"/>
      <c r="GN174" s="28"/>
      <c r="GO174" s="28"/>
      <c r="GP174" s="28"/>
      <c r="GQ174" s="28"/>
      <c r="GR174" s="28"/>
      <c r="GS174" s="28"/>
      <c r="GT174" s="28"/>
      <c r="GU174" s="28"/>
      <c r="GV174" s="28"/>
      <c r="GW174" s="28"/>
      <c r="GX174" s="28"/>
      <c r="GY174" s="28"/>
      <c r="GZ174" s="28"/>
      <c r="HA174" s="28"/>
      <c r="HB174" s="28"/>
      <c r="HC174" s="28"/>
      <c r="HD174" s="28"/>
      <c r="HE174" s="28"/>
      <c r="HF174" s="28"/>
      <c r="HG174" s="28"/>
      <c r="HH174" s="28"/>
      <c r="HI174" s="28"/>
      <c r="HJ174" s="28"/>
      <c r="HK174" s="28"/>
    </row>
    <row r="175" spans="1:219" ht="15" customHeight="1">
      <c r="A175" s="49">
        <v>1</v>
      </c>
      <c r="B175" s="132" t="str">
        <f>VLOOKUP(Ruimtestaat[[#This Row],[Code]],Locaties[[Code]:[Locatie]],2,FALSE)</f>
        <v>Mirtehuis</v>
      </c>
      <c r="C175" s="132" t="str">
        <f>VLOOKUP(Ruimtestaat[[#This Row],[Code]],Locaties[[#All],[Code]:[Adres]],4,FALSE)</f>
        <v>Weseperweg 6</v>
      </c>
      <c r="D175" s="132" t="str">
        <f>VLOOKUP(Ruimtestaat[[#This Row],[Code]],Locaties[[#All],[Code]:[Postcode]],5,FALSE)</f>
        <v>8111 PK</v>
      </c>
      <c r="E175" s="132" t="str">
        <f>VLOOKUP(Ruimtestaat[[#This Row],[Code]],Locaties[#All],6,FALSE)</f>
        <v>Heeten</v>
      </c>
      <c r="F175" s="100"/>
      <c r="G175" s="100" t="s">
        <v>1677</v>
      </c>
      <c r="I175" s="140" t="s">
        <v>1656</v>
      </c>
      <c r="J175" s="49">
        <v>20</v>
      </c>
      <c r="K175" s="140" t="str">
        <f>VLOOKUP(Ruimtestaat[[#This Row],[Ruimte code]],Ruimtegroepen[[#All],[Code]:[Ruimte omschrijving]],2,FALSE)</f>
        <v>Niet in Onderhoud</v>
      </c>
      <c r="L175" s="100"/>
      <c r="M175" s="345"/>
      <c r="N175" s="133"/>
      <c r="O175" s="100"/>
      <c r="P175" s="134">
        <f>VLOOKUP(Ruimtestaat[[#This Row],[Ruimte code]],Ruimtegroepen[],4,FALSE)</f>
        <v>0</v>
      </c>
      <c r="Q175" s="100"/>
      <c r="R175" s="100"/>
      <c r="S175" s="100">
        <f>IF(Q175&gt;0,IF(RIGHT(Ruimtestaat[[#This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75" s="100">
        <f>IF(S175&gt;0,VLOOKUP($J175,Ruimtegroepen[],3,FALSE)*VLOOKUP($L175,Vloersoorten[],3,FALSE)*VLOOKUP($R175,Frequenties[],3,FALSE)*VLOOKUP($A175,Locaties[],3,FALSE),0)</f>
        <v>0</v>
      </c>
      <c r="U175" s="100">
        <f>Ruimtestaat[[#This Row],[Uitvoeringen werkdagen]]*Ruimtestaat[[#This Row],[Oppervlak (netto)]]</f>
        <v>0</v>
      </c>
      <c r="V175" s="135">
        <f>IF(T175&gt;0,Ruimtestaat[[#This Row],[Prest. (m2 /jaar) werkdagen]]/Ruimtestaat[[#This Row],[Norm (m2/uur) werkdagen]],0)</f>
        <v>0</v>
      </c>
      <c r="W175" s="136">
        <f>Ruimtestaat[[#This Row],[uren / jaar werkdagen]]*Tariefsopbouw!$E$35</f>
        <v>0</v>
      </c>
      <c r="X175" s="100"/>
      <c r="Y175" s="100">
        <f>IF(Ruimtestaat[[#This Row],[Frequentie weekend]]&gt;0,VALUE(LEFT(X175,1))*Q175,0)</f>
        <v>0</v>
      </c>
      <c r="Z175" s="99">
        <f>IF($Y175&gt;0,VLOOKUP($J175,Ruimtegroepen[],3,FALSE)*VLOOKUP($L175,Vloersoorten[],3,FALSE)*VLOOKUP($X175,Frequenties[],3,FALSE)*VLOOKUP(Ruimtestaat[[#This Row],[Code]],Locaties[],3,FALSE),0)</f>
        <v>0</v>
      </c>
      <c r="AA175" s="99">
        <f>Ruimtestaat[[#This Row],[Uitvoeringen weekend]]*Ruimtestaat[[#This Row],[Oppervlak (netto)]]</f>
        <v>0</v>
      </c>
      <c r="AB175" s="99">
        <f>IF(Z175&gt;0,Ruimtestaat[[#This Row],[Prest. (m2 /jaar) weekend]]/Ruimtestaat[[#This Row],[Norm (m2/uur) weekend]],0)</f>
        <v>0</v>
      </c>
      <c r="AC175" s="136">
        <f>Ruimtestaat[[#This Row],[uren / jaar weekend]]*Tariefsopbouw!$D$40</f>
        <v>0</v>
      </c>
      <c r="AD175" s="135">
        <f>Ruimtestaat[[#This Row],[Prest. (m2 /jaar) weekend]]+Ruimtestaat[[#This Row],[Prest. (m2 /jaar) werkdagen]]</f>
        <v>0</v>
      </c>
      <c r="AE175" s="135">
        <f>Ruimtestaat[[#This Row],[uren / jaar weekend]]+Ruimtestaat[[#This Row],[uren / jaar werkdagen]]</f>
        <v>0</v>
      </c>
      <c r="AF175" s="130">
        <f>Ruimtestaat[[#This Row],[kosten / jaar weekend]]+Ruimtestaat[[#This Row],[kosten / jaar werkdagen]]</f>
        <v>0</v>
      </c>
      <c r="AG175" s="130"/>
      <c r="AH175" s="137" t="str">
        <f>IF(Ruimtestaat[[#This Row],[Frequentie werkdagen]]="","",_xlfn.CONCAT(Ruimtestaat[[#This Row],[Ruimte code]],"-",Ruimtestaat[[#This Row],[Frequentie werkdagen]]," ",Ruimtestaat[[#This Row],[Vloer code]]))</f>
        <v/>
      </c>
      <c r="AI175" s="142" t="str">
        <f>_xlfn.IFNA(VLOOKUP($AH175,Programma!$F$3:$G$1101,2,0),"")</f>
        <v/>
      </c>
      <c r="AJ175" s="142" t="str">
        <f>_xlfn.IFNA(VLOOKUP($AH175,Programma!$F$3:$H$1101,3,0),"")</f>
        <v/>
      </c>
      <c r="AK175" s="142" t="str">
        <f>_xlfn.IFNA(VLOOKUP($AH175,Programma!$F$3:$I$1101,4,0),"")</f>
        <v/>
      </c>
      <c r="AL175" s="142" t="str">
        <f>_xlfn.IFNA(VLOOKUP($AH175,Programma!$F$3:$J$1101,5,0),"")</f>
        <v/>
      </c>
      <c r="AM175" s="142" t="str">
        <f>_xlfn.IFNA(VLOOKUP($AH175,Programma!$F$3:$K$1101,6,0),"")</f>
        <v/>
      </c>
      <c r="AN175" s="142" t="str">
        <f>_xlfn.IFNA(VLOOKUP($AH175,Programma!$F$3:$L$1101,7,0),"")</f>
        <v/>
      </c>
      <c r="AO175" s="142" t="str">
        <f>_xlfn.IFNA(VLOOKUP($AH175,Programma!$F$3:$M$1101,8,0),"")</f>
        <v/>
      </c>
      <c r="AP175" s="142" t="str">
        <f>_xlfn.IFNA(VLOOKUP($AH175,Programma!$F$3:$N$1101,9,0),"")</f>
        <v/>
      </c>
      <c r="AQ175" s="142" t="str">
        <f>_xlfn.IFNA(VLOOKUP($AH175,Programma!$F$3:$O$1101,10,0),"")</f>
        <v/>
      </c>
      <c r="AR175" s="142" t="str">
        <f>_xlfn.IFNA(VLOOKUP($AH175,Programma!$F$3:$P$1101,11,0),"")</f>
        <v/>
      </c>
      <c r="AS175" s="142" t="str">
        <f>_xlfn.IFNA(VLOOKUP($AH175,Programma!$F$3:$Q$1101,12,0),"")</f>
        <v/>
      </c>
      <c r="AT175" s="142" t="str">
        <f>_xlfn.IFNA(VLOOKUP($AH175,Programma!$F$3:$R$1101,13,0),"")</f>
        <v/>
      </c>
      <c r="AU175" s="142" t="str">
        <f>_xlfn.IFNA(VLOOKUP($AH175,Programma!$F$3:$S$1101,14,0),"")</f>
        <v/>
      </c>
      <c r="AV175" s="142" t="str">
        <f>_xlfn.IFNA(VLOOKUP($AH175,Programma!$F$3:$T$1101,15,0),"")</f>
        <v/>
      </c>
      <c r="AW175" s="142" t="str">
        <f>_xlfn.IFNA(VLOOKUP($AH175,Programma!$F$3:$U$1101,16,0),"")</f>
        <v/>
      </c>
      <c r="AX175" s="142" t="str">
        <f>_xlfn.IFNA(VLOOKUP($AH175,Programma!$F$3:$V$1101,17,0),"")</f>
        <v/>
      </c>
      <c r="AY175" s="142" t="str">
        <f>_xlfn.IFNA(VLOOKUP($AH175,Programma!$F$3:$W$1101,18,0),"")</f>
        <v/>
      </c>
      <c r="AZ175" s="142" t="str">
        <f>_xlfn.IFNA(VLOOKUP($AH175,Programma!$F$3:$X$1101,19,0),"")</f>
        <v/>
      </c>
      <c r="BA175" s="142" t="str">
        <f>_xlfn.IFNA(VLOOKUP($AH175,Programma!$F$3:$Y$1101,20,0),"")</f>
        <v/>
      </c>
      <c r="BB175" s="138"/>
      <c r="BC175" s="137" t="str">
        <f>IF(Ruimtestaat[[#This Row],[Frequentie weekend]]="","",_xlfn.CONCAT(Ruimtestaat[[#This Row],[Ruimte code]],"-",Ruimtestaat[[#This Row],[Frequentie weekend]]," ",Ruimtestaat[[#This Row],[Vloer code]]))</f>
        <v/>
      </c>
      <c r="BD175" s="142" t="str">
        <f>_xlfn.IFNA(VLOOKUP($BC175,Programma!$F$3:$G$1101,2,0),"")</f>
        <v/>
      </c>
      <c r="BE175" s="142" t="str">
        <f>_xlfn.IFNA(VLOOKUP($BC175,Programma!$F$3:$H$1101,3,0),"")</f>
        <v/>
      </c>
      <c r="BF175" s="142" t="str">
        <f>_xlfn.IFNA(VLOOKUP($BC175,Programma!$F$3:$I$1101,4,0),"")</f>
        <v/>
      </c>
      <c r="BG175" s="142" t="str">
        <f>_xlfn.IFNA(VLOOKUP($BC175,Programma!$F$3:$J$1101,5,0),"")</f>
        <v/>
      </c>
      <c r="BH175" s="142" t="str">
        <f>_xlfn.IFNA(VLOOKUP($BC175,Programma!$F$3:$K$1101,6,0),"")</f>
        <v/>
      </c>
      <c r="BI175" s="142" t="str">
        <f>_xlfn.IFNA(VLOOKUP($BC175,Programma!$F$3:$L$1101,7,0),"")</f>
        <v/>
      </c>
      <c r="BJ175" s="142" t="str">
        <f>_xlfn.IFNA(VLOOKUP($BC175,Programma!$F$3:$M$1101,8,0),"")</f>
        <v/>
      </c>
      <c r="BK175" s="142" t="str">
        <f>_xlfn.IFNA(VLOOKUP($BC175,Programma!$F$3:$N$1101,9,0),"")</f>
        <v/>
      </c>
      <c r="BL175" s="142" t="str">
        <f>_xlfn.IFNA(VLOOKUP($BC175,Programma!$F$3:$O$1101,10,0),"")</f>
        <v/>
      </c>
      <c r="BM175" s="142" t="str">
        <f>_xlfn.IFNA(VLOOKUP($BC175,Programma!$F$3:$P$1101,11,0),"")</f>
        <v/>
      </c>
      <c r="BN175" s="142" t="str">
        <f>_xlfn.IFNA(VLOOKUP($BC175,Programma!$F$3:$Q$1101,12,0),"")</f>
        <v/>
      </c>
      <c r="BO175" s="142" t="str">
        <f>_xlfn.IFNA(VLOOKUP($BC175,Programma!$F$3:$R$1101,13,0),"")</f>
        <v/>
      </c>
      <c r="BP175" s="142" t="str">
        <f>_xlfn.IFNA(VLOOKUP($BC175,Programma!$F$3:$S$1101,14,0),"")</f>
        <v/>
      </c>
      <c r="BQ175" s="142" t="str">
        <f>_xlfn.IFNA(VLOOKUP($BC175,Programma!$F$3:$T$1101,15,0),"")</f>
        <v/>
      </c>
      <c r="BR175" s="142" t="str">
        <f>_xlfn.IFNA(VLOOKUP($BC175,Programma!$F$3:$U$1101,16,0),"")</f>
        <v/>
      </c>
      <c r="BS175" s="142" t="str">
        <f>_xlfn.IFNA(VLOOKUP($BC175,Programma!$F$3:$V$1101,17,0),"")</f>
        <v/>
      </c>
      <c r="BT175" s="142" t="str">
        <f>_xlfn.IFNA(VLOOKUP($BC175,Programma!$F$3:$W$1101,18,0),"")</f>
        <v/>
      </c>
      <c r="BU175" s="142" t="str">
        <f>_xlfn.IFNA(VLOOKUP($BC175,Programma!$F$3:$X$1101,19,0),"")</f>
        <v/>
      </c>
      <c r="BV175" s="142" t="str">
        <f>_xlfn.IFNA(VLOOKUP($BC175,Programma!$F$3:$Y$1101,20,0),"")</f>
        <v/>
      </c>
      <c r="BW175" s="28"/>
      <c r="BX175" s="28"/>
      <c r="BY175" s="28"/>
      <c r="BZ175" s="28"/>
      <c r="CA175" s="28"/>
      <c r="CB175" s="28"/>
      <c r="CC175" s="28"/>
      <c r="CD175" s="28"/>
      <c r="CE175" s="28"/>
      <c r="CF175" s="28"/>
      <c r="CG175" s="28"/>
      <c r="CH175" s="28"/>
      <c r="CI175" s="28"/>
      <c r="CJ175" s="28"/>
      <c r="CK175" s="28"/>
      <c r="CL175" s="28"/>
      <c r="CM175" s="28"/>
      <c r="CN175" s="28"/>
      <c r="CO175" s="28"/>
      <c r="CP175" s="28"/>
      <c r="CQ175" s="28"/>
      <c r="CR175" s="28"/>
      <c r="CS175" s="28"/>
      <c r="CT175" s="28"/>
      <c r="CU175" s="28"/>
      <c r="CV175" s="28"/>
      <c r="CW175" s="28"/>
      <c r="CX175" s="28"/>
      <c r="CY175" s="28"/>
      <c r="CZ175" s="28"/>
      <c r="DA175" s="28"/>
      <c r="DB175" s="28"/>
      <c r="DC175" s="28"/>
      <c r="DD175" s="28"/>
      <c r="DE175" s="28"/>
      <c r="DF175" s="28"/>
      <c r="DG175" s="28"/>
      <c r="DH175" s="28"/>
      <c r="DI175" s="28"/>
      <c r="DJ175" s="28"/>
      <c r="DK175" s="28"/>
      <c r="DL175" s="28"/>
      <c r="DM175" s="28"/>
      <c r="DN175" s="28"/>
      <c r="DO175" s="28"/>
      <c r="DP175" s="28"/>
      <c r="DQ175" s="28"/>
      <c r="DR175" s="28"/>
      <c r="DS175" s="28"/>
      <c r="DT175" s="28"/>
      <c r="DU175" s="28"/>
      <c r="DV175" s="28"/>
      <c r="DW175" s="28"/>
      <c r="DX175" s="28"/>
      <c r="DY175" s="28"/>
      <c r="DZ175" s="28"/>
      <c r="EA175" s="28"/>
      <c r="EB175" s="28"/>
      <c r="EC175" s="28"/>
      <c r="ED175" s="28"/>
      <c r="EE175" s="28"/>
      <c r="EF175" s="28"/>
      <c r="EG175" s="28"/>
      <c r="EH175" s="28"/>
      <c r="EI175" s="28"/>
      <c r="EJ175" s="28"/>
      <c r="EK175" s="28"/>
      <c r="EL175" s="28"/>
      <c r="EM175" s="28"/>
      <c r="EN175" s="28"/>
      <c r="EO175" s="28"/>
      <c r="EP175" s="28"/>
      <c r="EQ175" s="28"/>
      <c r="ER175" s="28"/>
      <c r="ES175" s="28"/>
      <c r="ET175" s="28"/>
      <c r="EU175" s="28"/>
      <c r="EV175" s="28"/>
      <c r="EW175" s="28"/>
      <c r="EX175" s="28"/>
      <c r="EY175" s="28"/>
      <c r="EZ175" s="28"/>
      <c r="FA175" s="28"/>
      <c r="FB175" s="28"/>
      <c r="FC175" s="28"/>
      <c r="FD175" s="28"/>
      <c r="FE175" s="28"/>
      <c r="FF175" s="28"/>
      <c r="FG175" s="28"/>
      <c r="FH175" s="28"/>
      <c r="FI175" s="28"/>
      <c r="FJ175" s="28"/>
      <c r="FK175" s="28"/>
      <c r="FL175" s="28"/>
      <c r="FM175" s="28"/>
      <c r="FN175" s="28"/>
      <c r="FO175" s="28"/>
      <c r="FP175" s="28"/>
      <c r="FQ175" s="28"/>
      <c r="FR175" s="28"/>
      <c r="FS175" s="28"/>
      <c r="FT175" s="28"/>
      <c r="FU175" s="28"/>
      <c r="FV175" s="28"/>
      <c r="FW175" s="28"/>
      <c r="FX175" s="28"/>
      <c r="FY175" s="28"/>
      <c r="FZ175" s="28"/>
      <c r="GA175" s="28"/>
      <c r="GB175" s="28"/>
      <c r="GC175" s="28"/>
      <c r="GD175" s="28"/>
      <c r="GE175" s="28"/>
      <c r="GF175" s="28"/>
      <c r="GG175" s="28"/>
      <c r="GH175" s="28"/>
      <c r="GI175" s="28"/>
      <c r="GJ175" s="28"/>
      <c r="GK175" s="28"/>
      <c r="GL175" s="28"/>
      <c r="GM175" s="28"/>
      <c r="GN175" s="28"/>
      <c r="GO175" s="28"/>
      <c r="GP175" s="28"/>
      <c r="GQ175" s="28"/>
      <c r="GR175" s="28"/>
      <c r="GS175" s="28"/>
      <c r="GT175" s="28"/>
      <c r="GU175" s="28"/>
      <c r="GV175" s="28"/>
      <c r="GW175" s="28"/>
      <c r="GX175" s="28"/>
      <c r="GY175" s="28"/>
      <c r="GZ175" s="28"/>
      <c r="HA175" s="28"/>
      <c r="HB175" s="28"/>
      <c r="HC175" s="28"/>
      <c r="HD175" s="28"/>
      <c r="HE175" s="28"/>
      <c r="HF175" s="28"/>
      <c r="HG175" s="28"/>
      <c r="HH175" s="28"/>
      <c r="HI175" s="28"/>
      <c r="HJ175" s="28"/>
      <c r="HK175" s="28"/>
    </row>
    <row r="176" spans="1:219" ht="15" customHeight="1">
      <c r="A176" s="49">
        <v>1</v>
      </c>
      <c r="B176" s="132" t="str">
        <f>VLOOKUP(Ruimtestaat[[#This Row],[Code]],Locaties[[Code]:[Locatie]],2,FALSE)</f>
        <v>Mirtehuis</v>
      </c>
      <c r="C176" s="132" t="str">
        <f>VLOOKUP(Ruimtestaat[[#This Row],[Code]],Locaties[[#All],[Code]:[Adres]],4,FALSE)</f>
        <v>Weseperweg 6</v>
      </c>
      <c r="D176" s="132" t="str">
        <f>VLOOKUP(Ruimtestaat[[#This Row],[Code]],Locaties[[#All],[Code]:[Postcode]],5,FALSE)</f>
        <v>8111 PK</v>
      </c>
      <c r="E176" s="132" t="str">
        <f>VLOOKUP(Ruimtestaat[[#This Row],[Code]],Locaties[#All],6,FALSE)</f>
        <v>Heeten</v>
      </c>
      <c r="F176" s="100"/>
      <c r="G176" s="100" t="s">
        <v>1677</v>
      </c>
      <c r="H176" s="49">
        <v>2</v>
      </c>
      <c r="I176" s="140" t="s">
        <v>1650</v>
      </c>
      <c r="J176" s="49">
        <v>20</v>
      </c>
      <c r="K176" s="140" t="str">
        <f>VLOOKUP(Ruimtestaat[[#This Row],[Ruimte code]],Ruimtegroepen[[#All],[Code]:[Ruimte omschrijving]],2,FALSE)</f>
        <v>Niet in Onderhoud</v>
      </c>
      <c r="L176" s="100"/>
      <c r="M176" s="345"/>
      <c r="N176" s="133"/>
      <c r="O176" s="139"/>
      <c r="P176" s="134">
        <f>VLOOKUP(Ruimtestaat[[#This Row],[Ruimte code]],Ruimtegroepen[],4,FALSE)</f>
        <v>0</v>
      </c>
      <c r="Q176" s="100"/>
      <c r="R176" s="100"/>
      <c r="S176" s="100">
        <f>IF(Q176&gt;0,IF(RIGHT(Ruimtestaat[[#This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76" s="100">
        <f>IF(S176&gt;0,VLOOKUP($J176,Ruimtegroepen[],3,FALSE)*VLOOKUP($L176,Vloersoorten[],3,FALSE)*VLOOKUP($R176,Frequenties[],3,FALSE)*VLOOKUP($A176,Locaties[],3,FALSE),0)</f>
        <v>0</v>
      </c>
      <c r="U176" s="100">
        <f>Ruimtestaat[[#This Row],[Uitvoeringen werkdagen]]*Ruimtestaat[[#This Row],[Oppervlak (netto)]]</f>
        <v>0</v>
      </c>
      <c r="V176" s="135">
        <f>IF(T176&gt;0,Ruimtestaat[[#This Row],[Prest. (m2 /jaar) werkdagen]]/Ruimtestaat[[#This Row],[Norm (m2/uur) werkdagen]],0)</f>
        <v>0</v>
      </c>
      <c r="W176" s="136">
        <f>Ruimtestaat[[#This Row],[uren / jaar werkdagen]]*Tariefsopbouw!$E$35</f>
        <v>0</v>
      </c>
      <c r="X176" s="100"/>
      <c r="Y176" s="100">
        <f>IF(Ruimtestaat[[#This Row],[Frequentie weekend]]&gt;0,VALUE(LEFT(X176,1))*Q176,0)</f>
        <v>0</v>
      </c>
      <c r="Z176" s="99">
        <f>IF($Y176&gt;0,VLOOKUP($J176,Ruimtegroepen[],3,FALSE)*VLOOKUP($L176,Vloersoorten[],3,FALSE)*VLOOKUP($X176,Frequenties[],3,FALSE)*VLOOKUP(Ruimtestaat[[#This Row],[Code]],Locaties[],3,FALSE),0)</f>
        <v>0</v>
      </c>
      <c r="AA176" s="99">
        <f>Ruimtestaat[[#This Row],[Uitvoeringen weekend]]*Ruimtestaat[[#This Row],[Oppervlak (netto)]]</f>
        <v>0</v>
      </c>
      <c r="AB176" s="99">
        <f>IF(Z176&gt;0,Ruimtestaat[[#This Row],[Prest. (m2 /jaar) weekend]]/Ruimtestaat[[#This Row],[Norm (m2/uur) weekend]],0)</f>
        <v>0</v>
      </c>
      <c r="AC176" s="136">
        <f>Ruimtestaat[[#This Row],[uren / jaar weekend]]*Tariefsopbouw!$D$40</f>
        <v>0</v>
      </c>
      <c r="AD176" s="135">
        <f>Ruimtestaat[[#This Row],[Prest. (m2 /jaar) weekend]]+Ruimtestaat[[#This Row],[Prest. (m2 /jaar) werkdagen]]</f>
        <v>0</v>
      </c>
      <c r="AE176" s="135">
        <f>Ruimtestaat[[#This Row],[uren / jaar weekend]]+Ruimtestaat[[#This Row],[uren / jaar werkdagen]]</f>
        <v>0</v>
      </c>
      <c r="AF176" s="130">
        <f>Ruimtestaat[[#This Row],[kosten / jaar weekend]]+Ruimtestaat[[#This Row],[kosten / jaar werkdagen]]</f>
        <v>0</v>
      </c>
      <c r="AG176" s="130"/>
      <c r="AH176" s="137" t="str">
        <f>IF(Ruimtestaat[[#This Row],[Frequentie werkdagen]]="","",_xlfn.CONCAT(Ruimtestaat[[#This Row],[Ruimte code]],"-",Ruimtestaat[[#This Row],[Frequentie werkdagen]]," ",Ruimtestaat[[#This Row],[Vloer code]]))</f>
        <v/>
      </c>
      <c r="AI176" s="142" t="str">
        <f>_xlfn.IFNA(VLOOKUP($AH176,Programma!$F$3:$G$1101,2,0),"")</f>
        <v/>
      </c>
      <c r="AJ176" s="142" t="str">
        <f>_xlfn.IFNA(VLOOKUP($AH176,Programma!$F$3:$H$1101,3,0),"")</f>
        <v/>
      </c>
      <c r="AK176" s="142" t="str">
        <f>_xlfn.IFNA(VLOOKUP($AH176,Programma!$F$3:$I$1101,4,0),"")</f>
        <v/>
      </c>
      <c r="AL176" s="142" t="str">
        <f>_xlfn.IFNA(VLOOKUP($AH176,Programma!$F$3:$J$1101,5,0),"")</f>
        <v/>
      </c>
      <c r="AM176" s="142" t="str">
        <f>_xlfn.IFNA(VLOOKUP($AH176,Programma!$F$3:$K$1101,6,0),"")</f>
        <v/>
      </c>
      <c r="AN176" s="142" t="str">
        <f>_xlfn.IFNA(VLOOKUP($AH176,Programma!$F$3:$L$1101,7,0),"")</f>
        <v/>
      </c>
      <c r="AO176" s="142" t="str">
        <f>_xlfn.IFNA(VLOOKUP($AH176,Programma!$F$3:$M$1101,8,0),"")</f>
        <v/>
      </c>
      <c r="AP176" s="142" t="str">
        <f>_xlfn.IFNA(VLOOKUP($AH176,Programma!$F$3:$N$1101,9,0),"")</f>
        <v/>
      </c>
      <c r="AQ176" s="142" t="str">
        <f>_xlfn.IFNA(VLOOKUP($AH176,Programma!$F$3:$O$1101,10,0),"")</f>
        <v/>
      </c>
      <c r="AR176" s="142" t="str">
        <f>_xlfn.IFNA(VLOOKUP($AH176,Programma!$F$3:$P$1101,11,0),"")</f>
        <v/>
      </c>
      <c r="AS176" s="142" t="str">
        <f>_xlfn.IFNA(VLOOKUP($AH176,Programma!$F$3:$Q$1101,12,0),"")</f>
        <v/>
      </c>
      <c r="AT176" s="142" t="str">
        <f>_xlfn.IFNA(VLOOKUP($AH176,Programma!$F$3:$R$1101,13,0),"")</f>
        <v/>
      </c>
      <c r="AU176" s="142" t="str">
        <f>_xlfn.IFNA(VLOOKUP($AH176,Programma!$F$3:$S$1101,14,0),"")</f>
        <v/>
      </c>
      <c r="AV176" s="142" t="str">
        <f>_xlfn.IFNA(VLOOKUP($AH176,Programma!$F$3:$T$1101,15,0),"")</f>
        <v/>
      </c>
      <c r="AW176" s="142" t="str">
        <f>_xlfn.IFNA(VLOOKUP($AH176,Programma!$F$3:$U$1101,16,0),"")</f>
        <v/>
      </c>
      <c r="AX176" s="142" t="str">
        <f>_xlfn.IFNA(VLOOKUP($AH176,Programma!$F$3:$V$1101,17,0),"")</f>
        <v/>
      </c>
      <c r="AY176" s="142" t="str">
        <f>_xlfn.IFNA(VLOOKUP($AH176,Programma!$F$3:$W$1101,18,0),"")</f>
        <v/>
      </c>
      <c r="AZ176" s="142" t="str">
        <f>_xlfn.IFNA(VLOOKUP($AH176,Programma!$F$3:$X$1101,19,0),"")</f>
        <v/>
      </c>
      <c r="BA176" s="142" t="str">
        <f>_xlfn.IFNA(VLOOKUP($AH176,Programma!$F$3:$Y$1101,20,0),"")</f>
        <v/>
      </c>
      <c r="BB176" s="138"/>
      <c r="BC176" s="137" t="str">
        <f>IF(Ruimtestaat[[#This Row],[Frequentie weekend]]="","",_xlfn.CONCAT(Ruimtestaat[[#This Row],[Ruimte code]],"-",Ruimtestaat[[#This Row],[Frequentie weekend]]," ",Ruimtestaat[[#This Row],[Vloer code]]))</f>
        <v/>
      </c>
      <c r="BD176" s="142" t="str">
        <f>_xlfn.IFNA(VLOOKUP($BC176,Programma!$F$3:$G$1101,2,0),"")</f>
        <v/>
      </c>
      <c r="BE176" s="142" t="str">
        <f>_xlfn.IFNA(VLOOKUP($BC176,Programma!$F$3:$H$1101,3,0),"")</f>
        <v/>
      </c>
      <c r="BF176" s="142" t="str">
        <f>_xlfn.IFNA(VLOOKUP($BC176,Programma!$F$3:$I$1101,4,0),"")</f>
        <v/>
      </c>
      <c r="BG176" s="142" t="str">
        <f>_xlfn.IFNA(VLOOKUP($BC176,Programma!$F$3:$J$1101,5,0),"")</f>
        <v/>
      </c>
      <c r="BH176" s="142" t="str">
        <f>_xlfn.IFNA(VLOOKUP($BC176,Programma!$F$3:$K$1101,6,0),"")</f>
        <v/>
      </c>
      <c r="BI176" s="142" t="str">
        <f>_xlfn.IFNA(VLOOKUP($BC176,Programma!$F$3:$L$1101,7,0),"")</f>
        <v/>
      </c>
      <c r="BJ176" s="142" t="str">
        <f>_xlfn.IFNA(VLOOKUP($BC176,Programma!$F$3:$M$1101,8,0),"")</f>
        <v/>
      </c>
      <c r="BK176" s="142" t="str">
        <f>_xlfn.IFNA(VLOOKUP($BC176,Programma!$F$3:$N$1101,9,0),"")</f>
        <v/>
      </c>
      <c r="BL176" s="142" t="str">
        <f>_xlfn.IFNA(VLOOKUP($BC176,Programma!$F$3:$O$1101,10,0),"")</f>
        <v/>
      </c>
      <c r="BM176" s="142" t="str">
        <f>_xlfn.IFNA(VLOOKUP($BC176,Programma!$F$3:$P$1101,11,0),"")</f>
        <v/>
      </c>
      <c r="BN176" s="142" t="str">
        <f>_xlfn.IFNA(VLOOKUP($BC176,Programma!$F$3:$Q$1101,12,0),"")</f>
        <v/>
      </c>
      <c r="BO176" s="142" t="str">
        <f>_xlfn.IFNA(VLOOKUP($BC176,Programma!$F$3:$R$1101,13,0),"")</f>
        <v/>
      </c>
      <c r="BP176" s="142" t="str">
        <f>_xlfn.IFNA(VLOOKUP($BC176,Programma!$F$3:$S$1101,14,0),"")</f>
        <v/>
      </c>
      <c r="BQ176" s="142" t="str">
        <f>_xlfn.IFNA(VLOOKUP($BC176,Programma!$F$3:$T$1101,15,0),"")</f>
        <v/>
      </c>
      <c r="BR176" s="142" t="str">
        <f>_xlfn.IFNA(VLOOKUP($BC176,Programma!$F$3:$U$1101,16,0),"")</f>
        <v/>
      </c>
      <c r="BS176" s="142" t="str">
        <f>_xlfn.IFNA(VLOOKUP($BC176,Programma!$F$3:$V$1101,17,0),"")</f>
        <v/>
      </c>
      <c r="BT176" s="142" t="str">
        <f>_xlfn.IFNA(VLOOKUP($BC176,Programma!$F$3:$W$1101,18,0),"")</f>
        <v/>
      </c>
      <c r="BU176" s="142" t="str">
        <f>_xlfn.IFNA(VLOOKUP($BC176,Programma!$F$3:$X$1101,19,0),"")</f>
        <v/>
      </c>
      <c r="BV176" s="142" t="str">
        <f>_xlfn.IFNA(VLOOKUP($BC176,Programma!$F$3:$Y$1101,20,0),"")</f>
        <v/>
      </c>
      <c r="BW176" s="28"/>
      <c r="BX176" s="28"/>
      <c r="BY176" s="28"/>
      <c r="BZ176" s="28"/>
      <c r="CA176" s="28"/>
      <c r="CB176" s="28"/>
      <c r="CC176" s="28"/>
      <c r="CD176" s="28"/>
      <c r="CE176" s="28"/>
      <c r="CF176" s="28"/>
      <c r="CG176" s="28"/>
      <c r="CH176" s="28"/>
      <c r="CI176" s="28"/>
      <c r="CJ176" s="28"/>
      <c r="CK176" s="28"/>
      <c r="CL176" s="28"/>
      <c r="CM176" s="28"/>
      <c r="CN176" s="28"/>
      <c r="CO176" s="28"/>
      <c r="CP176" s="28"/>
      <c r="CQ176" s="28"/>
      <c r="CR176" s="28"/>
      <c r="CS176" s="28"/>
      <c r="CT176" s="28"/>
      <c r="CU176" s="28"/>
      <c r="CV176" s="28"/>
      <c r="CW176" s="28"/>
      <c r="CX176" s="28"/>
      <c r="CY176" s="28"/>
      <c r="CZ176" s="28"/>
      <c r="DA176" s="28"/>
      <c r="DB176" s="28"/>
      <c r="DC176" s="28"/>
      <c r="DD176" s="28"/>
      <c r="DE176" s="28"/>
      <c r="DF176" s="28"/>
      <c r="DG176" s="28"/>
      <c r="DH176" s="28"/>
      <c r="DI176" s="28"/>
      <c r="DJ176" s="28"/>
      <c r="DK176" s="28"/>
      <c r="DL176" s="28"/>
      <c r="DM176" s="28"/>
      <c r="DN176" s="28"/>
      <c r="DO176" s="28"/>
      <c r="DP176" s="28"/>
      <c r="DQ176" s="28"/>
      <c r="DR176" s="28"/>
      <c r="DS176" s="28"/>
      <c r="DT176" s="28"/>
      <c r="DU176" s="28"/>
      <c r="DV176" s="28"/>
      <c r="DW176" s="28"/>
      <c r="DX176" s="28"/>
      <c r="DY176" s="28"/>
      <c r="DZ176" s="28"/>
      <c r="EA176" s="28"/>
      <c r="EB176" s="28"/>
      <c r="EC176" s="28"/>
      <c r="ED176" s="28"/>
      <c r="EE176" s="28"/>
      <c r="EF176" s="28"/>
      <c r="EG176" s="28"/>
      <c r="EH176" s="28"/>
      <c r="EI176" s="28"/>
      <c r="EJ176" s="28"/>
      <c r="EK176" s="28"/>
      <c r="EL176" s="28"/>
      <c r="EM176" s="28"/>
      <c r="EN176" s="28"/>
      <c r="EO176" s="28"/>
      <c r="EP176" s="28"/>
      <c r="EQ176" s="28"/>
      <c r="ER176" s="28"/>
      <c r="ES176" s="28"/>
      <c r="ET176" s="28"/>
      <c r="EU176" s="28"/>
      <c r="EV176" s="28"/>
      <c r="EW176" s="28"/>
      <c r="EX176" s="28"/>
      <c r="EY176" s="28"/>
      <c r="EZ176" s="28"/>
      <c r="FA176" s="28"/>
      <c r="FB176" s="28"/>
      <c r="FC176" s="28"/>
      <c r="FD176" s="28"/>
      <c r="FE176" s="28"/>
      <c r="FF176" s="28"/>
      <c r="FG176" s="28"/>
      <c r="FH176" s="28"/>
      <c r="FI176" s="28"/>
      <c r="FJ176" s="28"/>
      <c r="FK176" s="28"/>
      <c r="FL176" s="28"/>
      <c r="FM176" s="28"/>
      <c r="FN176" s="28"/>
      <c r="FO176" s="28"/>
      <c r="FP176" s="28"/>
      <c r="FQ176" s="28"/>
      <c r="FR176" s="28"/>
      <c r="FS176" s="28"/>
      <c r="FT176" s="28"/>
      <c r="FU176" s="28"/>
      <c r="FV176" s="28"/>
      <c r="FW176" s="28"/>
      <c r="FX176" s="28"/>
      <c r="FY176" s="28"/>
      <c r="FZ176" s="28"/>
      <c r="GA176" s="28"/>
      <c r="GB176" s="28"/>
      <c r="GC176" s="28"/>
      <c r="GD176" s="28"/>
      <c r="GE176" s="28"/>
      <c r="GF176" s="28"/>
      <c r="GG176" s="28"/>
      <c r="GH176" s="28"/>
      <c r="GI176" s="28"/>
      <c r="GJ176" s="28"/>
      <c r="GK176" s="28"/>
      <c r="GL176" s="28"/>
      <c r="GM176" s="28"/>
      <c r="GN176" s="28"/>
      <c r="GO176" s="28"/>
      <c r="GP176" s="28"/>
      <c r="GQ176" s="28"/>
      <c r="GR176" s="28"/>
      <c r="GS176" s="28"/>
      <c r="GT176" s="28"/>
      <c r="GU176" s="28"/>
      <c r="GV176" s="28"/>
      <c r="GW176" s="28"/>
      <c r="GX176" s="28"/>
      <c r="GY176" s="28"/>
      <c r="GZ176" s="28"/>
      <c r="HA176" s="28"/>
      <c r="HB176" s="28"/>
      <c r="HC176" s="28"/>
      <c r="HD176" s="28"/>
      <c r="HE176" s="28"/>
      <c r="HF176" s="28"/>
      <c r="HG176" s="28"/>
      <c r="HH176" s="28"/>
      <c r="HI176" s="28"/>
      <c r="HJ176" s="28"/>
      <c r="HK176" s="28"/>
    </row>
    <row r="177" spans="1:219" ht="15" customHeight="1">
      <c r="A177" s="49">
        <v>1</v>
      </c>
      <c r="B177" s="132" t="str">
        <f>VLOOKUP(Ruimtestaat[[#This Row],[Code]],Locaties[[Code]:[Locatie]],2,FALSE)</f>
        <v>Mirtehuis</v>
      </c>
      <c r="C177" s="132" t="str">
        <f>VLOOKUP(Ruimtestaat[[#This Row],[Code]],Locaties[[#All],[Code]:[Adres]],4,FALSE)</f>
        <v>Weseperweg 6</v>
      </c>
      <c r="D177" s="132" t="str">
        <f>VLOOKUP(Ruimtestaat[[#This Row],[Code]],Locaties[[#All],[Code]:[Postcode]],5,FALSE)</f>
        <v>8111 PK</v>
      </c>
      <c r="E177" s="132" t="str">
        <f>VLOOKUP(Ruimtestaat[[#This Row],[Code]],Locaties[#All],6,FALSE)</f>
        <v>Heeten</v>
      </c>
      <c r="F177" s="100"/>
      <c r="G177" s="100" t="s">
        <v>1677</v>
      </c>
      <c r="I177" s="140" t="s">
        <v>1656</v>
      </c>
      <c r="J177" s="49">
        <v>20</v>
      </c>
      <c r="K177" s="140" t="str">
        <f>VLOOKUP(Ruimtestaat[[#This Row],[Ruimte code]],Ruimtegroepen[[#All],[Code]:[Ruimte omschrijving]],2,FALSE)</f>
        <v>Niet in Onderhoud</v>
      </c>
      <c r="L177" s="100"/>
      <c r="M177" s="345"/>
      <c r="N177" s="133"/>
      <c r="O177" s="139"/>
      <c r="P177" s="134">
        <f>VLOOKUP(Ruimtestaat[[#This Row],[Ruimte code]],Ruimtegroepen[],4,FALSE)</f>
        <v>0</v>
      </c>
      <c r="Q177" s="100"/>
      <c r="R177" s="100"/>
      <c r="S177" s="100">
        <f>IF(Q177&gt;0,IF(RIGHT(Ruimtestaat[[#This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77" s="100">
        <f>IF(S177&gt;0,VLOOKUP($J177,Ruimtegroepen[],3,FALSE)*VLOOKUP($L177,Vloersoorten[],3,FALSE)*VLOOKUP($R177,Frequenties[],3,FALSE)*VLOOKUP($A177,Locaties[],3,FALSE),0)</f>
        <v>0</v>
      </c>
      <c r="U177" s="100">
        <f>Ruimtestaat[[#This Row],[Uitvoeringen werkdagen]]*Ruimtestaat[[#This Row],[Oppervlak (netto)]]</f>
        <v>0</v>
      </c>
      <c r="V177" s="135">
        <f>IF(T177&gt;0,Ruimtestaat[[#This Row],[Prest. (m2 /jaar) werkdagen]]/Ruimtestaat[[#This Row],[Norm (m2/uur) werkdagen]],0)</f>
        <v>0</v>
      </c>
      <c r="W177" s="136">
        <f>Ruimtestaat[[#This Row],[uren / jaar werkdagen]]*Tariefsopbouw!$E$35</f>
        <v>0</v>
      </c>
      <c r="X177" s="100"/>
      <c r="Y177" s="100">
        <f>IF(Ruimtestaat[[#This Row],[Frequentie weekend]]&gt;0,VALUE(LEFT(X177,1))*Q177,0)</f>
        <v>0</v>
      </c>
      <c r="Z177" s="99">
        <f>IF($Y177&gt;0,VLOOKUP($J177,Ruimtegroepen[],3,FALSE)*VLOOKUP($L177,Vloersoorten[],3,FALSE)*VLOOKUP($X177,Frequenties[],3,FALSE)*VLOOKUP(Ruimtestaat[[#This Row],[Code]],Locaties[],3,FALSE),0)</f>
        <v>0</v>
      </c>
      <c r="AA177" s="99">
        <f>Ruimtestaat[[#This Row],[Uitvoeringen weekend]]*Ruimtestaat[[#This Row],[Oppervlak (netto)]]</f>
        <v>0</v>
      </c>
      <c r="AB177" s="99">
        <f>IF(Z177&gt;0,Ruimtestaat[[#This Row],[Prest. (m2 /jaar) weekend]]/Ruimtestaat[[#This Row],[Norm (m2/uur) weekend]],0)</f>
        <v>0</v>
      </c>
      <c r="AC177" s="136">
        <f>Ruimtestaat[[#This Row],[uren / jaar weekend]]*Tariefsopbouw!$D$40</f>
        <v>0</v>
      </c>
      <c r="AD177" s="135">
        <f>Ruimtestaat[[#This Row],[Prest. (m2 /jaar) weekend]]+Ruimtestaat[[#This Row],[Prest. (m2 /jaar) werkdagen]]</f>
        <v>0</v>
      </c>
      <c r="AE177" s="135">
        <f>Ruimtestaat[[#This Row],[uren / jaar weekend]]+Ruimtestaat[[#This Row],[uren / jaar werkdagen]]</f>
        <v>0</v>
      </c>
      <c r="AF177" s="130">
        <f>Ruimtestaat[[#This Row],[kosten / jaar weekend]]+Ruimtestaat[[#This Row],[kosten / jaar werkdagen]]</f>
        <v>0</v>
      </c>
      <c r="AG177" s="130"/>
      <c r="AH177" s="137" t="str">
        <f>IF(Ruimtestaat[[#This Row],[Frequentie werkdagen]]="","",_xlfn.CONCAT(Ruimtestaat[[#This Row],[Ruimte code]],"-",Ruimtestaat[[#This Row],[Frequentie werkdagen]]," ",Ruimtestaat[[#This Row],[Vloer code]]))</f>
        <v/>
      </c>
      <c r="AI177" s="142" t="str">
        <f>_xlfn.IFNA(VLOOKUP($AH177,Programma!$F$3:$G$1101,2,0),"")</f>
        <v/>
      </c>
      <c r="AJ177" s="142" t="str">
        <f>_xlfn.IFNA(VLOOKUP($AH177,Programma!$F$3:$H$1101,3,0),"")</f>
        <v/>
      </c>
      <c r="AK177" s="142" t="str">
        <f>_xlfn.IFNA(VLOOKUP($AH177,Programma!$F$3:$I$1101,4,0),"")</f>
        <v/>
      </c>
      <c r="AL177" s="142" t="str">
        <f>_xlfn.IFNA(VLOOKUP($AH177,Programma!$F$3:$J$1101,5,0),"")</f>
        <v/>
      </c>
      <c r="AM177" s="142" t="str">
        <f>_xlfn.IFNA(VLOOKUP($AH177,Programma!$F$3:$K$1101,6,0),"")</f>
        <v/>
      </c>
      <c r="AN177" s="142" t="str">
        <f>_xlfn.IFNA(VLOOKUP($AH177,Programma!$F$3:$L$1101,7,0),"")</f>
        <v/>
      </c>
      <c r="AO177" s="142" t="str">
        <f>_xlfn.IFNA(VLOOKUP($AH177,Programma!$F$3:$M$1101,8,0),"")</f>
        <v/>
      </c>
      <c r="AP177" s="142" t="str">
        <f>_xlfn.IFNA(VLOOKUP($AH177,Programma!$F$3:$N$1101,9,0),"")</f>
        <v/>
      </c>
      <c r="AQ177" s="142" t="str">
        <f>_xlfn.IFNA(VLOOKUP($AH177,Programma!$F$3:$O$1101,10,0),"")</f>
        <v/>
      </c>
      <c r="AR177" s="142" t="str">
        <f>_xlfn.IFNA(VLOOKUP($AH177,Programma!$F$3:$P$1101,11,0),"")</f>
        <v/>
      </c>
      <c r="AS177" s="142" t="str">
        <f>_xlfn.IFNA(VLOOKUP($AH177,Programma!$F$3:$Q$1101,12,0),"")</f>
        <v/>
      </c>
      <c r="AT177" s="142" t="str">
        <f>_xlfn.IFNA(VLOOKUP($AH177,Programma!$F$3:$R$1101,13,0),"")</f>
        <v/>
      </c>
      <c r="AU177" s="142" t="str">
        <f>_xlfn.IFNA(VLOOKUP($AH177,Programma!$F$3:$S$1101,14,0),"")</f>
        <v/>
      </c>
      <c r="AV177" s="142" t="str">
        <f>_xlfn.IFNA(VLOOKUP($AH177,Programma!$F$3:$T$1101,15,0),"")</f>
        <v/>
      </c>
      <c r="AW177" s="142" t="str">
        <f>_xlfn.IFNA(VLOOKUP($AH177,Programma!$F$3:$U$1101,16,0),"")</f>
        <v/>
      </c>
      <c r="AX177" s="142" t="str">
        <f>_xlfn.IFNA(VLOOKUP($AH177,Programma!$F$3:$V$1101,17,0),"")</f>
        <v/>
      </c>
      <c r="AY177" s="142" t="str">
        <f>_xlfn.IFNA(VLOOKUP($AH177,Programma!$F$3:$W$1101,18,0),"")</f>
        <v/>
      </c>
      <c r="AZ177" s="142" t="str">
        <f>_xlfn.IFNA(VLOOKUP($AH177,Programma!$F$3:$X$1101,19,0),"")</f>
        <v/>
      </c>
      <c r="BA177" s="142" t="str">
        <f>_xlfn.IFNA(VLOOKUP($AH177,Programma!$F$3:$Y$1101,20,0),"")</f>
        <v/>
      </c>
      <c r="BB177" s="138"/>
      <c r="BC177" s="137" t="str">
        <f>IF(Ruimtestaat[[#This Row],[Frequentie weekend]]="","",_xlfn.CONCAT(Ruimtestaat[[#This Row],[Ruimte code]],"-",Ruimtestaat[[#This Row],[Frequentie weekend]]," ",Ruimtestaat[[#This Row],[Vloer code]]))</f>
        <v/>
      </c>
      <c r="BD177" s="142" t="str">
        <f>_xlfn.IFNA(VLOOKUP($BC177,Programma!$F$3:$G$1101,2,0),"")</f>
        <v/>
      </c>
      <c r="BE177" s="142" t="str">
        <f>_xlfn.IFNA(VLOOKUP($BC177,Programma!$F$3:$H$1101,3,0),"")</f>
        <v/>
      </c>
      <c r="BF177" s="142" t="str">
        <f>_xlfn.IFNA(VLOOKUP($BC177,Programma!$F$3:$I$1101,4,0),"")</f>
        <v/>
      </c>
      <c r="BG177" s="142" t="str">
        <f>_xlfn.IFNA(VLOOKUP($BC177,Programma!$F$3:$J$1101,5,0),"")</f>
        <v/>
      </c>
      <c r="BH177" s="142" t="str">
        <f>_xlfn.IFNA(VLOOKUP($BC177,Programma!$F$3:$K$1101,6,0),"")</f>
        <v/>
      </c>
      <c r="BI177" s="142" t="str">
        <f>_xlfn.IFNA(VLOOKUP($BC177,Programma!$F$3:$L$1101,7,0),"")</f>
        <v/>
      </c>
      <c r="BJ177" s="142" t="str">
        <f>_xlfn.IFNA(VLOOKUP($BC177,Programma!$F$3:$M$1101,8,0),"")</f>
        <v/>
      </c>
      <c r="BK177" s="142" t="str">
        <f>_xlfn.IFNA(VLOOKUP($BC177,Programma!$F$3:$N$1101,9,0),"")</f>
        <v/>
      </c>
      <c r="BL177" s="142" t="str">
        <f>_xlfn.IFNA(VLOOKUP($BC177,Programma!$F$3:$O$1101,10,0),"")</f>
        <v/>
      </c>
      <c r="BM177" s="142" t="str">
        <f>_xlfn.IFNA(VLOOKUP($BC177,Programma!$F$3:$P$1101,11,0),"")</f>
        <v/>
      </c>
      <c r="BN177" s="142" t="str">
        <f>_xlfn.IFNA(VLOOKUP($BC177,Programma!$F$3:$Q$1101,12,0),"")</f>
        <v/>
      </c>
      <c r="BO177" s="142" t="str">
        <f>_xlfn.IFNA(VLOOKUP($BC177,Programma!$F$3:$R$1101,13,0),"")</f>
        <v/>
      </c>
      <c r="BP177" s="142" t="str">
        <f>_xlfn.IFNA(VLOOKUP($BC177,Programma!$F$3:$S$1101,14,0),"")</f>
        <v/>
      </c>
      <c r="BQ177" s="142" t="str">
        <f>_xlfn.IFNA(VLOOKUP($BC177,Programma!$F$3:$T$1101,15,0),"")</f>
        <v/>
      </c>
      <c r="BR177" s="142" t="str">
        <f>_xlfn.IFNA(VLOOKUP($BC177,Programma!$F$3:$U$1101,16,0),"")</f>
        <v/>
      </c>
      <c r="BS177" s="142" t="str">
        <f>_xlfn.IFNA(VLOOKUP($BC177,Programma!$F$3:$V$1101,17,0),"")</f>
        <v/>
      </c>
      <c r="BT177" s="142" t="str">
        <f>_xlfn.IFNA(VLOOKUP($BC177,Programma!$F$3:$W$1101,18,0),"")</f>
        <v/>
      </c>
      <c r="BU177" s="142" t="str">
        <f>_xlfn.IFNA(VLOOKUP($BC177,Programma!$F$3:$X$1101,19,0),"")</f>
        <v/>
      </c>
      <c r="BV177" s="142" t="str">
        <f>_xlfn.IFNA(VLOOKUP($BC177,Programma!$F$3:$Y$1101,20,0),"")</f>
        <v/>
      </c>
      <c r="BW177" s="28"/>
      <c r="BX177" s="28"/>
      <c r="BY177" s="28"/>
      <c r="BZ177" s="28"/>
      <c r="CA177" s="28"/>
      <c r="CB177" s="28"/>
      <c r="CC177" s="28"/>
      <c r="CD177" s="28"/>
      <c r="CE177" s="28"/>
      <c r="CF177" s="28"/>
      <c r="CG177" s="28"/>
      <c r="CH177" s="28"/>
      <c r="CI177" s="28"/>
      <c r="CJ177" s="28"/>
      <c r="CK177" s="28"/>
      <c r="CL177" s="28"/>
      <c r="CM177" s="28"/>
      <c r="CN177" s="28"/>
      <c r="CO177" s="28"/>
      <c r="CP177" s="28"/>
      <c r="CQ177" s="28"/>
      <c r="CR177" s="28"/>
      <c r="CS177" s="28"/>
      <c r="CT177" s="28"/>
      <c r="CU177" s="28"/>
      <c r="CV177" s="28"/>
      <c r="CW177" s="28"/>
      <c r="CX177" s="28"/>
      <c r="CY177" s="28"/>
      <c r="CZ177" s="28"/>
      <c r="DA177" s="28"/>
      <c r="DB177" s="28"/>
      <c r="DC177" s="28"/>
      <c r="DD177" s="28"/>
      <c r="DE177" s="28"/>
      <c r="DF177" s="28"/>
      <c r="DG177" s="28"/>
      <c r="DH177" s="28"/>
      <c r="DI177" s="28"/>
      <c r="DJ177" s="28"/>
      <c r="DK177" s="28"/>
      <c r="DL177" s="28"/>
      <c r="DM177" s="28"/>
      <c r="DN177" s="28"/>
      <c r="DO177" s="28"/>
      <c r="DP177" s="28"/>
      <c r="DQ177" s="28"/>
      <c r="DR177" s="28"/>
      <c r="DS177" s="28"/>
      <c r="DT177" s="28"/>
      <c r="DU177" s="28"/>
      <c r="DV177" s="28"/>
      <c r="DW177" s="28"/>
      <c r="DX177" s="28"/>
      <c r="DY177" s="28"/>
      <c r="DZ177" s="28"/>
      <c r="EA177" s="28"/>
      <c r="EB177" s="28"/>
      <c r="EC177" s="28"/>
      <c r="ED177" s="28"/>
      <c r="EE177" s="28"/>
      <c r="EF177" s="28"/>
      <c r="EG177" s="28"/>
      <c r="EH177" s="28"/>
      <c r="EI177" s="28"/>
      <c r="EJ177" s="28"/>
      <c r="EK177" s="28"/>
      <c r="EL177" s="28"/>
      <c r="EM177" s="28"/>
      <c r="EN177" s="28"/>
      <c r="EO177" s="28"/>
      <c r="EP177" s="28"/>
      <c r="EQ177" s="28"/>
      <c r="ER177" s="28"/>
      <c r="ES177" s="28"/>
      <c r="ET177" s="28"/>
      <c r="EU177" s="28"/>
      <c r="EV177" s="28"/>
      <c r="EW177" s="28"/>
      <c r="EX177" s="28"/>
      <c r="EY177" s="28"/>
      <c r="EZ177" s="28"/>
      <c r="FA177" s="28"/>
      <c r="FB177" s="28"/>
      <c r="FC177" s="28"/>
      <c r="FD177" s="28"/>
      <c r="FE177" s="28"/>
      <c r="FF177" s="28"/>
      <c r="FG177" s="28"/>
      <c r="FH177" s="28"/>
      <c r="FI177" s="28"/>
      <c r="FJ177" s="28"/>
      <c r="FK177" s="28"/>
      <c r="FL177" s="28"/>
      <c r="FM177" s="28"/>
      <c r="FN177" s="28"/>
      <c r="FO177" s="28"/>
      <c r="FP177" s="28"/>
      <c r="FQ177" s="28"/>
      <c r="FR177" s="28"/>
      <c r="FS177" s="28"/>
      <c r="FT177" s="28"/>
      <c r="FU177" s="28"/>
      <c r="FV177" s="28"/>
      <c r="FW177" s="28"/>
      <c r="FX177" s="28"/>
      <c r="FY177" s="28"/>
      <c r="FZ177" s="28"/>
      <c r="GA177" s="28"/>
      <c r="GB177" s="28"/>
      <c r="GC177" s="28"/>
      <c r="GD177" s="28"/>
      <c r="GE177" s="28"/>
      <c r="GF177" s="28"/>
      <c r="GG177" s="28"/>
      <c r="GH177" s="28"/>
      <c r="GI177" s="28"/>
      <c r="GJ177" s="28"/>
      <c r="GK177" s="28"/>
      <c r="GL177" s="28"/>
      <c r="GM177" s="28"/>
      <c r="GN177" s="28"/>
      <c r="GO177" s="28"/>
      <c r="GP177" s="28"/>
      <c r="GQ177" s="28"/>
      <c r="GR177" s="28"/>
      <c r="GS177" s="28"/>
      <c r="GT177" s="28"/>
      <c r="GU177" s="28"/>
      <c r="GV177" s="28"/>
      <c r="GW177" s="28"/>
      <c r="GX177" s="28"/>
      <c r="GY177" s="28"/>
      <c r="GZ177" s="28"/>
      <c r="HA177" s="28"/>
      <c r="HB177" s="28"/>
      <c r="HC177" s="28"/>
      <c r="HD177" s="28"/>
      <c r="HE177" s="28"/>
      <c r="HF177" s="28"/>
      <c r="HG177" s="28"/>
      <c r="HH177" s="28"/>
      <c r="HI177" s="28"/>
      <c r="HJ177" s="28"/>
      <c r="HK177" s="28"/>
    </row>
    <row r="178" spans="1:219" ht="15" customHeight="1">
      <c r="A178" s="49">
        <v>1</v>
      </c>
      <c r="B178" s="132" t="str">
        <f>VLOOKUP(Ruimtestaat[[#This Row],[Code]],Locaties[[Code]:[Locatie]],2,FALSE)</f>
        <v>Mirtehuis</v>
      </c>
      <c r="C178" s="132" t="str">
        <f>VLOOKUP(Ruimtestaat[[#This Row],[Code]],Locaties[[#All],[Code]:[Adres]],4,FALSE)</f>
        <v>Weseperweg 6</v>
      </c>
      <c r="D178" s="132" t="str">
        <f>VLOOKUP(Ruimtestaat[[#This Row],[Code]],Locaties[[#All],[Code]:[Postcode]],5,FALSE)</f>
        <v>8111 PK</v>
      </c>
      <c r="E178" s="132" t="str">
        <f>VLOOKUP(Ruimtestaat[[#This Row],[Code]],Locaties[#All],6,FALSE)</f>
        <v>Heeten</v>
      </c>
      <c r="F178" s="100"/>
      <c r="G178" s="100" t="s">
        <v>1677</v>
      </c>
      <c r="I178" s="140" t="s">
        <v>1668</v>
      </c>
      <c r="J178" s="49">
        <v>20</v>
      </c>
      <c r="K178" s="140" t="str">
        <f>VLOOKUP(Ruimtestaat[[#This Row],[Ruimte code]],Ruimtegroepen[[#All],[Code]:[Ruimte omschrijving]],2,FALSE)</f>
        <v>Niet in Onderhoud</v>
      </c>
      <c r="L178" s="100"/>
      <c r="M178" s="345"/>
      <c r="N178" s="133"/>
      <c r="O178" s="100"/>
      <c r="P178" s="134">
        <f>VLOOKUP(Ruimtestaat[[#This Row],[Ruimte code]],Ruimtegroepen[],4,FALSE)</f>
        <v>0</v>
      </c>
      <c r="Q178" s="100"/>
      <c r="R178" s="100"/>
      <c r="S178" s="100">
        <f>IF(Q178&gt;0,IF(RIGHT(Ruimtestaat[[#This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78" s="100">
        <f>IF(S178&gt;0,VLOOKUP($J178,Ruimtegroepen[],3,FALSE)*VLOOKUP($L178,Vloersoorten[],3,FALSE)*VLOOKUP($R178,Frequenties[],3,FALSE)*VLOOKUP($A178,Locaties[],3,FALSE),0)</f>
        <v>0</v>
      </c>
      <c r="U178" s="100">
        <f>Ruimtestaat[[#This Row],[Uitvoeringen werkdagen]]*Ruimtestaat[[#This Row],[Oppervlak (netto)]]</f>
        <v>0</v>
      </c>
      <c r="V178" s="135">
        <f>IF(T178&gt;0,Ruimtestaat[[#This Row],[Prest. (m2 /jaar) werkdagen]]/Ruimtestaat[[#This Row],[Norm (m2/uur) werkdagen]],0)</f>
        <v>0</v>
      </c>
      <c r="W178" s="136">
        <f>Ruimtestaat[[#This Row],[uren / jaar werkdagen]]*Tariefsopbouw!$E$35</f>
        <v>0</v>
      </c>
      <c r="X178" s="100"/>
      <c r="Y178" s="100">
        <f>IF(Ruimtestaat[[#This Row],[Frequentie weekend]]&gt;0,VALUE(LEFT(X178,1))*Q178,0)</f>
        <v>0</v>
      </c>
      <c r="Z178" s="99">
        <f>IF($Y178&gt;0,VLOOKUP($J178,Ruimtegroepen[],3,FALSE)*VLOOKUP($L178,Vloersoorten[],3,FALSE)*VLOOKUP($X178,Frequenties[],3,FALSE)*VLOOKUP(Ruimtestaat[[#This Row],[Code]],Locaties[],3,FALSE),0)</f>
        <v>0</v>
      </c>
      <c r="AA178" s="99">
        <f>Ruimtestaat[[#This Row],[Uitvoeringen weekend]]*Ruimtestaat[[#This Row],[Oppervlak (netto)]]</f>
        <v>0</v>
      </c>
      <c r="AB178" s="99">
        <f>IF(Z178&gt;0,Ruimtestaat[[#This Row],[Prest. (m2 /jaar) weekend]]/Ruimtestaat[[#This Row],[Norm (m2/uur) weekend]],0)</f>
        <v>0</v>
      </c>
      <c r="AC178" s="136">
        <f>Ruimtestaat[[#This Row],[uren / jaar weekend]]*Tariefsopbouw!$D$40</f>
        <v>0</v>
      </c>
      <c r="AD178" s="135">
        <f>Ruimtestaat[[#This Row],[Prest. (m2 /jaar) weekend]]+Ruimtestaat[[#This Row],[Prest. (m2 /jaar) werkdagen]]</f>
        <v>0</v>
      </c>
      <c r="AE178" s="135">
        <f>Ruimtestaat[[#This Row],[uren / jaar weekend]]+Ruimtestaat[[#This Row],[uren / jaar werkdagen]]</f>
        <v>0</v>
      </c>
      <c r="AF178" s="130">
        <f>Ruimtestaat[[#This Row],[kosten / jaar weekend]]+Ruimtestaat[[#This Row],[kosten / jaar werkdagen]]</f>
        <v>0</v>
      </c>
      <c r="AG178" s="130"/>
      <c r="AH178" s="137" t="str">
        <f>IF(Ruimtestaat[[#This Row],[Frequentie werkdagen]]="","",_xlfn.CONCAT(Ruimtestaat[[#This Row],[Ruimte code]],"-",Ruimtestaat[[#This Row],[Frequentie werkdagen]]," ",Ruimtestaat[[#This Row],[Vloer code]]))</f>
        <v/>
      </c>
      <c r="AI178" s="142" t="str">
        <f>_xlfn.IFNA(VLOOKUP($AH178,Programma!$F$3:$G$1101,2,0),"")</f>
        <v/>
      </c>
      <c r="AJ178" s="142" t="str">
        <f>_xlfn.IFNA(VLOOKUP($AH178,Programma!$F$3:$H$1101,3,0),"")</f>
        <v/>
      </c>
      <c r="AK178" s="142" t="str">
        <f>_xlfn.IFNA(VLOOKUP($AH178,Programma!$F$3:$I$1101,4,0),"")</f>
        <v/>
      </c>
      <c r="AL178" s="142" t="str">
        <f>_xlfn.IFNA(VLOOKUP($AH178,Programma!$F$3:$J$1101,5,0),"")</f>
        <v/>
      </c>
      <c r="AM178" s="142" t="str">
        <f>_xlfn.IFNA(VLOOKUP($AH178,Programma!$F$3:$K$1101,6,0),"")</f>
        <v/>
      </c>
      <c r="AN178" s="142" t="str">
        <f>_xlfn.IFNA(VLOOKUP($AH178,Programma!$F$3:$L$1101,7,0),"")</f>
        <v/>
      </c>
      <c r="AO178" s="142" t="str">
        <f>_xlfn.IFNA(VLOOKUP($AH178,Programma!$F$3:$M$1101,8,0),"")</f>
        <v/>
      </c>
      <c r="AP178" s="142" t="str">
        <f>_xlfn.IFNA(VLOOKUP($AH178,Programma!$F$3:$N$1101,9,0),"")</f>
        <v/>
      </c>
      <c r="AQ178" s="142" t="str">
        <f>_xlfn.IFNA(VLOOKUP($AH178,Programma!$F$3:$O$1101,10,0),"")</f>
        <v/>
      </c>
      <c r="AR178" s="142" t="str">
        <f>_xlfn.IFNA(VLOOKUP($AH178,Programma!$F$3:$P$1101,11,0),"")</f>
        <v/>
      </c>
      <c r="AS178" s="142" t="str">
        <f>_xlfn.IFNA(VLOOKUP($AH178,Programma!$F$3:$Q$1101,12,0),"")</f>
        <v/>
      </c>
      <c r="AT178" s="142" t="str">
        <f>_xlfn.IFNA(VLOOKUP($AH178,Programma!$F$3:$R$1101,13,0),"")</f>
        <v/>
      </c>
      <c r="AU178" s="142" t="str">
        <f>_xlfn.IFNA(VLOOKUP($AH178,Programma!$F$3:$S$1101,14,0),"")</f>
        <v/>
      </c>
      <c r="AV178" s="142" t="str">
        <f>_xlfn.IFNA(VLOOKUP($AH178,Programma!$F$3:$T$1101,15,0),"")</f>
        <v/>
      </c>
      <c r="AW178" s="142" t="str">
        <f>_xlfn.IFNA(VLOOKUP($AH178,Programma!$F$3:$U$1101,16,0),"")</f>
        <v/>
      </c>
      <c r="AX178" s="142" t="str">
        <f>_xlfn.IFNA(VLOOKUP($AH178,Programma!$F$3:$V$1101,17,0),"")</f>
        <v/>
      </c>
      <c r="AY178" s="142" t="str">
        <f>_xlfn.IFNA(VLOOKUP($AH178,Programma!$F$3:$W$1101,18,0),"")</f>
        <v/>
      </c>
      <c r="AZ178" s="142" t="str">
        <f>_xlfn.IFNA(VLOOKUP($AH178,Programma!$F$3:$X$1101,19,0),"")</f>
        <v/>
      </c>
      <c r="BA178" s="142" t="str">
        <f>_xlfn.IFNA(VLOOKUP($AH178,Programma!$F$3:$Y$1101,20,0),"")</f>
        <v/>
      </c>
      <c r="BB178" s="138"/>
      <c r="BC178" s="137" t="str">
        <f>IF(Ruimtestaat[[#This Row],[Frequentie weekend]]="","",_xlfn.CONCAT(Ruimtestaat[[#This Row],[Ruimte code]],"-",Ruimtestaat[[#This Row],[Frequentie weekend]]," ",Ruimtestaat[[#This Row],[Vloer code]]))</f>
        <v/>
      </c>
      <c r="BD178" s="142" t="str">
        <f>_xlfn.IFNA(VLOOKUP($BC178,Programma!$F$3:$G$1101,2,0),"")</f>
        <v/>
      </c>
      <c r="BE178" s="142" t="str">
        <f>_xlfn.IFNA(VLOOKUP($BC178,Programma!$F$3:$H$1101,3,0),"")</f>
        <v/>
      </c>
      <c r="BF178" s="142" t="str">
        <f>_xlfn.IFNA(VLOOKUP($BC178,Programma!$F$3:$I$1101,4,0),"")</f>
        <v/>
      </c>
      <c r="BG178" s="142" t="str">
        <f>_xlfn.IFNA(VLOOKUP($BC178,Programma!$F$3:$J$1101,5,0),"")</f>
        <v/>
      </c>
      <c r="BH178" s="142" t="str">
        <f>_xlfn.IFNA(VLOOKUP($BC178,Programma!$F$3:$K$1101,6,0),"")</f>
        <v/>
      </c>
      <c r="BI178" s="142" t="str">
        <f>_xlfn.IFNA(VLOOKUP($BC178,Programma!$F$3:$L$1101,7,0),"")</f>
        <v/>
      </c>
      <c r="BJ178" s="142" t="str">
        <f>_xlfn.IFNA(VLOOKUP($BC178,Programma!$F$3:$M$1101,8,0),"")</f>
        <v/>
      </c>
      <c r="BK178" s="142" t="str">
        <f>_xlfn.IFNA(VLOOKUP($BC178,Programma!$F$3:$N$1101,9,0),"")</f>
        <v/>
      </c>
      <c r="BL178" s="142" t="str">
        <f>_xlfn.IFNA(VLOOKUP($BC178,Programma!$F$3:$O$1101,10,0),"")</f>
        <v/>
      </c>
      <c r="BM178" s="142" t="str">
        <f>_xlfn.IFNA(VLOOKUP($BC178,Programma!$F$3:$P$1101,11,0),"")</f>
        <v/>
      </c>
      <c r="BN178" s="142" t="str">
        <f>_xlfn.IFNA(VLOOKUP($BC178,Programma!$F$3:$Q$1101,12,0),"")</f>
        <v/>
      </c>
      <c r="BO178" s="142" t="str">
        <f>_xlfn.IFNA(VLOOKUP($BC178,Programma!$F$3:$R$1101,13,0),"")</f>
        <v/>
      </c>
      <c r="BP178" s="142" t="str">
        <f>_xlfn.IFNA(VLOOKUP($BC178,Programma!$F$3:$S$1101,14,0),"")</f>
        <v/>
      </c>
      <c r="BQ178" s="142" t="str">
        <f>_xlfn.IFNA(VLOOKUP($BC178,Programma!$F$3:$T$1101,15,0),"")</f>
        <v/>
      </c>
      <c r="BR178" s="142" t="str">
        <f>_xlfn.IFNA(VLOOKUP($BC178,Programma!$F$3:$U$1101,16,0),"")</f>
        <v/>
      </c>
      <c r="BS178" s="142" t="str">
        <f>_xlfn.IFNA(VLOOKUP($BC178,Programma!$F$3:$V$1101,17,0),"")</f>
        <v/>
      </c>
      <c r="BT178" s="142" t="str">
        <f>_xlfn.IFNA(VLOOKUP($BC178,Programma!$F$3:$W$1101,18,0),"")</f>
        <v/>
      </c>
      <c r="BU178" s="142" t="str">
        <f>_xlfn.IFNA(VLOOKUP($BC178,Programma!$F$3:$X$1101,19,0),"")</f>
        <v/>
      </c>
      <c r="BV178" s="142" t="str">
        <f>_xlfn.IFNA(VLOOKUP($BC178,Programma!$F$3:$Y$1101,20,0),"")</f>
        <v/>
      </c>
      <c r="BW178" s="28"/>
      <c r="BX178" s="28"/>
      <c r="BY178" s="28"/>
      <c r="BZ178" s="28"/>
      <c r="CA178" s="28"/>
      <c r="CB178" s="28"/>
      <c r="CC178" s="28"/>
      <c r="CD178" s="28"/>
      <c r="CE178" s="28"/>
      <c r="CF178" s="28"/>
      <c r="CG178" s="28"/>
      <c r="CH178" s="28"/>
      <c r="CI178" s="28"/>
      <c r="CJ178" s="28"/>
      <c r="CK178" s="28"/>
      <c r="CL178" s="28"/>
      <c r="CM178" s="28"/>
      <c r="CN178" s="28"/>
      <c r="CO178" s="28"/>
      <c r="CP178" s="28"/>
      <c r="CQ178" s="28"/>
      <c r="CR178" s="28"/>
      <c r="CS178" s="28"/>
      <c r="CT178" s="28"/>
      <c r="CU178" s="28"/>
      <c r="CV178" s="28"/>
      <c r="CW178" s="28"/>
      <c r="CX178" s="28"/>
      <c r="CY178" s="28"/>
      <c r="CZ178" s="28"/>
      <c r="DA178" s="28"/>
      <c r="DB178" s="28"/>
      <c r="DC178" s="28"/>
      <c r="DD178" s="28"/>
      <c r="DE178" s="28"/>
      <c r="DF178" s="28"/>
      <c r="DG178" s="28"/>
      <c r="DH178" s="28"/>
      <c r="DI178" s="28"/>
      <c r="DJ178" s="28"/>
      <c r="DK178" s="28"/>
      <c r="DL178" s="28"/>
      <c r="DM178" s="28"/>
      <c r="DN178" s="28"/>
      <c r="DO178" s="28"/>
      <c r="DP178" s="28"/>
      <c r="DQ178" s="28"/>
      <c r="DR178" s="28"/>
      <c r="DS178" s="28"/>
      <c r="DT178" s="28"/>
      <c r="DU178" s="28"/>
      <c r="DV178" s="28"/>
      <c r="DW178" s="28"/>
      <c r="DX178" s="28"/>
      <c r="DY178" s="28"/>
      <c r="DZ178" s="28"/>
      <c r="EA178" s="28"/>
      <c r="EB178" s="28"/>
      <c r="EC178" s="28"/>
      <c r="ED178" s="28"/>
      <c r="EE178" s="28"/>
      <c r="EF178" s="28"/>
      <c r="EG178" s="28"/>
      <c r="EH178" s="28"/>
      <c r="EI178" s="28"/>
      <c r="EJ178" s="28"/>
      <c r="EK178" s="28"/>
      <c r="EL178" s="28"/>
      <c r="EM178" s="28"/>
      <c r="EN178" s="28"/>
      <c r="EO178" s="28"/>
      <c r="EP178" s="28"/>
      <c r="EQ178" s="28"/>
      <c r="ER178" s="28"/>
      <c r="ES178" s="28"/>
      <c r="ET178" s="28"/>
      <c r="EU178" s="28"/>
      <c r="EV178" s="28"/>
      <c r="EW178" s="28"/>
      <c r="EX178" s="28"/>
      <c r="EY178" s="28"/>
      <c r="EZ178" s="28"/>
      <c r="FA178" s="28"/>
      <c r="FB178" s="28"/>
      <c r="FC178" s="28"/>
      <c r="FD178" s="28"/>
      <c r="FE178" s="28"/>
      <c r="FF178" s="28"/>
      <c r="FG178" s="28"/>
      <c r="FH178" s="28"/>
      <c r="FI178" s="28"/>
      <c r="FJ178" s="28"/>
      <c r="FK178" s="28"/>
      <c r="FL178" s="28"/>
      <c r="FM178" s="28"/>
      <c r="FN178" s="28"/>
      <c r="FO178" s="28"/>
      <c r="FP178" s="28"/>
      <c r="FQ178" s="28"/>
      <c r="FR178" s="28"/>
      <c r="FS178" s="28"/>
      <c r="FT178" s="28"/>
      <c r="FU178" s="28"/>
      <c r="FV178" s="28"/>
      <c r="FW178" s="28"/>
      <c r="FX178" s="28"/>
      <c r="FY178" s="28"/>
      <c r="FZ178" s="28"/>
      <c r="GA178" s="28"/>
      <c r="GB178" s="28"/>
      <c r="GC178" s="28"/>
      <c r="GD178" s="28"/>
      <c r="GE178" s="28"/>
      <c r="GF178" s="28"/>
      <c r="GG178" s="28"/>
      <c r="GH178" s="28"/>
      <c r="GI178" s="28"/>
      <c r="GJ178" s="28"/>
      <c r="GK178" s="28"/>
      <c r="GL178" s="28"/>
      <c r="GM178" s="28"/>
      <c r="GN178" s="28"/>
      <c r="GO178" s="28"/>
      <c r="GP178" s="28"/>
      <c r="GQ178" s="28"/>
      <c r="GR178" s="28"/>
      <c r="GS178" s="28"/>
      <c r="GT178" s="28"/>
      <c r="GU178" s="28"/>
      <c r="GV178" s="28"/>
      <c r="GW178" s="28"/>
      <c r="GX178" s="28"/>
      <c r="GY178" s="28"/>
      <c r="GZ178" s="28"/>
      <c r="HA178" s="28"/>
      <c r="HB178" s="28"/>
      <c r="HC178" s="28"/>
      <c r="HD178" s="28"/>
      <c r="HE178" s="28"/>
      <c r="HF178" s="28"/>
      <c r="HG178" s="28"/>
      <c r="HH178" s="28"/>
      <c r="HI178" s="28"/>
      <c r="HJ178" s="28"/>
      <c r="HK178" s="28"/>
    </row>
    <row r="179" spans="1:219" ht="15" customHeight="1">
      <c r="A179" s="49">
        <v>1</v>
      </c>
      <c r="B179" s="132" t="str">
        <f>VLOOKUP(Ruimtestaat[[#This Row],[Code]],Locaties[[Code]:[Locatie]],2,FALSE)</f>
        <v>Mirtehuis</v>
      </c>
      <c r="C179" s="132" t="str">
        <f>VLOOKUP(Ruimtestaat[[#This Row],[Code]],Locaties[[#All],[Code]:[Adres]],4,FALSE)</f>
        <v>Weseperweg 6</v>
      </c>
      <c r="D179" s="132" t="str">
        <f>VLOOKUP(Ruimtestaat[[#This Row],[Code]],Locaties[[#All],[Code]:[Postcode]],5,FALSE)</f>
        <v>8111 PK</v>
      </c>
      <c r="E179" s="132" t="str">
        <f>VLOOKUP(Ruimtestaat[[#This Row],[Code]],Locaties[#All],6,FALSE)</f>
        <v>Heeten</v>
      </c>
      <c r="F179" s="100"/>
      <c r="G179" s="100" t="s">
        <v>1677</v>
      </c>
      <c r="I179" s="140" t="s">
        <v>1656</v>
      </c>
      <c r="J179" s="49">
        <v>20</v>
      </c>
      <c r="K179" s="140" t="str">
        <f>VLOOKUP(Ruimtestaat[[#This Row],[Ruimte code]],Ruimtegroepen[[#All],[Code]:[Ruimte omschrijving]],2,FALSE)</f>
        <v>Niet in Onderhoud</v>
      </c>
      <c r="L179" s="100"/>
      <c r="M179" s="345"/>
      <c r="N179" s="133"/>
      <c r="O179" s="139"/>
      <c r="P179" s="134">
        <f>VLOOKUP(Ruimtestaat[[#This Row],[Ruimte code]],Ruimtegroepen[],4,FALSE)</f>
        <v>0</v>
      </c>
      <c r="Q179" s="100"/>
      <c r="R179" s="100"/>
      <c r="S179" s="100">
        <f>IF(Q179&gt;0,IF(RIGHT(Ruimtestaat[[#This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79" s="100">
        <f>IF(S179&gt;0,VLOOKUP($J179,Ruimtegroepen[],3,FALSE)*VLOOKUP($L179,Vloersoorten[],3,FALSE)*VLOOKUP($R179,Frequenties[],3,FALSE)*VLOOKUP($A179,Locaties[],3,FALSE),0)</f>
        <v>0</v>
      </c>
      <c r="U179" s="100">
        <f>Ruimtestaat[[#This Row],[Uitvoeringen werkdagen]]*Ruimtestaat[[#This Row],[Oppervlak (netto)]]</f>
        <v>0</v>
      </c>
      <c r="V179" s="135">
        <f>IF(T179&gt;0,Ruimtestaat[[#This Row],[Prest. (m2 /jaar) werkdagen]]/Ruimtestaat[[#This Row],[Norm (m2/uur) werkdagen]],0)</f>
        <v>0</v>
      </c>
      <c r="W179" s="136">
        <f>Ruimtestaat[[#This Row],[uren / jaar werkdagen]]*Tariefsopbouw!$E$35</f>
        <v>0</v>
      </c>
      <c r="X179" s="100"/>
      <c r="Y179" s="100">
        <f>IF(Ruimtestaat[[#This Row],[Frequentie weekend]]&gt;0,VALUE(LEFT(X179,1))*Q179,0)</f>
        <v>0</v>
      </c>
      <c r="Z179" s="99">
        <f>IF($Y179&gt;0,VLOOKUP($J179,Ruimtegroepen[],3,FALSE)*VLOOKUP($L179,Vloersoorten[],3,FALSE)*VLOOKUP($X179,Frequenties[],3,FALSE)*VLOOKUP(Ruimtestaat[[#This Row],[Code]],Locaties[],3,FALSE),0)</f>
        <v>0</v>
      </c>
      <c r="AA179" s="99">
        <f>Ruimtestaat[[#This Row],[Uitvoeringen weekend]]*Ruimtestaat[[#This Row],[Oppervlak (netto)]]</f>
        <v>0</v>
      </c>
      <c r="AB179" s="99">
        <f>IF(Z179&gt;0,Ruimtestaat[[#This Row],[Prest. (m2 /jaar) weekend]]/Ruimtestaat[[#This Row],[Norm (m2/uur) weekend]],0)</f>
        <v>0</v>
      </c>
      <c r="AC179" s="136">
        <f>Ruimtestaat[[#This Row],[uren / jaar weekend]]*Tariefsopbouw!$D$40</f>
        <v>0</v>
      </c>
      <c r="AD179" s="135">
        <f>Ruimtestaat[[#This Row],[Prest. (m2 /jaar) weekend]]+Ruimtestaat[[#This Row],[Prest. (m2 /jaar) werkdagen]]</f>
        <v>0</v>
      </c>
      <c r="AE179" s="135">
        <f>Ruimtestaat[[#This Row],[uren / jaar weekend]]+Ruimtestaat[[#This Row],[uren / jaar werkdagen]]</f>
        <v>0</v>
      </c>
      <c r="AF179" s="130">
        <f>Ruimtestaat[[#This Row],[kosten / jaar weekend]]+Ruimtestaat[[#This Row],[kosten / jaar werkdagen]]</f>
        <v>0</v>
      </c>
      <c r="AG179" s="130"/>
      <c r="AH179" s="137" t="str">
        <f>IF(Ruimtestaat[[#This Row],[Frequentie werkdagen]]="","",_xlfn.CONCAT(Ruimtestaat[[#This Row],[Ruimte code]],"-",Ruimtestaat[[#This Row],[Frequentie werkdagen]]," ",Ruimtestaat[[#This Row],[Vloer code]]))</f>
        <v/>
      </c>
      <c r="AI179" s="142" t="str">
        <f>_xlfn.IFNA(VLOOKUP($AH179,Programma!$F$3:$G$1101,2,0),"")</f>
        <v/>
      </c>
      <c r="AJ179" s="142" t="str">
        <f>_xlfn.IFNA(VLOOKUP($AH179,Programma!$F$3:$H$1101,3,0),"")</f>
        <v/>
      </c>
      <c r="AK179" s="142" t="str">
        <f>_xlfn.IFNA(VLOOKUP($AH179,Programma!$F$3:$I$1101,4,0),"")</f>
        <v/>
      </c>
      <c r="AL179" s="142" t="str">
        <f>_xlfn.IFNA(VLOOKUP($AH179,Programma!$F$3:$J$1101,5,0),"")</f>
        <v/>
      </c>
      <c r="AM179" s="142" t="str">
        <f>_xlfn.IFNA(VLOOKUP($AH179,Programma!$F$3:$K$1101,6,0),"")</f>
        <v/>
      </c>
      <c r="AN179" s="142" t="str">
        <f>_xlfn.IFNA(VLOOKUP($AH179,Programma!$F$3:$L$1101,7,0),"")</f>
        <v/>
      </c>
      <c r="AO179" s="142" t="str">
        <f>_xlfn.IFNA(VLOOKUP($AH179,Programma!$F$3:$M$1101,8,0),"")</f>
        <v/>
      </c>
      <c r="AP179" s="142" t="str">
        <f>_xlfn.IFNA(VLOOKUP($AH179,Programma!$F$3:$N$1101,9,0),"")</f>
        <v/>
      </c>
      <c r="AQ179" s="142" t="str">
        <f>_xlfn.IFNA(VLOOKUP($AH179,Programma!$F$3:$O$1101,10,0),"")</f>
        <v/>
      </c>
      <c r="AR179" s="142" t="str">
        <f>_xlfn.IFNA(VLOOKUP($AH179,Programma!$F$3:$P$1101,11,0),"")</f>
        <v/>
      </c>
      <c r="AS179" s="142" t="str">
        <f>_xlfn.IFNA(VLOOKUP($AH179,Programma!$F$3:$Q$1101,12,0),"")</f>
        <v/>
      </c>
      <c r="AT179" s="142" t="str">
        <f>_xlfn.IFNA(VLOOKUP($AH179,Programma!$F$3:$R$1101,13,0),"")</f>
        <v/>
      </c>
      <c r="AU179" s="142" t="str">
        <f>_xlfn.IFNA(VLOOKUP($AH179,Programma!$F$3:$S$1101,14,0),"")</f>
        <v/>
      </c>
      <c r="AV179" s="142" t="str">
        <f>_xlfn.IFNA(VLOOKUP($AH179,Programma!$F$3:$T$1101,15,0),"")</f>
        <v/>
      </c>
      <c r="AW179" s="142" t="str">
        <f>_xlfn.IFNA(VLOOKUP($AH179,Programma!$F$3:$U$1101,16,0),"")</f>
        <v/>
      </c>
      <c r="AX179" s="142" t="str">
        <f>_xlfn.IFNA(VLOOKUP($AH179,Programma!$F$3:$V$1101,17,0),"")</f>
        <v/>
      </c>
      <c r="AY179" s="142" t="str">
        <f>_xlfn.IFNA(VLOOKUP($AH179,Programma!$F$3:$W$1101,18,0),"")</f>
        <v/>
      </c>
      <c r="AZ179" s="142" t="str">
        <f>_xlfn.IFNA(VLOOKUP($AH179,Programma!$F$3:$X$1101,19,0),"")</f>
        <v/>
      </c>
      <c r="BA179" s="142" t="str">
        <f>_xlfn.IFNA(VLOOKUP($AH179,Programma!$F$3:$Y$1101,20,0),"")</f>
        <v/>
      </c>
      <c r="BB179" s="138"/>
      <c r="BC179" s="137" t="str">
        <f>IF(Ruimtestaat[[#This Row],[Frequentie weekend]]="","",_xlfn.CONCAT(Ruimtestaat[[#This Row],[Ruimte code]],"-",Ruimtestaat[[#This Row],[Frequentie weekend]]," ",Ruimtestaat[[#This Row],[Vloer code]]))</f>
        <v/>
      </c>
      <c r="BD179" s="142" t="str">
        <f>_xlfn.IFNA(VLOOKUP($BC179,Programma!$F$3:$G$1101,2,0),"")</f>
        <v/>
      </c>
      <c r="BE179" s="142" t="str">
        <f>_xlfn.IFNA(VLOOKUP($BC179,Programma!$F$3:$H$1101,3,0),"")</f>
        <v/>
      </c>
      <c r="BF179" s="142" t="str">
        <f>_xlfn.IFNA(VLOOKUP($BC179,Programma!$F$3:$I$1101,4,0),"")</f>
        <v/>
      </c>
      <c r="BG179" s="142" t="str">
        <f>_xlfn.IFNA(VLOOKUP($BC179,Programma!$F$3:$J$1101,5,0),"")</f>
        <v/>
      </c>
      <c r="BH179" s="142" t="str">
        <f>_xlfn.IFNA(VLOOKUP($BC179,Programma!$F$3:$K$1101,6,0),"")</f>
        <v/>
      </c>
      <c r="BI179" s="142" t="str">
        <f>_xlfn.IFNA(VLOOKUP($BC179,Programma!$F$3:$L$1101,7,0),"")</f>
        <v/>
      </c>
      <c r="BJ179" s="142" t="str">
        <f>_xlfn.IFNA(VLOOKUP($BC179,Programma!$F$3:$M$1101,8,0),"")</f>
        <v/>
      </c>
      <c r="BK179" s="142" t="str">
        <f>_xlfn.IFNA(VLOOKUP($BC179,Programma!$F$3:$N$1101,9,0),"")</f>
        <v/>
      </c>
      <c r="BL179" s="142" t="str">
        <f>_xlfn.IFNA(VLOOKUP($BC179,Programma!$F$3:$O$1101,10,0),"")</f>
        <v/>
      </c>
      <c r="BM179" s="142" t="str">
        <f>_xlfn.IFNA(VLOOKUP($BC179,Programma!$F$3:$P$1101,11,0),"")</f>
        <v/>
      </c>
      <c r="BN179" s="142" t="str">
        <f>_xlfn.IFNA(VLOOKUP($BC179,Programma!$F$3:$Q$1101,12,0),"")</f>
        <v/>
      </c>
      <c r="BO179" s="142" t="str">
        <f>_xlfn.IFNA(VLOOKUP($BC179,Programma!$F$3:$R$1101,13,0),"")</f>
        <v/>
      </c>
      <c r="BP179" s="142" t="str">
        <f>_xlfn.IFNA(VLOOKUP($BC179,Programma!$F$3:$S$1101,14,0),"")</f>
        <v/>
      </c>
      <c r="BQ179" s="142" t="str">
        <f>_xlfn.IFNA(VLOOKUP($BC179,Programma!$F$3:$T$1101,15,0),"")</f>
        <v/>
      </c>
      <c r="BR179" s="142" t="str">
        <f>_xlfn.IFNA(VLOOKUP($BC179,Programma!$F$3:$U$1101,16,0),"")</f>
        <v/>
      </c>
      <c r="BS179" s="142" t="str">
        <f>_xlfn.IFNA(VLOOKUP($BC179,Programma!$F$3:$V$1101,17,0),"")</f>
        <v/>
      </c>
      <c r="BT179" s="142" t="str">
        <f>_xlfn.IFNA(VLOOKUP($BC179,Programma!$F$3:$W$1101,18,0),"")</f>
        <v/>
      </c>
      <c r="BU179" s="142" t="str">
        <f>_xlfn.IFNA(VLOOKUP($BC179,Programma!$F$3:$X$1101,19,0),"")</f>
        <v/>
      </c>
      <c r="BV179" s="142" t="str">
        <f>_xlfn.IFNA(VLOOKUP($BC179,Programma!$F$3:$Y$1101,20,0),"")</f>
        <v/>
      </c>
      <c r="BW179" s="28"/>
      <c r="BX179" s="28"/>
      <c r="BY179" s="28"/>
      <c r="BZ179" s="28"/>
      <c r="CA179" s="28"/>
      <c r="CB179" s="28"/>
      <c r="CC179" s="28"/>
      <c r="CD179" s="28"/>
      <c r="CE179" s="28"/>
      <c r="CF179" s="28"/>
      <c r="CG179" s="28"/>
      <c r="CH179" s="28"/>
      <c r="CI179" s="28"/>
      <c r="CJ179" s="28"/>
      <c r="CK179" s="28"/>
      <c r="CL179" s="28"/>
      <c r="CM179" s="28"/>
      <c r="CN179" s="28"/>
      <c r="CO179" s="28"/>
      <c r="CP179" s="28"/>
      <c r="CQ179" s="28"/>
      <c r="CR179" s="28"/>
      <c r="CS179" s="28"/>
      <c r="CT179" s="28"/>
      <c r="CU179" s="28"/>
      <c r="CV179" s="28"/>
      <c r="CW179" s="28"/>
      <c r="CX179" s="28"/>
      <c r="CY179" s="28"/>
      <c r="CZ179" s="28"/>
      <c r="DA179" s="28"/>
      <c r="DB179" s="28"/>
      <c r="DC179" s="28"/>
      <c r="DD179" s="28"/>
      <c r="DE179" s="28"/>
      <c r="DF179" s="28"/>
      <c r="DG179" s="28"/>
      <c r="DH179" s="28"/>
      <c r="DI179" s="28"/>
      <c r="DJ179" s="28"/>
      <c r="DK179" s="28"/>
      <c r="DL179" s="28"/>
      <c r="DM179" s="28"/>
      <c r="DN179" s="28"/>
      <c r="DO179" s="28"/>
      <c r="DP179" s="28"/>
      <c r="DQ179" s="28"/>
      <c r="DR179" s="28"/>
      <c r="DS179" s="28"/>
      <c r="DT179" s="28"/>
      <c r="DU179" s="28"/>
      <c r="DV179" s="28"/>
      <c r="DW179" s="28"/>
      <c r="DX179" s="28"/>
      <c r="DY179" s="28"/>
      <c r="DZ179" s="28"/>
      <c r="EA179" s="28"/>
      <c r="EB179" s="28"/>
      <c r="EC179" s="28"/>
      <c r="ED179" s="28"/>
      <c r="EE179" s="28"/>
      <c r="EF179" s="28"/>
      <c r="EG179" s="28"/>
      <c r="EH179" s="28"/>
      <c r="EI179" s="28"/>
      <c r="EJ179" s="28"/>
      <c r="EK179" s="28"/>
      <c r="EL179" s="28"/>
      <c r="EM179" s="28"/>
      <c r="EN179" s="28"/>
      <c r="EO179" s="28"/>
      <c r="EP179" s="28"/>
      <c r="EQ179" s="28"/>
      <c r="ER179" s="28"/>
      <c r="ES179" s="28"/>
      <c r="ET179" s="28"/>
      <c r="EU179" s="28"/>
      <c r="EV179" s="28"/>
      <c r="EW179" s="28"/>
      <c r="EX179" s="28"/>
      <c r="EY179" s="28"/>
      <c r="EZ179" s="28"/>
      <c r="FA179" s="28"/>
      <c r="FB179" s="28"/>
      <c r="FC179" s="28"/>
      <c r="FD179" s="28"/>
      <c r="FE179" s="28"/>
      <c r="FF179" s="28"/>
      <c r="FG179" s="28"/>
      <c r="FH179" s="28"/>
      <c r="FI179" s="28"/>
      <c r="FJ179" s="28"/>
      <c r="FK179" s="28"/>
      <c r="FL179" s="28"/>
      <c r="FM179" s="28"/>
      <c r="FN179" s="28"/>
      <c r="FO179" s="28"/>
      <c r="FP179" s="28"/>
      <c r="FQ179" s="28"/>
      <c r="FR179" s="28"/>
      <c r="FS179" s="28"/>
      <c r="FT179" s="28"/>
      <c r="FU179" s="28"/>
      <c r="FV179" s="28"/>
      <c r="FW179" s="28"/>
      <c r="FX179" s="28"/>
      <c r="FY179" s="28"/>
      <c r="FZ179" s="28"/>
      <c r="GA179" s="28"/>
      <c r="GB179" s="28"/>
      <c r="GC179" s="28"/>
      <c r="GD179" s="28"/>
      <c r="GE179" s="28"/>
      <c r="GF179" s="28"/>
      <c r="GG179" s="28"/>
      <c r="GH179" s="28"/>
      <c r="GI179" s="28"/>
      <c r="GJ179" s="28"/>
      <c r="GK179" s="28"/>
      <c r="GL179" s="28"/>
      <c r="GM179" s="28"/>
      <c r="GN179" s="28"/>
      <c r="GO179" s="28"/>
      <c r="GP179" s="28"/>
      <c r="GQ179" s="28"/>
      <c r="GR179" s="28"/>
      <c r="GS179" s="28"/>
      <c r="GT179" s="28"/>
      <c r="GU179" s="28"/>
      <c r="GV179" s="28"/>
      <c r="GW179" s="28"/>
      <c r="GX179" s="28"/>
      <c r="GY179" s="28"/>
      <c r="GZ179" s="28"/>
      <c r="HA179" s="28"/>
      <c r="HB179" s="28"/>
      <c r="HC179" s="28"/>
      <c r="HD179" s="28"/>
      <c r="HE179" s="28"/>
      <c r="HF179" s="28"/>
      <c r="HG179" s="28"/>
      <c r="HH179" s="28"/>
      <c r="HI179" s="28"/>
      <c r="HJ179" s="28"/>
      <c r="HK179" s="28"/>
    </row>
    <row r="180" spans="1:219" ht="15" customHeight="1">
      <c r="A180" s="49">
        <v>1</v>
      </c>
      <c r="B180" s="132" t="str">
        <f>VLOOKUP(Ruimtestaat[[#This Row],[Code]],Locaties[[Code]:[Locatie]],2,FALSE)</f>
        <v>Mirtehuis</v>
      </c>
      <c r="C180" s="132" t="str">
        <f>VLOOKUP(Ruimtestaat[[#This Row],[Code]],Locaties[[#All],[Code]:[Adres]],4,FALSE)</f>
        <v>Weseperweg 6</v>
      </c>
      <c r="D180" s="132" t="str">
        <f>VLOOKUP(Ruimtestaat[[#This Row],[Code]],Locaties[[#All],[Code]:[Postcode]],5,FALSE)</f>
        <v>8111 PK</v>
      </c>
      <c r="E180" s="132" t="str">
        <f>VLOOKUP(Ruimtestaat[[#This Row],[Code]],Locaties[#All],6,FALSE)</f>
        <v>Heeten</v>
      </c>
      <c r="F180" s="100"/>
      <c r="G180" s="100" t="s">
        <v>1677</v>
      </c>
      <c r="I180" s="140" t="s">
        <v>1656</v>
      </c>
      <c r="J180" s="49">
        <v>20</v>
      </c>
      <c r="K180" s="140" t="str">
        <f>VLOOKUP(Ruimtestaat[[#This Row],[Ruimte code]],Ruimtegroepen[[#All],[Code]:[Ruimte omschrijving]],2,FALSE)</f>
        <v>Niet in Onderhoud</v>
      </c>
      <c r="L180" s="100"/>
      <c r="M180" s="345"/>
      <c r="N180" s="133"/>
      <c r="O180" s="139"/>
      <c r="P180" s="134">
        <f>VLOOKUP(Ruimtestaat[[#This Row],[Ruimte code]],Ruimtegroepen[],4,FALSE)</f>
        <v>0</v>
      </c>
      <c r="Q180" s="100"/>
      <c r="R180" s="100"/>
      <c r="S180" s="100">
        <f>IF(Q180&gt;0,IF(RIGHT(Ruimtestaat[[#This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80" s="100">
        <f>IF(S180&gt;0,VLOOKUP($J180,Ruimtegroepen[],3,FALSE)*VLOOKUP($L180,Vloersoorten[],3,FALSE)*VLOOKUP($R180,Frequenties[],3,FALSE)*VLOOKUP($A180,Locaties[],3,FALSE),0)</f>
        <v>0</v>
      </c>
      <c r="U180" s="100">
        <f>Ruimtestaat[[#This Row],[Uitvoeringen werkdagen]]*Ruimtestaat[[#This Row],[Oppervlak (netto)]]</f>
        <v>0</v>
      </c>
      <c r="V180" s="135">
        <f>IF(T180&gt;0,Ruimtestaat[[#This Row],[Prest. (m2 /jaar) werkdagen]]/Ruimtestaat[[#This Row],[Norm (m2/uur) werkdagen]],0)</f>
        <v>0</v>
      </c>
      <c r="W180" s="136">
        <f>Ruimtestaat[[#This Row],[uren / jaar werkdagen]]*Tariefsopbouw!$E$35</f>
        <v>0</v>
      </c>
      <c r="X180" s="100"/>
      <c r="Y180" s="100">
        <f>IF(Ruimtestaat[[#This Row],[Frequentie weekend]]&gt;0,VALUE(LEFT(X180,1))*Q180,0)</f>
        <v>0</v>
      </c>
      <c r="Z180" s="99">
        <f>IF($Y180&gt;0,VLOOKUP($J180,Ruimtegroepen[],3,FALSE)*VLOOKUP($L180,Vloersoorten[],3,FALSE)*VLOOKUP($X180,Frequenties[],3,FALSE)*VLOOKUP(Ruimtestaat[[#This Row],[Code]],Locaties[],3,FALSE),0)</f>
        <v>0</v>
      </c>
      <c r="AA180" s="99">
        <f>Ruimtestaat[[#This Row],[Uitvoeringen weekend]]*Ruimtestaat[[#This Row],[Oppervlak (netto)]]</f>
        <v>0</v>
      </c>
      <c r="AB180" s="99">
        <f>IF(Z180&gt;0,Ruimtestaat[[#This Row],[Prest. (m2 /jaar) weekend]]/Ruimtestaat[[#This Row],[Norm (m2/uur) weekend]],0)</f>
        <v>0</v>
      </c>
      <c r="AC180" s="136">
        <f>Ruimtestaat[[#This Row],[uren / jaar weekend]]*Tariefsopbouw!$D$40</f>
        <v>0</v>
      </c>
      <c r="AD180" s="135">
        <f>Ruimtestaat[[#This Row],[Prest. (m2 /jaar) weekend]]+Ruimtestaat[[#This Row],[Prest. (m2 /jaar) werkdagen]]</f>
        <v>0</v>
      </c>
      <c r="AE180" s="135">
        <f>Ruimtestaat[[#This Row],[uren / jaar weekend]]+Ruimtestaat[[#This Row],[uren / jaar werkdagen]]</f>
        <v>0</v>
      </c>
      <c r="AF180" s="130">
        <f>Ruimtestaat[[#This Row],[kosten / jaar weekend]]+Ruimtestaat[[#This Row],[kosten / jaar werkdagen]]</f>
        <v>0</v>
      </c>
      <c r="AG180" s="130"/>
      <c r="AH180" s="137" t="str">
        <f>IF(Ruimtestaat[[#This Row],[Frequentie werkdagen]]="","",_xlfn.CONCAT(Ruimtestaat[[#This Row],[Ruimte code]],"-",Ruimtestaat[[#This Row],[Frequentie werkdagen]]," ",Ruimtestaat[[#This Row],[Vloer code]]))</f>
        <v/>
      </c>
      <c r="AI180" s="142" t="str">
        <f>_xlfn.IFNA(VLOOKUP($AH180,Programma!$F$3:$G$1101,2,0),"")</f>
        <v/>
      </c>
      <c r="AJ180" s="142" t="str">
        <f>_xlfn.IFNA(VLOOKUP($AH180,Programma!$F$3:$H$1101,3,0),"")</f>
        <v/>
      </c>
      <c r="AK180" s="142" t="str">
        <f>_xlfn.IFNA(VLOOKUP($AH180,Programma!$F$3:$I$1101,4,0),"")</f>
        <v/>
      </c>
      <c r="AL180" s="142" t="str">
        <f>_xlfn.IFNA(VLOOKUP($AH180,Programma!$F$3:$J$1101,5,0),"")</f>
        <v/>
      </c>
      <c r="AM180" s="142" t="str">
        <f>_xlfn.IFNA(VLOOKUP($AH180,Programma!$F$3:$K$1101,6,0),"")</f>
        <v/>
      </c>
      <c r="AN180" s="142" t="str">
        <f>_xlfn.IFNA(VLOOKUP($AH180,Programma!$F$3:$L$1101,7,0),"")</f>
        <v/>
      </c>
      <c r="AO180" s="142" t="str">
        <f>_xlfn.IFNA(VLOOKUP($AH180,Programma!$F$3:$M$1101,8,0),"")</f>
        <v/>
      </c>
      <c r="AP180" s="142" t="str">
        <f>_xlfn.IFNA(VLOOKUP($AH180,Programma!$F$3:$N$1101,9,0),"")</f>
        <v/>
      </c>
      <c r="AQ180" s="142" t="str">
        <f>_xlfn.IFNA(VLOOKUP($AH180,Programma!$F$3:$O$1101,10,0),"")</f>
        <v/>
      </c>
      <c r="AR180" s="142" t="str">
        <f>_xlfn.IFNA(VLOOKUP($AH180,Programma!$F$3:$P$1101,11,0),"")</f>
        <v/>
      </c>
      <c r="AS180" s="142" t="str">
        <f>_xlfn.IFNA(VLOOKUP($AH180,Programma!$F$3:$Q$1101,12,0),"")</f>
        <v/>
      </c>
      <c r="AT180" s="142" t="str">
        <f>_xlfn.IFNA(VLOOKUP($AH180,Programma!$F$3:$R$1101,13,0),"")</f>
        <v/>
      </c>
      <c r="AU180" s="142" t="str">
        <f>_xlfn.IFNA(VLOOKUP($AH180,Programma!$F$3:$S$1101,14,0),"")</f>
        <v/>
      </c>
      <c r="AV180" s="142" t="str">
        <f>_xlfn.IFNA(VLOOKUP($AH180,Programma!$F$3:$T$1101,15,0),"")</f>
        <v/>
      </c>
      <c r="AW180" s="142" t="str">
        <f>_xlfn.IFNA(VLOOKUP($AH180,Programma!$F$3:$U$1101,16,0),"")</f>
        <v/>
      </c>
      <c r="AX180" s="142" t="str">
        <f>_xlfn.IFNA(VLOOKUP($AH180,Programma!$F$3:$V$1101,17,0),"")</f>
        <v/>
      </c>
      <c r="AY180" s="142" t="str">
        <f>_xlfn.IFNA(VLOOKUP($AH180,Programma!$F$3:$W$1101,18,0),"")</f>
        <v/>
      </c>
      <c r="AZ180" s="142" t="str">
        <f>_xlfn.IFNA(VLOOKUP($AH180,Programma!$F$3:$X$1101,19,0),"")</f>
        <v/>
      </c>
      <c r="BA180" s="142" t="str">
        <f>_xlfn.IFNA(VLOOKUP($AH180,Programma!$F$3:$Y$1101,20,0),"")</f>
        <v/>
      </c>
      <c r="BB180" s="138"/>
      <c r="BC180" s="137" t="str">
        <f>IF(Ruimtestaat[[#This Row],[Frequentie weekend]]="","",_xlfn.CONCAT(Ruimtestaat[[#This Row],[Ruimte code]],"-",Ruimtestaat[[#This Row],[Frequentie weekend]]," ",Ruimtestaat[[#This Row],[Vloer code]]))</f>
        <v/>
      </c>
      <c r="BD180" s="142" t="str">
        <f>_xlfn.IFNA(VLOOKUP($BC180,Programma!$F$3:$G$1101,2,0),"")</f>
        <v/>
      </c>
      <c r="BE180" s="142" t="str">
        <f>_xlfn.IFNA(VLOOKUP($BC180,Programma!$F$3:$H$1101,3,0),"")</f>
        <v/>
      </c>
      <c r="BF180" s="142" t="str">
        <f>_xlfn.IFNA(VLOOKUP($BC180,Programma!$F$3:$I$1101,4,0),"")</f>
        <v/>
      </c>
      <c r="BG180" s="142" t="str">
        <f>_xlfn.IFNA(VLOOKUP($BC180,Programma!$F$3:$J$1101,5,0),"")</f>
        <v/>
      </c>
      <c r="BH180" s="142" t="str">
        <f>_xlfn.IFNA(VLOOKUP($BC180,Programma!$F$3:$K$1101,6,0),"")</f>
        <v/>
      </c>
      <c r="BI180" s="142" t="str">
        <f>_xlfn.IFNA(VLOOKUP($BC180,Programma!$F$3:$L$1101,7,0),"")</f>
        <v/>
      </c>
      <c r="BJ180" s="142" t="str">
        <f>_xlfn.IFNA(VLOOKUP($BC180,Programma!$F$3:$M$1101,8,0),"")</f>
        <v/>
      </c>
      <c r="BK180" s="142" t="str">
        <f>_xlfn.IFNA(VLOOKUP($BC180,Programma!$F$3:$N$1101,9,0),"")</f>
        <v/>
      </c>
      <c r="BL180" s="142" t="str">
        <f>_xlfn.IFNA(VLOOKUP($BC180,Programma!$F$3:$O$1101,10,0),"")</f>
        <v/>
      </c>
      <c r="BM180" s="142" t="str">
        <f>_xlfn.IFNA(VLOOKUP($BC180,Programma!$F$3:$P$1101,11,0),"")</f>
        <v/>
      </c>
      <c r="BN180" s="142" t="str">
        <f>_xlfn.IFNA(VLOOKUP($BC180,Programma!$F$3:$Q$1101,12,0),"")</f>
        <v/>
      </c>
      <c r="BO180" s="142" t="str">
        <f>_xlfn.IFNA(VLOOKUP($BC180,Programma!$F$3:$R$1101,13,0),"")</f>
        <v/>
      </c>
      <c r="BP180" s="142" t="str">
        <f>_xlfn.IFNA(VLOOKUP($BC180,Programma!$F$3:$S$1101,14,0),"")</f>
        <v/>
      </c>
      <c r="BQ180" s="142" t="str">
        <f>_xlfn.IFNA(VLOOKUP($BC180,Programma!$F$3:$T$1101,15,0),"")</f>
        <v/>
      </c>
      <c r="BR180" s="142" t="str">
        <f>_xlfn.IFNA(VLOOKUP($BC180,Programma!$F$3:$U$1101,16,0),"")</f>
        <v/>
      </c>
      <c r="BS180" s="142" t="str">
        <f>_xlfn.IFNA(VLOOKUP($BC180,Programma!$F$3:$V$1101,17,0),"")</f>
        <v/>
      </c>
      <c r="BT180" s="142" t="str">
        <f>_xlfn.IFNA(VLOOKUP($BC180,Programma!$F$3:$W$1101,18,0),"")</f>
        <v/>
      </c>
      <c r="BU180" s="142" t="str">
        <f>_xlfn.IFNA(VLOOKUP($BC180,Programma!$F$3:$X$1101,19,0),"")</f>
        <v/>
      </c>
      <c r="BV180" s="142" t="str">
        <f>_xlfn.IFNA(VLOOKUP($BC180,Programma!$F$3:$Y$1101,20,0),"")</f>
        <v/>
      </c>
      <c r="BW180" s="28"/>
      <c r="BX180" s="28"/>
      <c r="BY180" s="28"/>
      <c r="BZ180" s="28"/>
      <c r="CA180" s="28"/>
      <c r="CB180" s="28"/>
      <c r="CC180" s="28"/>
      <c r="CD180" s="28"/>
      <c r="CE180" s="28"/>
      <c r="CF180" s="28"/>
      <c r="CG180" s="28"/>
      <c r="CH180" s="28"/>
      <c r="CI180" s="28"/>
      <c r="CJ180" s="28"/>
      <c r="CK180" s="28"/>
      <c r="CL180" s="28"/>
      <c r="CM180" s="28"/>
      <c r="CN180" s="28"/>
      <c r="CO180" s="28"/>
      <c r="CP180" s="28"/>
      <c r="CQ180" s="28"/>
      <c r="CR180" s="28"/>
      <c r="CS180" s="28"/>
      <c r="CT180" s="28"/>
      <c r="CU180" s="28"/>
      <c r="CV180" s="28"/>
      <c r="CW180" s="28"/>
      <c r="CX180" s="28"/>
      <c r="CY180" s="28"/>
      <c r="CZ180" s="28"/>
      <c r="DA180" s="28"/>
      <c r="DB180" s="28"/>
      <c r="DC180" s="28"/>
      <c r="DD180" s="28"/>
      <c r="DE180" s="28"/>
      <c r="DF180" s="28"/>
      <c r="DG180" s="28"/>
      <c r="DH180" s="28"/>
      <c r="DI180" s="28"/>
      <c r="DJ180" s="28"/>
      <c r="DK180" s="28"/>
      <c r="DL180" s="28"/>
      <c r="DM180" s="28"/>
      <c r="DN180" s="28"/>
      <c r="DO180" s="28"/>
      <c r="DP180" s="28"/>
      <c r="DQ180" s="28"/>
      <c r="DR180" s="28"/>
      <c r="DS180" s="28"/>
      <c r="DT180" s="28"/>
      <c r="DU180" s="28"/>
      <c r="DV180" s="28"/>
      <c r="DW180" s="28"/>
      <c r="DX180" s="28"/>
      <c r="DY180" s="28"/>
      <c r="DZ180" s="28"/>
      <c r="EA180" s="28"/>
      <c r="EB180" s="28"/>
      <c r="EC180" s="28"/>
      <c r="ED180" s="28"/>
      <c r="EE180" s="28"/>
      <c r="EF180" s="28"/>
      <c r="EG180" s="28"/>
      <c r="EH180" s="28"/>
      <c r="EI180" s="28"/>
      <c r="EJ180" s="28"/>
      <c r="EK180" s="28"/>
      <c r="EL180" s="28"/>
      <c r="EM180" s="28"/>
      <c r="EN180" s="28"/>
      <c r="EO180" s="28"/>
      <c r="EP180" s="28"/>
      <c r="EQ180" s="28"/>
      <c r="ER180" s="28"/>
      <c r="ES180" s="28"/>
      <c r="ET180" s="28"/>
      <c r="EU180" s="28"/>
      <c r="EV180" s="28"/>
      <c r="EW180" s="28"/>
      <c r="EX180" s="28"/>
      <c r="EY180" s="28"/>
      <c r="EZ180" s="28"/>
      <c r="FA180" s="28"/>
      <c r="FB180" s="28"/>
      <c r="FC180" s="28"/>
      <c r="FD180" s="28"/>
      <c r="FE180" s="28"/>
      <c r="FF180" s="28"/>
      <c r="FG180" s="28"/>
      <c r="FH180" s="28"/>
      <c r="FI180" s="28"/>
      <c r="FJ180" s="28"/>
      <c r="FK180" s="28"/>
      <c r="FL180" s="28"/>
      <c r="FM180" s="28"/>
      <c r="FN180" s="28"/>
      <c r="FO180" s="28"/>
      <c r="FP180" s="28"/>
      <c r="FQ180" s="28"/>
      <c r="FR180" s="28"/>
      <c r="FS180" s="28"/>
      <c r="FT180" s="28"/>
      <c r="FU180" s="28"/>
      <c r="FV180" s="28"/>
      <c r="FW180" s="28"/>
      <c r="FX180" s="28"/>
      <c r="FY180" s="28"/>
      <c r="FZ180" s="28"/>
      <c r="GA180" s="28"/>
      <c r="GB180" s="28"/>
      <c r="GC180" s="28"/>
      <c r="GD180" s="28"/>
      <c r="GE180" s="28"/>
      <c r="GF180" s="28"/>
      <c r="GG180" s="28"/>
      <c r="GH180" s="28"/>
      <c r="GI180" s="28"/>
      <c r="GJ180" s="28"/>
      <c r="GK180" s="28"/>
      <c r="GL180" s="28"/>
      <c r="GM180" s="28"/>
      <c r="GN180" s="28"/>
      <c r="GO180" s="28"/>
      <c r="GP180" s="28"/>
      <c r="GQ180" s="28"/>
      <c r="GR180" s="28"/>
      <c r="GS180" s="28"/>
      <c r="GT180" s="28"/>
      <c r="GU180" s="28"/>
      <c r="GV180" s="28"/>
      <c r="GW180" s="28"/>
      <c r="GX180" s="28"/>
      <c r="GY180" s="28"/>
      <c r="GZ180" s="28"/>
      <c r="HA180" s="28"/>
      <c r="HB180" s="28"/>
      <c r="HC180" s="28"/>
      <c r="HD180" s="28"/>
      <c r="HE180" s="28"/>
      <c r="HF180" s="28"/>
      <c r="HG180" s="28"/>
      <c r="HH180" s="28"/>
      <c r="HI180" s="28"/>
      <c r="HJ180" s="28"/>
      <c r="HK180" s="28"/>
    </row>
    <row r="181" spans="1:219" ht="15" customHeight="1">
      <c r="A181" s="49">
        <v>1</v>
      </c>
      <c r="B181" s="132" t="str">
        <f>VLOOKUP(Ruimtestaat[[#This Row],[Code]],Locaties[[Code]:[Locatie]],2,FALSE)</f>
        <v>Mirtehuis</v>
      </c>
      <c r="C181" s="132" t="str">
        <f>VLOOKUP(Ruimtestaat[[#This Row],[Code]],Locaties[[#All],[Code]:[Adres]],4,FALSE)</f>
        <v>Weseperweg 6</v>
      </c>
      <c r="D181" s="132" t="str">
        <f>VLOOKUP(Ruimtestaat[[#This Row],[Code]],Locaties[[#All],[Code]:[Postcode]],5,FALSE)</f>
        <v>8111 PK</v>
      </c>
      <c r="E181" s="132" t="str">
        <f>VLOOKUP(Ruimtestaat[[#This Row],[Code]],Locaties[#All],6,FALSE)</f>
        <v>Heeten</v>
      </c>
      <c r="F181" s="100"/>
      <c r="G181" s="100" t="s">
        <v>1677</v>
      </c>
      <c r="I181" s="140" t="s">
        <v>1656</v>
      </c>
      <c r="J181" s="49">
        <v>20</v>
      </c>
      <c r="K181" s="140" t="str">
        <f>VLOOKUP(Ruimtestaat[[#This Row],[Ruimte code]],Ruimtegroepen[[#All],[Code]:[Ruimte omschrijving]],2,FALSE)</f>
        <v>Niet in Onderhoud</v>
      </c>
      <c r="L181" s="100"/>
      <c r="M181" s="345"/>
      <c r="N181" s="133"/>
      <c r="O181" s="100"/>
      <c r="P181" s="134">
        <f>VLOOKUP(Ruimtestaat[[#This Row],[Ruimte code]],Ruimtegroepen[],4,FALSE)</f>
        <v>0</v>
      </c>
      <c r="Q181" s="100"/>
      <c r="R181" s="100"/>
      <c r="S181" s="100">
        <f>IF(Q181&gt;0,IF(RIGHT(Ruimtestaat[[#This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81" s="100">
        <f>IF(S181&gt;0,VLOOKUP($J181,Ruimtegroepen[],3,FALSE)*VLOOKUP($L181,Vloersoorten[],3,FALSE)*VLOOKUP($R181,Frequenties[],3,FALSE)*VLOOKUP($A181,Locaties[],3,FALSE),0)</f>
        <v>0</v>
      </c>
      <c r="U181" s="100">
        <f>Ruimtestaat[[#This Row],[Uitvoeringen werkdagen]]*Ruimtestaat[[#This Row],[Oppervlak (netto)]]</f>
        <v>0</v>
      </c>
      <c r="V181" s="135">
        <f>IF(T181&gt;0,Ruimtestaat[[#This Row],[Prest. (m2 /jaar) werkdagen]]/Ruimtestaat[[#This Row],[Norm (m2/uur) werkdagen]],0)</f>
        <v>0</v>
      </c>
      <c r="W181" s="136">
        <f>Ruimtestaat[[#This Row],[uren / jaar werkdagen]]*Tariefsopbouw!$E$35</f>
        <v>0</v>
      </c>
      <c r="X181" s="100"/>
      <c r="Y181" s="100">
        <f>IF(Ruimtestaat[[#This Row],[Frequentie weekend]]&gt;0,VALUE(LEFT(X181,1))*Q181,0)</f>
        <v>0</v>
      </c>
      <c r="Z181" s="99">
        <f>IF($Y181&gt;0,VLOOKUP($J181,Ruimtegroepen[],3,FALSE)*VLOOKUP($L181,Vloersoorten[],3,FALSE)*VLOOKUP($X181,Frequenties[],3,FALSE)*VLOOKUP(Ruimtestaat[[#This Row],[Code]],Locaties[],3,FALSE),0)</f>
        <v>0</v>
      </c>
      <c r="AA181" s="99">
        <f>Ruimtestaat[[#This Row],[Uitvoeringen weekend]]*Ruimtestaat[[#This Row],[Oppervlak (netto)]]</f>
        <v>0</v>
      </c>
      <c r="AB181" s="99">
        <f>IF(Z181&gt;0,Ruimtestaat[[#This Row],[Prest. (m2 /jaar) weekend]]/Ruimtestaat[[#This Row],[Norm (m2/uur) weekend]],0)</f>
        <v>0</v>
      </c>
      <c r="AC181" s="136">
        <f>Ruimtestaat[[#This Row],[uren / jaar weekend]]*Tariefsopbouw!$D$40</f>
        <v>0</v>
      </c>
      <c r="AD181" s="135">
        <f>Ruimtestaat[[#This Row],[Prest. (m2 /jaar) weekend]]+Ruimtestaat[[#This Row],[Prest. (m2 /jaar) werkdagen]]</f>
        <v>0</v>
      </c>
      <c r="AE181" s="135">
        <f>Ruimtestaat[[#This Row],[uren / jaar weekend]]+Ruimtestaat[[#This Row],[uren / jaar werkdagen]]</f>
        <v>0</v>
      </c>
      <c r="AF181" s="130">
        <f>Ruimtestaat[[#This Row],[kosten / jaar weekend]]+Ruimtestaat[[#This Row],[kosten / jaar werkdagen]]</f>
        <v>0</v>
      </c>
      <c r="AG181" s="130"/>
      <c r="AH181" s="137" t="str">
        <f>IF(Ruimtestaat[[#This Row],[Frequentie werkdagen]]="","",_xlfn.CONCAT(Ruimtestaat[[#This Row],[Ruimte code]],"-",Ruimtestaat[[#This Row],[Frequentie werkdagen]]," ",Ruimtestaat[[#This Row],[Vloer code]]))</f>
        <v/>
      </c>
      <c r="AI181" s="142" t="str">
        <f>_xlfn.IFNA(VLOOKUP($AH181,Programma!$F$3:$G$1101,2,0),"")</f>
        <v/>
      </c>
      <c r="AJ181" s="142" t="str">
        <f>_xlfn.IFNA(VLOOKUP($AH181,Programma!$F$3:$H$1101,3,0),"")</f>
        <v/>
      </c>
      <c r="AK181" s="142" t="str">
        <f>_xlfn.IFNA(VLOOKUP($AH181,Programma!$F$3:$I$1101,4,0),"")</f>
        <v/>
      </c>
      <c r="AL181" s="142" t="str">
        <f>_xlfn.IFNA(VLOOKUP($AH181,Programma!$F$3:$J$1101,5,0),"")</f>
        <v/>
      </c>
      <c r="AM181" s="142" t="str">
        <f>_xlfn.IFNA(VLOOKUP($AH181,Programma!$F$3:$K$1101,6,0),"")</f>
        <v/>
      </c>
      <c r="AN181" s="142" t="str">
        <f>_xlfn.IFNA(VLOOKUP($AH181,Programma!$F$3:$L$1101,7,0),"")</f>
        <v/>
      </c>
      <c r="AO181" s="142" t="str">
        <f>_xlfn.IFNA(VLOOKUP($AH181,Programma!$F$3:$M$1101,8,0),"")</f>
        <v/>
      </c>
      <c r="AP181" s="142" t="str">
        <f>_xlfn.IFNA(VLOOKUP($AH181,Programma!$F$3:$N$1101,9,0),"")</f>
        <v/>
      </c>
      <c r="AQ181" s="142" t="str">
        <f>_xlfn.IFNA(VLOOKUP($AH181,Programma!$F$3:$O$1101,10,0),"")</f>
        <v/>
      </c>
      <c r="AR181" s="142" t="str">
        <f>_xlfn.IFNA(VLOOKUP($AH181,Programma!$F$3:$P$1101,11,0),"")</f>
        <v/>
      </c>
      <c r="AS181" s="142" t="str">
        <f>_xlfn.IFNA(VLOOKUP($AH181,Programma!$F$3:$Q$1101,12,0),"")</f>
        <v/>
      </c>
      <c r="AT181" s="142" t="str">
        <f>_xlfn.IFNA(VLOOKUP($AH181,Programma!$F$3:$R$1101,13,0),"")</f>
        <v/>
      </c>
      <c r="AU181" s="142" t="str">
        <f>_xlfn.IFNA(VLOOKUP($AH181,Programma!$F$3:$S$1101,14,0),"")</f>
        <v/>
      </c>
      <c r="AV181" s="142" t="str">
        <f>_xlfn.IFNA(VLOOKUP($AH181,Programma!$F$3:$T$1101,15,0),"")</f>
        <v/>
      </c>
      <c r="AW181" s="142" t="str">
        <f>_xlfn.IFNA(VLOOKUP($AH181,Programma!$F$3:$U$1101,16,0),"")</f>
        <v/>
      </c>
      <c r="AX181" s="142" t="str">
        <f>_xlfn.IFNA(VLOOKUP($AH181,Programma!$F$3:$V$1101,17,0),"")</f>
        <v/>
      </c>
      <c r="AY181" s="142" t="str">
        <f>_xlfn.IFNA(VLOOKUP($AH181,Programma!$F$3:$W$1101,18,0),"")</f>
        <v/>
      </c>
      <c r="AZ181" s="142" t="str">
        <f>_xlfn.IFNA(VLOOKUP($AH181,Programma!$F$3:$X$1101,19,0),"")</f>
        <v/>
      </c>
      <c r="BA181" s="142" t="str">
        <f>_xlfn.IFNA(VLOOKUP($AH181,Programma!$F$3:$Y$1101,20,0),"")</f>
        <v/>
      </c>
      <c r="BB181" s="138"/>
      <c r="BC181" s="137" t="str">
        <f>IF(Ruimtestaat[[#This Row],[Frequentie weekend]]="","",_xlfn.CONCAT(Ruimtestaat[[#This Row],[Ruimte code]],"-",Ruimtestaat[[#This Row],[Frequentie weekend]]," ",Ruimtestaat[[#This Row],[Vloer code]]))</f>
        <v/>
      </c>
      <c r="BD181" s="142" t="str">
        <f>_xlfn.IFNA(VLOOKUP($BC181,Programma!$F$3:$G$1101,2,0),"")</f>
        <v/>
      </c>
      <c r="BE181" s="142" t="str">
        <f>_xlfn.IFNA(VLOOKUP($BC181,Programma!$F$3:$H$1101,3,0),"")</f>
        <v/>
      </c>
      <c r="BF181" s="142" t="str">
        <f>_xlfn.IFNA(VLOOKUP($BC181,Programma!$F$3:$I$1101,4,0),"")</f>
        <v/>
      </c>
      <c r="BG181" s="142" t="str">
        <f>_xlfn.IFNA(VLOOKUP($BC181,Programma!$F$3:$J$1101,5,0),"")</f>
        <v/>
      </c>
      <c r="BH181" s="142" t="str">
        <f>_xlfn.IFNA(VLOOKUP($BC181,Programma!$F$3:$K$1101,6,0),"")</f>
        <v/>
      </c>
      <c r="BI181" s="142" t="str">
        <f>_xlfn.IFNA(VLOOKUP($BC181,Programma!$F$3:$L$1101,7,0),"")</f>
        <v/>
      </c>
      <c r="BJ181" s="142" t="str">
        <f>_xlfn.IFNA(VLOOKUP($BC181,Programma!$F$3:$M$1101,8,0),"")</f>
        <v/>
      </c>
      <c r="BK181" s="142" t="str">
        <f>_xlfn.IFNA(VLOOKUP($BC181,Programma!$F$3:$N$1101,9,0),"")</f>
        <v/>
      </c>
      <c r="BL181" s="142" t="str">
        <f>_xlfn.IFNA(VLOOKUP($BC181,Programma!$F$3:$O$1101,10,0),"")</f>
        <v/>
      </c>
      <c r="BM181" s="142" t="str">
        <f>_xlfn.IFNA(VLOOKUP($BC181,Programma!$F$3:$P$1101,11,0),"")</f>
        <v/>
      </c>
      <c r="BN181" s="142" t="str">
        <f>_xlfn.IFNA(VLOOKUP($BC181,Programma!$F$3:$Q$1101,12,0),"")</f>
        <v/>
      </c>
      <c r="BO181" s="142" t="str">
        <f>_xlfn.IFNA(VLOOKUP($BC181,Programma!$F$3:$R$1101,13,0),"")</f>
        <v/>
      </c>
      <c r="BP181" s="142" t="str">
        <f>_xlfn.IFNA(VLOOKUP($BC181,Programma!$F$3:$S$1101,14,0),"")</f>
        <v/>
      </c>
      <c r="BQ181" s="142" t="str">
        <f>_xlfn.IFNA(VLOOKUP($BC181,Programma!$F$3:$T$1101,15,0),"")</f>
        <v/>
      </c>
      <c r="BR181" s="142" t="str">
        <f>_xlfn.IFNA(VLOOKUP($BC181,Programma!$F$3:$U$1101,16,0),"")</f>
        <v/>
      </c>
      <c r="BS181" s="142" t="str">
        <f>_xlfn.IFNA(VLOOKUP($BC181,Programma!$F$3:$V$1101,17,0),"")</f>
        <v/>
      </c>
      <c r="BT181" s="142" t="str">
        <f>_xlfn.IFNA(VLOOKUP($BC181,Programma!$F$3:$W$1101,18,0),"")</f>
        <v/>
      </c>
      <c r="BU181" s="142" t="str">
        <f>_xlfn.IFNA(VLOOKUP($BC181,Programma!$F$3:$X$1101,19,0),"")</f>
        <v/>
      </c>
      <c r="BV181" s="142" t="str">
        <f>_xlfn.IFNA(VLOOKUP($BC181,Programma!$F$3:$Y$1101,20,0),"")</f>
        <v/>
      </c>
      <c r="BW181" s="28"/>
      <c r="BX181" s="28"/>
      <c r="BY181" s="28"/>
      <c r="BZ181" s="28"/>
      <c r="CA181" s="28"/>
      <c r="CB181" s="28"/>
      <c r="CC181" s="28"/>
      <c r="CD181" s="28"/>
      <c r="CE181" s="28"/>
      <c r="CF181" s="28"/>
      <c r="CG181" s="28"/>
      <c r="CH181" s="28"/>
      <c r="CI181" s="28"/>
      <c r="CJ181" s="28"/>
      <c r="CK181" s="28"/>
      <c r="CL181" s="28"/>
      <c r="CM181" s="28"/>
      <c r="CN181" s="28"/>
      <c r="CO181" s="28"/>
      <c r="CP181" s="28"/>
      <c r="CQ181" s="28"/>
      <c r="CR181" s="28"/>
      <c r="CS181" s="28"/>
      <c r="CT181" s="28"/>
      <c r="CU181" s="28"/>
      <c r="CV181" s="28"/>
      <c r="CW181" s="28"/>
      <c r="CX181" s="28"/>
      <c r="CY181" s="28"/>
      <c r="CZ181" s="28"/>
      <c r="DA181" s="28"/>
      <c r="DB181" s="28"/>
      <c r="DC181" s="28"/>
      <c r="DD181" s="28"/>
      <c r="DE181" s="28"/>
      <c r="DF181" s="28"/>
      <c r="DG181" s="28"/>
      <c r="DH181" s="28"/>
      <c r="DI181" s="28"/>
      <c r="DJ181" s="28"/>
      <c r="DK181" s="28"/>
      <c r="DL181" s="28"/>
      <c r="DM181" s="28"/>
      <c r="DN181" s="28"/>
      <c r="DO181" s="28"/>
      <c r="DP181" s="28"/>
      <c r="DQ181" s="28"/>
      <c r="DR181" s="28"/>
      <c r="DS181" s="28"/>
      <c r="DT181" s="28"/>
      <c r="DU181" s="28"/>
      <c r="DV181" s="28"/>
      <c r="DW181" s="28"/>
      <c r="DX181" s="28"/>
      <c r="DY181" s="28"/>
      <c r="DZ181" s="28"/>
      <c r="EA181" s="28"/>
      <c r="EB181" s="28"/>
      <c r="EC181" s="28"/>
      <c r="ED181" s="28"/>
      <c r="EE181" s="28"/>
      <c r="EF181" s="28"/>
      <c r="EG181" s="28"/>
      <c r="EH181" s="28"/>
      <c r="EI181" s="28"/>
      <c r="EJ181" s="28"/>
      <c r="EK181" s="28"/>
      <c r="EL181" s="28"/>
      <c r="EM181" s="28"/>
      <c r="EN181" s="28"/>
      <c r="EO181" s="28"/>
      <c r="EP181" s="28"/>
      <c r="EQ181" s="28"/>
      <c r="ER181" s="28"/>
      <c r="ES181" s="28"/>
      <c r="ET181" s="28"/>
      <c r="EU181" s="28"/>
      <c r="EV181" s="28"/>
      <c r="EW181" s="28"/>
      <c r="EX181" s="28"/>
      <c r="EY181" s="28"/>
      <c r="EZ181" s="28"/>
      <c r="FA181" s="28"/>
      <c r="FB181" s="28"/>
      <c r="FC181" s="28"/>
      <c r="FD181" s="28"/>
      <c r="FE181" s="28"/>
      <c r="FF181" s="28"/>
      <c r="FG181" s="28"/>
      <c r="FH181" s="28"/>
      <c r="FI181" s="28"/>
      <c r="FJ181" s="28"/>
      <c r="FK181" s="28"/>
      <c r="FL181" s="28"/>
      <c r="FM181" s="28"/>
      <c r="FN181" s="28"/>
      <c r="FO181" s="28"/>
      <c r="FP181" s="28"/>
      <c r="FQ181" s="28"/>
      <c r="FR181" s="28"/>
      <c r="FS181" s="28"/>
      <c r="FT181" s="28"/>
      <c r="FU181" s="28"/>
      <c r="FV181" s="28"/>
      <c r="FW181" s="28"/>
      <c r="FX181" s="28"/>
      <c r="FY181" s="28"/>
      <c r="FZ181" s="28"/>
      <c r="GA181" s="28"/>
      <c r="GB181" s="28"/>
      <c r="GC181" s="28"/>
      <c r="GD181" s="28"/>
      <c r="GE181" s="28"/>
      <c r="GF181" s="28"/>
      <c r="GG181" s="28"/>
      <c r="GH181" s="28"/>
      <c r="GI181" s="28"/>
      <c r="GJ181" s="28"/>
      <c r="GK181" s="28"/>
      <c r="GL181" s="28"/>
      <c r="GM181" s="28"/>
      <c r="GN181" s="28"/>
      <c r="GO181" s="28"/>
      <c r="GP181" s="28"/>
      <c r="GQ181" s="28"/>
      <c r="GR181" s="28"/>
      <c r="GS181" s="28"/>
      <c r="GT181" s="28"/>
      <c r="GU181" s="28"/>
      <c r="GV181" s="28"/>
      <c r="GW181" s="28"/>
      <c r="GX181" s="28"/>
      <c r="GY181" s="28"/>
      <c r="GZ181" s="28"/>
      <c r="HA181" s="28"/>
      <c r="HB181" s="28"/>
      <c r="HC181" s="28"/>
      <c r="HD181" s="28"/>
      <c r="HE181" s="28"/>
      <c r="HF181" s="28"/>
      <c r="HG181" s="28"/>
      <c r="HH181" s="28"/>
      <c r="HI181" s="28"/>
      <c r="HJ181" s="28"/>
      <c r="HK181" s="28"/>
    </row>
    <row r="182" spans="1:219" ht="15" customHeight="1">
      <c r="A182" s="49">
        <v>1</v>
      </c>
      <c r="B182" s="132" t="str">
        <f>VLOOKUP(Ruimtestaat[[#This Row],[Code]],Locaties[[Code]:[Locatie]],2,FALSE)</f>
        <v>Mirtehuis</v>
      </c>
      <c r="C182" s="132" t="str">
        <f>VLOOKUP(Ruimtestaat[[#This Row],[Code]],Locaties[[#All],[Code]:[Adres]],4,FALSE)</f>
        <v>Weseperweg 6</v>
      </c>
      <c r="D182" s="132" t="str">
        <f>VLOOKUP(Ruimtestaat[[#This Row],[Code]],Locaties[[#All],[Code]:[Postcode]],5,FALSE)</f>
        <v>8111 PK</v>
      </c>
      <c r="E182" s="132" t="str">
        <f>VLOOKUP(Ruimtestaat[[#This Row],[Code]],Locaties[#All],6,FALSE)</f>
        <v>Heeten</v>
      </c>
      <c r="F182" s="100"/>
      <c r="G182" s="100" t="s">
        <v>1677</v>
      </c>
      <c r="I182" s="140" t="s">
        <v>1656</v>
      </c>
      <c r="J182" s="49">
        <v>20</v>
      </c>
      <c r="K182" s="140" t="str">
        <f>VLOOKUP(Ruimtestaat[[#This Row],[Ruimte code]],Ruimtegroepen[[#All],[Code]:[Ruimte omschrijving]],2,FALSE)</f>
        <v>Niet in Onderhoud</v>
      </c>
      <c r="L182" s="100"/>
      <c r="M182" s="345"/>
      <c r="N182" s="133"/>
      <c r="O182" s="139"/>
      <c r="P182" s="134">
        <f>VLOOKUP(Ruimtestaat[[#This Row],[Ruimte code]],Ruimtegroepen[],4,FALSE)</f>
        <v>0</v>
      </c>
      <c r="Q182" s="100"/>
      <c r="R182" s="100"/>
      <c r="S182" s="100">
        <f>IF(Q182&gt;0,IF(RIGHT(Ruimtestaat[[#This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82" s="100">
        <f>IF(S182&gt;0,VLOOKUP($J182,Ruimtegroepen[],3,FALSE)*VLOOKUP($L182,Vloersoorten[],3,FALSE)*VLOOKUP($R182,Frequenties[],3,FALSE)*VLOOKUP($A182,Locaties[],3,FALSE),0)</f>
        <v>0</v>
      </c>
      <c r="U182" s="100">
        <f>Ruimtestaat[[#This Row],[Uitvoeringen werkdagen]]*Ruimtestaat[[#This Row],[Oppervlak (netto)]]</f>
        <v>0</v>
      </c>
      <c r="V182" s="135">
        <f>IF(T182&gt;0,Ruimtestaat[[#This Row],[Prest. (m2 /jaar) werkdagen]]/Ruimtestaat[[#This Row],[Norm (m2/uur) werkdagen]],0)</f>
        <v>0</v>
      </c>
      <c r="W182" s="136">
        <f>Ruimtestaat[[#This Row],[uren / jaar werkdagen]]*Tariefsopbouw!$E$35</f>
        <v>0</v>
      </c>
      <c r="X182" s="100"/>
      <c r="Y182" s="100">
        <f>IF(Ruimtestaat[[#This Row],[Frequentie weekend]]&gt;0,VALUE(LEFT(X182,1))*Q182,0)</f>
        <v>0</v>
      </c>
      <c r="Z182" s="99">
        <f>IF($Y182&gt;0,VLOOKUP($J182,Ruimtegroepen[],3,FALSE)*VLOOKUP($L182,Vloersoorten[],3,FALSE)*VLOOKUP($X182,Frequenties[],3,FALSE)*VLOOKUP(Ruimtestaat[[#This Row],[Code]],Locaties[],3,FALSE),0)</f>
        <v>0</v>
      </c>
      <c r="AA182" s="99">
        <f>Ruimtestaat[[#This Row],[Uitvoeringen weekend]]*Ruimtestaat[[#This Row],[Oppervlak (netto)]]</f>
        <v>0</v>
      </c>
      <c r="AB182" s="99">
        <f>IF(Z182&gt;0,Ruimtestaat[[#This Row],[Prest. (m2 /jaar) weekend]]/Ruimtestaat[[#This Row],[Norm (m2/uur) weekend]],0)</f>
        <v>0</v>
      </c>
      <c r="AC182" s="136">
        <f>Ruimtestaat[[#This Row],[uren / jaar weekend]]*Tariefsopbouw!$D$40</f>
        <v>0</v>
      </c>
      <c r="AD182" s="135">
        <f>Ruimtestaat[[#This Row],[Prest. (m2 /jaar) weekend]]+Ruimtestaat[[#This Row],[Prest. (m2 /jaar) werkdagen]]</f>
        <v>0</v>
      </c>
      <c r="AE182" s="135">
        <f>Ruimtestaat[[#This Row],[uren / jaar weekend]]+Ruimtestaat[[#This Row],[uren / jaar werkdagen]]</f>
        <v>0</v>
      </c>
      <c r="AF182" s="130">
        <f>Ruimtestaat[[#This Row],[kosten / jaar weekend]]+Ruimtestaat[[#This Row],[kosten / jaar werkdagen]]</f>
        <v>0</v>
      </c>
      <c r="AG182" s="130"/>
      <c r="AH182" s="137" t="str">
        <f>IF(Ruimtestaat[[#This Row],[Frequentie werkdagen]]="","",_xlfn.CONCAT(Ruimtestaat[[#This Row],[Ruimte code]],"-",Ruimtestaat[[#This Row],[Frequentie werkdagen]]," ",Ruimtestaat[[#This Row],[Vloer code]]))</f>
        <v/>
      </c>
      <c r="AI182" s="142" t="str">
        <f>_xlfn.IFNA(VLOOKUP($AH182,Programma!$F$3:$G$1101,2,0),"")</f>
        <v/>
      </c>
      <c r="AJ182" s="142" t="str">
        <f>_xlfn.IFNA(VLOOKUP($AH182,Programma!$F$3:$H$1101,3,0),"")</f>
        <v/>
      </c>
      <c r="AK182" s="142" t="str">
        <f>_xlfn.IFNA(VLOOKUP($AH182,Programma!$F$3:$I$1101,4,0),"")</f>
        <v/>
      </c>
      <c r="AL182" s="142" t="str">
        <f>_xlfn.IFNA(VLOOKUP($AH182,Programma!$F$3:$J$1101,5,0),"")</f>
        <v/>
      </c>
      <c r="AM182" s="142" t="str">
        <f>_xlfn.IFNA(VLOOKUP($AH182,Programma!$F$3:$K$1101,6,0),"")</f>
        <v/>
      </c>
      <c r="AN182" s="142" t="str">
        <f>_xlfn.IFNA(VLOOKUP($AH182,Programma!$F$3:$L$1101,7,0),"")</f>
        <v/>
      </c>
      <c r="AO182" s="142" t="str">
        <f>_xlfn.IFNA(VLOOKUP($AH182,Programma!$F$3:$M$1101,8,0),"")</f>
        <v/>
      </c>
      <c r="AP182" s="142" t="str">
        <f>_xlfn.IFNA(VLOOKUP($AH182,Programma!$F$3:$N$1101,9,0),"")</f>
        <v/>
      </c>
      <c r="AQ182" s="142" t="str">
        <f>_xlfn.IFNA(VLOOKUP($AH182,Programma!$F$3:$O$1101,10,0),"")</f>
        <v/>
      </c>
      <c r="AR182" s="142" t="str">
        <f>_xlfn.IFNA(VLOOKUP($AH182,Programma!$F$3:$P$1101,11,0),"")</f>
        <v/>
      </c>
      <c r="AS182" s="142" t="str">
        <f>_xlfn.IFNA(VLOOKUP($AH182,Programma!$F$3:$Q$1101,12,0),"")</f>
        <v/>
      </c>
      <c r="AT182" s="142" t="str">
        <f>_xlfn.IFNA(VLOOKUP($AH182,Programma!$F$3:$R$1101,13,0),"")</f>
        <v/>
      </c>
      <c r="AU182" s="142" t="str">
        <f>_xlfn.IFNA(VLOOKUP($AH182,Programma!$F$3:$S$1101,14,0),"")</f>
        <v/>
      </c>
      <c r="AV182" s="142" t="str">
        <f>_xlfn.IFNA(VLOOKUP($AH182,Programma!$F$3:$T$1101,15,0),"")</f>
        <v/>
      </c>
      <c r="AW182" s="142" t="str">
        <f>_xlfn.IFNA(VLOOKUP($AH182,Programma!$F$3:$U$1101,16,0),"")</f>
        <v/>
      </c>
      <c r="AX182" s="142" t="str">
        <f>_xlfn.IFNA(VLOOKUP($AH182,Programma!$F$3:$V$1101,17,0),"")</f>
        <v/>
      </c>
      <c r="AY182" s="142" t="str">
        <f>_xlfn.IFNA(VLOOKUP($AH182,Programma!$F$3:$W$1101,18,0),"")</f>
        <v/>
      </c>
      <c r="AZ182" s="142" t="str">
        <f>_xlfn.IFNA(VLOOKUP($AH182,Programma!$F$3:$X$1101,19,0),"")</f>
        <v/>
      </c>
      <c r="BA182" s="142" t="str">
        <f>_xlfn.IFNA(VLOOKUP($AH182,Programma!$F$3:$Y$1101,20,0),"")</f>
        <v/>
      </c>
      <c r="BB182" s="138"/>
      <c r="BC182" s="137" t="str">
        <f>IF(Ruimtestaat[[#This Row],[Frequentie weekend]]="","",_xlfn.CONCAT(Ruimtestaat[[#This Row],[Ruimte code]],"-",Ruimtestaat[[#This Row],[Frequentie weekend]]," ",Ruimtestaat[[#This Row],[Vloer code]]))</f>
        <v/>
      </c>
      <c r="BD182" s="142" t="str">
        <f>_xlfn.IFNA(VLOOKUP($BC182,Programma!$F$3:$G$1101,2,0),"")</f>
        <v/>
      </c>
      <c r="BE182" s="142" t="str">
        <f>_xlfn.IFNA(VLOOKUP($BC182,Programma!$F$3:$H$1101,3,0),"")</f>
        <v/>
      </c>
      <c r="BF182" s="142" t="str">
        <f>_xlfn.IFNA(VLOOKUP($BC182,Programma!$F$3:$I$1101,4,0),"")</f>
        <v/>
      </c>
      <c r="BG182" s="142" t="str">
        <f>_xlfn.IFNA(VLOOKUP($BC182,Programma!$F$3:$J$1101,5,0),"")</f>
        <v/>
      </c>
      <c r="BH182" s="142" t="str">
        <f>_xlfn.IFNA(VLOOKUP($BC182,Programma!$F$3:$K$1101,6,0),"")</f>
        <v/>
      </c>
      <c r="BI182" s="142" t="str">
        <f>_xlfn.IFNA(VLOOKUP($BC182,Programma!$F$3:$L$1101,7,0),"")</f>
        <v/>
      </c>
      <c r="BJ182" s="142" t="str">
        <f>_xlfn.IFNA(VLOOKUP($BC182,Programma!$F$3:$M$1101,8,0),"")</f>
        <v/>
      </c>
      <c r="BK182" s="142" t="str">
        <f>_xlfn.IFNA(VLOOKUP($BC182,Programma!$F$3:$N$1101,9,0),"")</f>
        <v/>
      </c>
      <c r="BL182" s="142" t="str">
        <f>_xlfn.IFNA(VLOOKUP($BC182,Programma!$F$3:$O$1101,10,0),"")</f>
        <v/>
      </c>
      <c r="BM182" s="142" t="str">
        <f>_xlfn.IFNA(VLOOKUP($BC182,Programma!$F$3:$P$1101,11,0),"")</f>
        <v/>
      </c>
      <c r="BN182" s="142" t="str">
        <f>_xlfn.IFNA(VLOOKUP($BC182,Programma!$F$3:$Q$1101,12,0),"")</f>
        <v/>
      </c>
      <c r="BO182" s="142" t="str">
        <f>_xlfn.IFNA(VLOOKUP($BC182,Programma!$F$3:$R$1101,13,0),"")</f>
        <v/>
      </c>
      <c r="BP182" s="142" t="str">
        <f>_xlfn.IFNA(VLOOKUP($BC182,Programma!$F$3:$S$1101,14,0),"")</f>
        <v/>
      </c>
      <c r="BQ182" s="142" t="str">
        <f>_xlfn.IFNA(VLOOKUP($BC182,Programma!$F$3:$T$1101,15,0),"")</f>
        <v/>
      </c>
      <c r="BR182" s="142" t="str">
        <f>_xlfn.IFNA(VLOOKUP($BC182,Programma!$F$3:$U$1101,16,0),"")</f>
        <v/>
      </c>
      <c r="BS182" s="142" t="str">
        <f>_xlfn.IFNA(VLOOKUP($BC182,Programma!$F$3:$V$1101,17,0),"")</f>
        <v/>
      </c>
      <c r="BT182" s="142" t="str">
        <f>_xlfn.IFNA(VLOOKUP($BC182,Programma!$F$3:$W$1101,18,0),"")</f>
        <v/>
      </c>
      <c r="BU182" s="142" t="str">
        <f>_xlfn.IFNA(VLOOKUP($BC182,Programma!$F$3:$X$1101,19,0),"")</f>
        <v/>
      </c>
      <c r="BV182" s="142" t="str">
        <f>_xlfn.IFNA(VLOOKUP($BC182,Programma!$F$3:$Y$1101,20,0),"")</f>
        <v/>
      </c>
      <c r="BW182" s="28"/>
      <c r="BX182" s="28"/>
      <c r="BY182" s="28"/>
      <c r="BZ182" s="28"/>
      <c r="CA182" s="28"/>
      <c r="CB182" s="28"/>
      <c r="CC182" s="28"/>
      <c r="CD182" s="28"/>
      <c r="CE182" s="28"/>
      <c r="CF182" s="28"/>
      <c r="CG182" s="28"/>
      <c r="CH182" s="28"/>
      <c r="CI182" s="28"/>
      <c r="CJ182" s="28"/>
      <c r="CK182" s="28"/>
      <c r="CL182" s="28"/>
      <c r="CM182" s="28"/>
      <c r="CN182" s="28"/>
      <c r="CO182" s="28"/>
      <c r="CP182" s="28"/>
      <c r="CQ182" s="28"/>
      <c r="CR182" s="28"/>
      <c r="CS182" s="28"/>
      <c r="CT182" s="28"/>
      <c r="CU182" s="28"/>
      <c r="CV182" s="28"/>
      <c r="CW182" s="28"/>
      <c r="CX182" s="28"/>
      <c r="CY182" s="28"/>
      <c r="CZ182" s="28"/>
      <c r="DA182" s="28"/>
      <c r="DB182" s="28"/>
      <c r="DC182" s="28"/>
      <c r="DD182" s="28"/>
      <c r="DE182" s="28"/>
      <c r="DF182" s="28"/>
      <c r="DG182" s="28"/>
      <c r="DH182" s="28"/>
      <c r="DI182" s="28"/>
      <c r="DJ182" s="28"/>
      <c r="DK182" s="28"/>
      <c r="DL182" s="28"/>
      <c r="DM182" s="28"/>
      <c r="DN182" s="28"/>
      <c r="DO182" s="28"/>
      <c r="DP182" s="28"/>
      <c r="DQ182" s="28"/>
      <c r="DR182" s="28"/>
      <c r="DS182" s="28"/>
      <c r="DT182" s="28"/>
      <c r="DU182" s="28"/>
      <c r="DV182" s="28"/>
      <c r="DW182" s="28"/>
      <c r="DX182" s="28"/>
      <c r="DY182" s="28"/>
      <c r="DZ182" s="28"/>
      <c r="EA182" s="28"/>
      <c r="EB182" s="28"/>
      <c r="EC182" s="28"/>
      <c r="ED182" s="28"/>
      <c r="EE182" s="28"/>
      <c r="EF182" s="28"/>
      <c r="EG182" s="28"/>
      <c r="EH182" s="28"/>
      <c r="EI182" s="28"/>
      <c r="EJ182" s="28"/>
      <c r="EK182" s="28"/>
      <c r="EL182" s="28"/>
      <c r="EM182" s="28"/>
      <c r="EN182" s="28"/>
      <c r="EO182" s="28"/>
      <c r="EP182" s="28"/>
      <c r="EQ182" s="28"/>
      <c r="ER182" s="28"/>
      <c r="ES182" s="28"/>
      <c r="ET182" s="28"/>
      <c r="EU182" s="28"/>
      <c r="EV182" s="28"/>
      <c r="EW182" s="28"/>
      <c r="EX182" s="28"/>
      <c r="EY182" s="28"/>
      <c r="EZ182" s="28"/>
      <c r="FA182" s="28"/>
      <c r="FB182" s="28"/>
      <c r="FC182" s="28"/>
      <c r="FD182" s="28"/>
      <c r="FE182" s="28"/>
      <c r="FF182" s="28"/>
      <c r="FG182" s="28"/>
      <c r="FH182" s="28"/>
      <c r="FI182" s="28"/>
      <c r="FJ182" s="28"/>
      <c r="FK182" s="28"/>
      <c r="FL182" s="28"/>
      <c r="FM182" s="28"/>
      <c r="FN182" s="28"/>
      <c r="FO182" s="28"/>
      <c r="FP182" s="28"/>
      <c r="FQ182" s="28"/>
      <c r="FR182" s="28"/>
      <c r="FS182" s="28"/>
      <c r="FT182" s="28"/>
      <c r="FU182" s="28"/>
      <c r="FV182" s="28"/>
      <c r="FW182" s="28"/>
      <c r="FX182" s="28"/>
      <c r="FY182" s="28"/>
      <c r="FZ182" s="28"/>
      <c r="GA182" s="28"/>
      <c r="GB182" s="28"/>
      <c r="GC182" s="28"/>
      <c r="GD182" s="28"/>
      <c r="GE182" s="28"/>
      <c r="GF182" s="28"/>
      <c r="GG182" s="28"/>
      <c r="GH182" s="28"/>
      <c r="GI182" s="28"/>
      <c r="GJ182" s="28"/>
      <c r="GK182" s="28"/>
      <c r="GL182" s="28"/>
      <c r="GM182" s="28"/>
      <c r="GN182" s="28"/>
      <c r="GO182" s="28"/>
      <c r="GP182" s="28"/>
      <c r="GQ182" s="28"/>
      <c r="GR182" s="28"/>
      <c r="GS182" s="28"/>
      <c r="GT182" s="28"/>
      <c r="GU182" s="28"/>
      <c r="GV182" s="28"/>
      <c r="GW182" s="28"/>
      <c r="GX182" s="28"/>
      <c r="GY182" s="28"/>
      <c r="GZ182" s="28"/>
      <c r="HA182" s="28"/>
      <c r="HB182" s="28"/>
      <c r="HC182" s="28"/>
      <c r="HD182" s="28"/>
      <c r="HE182" s="28"/>
      <c r="HF182" s="28"/>
      <c r="HG182" s="28"/>
      <c r="HH182" s="28"/>
      <c r="HI182" s="28"/>
      <c r="HJ182" s="28"/>
      <c r="HK182" s="28"/>
    </row>
    <row r="183" spans="1:219" ht="15" customHeight="1">
      <c r="A183" s="49">
        <v>1</v>
      </c>
      <c r="B183" s="132" t="str">
        <f>VLOOKUP(Ruimtestaat[[#This Row],[Code]],Locaties[[Code]:[Locatie]],2,FALSE)</f>
        <v>Mirtehuis</v>
      </c>
      <c r="C183" s="132" t="str">
        <f>VLOOKUP(Ruimtestaat[[#This Row],[Code]],Locaties[[#All],[Code]:[Adres]],4,FALSE)</f>
        <v>Weseperweg 6</v>
      </c>
      <c r="D183" s="132" t="str">
        <f>VLOOKUP(Ruimtestaat[[#This Row],[Code]],Locaties[[#All],[Code]:[Postcode]],5,FALSE)</f>
        <v>8111 PK</v>
      </c>
      <c r="E183" s="132" t="str">
        <f>VLOOKUP(Ruimtestaat[[#This Row],[Code]],Locaties[#All],6,FALSE)</f>
        <v>Heeten</v>
      </c>
      <c r="F183" s="100"/>
      <c r="G183" s="100" t="s">
        <v>1691</v>
      </c>
      <c r="I183" s="140" t="s">
        <v>1635</v>
      </c>
      <c r="J183" s="49">
        <v>10</v>
      </c>
      <c r="K183" s="140" t="str">
        <f>VLOOKUP(Ruimtestaat[[#This Row],[Ruimte code]],Ruimtegroepen[[#All],[Code]:[Ruimte omschrijving]],2,FALSE)</f>
        <v>Trappenhuizen/lift</v>
      </c>
      <c r="L183" s="100" t="s">
        <v>99</v>
      </c>
      <c r="M183" s="345" t="s">
        <v>36</v>
      </c>
      <c r="N183" s="133">
        <v>0.9</v>
      </c>
      <c r="O183" s="139"/>
      <c r="P183" s="134" t="str">
        <f>VLOOKUP(Ruimtestaat[[#This Row],[Ruimte code]],Ruimtegroepen[],4,FALSE)</f>
        <v>Ve</v>
      </c>
      <c r="Q183" s="100">
        <v>51</v>
      </c>
      <c r="R183" s="100" t="s">
        <v>18</v>
      </c>
      <c r="S183" s="100">
        <f>IF(Q183&gt;0,IF(RIGHT(Ruimtestaat[[#This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153</v>
      </c>
      <c r="T183" s="100">
        <f>IF(S183&gt;0,VLOOKUP($J183,Ruimtegroepen[],3,FALSE)*VLOOKUP($L183,Vloersoorten[],3,FALSE)*VLOOKUP($R183,Frequenties[],3,FALSE)*VLOOKUP($A183,Locaties[],3,FALSE),0)</f>
        <v>0</v>
      </c>
      <c r="U183" s="100">
        <f>Ruimtestaat[[#This Row],[Uitvoeringen werkdagen]]*Ruimtestaat[[#This Row],[Oppervlak (netto)]]</f>
        <v>137.70000000000002</v>
      </c>
      <c r="V183" s="135">
        <f>IF(T183&gt;0,Ruimtestaat[[#This Row],[Prest. (m2 /jaar) werkdagen]]/Ruimtestaat[[#This Row],[Norm (m2/uur) werkdagen]],0)</f>
        <v>0</v>
      </c>
      <c r="W183" s="136">
        <f>Ruimtestaat[[#This Row],[uren / jaar werkdagen]]*Tariefsopbouw!$E$35</f>
        <v>0</v>
      </c>
      <c r="X183" s="100"/>
      <c r="Y183" s="100">
        <f>IF(Ruimtestaat[[#This Row],[Frequentie weekend]]&gt;0,VALUE(LEFT(X183,1))*Q183,0)</f>
        <v>0</v>
      </c>
      <c r="Z183" s="99">
        <f>IF($Y183&gt;0,VLOOKUP($J183,Ruimtegroepen[],3,FALSE)*VLOOKUP($L183,Vloersoorten[],3,FALSE)*VLOOKUP($X183,Frequenties[],3,FALSE)*VLOOKUP(Ruimtestaat[[#This Row],[Code]],Locaties[],3,FALSE),0)</f>
        <v>0</v>
      </c>
      <c r="AA183" s="99">
        <f>Ruimtestaat[[#This Row],[Uitvoeringen weekend]]*Ruimtestaat[[#This Row],[Oppervlak (netto)]]</f>
        <v>0</v>
      </c>
      <c r="AB183" s="99">
        <f>IF(Z183&gt;0,Ruimtestaat[[#This Row],[Prest. (m2 /jaar) weekend]]/Ruimtestaat[[#This Row],[Norm (m2/uur) weekend]],0)</f>
        <v>0</v>
      </c>
      <c r="AC183" s="136">
        <f>Ruimtestaat[[#This Row],[uren / jaar weekend]]*Tariefsopbouw!$D$40</f>
        <v>0</v>
      </c>
      <c r="AD183" s="135">
        <f>Ruimtestaat[[#This Row],[Prest. (m2 /jaar) weekend]]+Ruimtestaat[[#This Row],[Prest. (m2 /jaar) werkdagen]]</f>
        <v>137.70000000000002</v>
      </c>
      <c r="AE183" s="135">
        <f>Ruimtestaat[[#This Row],[uren / jaar weekend]]+Ruimtestaat[[#This Row],[uren / jaar werkdagen]]</f>
        <v>0</v>
      </c>
      <c r="AF183" s="130">
        <f>Ruimtestaat[[#This Row],[kosten / jaar weekend]]+Ruimtestaat[[#This Row],[kosten / jaar werkdagen]]</f>
        <v>0</v>
      </c>
      <c r="AG183" s="130"/>
      <c r="AH183" s="137" t="str">
        <f>IF(Ruimtestaat[[#This Row],[Frequentie werkdagen]]="","",_xlfn.CONCAT(Ruimtestaat[[#This Row],[Ruimte code]],"-",Ruimtestaat[[#This Row],[Frequentie werkdagen]]," ",Ruimtestaat[[#This Row],[Vloer code]]))</f>
        <v>10-3w T</v>
      </c>
      <c r="AI183" s="142" t="str">
        <f>_xlfn.IFNA(VLOOKUP($AH183,Programma!$F$3:$G$1101,2,0),"")</f>
        <v>_</v>
      </c>
      <c r="AJ183" s="142" t="str">
        <f>_xlfn.IFNA(VLOOKUP($AH183,Programma!$F$3:$H$1101,3,0),"")</f>
        <v>3w</v>
      </c>
      <c r="AK183" s="142" t="str">
        <f>_xlfn.IFNA(VLOOKUP($AH183,Programma!$F$3:$I$1101,4,0),"")</f>
        <v>_</v>
      </c>
      <c r="AL183" s="142" t="str">
        <f>_xlfn.IFNA(VLOOKUP($AH183,Programma!$F$3:$J$1101,5,0),"")</f>
        <v>_</v>
      </c>
      <c r="AM183" s="142" t="str">
        <f>_xlfn.IFNA(VLOOKUP($AH183,Programma!$F$3:$K$1101,6,0),"")</f>
        <v>_</v>
      </c>
      <c r="AN183" s="142" t="str">
        <f>_xlfn.IFNA(VLOOKUP($AH183,Programma!$F$3:$L$1101,7,0),"")</f>
        <v>_</v>
      </c>
      <c r="AO183" s="142" t="str">
        <f>_xlfn.IFNA(VLOOKUP($AH183,Programma!$F$3:$M$1101,8,0),"")</f>
        <v>_</v>
      </c>
      <c r="AP183" s="142" t="str">
        <f>_xlfn.IFNA(VLOOKUP($AH183,Programma!$F$3:$N$1101,9,0),"")</f>
        <v>_</v>
      </c>
      <c r="AQ183" s="142" t="str">
        <f>_xlfn.IFNA(VLOOKUP($AH183,Programma!$F$3:$O$1101,10,0),"")</f>
        <v>3w</v>
      </c>
      <c r="AR183" s="142" t="str">
        <f>_xlfn.IFNA(VLOOKUP($AH183,Programma!$F$3:$P$1101,11,0),"")</f>
        <v>3w</v>
      </c>
      <c r="AS183" s="142" t="str">
        <f>_xlfn.IFNA(VLOOKUP($AH183,Programma!$F$3:$Q$1101,12,0),"")</f>
        <v>1w</v>
      </c>
      <c r="AT183" s="142" t="str">
        <f>_xlfn.IFNA(VLOOKUP($AH183,Programma!$F$3:$R$1101,13,0),"")</f>
        <v>1w</v>
      </c>
      <c r="AU183" s="142" t="str">
        <f>_xlfn.IFNA(VLOOKUP($AH183,Programma!$F$3:$S$1101,14,0),"")</f>
        <v>1m</v>
      </c>
      <c r="AV183" s="142" t="str">
        <f>_xlfn.IFNA(VLOOKUP($AH183,Programma!$F$3:$T$1101,15,0),"")</f>
        <v>2j</v>
      </c>
      <c r="AW183" s="142" t="str">
        <f>_xlfn.IFNA(VLOOKUP($AH183,Programma!$F$3:$U$1101,16,0),"")</f>
        <v>1j</v>
      </c>
      <c r="AX183" s="142" t="str">
        <f>_xlfn.IFNA(VLOOKUP($AH183,Programma!$F$3:$V$1101,17,0),"")</f>
        <v>_</v>
      </c>
      <c r="AY183" s="142" t="str">
        <f>_xlfn.IFNA(VLOOKUP($AH183,Programma!$F$3:$W$1101,18,0),"")</f>
        <v>_</v>
      </c>
      <c r="AZ183" s="142" t="str">
        <f>_xlfn.IFNA(VLOOKUP($AH183,Programma!$F$3:$X$1101,19,0),"")</f>
        <v>_</v>
      </c>
      <c r="BA183" s="142" t="str">
        <f>_xlfn.IFNA(VLOOKUP($AH183,Programma!$F$3:$Y$1101,20,0),"")</f>
        <v>_</v>
      </c>
      <c r="BB183" s="138"/>
      <c r="BC183" s="137" t="str">
        <f>IF(Ruimtestaat[[#This Row],[Frequentie weekend]]="","",_xlfn.CONCAT(Ruimtestaat[[#This Row],[Ruimte code]],"-",Ruimtestaat[[#This Row],[Frequentie weekend]]," ",Ruimtestaat[[#This Row],[Vloer code]]))</f>
        <v/>
      </c>
      <c r="BD183" s="142" t="str">
        <f>_xlfn.IFNA(VLOOKUP($BC183,Programma!$F$3:$G$1101,2,0),"")</f>
        <v/>
      </c>
      <c r="BE183" s="142" t="str">
        <f>_xlfn.IFNA(VLOOKUP($BC183,Programma!$F$3:$H$1101,3,0),"")</f>
        <v/>
      </c>
      <c r="BF183" s="142" t="str">
        <f>_xlfn.IFNA(VLOOKUP($BC183,Programma!$F$3:$I$1101,4,0),"")</f>
        <v/>
      </c>
      <c r="BG183" s="142" t="str">
        <f>_xlfn.IFNA(VLOOKUP($BC183,Programma!$F$3:$J$1101,5,0),"")</f>
        <v/>
      </c>
      <c r="BH183" s="142" t="str">
        <f>_xlfn.IFNA(VLOOKUP($BC183,Programma!$F$3:$K$1101,6,0),"")</f>
        <v/>
      </c>
      <c r="BI183" s="142" t="str">
        <f>_xlfn.IFNA(VLOOKUP($BC183,Programma!$F$3:$L$1101,7,0),"")</f>
        <v/>
      </c>
      <c r="BJ183" s="142" t="str">
        <f>_xlfn.IFNA(VLOOKUP($BC183,Programma!$F$3:$M$1101,8,0),"")</f>
        <v/>
      </c>
      <c r="BK183" s="142" t="str">
        <f>_xlfn.IFNA(VLOOKUP($BC183,Programma!$F$3:$N$1101,9,0),"")</f>
        <v/>
      </c>
      <c r="BL183" s="142" t="str">
        <f>_xlfn.IFNA(VLOOKUP($BC183,Programma!$F$3:$O$1101,10,0),"")</f>
        <v/>
      </c>
      <c r="BM183" s="142" t="str">
        <f>_xlfn.IFNA(VLOOKUP($BC183,Programma!$F$3:$P$1101,11,0),"")</f>
        <v/>
      </c>
      <c r="BN183" s="142" t="str">
        <f>_xlfn.IFNA(VLOOKUP($BC183,Programma!$F$3:$Q$1101,12,0),"")</f>
        <v/>
      </c>
      <c r="BO183" s="142" t="str">
        <f>_xlfn.IFNA(VLOOKUP($BC183,Programma!$F$3:$R$1101,13,0),"")</f>
        <v/>
      </c>
      <c r="BP183" s="142" t="str">
        <f>_xlfn.IFNA(VLOOKUP($BC183,Programma!$F$3:$S$1101,14,0),"")</f>
        <v/>
      </c>
      <c r="BQ183" s="142" t="str">
        <f>_xlfn.IFNA(VLOOKUP($BC183,Programma!$F$3:$T$1101,15,0),"")</f>
        <v/>
      </c>
      <c r="BR183" s="142" t="str">
        <f>_xlfn.IFNA(VLOOKUP($BC183,Programma!$F$3:$U$1101,16,0),"")</f>
        <v/>
      </c>
      <c r="BS183" s="142" t="str">
        <f>_xlfn.IFNA(VLOOKUP($BC183,Programma!$F$3:$V$1101,17,0),"")</f>
        <v/>
      </c>
      <c r="BT183" s="142" t="str">
        <f>_xlfn.IFNA(VLOOKUP($BC183,Programma!$F$3:$W$1101,18,0),"")</f>
        <v/>
      </c>
      <c r="BU183" s="142" t="str">
        <f>_xlfn.IFNA(VLOOKUP($BC183,Programma!$F$3:$X$1101,19,0),"")</f>
        <v/>
      </c>
      <c r="BV183" s="142" t="str">
        <f>_xlfn.IFNA(VLOOKUP($BC183,Programma!$F$3:$Y$1101,20,0),"")</f>
        <v/>
      </c>
      <c r="BW183" s="28"/>
      <c r="BX183" s="28"/>
      <c r="BY183" s="28"/>
      <c r="BZ183" s="28"/>
      <c r="CA183" s="28"/>
      <c r="CB183" s="28"/>
      <c r="CC183" s="28"/>
      <c r="CD183" s="28"/>
      <c r="CE183" s="28"/>
      <c r="CF183" s="28"/>
      <c r="CG183" s="28"/>
      <c r="CH183" s="28"/>
      <c r="CI183" s="28"/>
      <c r="CJ183" s="28"/>
      <c r="CK183" s="28"/>
      <c r="CL183" s="28"/>
      <c r="CM183" s="28"/>
      <c r="CN183" s="28"/>
      <c r="CO183" s="28"/>
      <c r="CP183" s="28"/>
      <c r="CQ183" s="28"/>
      <c r="CR183" s="28"/>
      <c r="CS183" s="28"/>
      <c r="CT183" s="28"/>
      <c r="CU183" s="28"/>
      <c r="CV183" s="28"/>
      <c r="CW183" s="28"/>
      <c r="CX183" s="28"/>
      <c r="CY183" s="28"/>
      <c r="CZ183" s="28"/>
      <c r="DA183" s="28"/>
      <c r="DB183" s="28"/>
      <c r="DC183" s="28"/>
      <c r="DD183" s="28"/>
      <c r="DE183" s="28"/>
      <c r="DF183" s="28"/>
      <c r="DG183" s="28"/>
      <c r="DH183" s="28"/>
      <c r="DI183" s="28"/>
      <c r="DJ183" s="28"/>
      <c r="DK183" s="28"/>
      <c r="DL183" s="28"/>
      <c r="DM183" s="28"/>
      <c r="DN183" s="28"/>
      <c r="DO183" s="28"/>
      <c r="DP183" s="28"/>
      <c r="DQ183" s="28"/>
      <c r="DR183" s="28"/>
      <c r="DS183" s="28"/>
      <c r="DT183" s="28"/>
      <c r="DU183" s="28"/>
      <c r="DV183" s="28"/>
      <c r="DW183" s="28"/>
      <c r="DX183" s="28"/>
      <c r="DY183" s="28"/>
      <c r="DZ183" s="28"/>
      <c r="EA183" s="28"/>
      <c r="EB183" s="28"/>
      <c r="EC183" s="28"/>
      <c r="ED183" s="28"/>
      <c r="EE183" s="28"/>
      <c r="EF183" s="28"/>
      <c r="EG183" s="28"/>
      <c r="EH183" s="28"/>
      <c r="EI183" s="28"/>
      <c r="EJ183" s="28"/>
      <c r="EK183" s="28"/>
      <c r="EL183" s="28"/>
      <c r="EM183" s="28"/>
      <c r="EN183" s="28"/>
      <c r="EO183" s="28"/>
      <c r="EP183" s="28"/>
      <c r="EQ183" s="28"/>
      <c r="ER183" s="28"/>
      <c r="ES183" s="28"/>
      <c r="ET183" s="28"/>
      <c r="EU183" s="28"/>
      <c r="EV183" s="28"/>
      <c r="EW183" s="28"/>
      <c r="EX183" s="28"/>
      <c r="EY183" s="28"/>
      <c r="EZ183" s="28"/>
      <c r="FA183" s="28"/>
      <c r="FB183" s="28"/>
      <c r="FC183" s="28"/>
      <c r="FD183" s="28"/>
      <c r="FE183" s="28"/>
      <c r="FF183" s="28"/>
      <c r="FG183" s="28"/>
      <c r="FH183" s="28"/>
      <c r="FI183" s="28"/>
      <c r="FJ183" s="28"/>
      <c r="FK183" s="28"/>
      <c r="FL183" s="28"/>
      <c r="FM183" s="28"/>
      <c r="FN183" s="28"/>
      <c r="FO183" s="28"/>
      <c r="FP183" s="28"/>
      <c r="FQ183" s="28"/>
      <c r="FR183" s="28"/>
      <c r="FS183" s="28"/>
      <c r="FT183" s="28"/>
      <c r="FU183" s="28"/>
      <c r="FV183" s="28"/>
      <c r="FW183" s="28"/>
      <c r="FX183" s="28"/>
      <c r="FY183" s="28"/>
      <c r="FZ183" s="28"/>
      <c r="GA183" s="28"/>
      <c r="GB183" s="28"/>
      <c r="GC183" s="28"/>
      <c r="GD183" s="28"/>
      <c r="GE183" s="28"/>
      <c r="GF183" s="28"/>
      <c r="GG183" s="28"/>
      <c r="GH183" s="28"/>
      <c r="GI183" s="28"/>
      <c r="GJ183" s="28"/>
      <c r="GK183" s="28"/>
      <c r="GL183" s="28"/>
      <c r="GM183" s="28"/>
      <c r="GN183" s="28"/>
      <c r="GO183" s="28"/>
      <c r="GP183" s="28"/>
      <c r="GQ183" s="28"/>
      <c r="GR183" s="28"/>
      <c r="GS183" s="28"/>
      <c r="GT183" s="28"/>
      <c r="GU183" s="28"/>
      <c r="GV183" s="28"/>
      <c r="GW183" s="28"/>
      <c r="GX183" s="28"/>
      <c r="GY183" s="28"/>
      <c r="GZ183" s="28"/>
      <c r="HA183" s="28"/>
      <c r="HB183" s="28"/>
      <c r="HC183" s="28"/>
      <c r="HD183" s="28"/>
      <c r="HE183" s="28"/>
      <c r="HF183" s="28"/>
      <c r="HG183" s="28"/>
      <c r="HH183" s="28"/>
      <c r="HI183" s="28"/>
      <c r="HJ183" s="28"/>
      <c r="HK183" s="28"/>
    </row>
    <row r="184" spans="1:219" ht="15" customHeight="1">
      <c r="A184" s="49">
        <v>1</v>
      </c>
      <c r="B184" s="132" t="str">
        <f>VLOOKUP(Ruimtestaat[[#This Row],[Code]],Locaties[[Code]:[Locatie]],2,FALSE)</f>
        <v>Mirtehuis</v>
      </c>
      <c r="C184" s="132" t="str">
        <f>VLOOKUP(Ruimtestaat[[#This Row],[Code]],Locaties[[#All],[Code]:[Adres]],4,FALSE)</f>
        <v>Weseperweg 6</v>
      </c>
      <c r="D184" s="132" t="str">
        <f>VLOOKUP(Ruimtestaat[[#This Row],[Code]],Locaties[[#All],[Code]:[Postcode]],5,FALSE)</f>
        <v>8111 PK</v>
      </c>
      <c r="E184" s="132" t="str">
        <f>VLOOKUP(Ruimtestaat[[#This Row],[Code]],Locaties[#All],6,FALSE)</f>
        <v>Heeten</v>
      </c>
      <c r="F184" s="100"/>
      <c r="G184" s="100" t="s">
        <v>1691</v>
      </c>
      <c r="I184" s="140" t="s">
        <v>1632</v>
      </c>
      <c r="J184" s="49">
        <v>6</v>
      </c>
      <c r="K184" s="140" t="str">
        <f>VLOOKUP(Ruimtestaat[[#This Row],[Ruimte code]],Ruimtegroepen[[#All],[Code]:[Ruimte omschrijving]],2,FALSE)</f>
        <v>Gangen/hallen</v>
      </c>
      <c r="L184" s="100" t="s">
        <v>100</v>
      </c>
      <c r="M184" s="345" t="s">
        <v>1636</v>
      </c>
      <c r="N184" s="133">
        <v>12</v>
      </c>
      <c r="O184" s="100"/>
      <c r="P184" s="134" t="str">
        <f>VLOOKUP(Ruimtestaat[[#This Row],[Ruimte code]],Ruimtegroepen[],4,FALSE)</f>
        <v>Ve</v>
      </c>
      <c r="Q184" s="100">
        <v>51</v>
      </c>
      <c r="R184" s="100" t="s">
        <v>2</v>
      </c>
      <c r="S184" s="100">
        <f>IF(Q184&gt;0,IF(RIGHT(Ruimtestaat[[#This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84" s="100">
        <f>IF(S184&gt;0,VLOOKUP($J184,Ruimtegroepen[],3,FALSE)*VLOOKUP($L184,Vloersoorten[],3,FALSE)*VLOOKUP($R184,Frequenties[],3,FALSE)*VLOOKUP($A184,Locaties[],3,FALSE),0)</f>
        <v>0</v>
      </c>
      <c r="U184" s="100">
        <f>Ruimtestaat[[#This Row],[Uitvoeringen werkdagen]]*Ruimtestaat[[#This Row],[Oppervlak (netto)]]</f>
        <v>3060</v>
      </c>
      <c r="V184" s="135">
        <f>IF(T184&gt;0,Ruimtestaat[[#This Row],[Prest. (m2 /jaar) werkdagen]]/Ruimtestaat[[#This Row],[Norm (m2/uur) werkdagen]],0)</f>
        <v>0</v>
      </c>
      <c r="W184" s="136">
        <f>Ruimtestaat[[#This Row],[uren / jaar werkdagen]]*Tariefsopbouw!$E$35</f>
        <v>0</v>
      </c>
      <c r="X184" s="100"/>
      <c r="Y184" s="100">
        <f>IF(Ruimtestaat[[#This Row],[Frequentie weekend]]&gt;0,VALUE(LEFT(X184,1))*Q184,0)</f>
        <v>0</v>
      </c>
      <c r="Z184" s="99">
        <f>IF($Y184&gt;0,VLOOKUP($J184,Ruimtegroepen[],3,FALSE)*VLOOKUP($L184,Vloersoorten[],3,FALSE)*VLOOKUP($X184,Frequenties[],3,FALSE)*VLOOKUP(Ruimtestaat[[#This Row],[Code]],Locaties[],3,FALSE),0)</f>
        <v>0</v>
      </c>
      <c r="AA184" s="99">
        <f>Ruimtestaat[[#This Row],[Uitvoeringen weekend]]*Ruimtestaat[[#This Row],[Oppervlak (netto)]]</f>
        <v>0</v>
      </c>
      <c r="AB184" s="99">
        <f>IF(Z184&gt;0,Ruimtestaat[[#This Row],[Prest. (m2 /jaar) weekend]]/Ruimtestaat[[#This Row],[Norm (m2/uur) weekend]],0)</f>
        <v>0</v>
      </c>
      <c r="AC184" s="136">
        <f>Ruimtestaat[[#This Row],[uren / jaar weekend]]*Tariefsopbouw!$D$40</f>
        <v>0</v>
      </c>
      <c r="AD184" s="135">
        <f>Ruimtestaat[[#This Row],[Prest. (m2 /jaar) weekend]]+Ruimtestaat[[#This Row],[Prest. (m2 /jaar) werkdagen]]</f>
        <v>3060</v>
      </c>
      <c r="AE184" s="135">
        <f>Ruimtestaat[[#This Row],[uren / jaar weekend]]+Ruimtestaat[[#This Row],[uren / jaar werkdagen]]</f>
        <v>0</v>
      </c>
      <c r="AF184" s="130">
        <f>Ruimtestaat[[#This Row],[kosten / jaar weekend]]+Ruimtestaat[[#This Row],[kosten / jaar werkdagen]]</f>
        <v>0</v>
      </c>
      <c r="AG184" s="130"/>
      <c r="AH184" s="137" t="str">
        <f>IF(Ruimtestaat[[#This Row],[Frequentie werkdagen]]="","",_xlfn.CONCAT(Ruimtestaat[[#This Row],[Ruimte code]],"-",Ruimtestaat[[#This Row],[Frequentie werkdagen]]," ",Ruimtestaat[[#This Row],[Vloer code]]))</f>
        <v>6-5w L</v>
      </c>
      <c r="AI184" s="142" t="str">
        <f>_xlfn.IFNA(VLOOKUP($AH184,Programma!$F$3:$G$1101,2,0),"")</f>
        <v>_</v>
      </c>
      <c r="AJ184" s="142" t="str">
        <f>_xlfn.IFNA(VLOOKUP($AH184,Programma!$F$3:$H$1101,3,0),"")</f>
        <v>_</v>
      </c>
      <c r="AK184" s="142" t="str">
        <f>_xlfn.IFNA(VLOOKUP($AH184,Programma!$F$3:$I$1101,4,0),"")</f>
        <v>_</v>
      </c>
      <c r="AL184" s="142" t="str">
        <f>_xlfn.IFNA(VLOOKUP($AH184,Programma!$F$3:$J$1101,5,0),"")</f>
        <v>5w</v>
      </c>
      <c r="AM184" s="142" t="str">
        <f>_xlfn.IFNA(VLOOKUP($AH184,Programma!$F$3:$K$1101,6,0),"")</f>
        <v>_</v>
      </c>
      <c r="AN184" s="142" t="str">
        <f>_xlfn.IFNA(VLOOKUP($AH184,Programma!$F$3:$L$1101,7,0),"")</f>
        <v>_</v>
      </c>
      <c r="AO184" s="142" t="str">
        <f>_xlfn.IFNA(VLOOKUP($AH184,Programma!$F$3:$M$1101,8,0),"")</f>
        <v>_</v>
      </c>
      <c r="AP184" s="142" t="str">
        <f>_xlfn.IFNA(VLOOKUP($AH184,Programma!$F$3:$N$1101,9,0),"")</f>
        <v>_</v>
      </c>
      <c r="AQ184" s="142" t="str">
        <f>_xlfn.IFNA(VLOOKUP($AH184,Programma!$F$3:$O$1101,10,0),"")</f>
        <v>5w</v>
      </c>
      <c r="AR184" s="142" t="str">
        <f>_xlfn.IFNA(VLOOKUP($AH184,Programma!$F$3:$P$1101,11,0),"")</f>
        <v>5w</v>
      </c>
      <c r="AS184" s="142" t="str">
        <f>_xlfn.IFNA(VLOOKUP($AH184,Programma!$F$3:$Q$1101,12,0),"")</f>
        <v>1w</v>
      </c>
      <c r="AT184" s="142" t="str">
        <f>_xlfn.IFNA(VLOOKUP($AH184,Programma!$F$3:$R$1101,13,0),"")</f>
        <v>1w</v>
      </c>
      <c r="AU184" s="142" t="str">
        <f>_xlfn.IFNA(VLOOKUP($AH184,Programma!$F$3:$S$1101,14,0),"")</f>
        <v>1m</v>
      </c>
      <c r="AV184" s="142" t="str">
        <f>_xlfn.IFNA(VLOOKUP($AH184,Programma!$F$3:$T$1101,15,0),"")</f>
        <v>2j</v>
      </c>
      <c r="AW184" s="142" t="str">
        <f>_xlfn.IFNA(VLOOKUP($AH184,Programma!$F$3:$U$1101,16,0),"")</f>
        <v>1j</v>
      </c>
      <c r="AX184" s="142" t="str">
        <f>_xlfn.IFNA(VLOOKUP($AH184,Programma!$F$3:$V$1101,17,0),"")</f>
        <v>_</v>
      </c>
      <c r="AY184" s="142" t="str">
        <f>_xlfn.IFNA(VLOOKUP($AH184,Programma!$F$3:$W$1101,18,0),"")</f>
        <v>_</v>
      </c>
      <c r="AZ184" s="142" t="str">
        <f>_xlfn.IFNA(VLOOKUP($AH184,Programma!$F$3:$X$1101,19,0),"")</f>
        <v>_</v>
      </c>
      <c r="BA184" s="142" t="str">
        <f>_xlfn.IFNA(VLOOKUP($AH184,Programma!$F$3:$Y$1101,20,0),"")</f>
        <v>_</v>
      </c>
      <c r="BB184" s="138"/>
      <c r="BC184" s="137" t="str">
        <f>IF(Ruimtestaat[[#This Row],[Frequentie weekend]]="","",_xlfn.CONCAT(Ruimtestaat[[#This Row],[Ruimte code]],"-",Ruimtestaat[[#This Row],[Frequentie weekend]]," ",Ruimtestaat[[#This Row],[Vloer code]]))</f>
        <v/>
      </c>
      <c r="BD184" s="142" t="str">
        <f>_xlfn.IFNA(VLOOKUP($BC184,Programma!$F$3:$G$1101,2,0),"")</f>
        <v/>
      </c>
      <c r="BE184" s="142" t="str">
        <f>_xlfn.IFNA(VLOOKUP($BC184,Programma!$F$3:$H$1101,3,0),"")</f>
        <v/>
      </c>
      <c r="BF184" s="142" t="str">
        <f>_xlfn.IFNA(VLOOKUP($BC184,Programma!$F$3:$I$1101,4,0),"")</f>
        <v/>
      </c>
      <c r="BG184" s="142" t="str">
        <f>_xlfn.IFNA(VLOOKUP($BC184,Programma!$F$3:$J$1101,5,0),"")</f>
        <v/>
      </c>
      <c r="BH184" s="142" t="str">
        <f>_xlfn.IFNA(VLOOKUP($BC184,Programma!$F$3:$K$1101,6,0),"")</f>
        <v/>
      </c>
      <c r="BI184" s="142" t="str">
        <f>_xlfn.IFNA(VLOOKUP($BC184,Programma!$F$3:$L$1101,7,0),"")</f>
        <v/>
      </c>
      <c r="BJ184" s="142" t="str">
        <f>_xlfn.IFNA(VLOOKUP($BC184,Programma!$F$3:$M$1101,8,0),"")</f>
        <v/>
      </c>
      <c r="BK184" s="142" t="str">
        <f>_xlfn.IFNA(VLOOKUP($BC184,Programma!$F$3:$N$1101,9,0),"")</f>
        <v/>
      </c>
      <c r="BL184" s="142" t="str">
        <f>_xlfn.IFNA(VLOOKUP($BC184,Programma!$F$3:$O$1101,10,0),"")</f>
        <v/>
      </c>
      <c r="BM184" s="142" t="str">
        <f>_xlfn.IFNA(VLOOKUP($BC184,Programma!$F$3:$P$1101,11,0),"")</f>
        <v/>
      </c>
      <c r="BN184" s="142" t="str">
        <f>_xlfn.IFNA(VLOOKUP($BC184,Programma!$F$3:$Q$1101,12,0),"")</f>
        <v/>
      </c>
      <c r="BO184" s="142" t="str">
        <f>_xlfn.IFNA(VLOOKUP($BC184,Programma!$F$3:$R$1101,13,0),"")</f>
        <v/>
      </c>
      <c r="BP184" s="142" t="str">
        <f>_xlfn.IFNA(VLOOKUP($BC184,Programma!$F$3:$S$1101,14,0),"")</f>
        <v/>
      </c>
      <c r="BQ184" s="142" t="str">
        <f>_xlfn.IFNA(VLOOKUP($BC184,Programma!$F$3:$T$1101,15,0),"")</f>
        <v/>
      </c>
      <c r="BR184" s="142" t="str">
        <f>_xlfn.IFNA(VLOOKUP($BC184,Programma!$F$3:$U$1101,16,0),"")</f>
        <v/>
      </c>
      <c r="BS184" s="142" t="str">
        <f>_xlfn.IFNA(VLOOKUP($BC184,Programma!$F$3:$V$1101,17,0),"")</f>
        <v/>
      </c>
      <c r="BT184" s="142" t="str">
        <f>_xlfn.IFNA(VLOOKUP($BC184,Programma!$F$3:$W$1101,18,0),"")</f>
        <v/>
      </c>
      <c r="BU184" s="142" t="str">
        <f>_xlfn.IFNA(VLOOKUP($BC184,Programma!$F$3:$X$1101,19,0),"")</f>
        <v/>
      </c>
      <c r="BV184" s="142" t="str">
        <f>_xlfn.IFNA(VLOOKUP($BC184,Programma!$F$3:$Y$1101,20,0),"")</f>
        <v/>
      </c>
      <c r="BW184" s="28"/>
      <c r="BX184" s="28"/>
      <c r="BY184" s="28"/>
      <c r="BZ184" s="28"/>
      <c r="CA184" s="28"/>
      <c r="CB184" s="28"/>
      <c r="CC184" s="28"/>
      <c r="CD184" s="28"/>
      <c r="CE184" s="28"/>
      <c r="CF184" s="28"/>
      <c r="CG184" s="28"/>
      <c r="CH184" s="28"/>
      <c r="CI184" s="28"/>
      <c r="CJ184" s="28"/>
      <c r="CK184" s="28"/>
      <c r="CL184" s="28"/>
      <c r="CM184" s="28"/>
      <c r="CN184" s="28"/>
      <c r="CO184" s="28"/>
      <c r="CP184" s="28"/>
      <c r="CQ184" s="28"/>
      <c r="CR184" s="28"/>
      <c r="CS184" s="28"/>
      <c r="CT184" s="28"/>
      <c r="CU184" s="28"/>
      <c r="CV184" s="28"/>
      <c r="CW184" s="28"/>
      <c r="CX184" s="28"/>
      <c r="CY184" s="28"/>
      <c r="CZ184" s="28"/>
      <c r="DA184" s="28"/>
      <c r="DB184" s="28"/>
      <c r="DC184" s="28"/>
      <c r="DD184" s="28"/>
      <c r="DE184" s="28"/>
      <c r="DF184" s="28"/>
      <c r="DG184" s="28"/>
      <c r="DH184" s="28"/>
      <c r="DI184" s="28"/>
      <c r="DJ184" s="28"/>
      <c r="DK184" s="28"/>
      <c r="DL184" s="28"/>
      <c r="DM184" s="28"/>
      <c r="DN184" s="28"/>
      <c r="DO184" s="28"/>
      <c r="DP184" s="28"/>
      <c r="DQ184" s="28"/>
      <c r="DR184" s="28"/>
      <c r="DS184" s="28"/>
      <c r="DT184" s="28"/>
      <c r="DU184" s="28"/>
      <c r="DV184" s="28"/>
      <c r="DW184" s="28"/>
      <c r="DX184" s="28"/>
      <c r="DY184" s="28"/>
      <c r="DZ184" s="28"/>
      <c r="EA184" s="28"/>
      <c r="EB184" s="28"/>
      <c r="EC184" s="28"/>
      <c r="ED184" s="28"/>
      <c r="EE184" s="28"/>
      <c r="EF184" s="28"/>
      <c r="EG184" s="28"/>
      <c r="EH184" s="28"/>
      <c r="EI184" s="28"/>
      <c r="EJ184" s="28"/>
      <c r="EK184" s="28"/>
      <c r="EL184" s="28"/>
      <c r="EM184" s="28"/>
      <c r="EN184" s="28"/>
      <c r="EO184" s="28"/>
      <c r="EP184" s="28"/>
      <c r="EQ184" s="28"/>
      <c r="ER184" s="28"/>
      <c r="ES184" s="28"/>
      <c r="ET184" s="28"/>
      <c r="EU184" s="28"/>
      <c r="EV184" s="28"/>
      <c r="EW184" s="28"/>
      <c r="EX184" s="28"/>
      <c r="EY184" s="28"/>
      <c r="EZ184" s="28"/>
      <c r="FA184" s="28"/>
      <c r="FB184" s="28"/>
      <c r="FC184" s="28"/>
      <c r="FD184" s="28"/>
      <c r="FE184" s="28"/>
      <c r="FF184" s="28"/>
      <c r="FG184" s="28"/>
      <c r="FH184" s="28"/>
      <c r="FI184" s="28"/>
      <c r="FJ184" s="28"/>
      <c r="FK184" s="28"/>
      <c r="FL184" s="28"/>
      <c r="FM184" s="28"/>
      <c r="FN184" s="28"/>
      <c r="FO184" s="28"/>
      <c r="FP184" s="28"/>
      <c r="FQ184" s="28"/>
      <c r="FR184" s="28"/>
      <c r="FS184" s="28"/>
      <c r="FT184" s="28"/>
      <c r="FU184" s="28"/>
      <c r="FV184" s="28"/>
      <c r="FW184" s="28"/>
      <c r="FX184" s="28"/>
      <c r="FY184" s="28"/>
      <c r="FZ184" s="28"/>
      <c r="GA184" s="28"/>
      <c r="GB184" s="28"/>
      <c r="GC184" s="28"/>
      <c r="GD184" s="28"/>
      <c r="GE184" s="28"/>
      <c r="GF184" s="28"/>
      <c r="GG184" s="28"/>
      <c r="GH184" s="28"/>
      <c r="GI184" s="28"/>
      <c r="GJ184" s="28"/>
      <c r="GK184" s="28"/>
      <c r="GL184" s="28"/>
      <c r="GM184" s="28"/>
      <c r="GN184" s="28"/>
      <c r="GO184" s="28"/>
      <c r="GP184" s="28"/>
      <c r="GQ184" s="28"/>
      <c r="GR184" s="28"/>
      <c r="GS184" s="28"/>
      <c r="GT184" s="28"/>
      <c r="GU184" s="28"/>
      <c r="GV184" s="28"/>
      <c r="GW184" s="28"/>
      <c r="GX184" s="28"/>
      <c r="GY184" s="28"/>
      <c r="GZ184" s="28"/>
      <c r="HA184" s="28"/>
      <c r="HB184" s="28"/>
      <c r="HC184" s="28"/>
      <c r="HD184" s="28"/>
      <c r="HE184" s="28"/>
      <c r="HF184" s="28"/>
      <c r="HG184" s="28"/>
      <c r="HH184" s="28"/>
      <c r="HI184" s="28"/>
      <c r="HJ184" s="28"/>
      <c r="HK184" s="28"/>
    </row>
    <row r="185" spans="1:219" ht="15" customHeight="1">
      <c r="A185" s="49">
        <v>1</v>
      </c>
      <c r="B185" s="132" t="str">
        <f>VLOOKUP(Ruimtestaat[[#This Row],[Code]],Locaties[[Code]:[Locatie]],2,FALSE)</f>
        <v>Mirtehuis</v>
      </c>
      <c r="C185" s="132" t="str">
        <f>VLOOKUP(Ruimtestaat[[#This Row],[Code]],Locaties[[#All],[Code]:[Adres]],4,FALSE)</f>
        <v>Weseperweg 6</v>
      </c>
      <c r="D185" s="132" t="str">
        <f>VLOOKUP(Ruimtestaat[[#This Row],[Code]],Locaties[[#All],[Code]:[Postcode]],5,FALSE)</f>
        <v>8111 PK</v>
      </c>
      <c r="E185" s="132" t="str">
        <f>VLOOKUP(Ruimtestaat[[#This Row],[Code]],Locaties[#All],6,FALSE)</f>
        <v>Heeten</v>
      </c>
      <c r="F185" s="100"/>
      <c r="G185" s="100" t="s">
        <v>1691</v>
      </c>
      <c r="I185" s="140" t="s">
        <v>22</v>
      </c>
      <c r="J185" s="49">
        <v>5</v>
      </c>
      <c r="K185" s="140" t="str">
        <f>VLOOKUP(Ruimtestaat[[#This Row],[Ruimte code]],Ruimtegroepen[[#All],[Code]:[Ruimte omschrijving]],2,FALSE)</f>
        <v>Sanitair</v>
      </c>
      <c r="L185" s="100" t="s">
        <v>101</v>
      </c>
      <c r="M185" s="345" t="s">
        <v>1642</v>
      </c>
      <c r="N185" s="133">
        <v>1.75</v>
      </c>
      <c r="O185" s="139"/>
      <c r="P185" s="134" t="str">
        <f>VLOOKUP(Ruimtestaat[[#This Row],[Ruimte code]],Ruimtegroepen[],4,FALSE)</f>
        <v>Sa</v>
      </c>
      <c r="Q185" s="100">
        <v>51</v>
      </c>
      <c r="R185" s="100" t="s">
        <v>2</v>
      </c>
      <c r="S185" s="100">
        <f>IF(Q185&gt;0,IF(RIGHT(Ruimtestaat[[#This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85" s="100">
        <f>IF(S185&gt;0,VLOOKUP($J185,Ruimtegroepen[],3,FALSE)*VLOOKUP($L185,Vloersoorten[],3,FALSE)*VLOOKUP($R185,Frequenties[],3,FALSE)*VLOOKUP($A185,Locaties[],3,FALSE),0)</f>
        <v>0</v>
      </c>
      <c r="U185" s="100">
        <f>Ruimtestaat[[#This Row],[Uitvoeringen werkdagen]]*Ruimtestaat[[#This Row],[Oppervlak (netto)]]</f>
        <v>446.25</v>
      </c>
      <c r="V185" s="135">
        <f>IF(T185&gt;0,Ruimtestaat[[#This Row],[Prest. (m2 /jaar) werkdagen]]/Ruimtestaat[[#This Row],[Norm (m2/uur) werkdagen]],0)</f>
        <v>0</v>
      </c>
      <c r="W185" s="136">
        <f>Ruimtestaat[[#This Row],[uren / jaar werkdagen]]*Tariefsopbouw!$E$35</f>
        <v>0</v>
      </c>
      <c r="X185" s="100"/>
      <c r="Y185" s="100">
        <f>IF(Ruimtestaat[[#This Row],[Frequentie weekend]]&gt;0,VALUE(LEFT(X185,1))*Q185,0)</f>
        <v>0</v>
      </c>
      <c r="Z185" s="99">
        <f>IF($Y185&gt;0,VLOOKUP($J185,Ruimtegroepen[],3,FALSE)*VLOOKUP($L185,Vloersoorten[],3,FALSE)*VLOOKUP($X185,Frequenties[],3,FALSE)*VLOOKUP(Ruimtestaat[[#This Row],[Code]],Locaties[],3,FALSE),0)</f>
        <v>0</v>
      </c>
      <c r="AA185" s="99">
        <f>Ruimtestaat[[#This Row],[Uitvoeringen weekend]]*Ruimtestaat[[#This Row],[Oppervlak (netto)]]</f>
        <v>0</v>
      </c>
      <c r="AB185" s="99">
        <f>IF(Z185&gt;0,Ruimtestaat[[#This Row],[Prest. (m2 /jaar) weekend]]/Ruimtestaat[[#This Row],[Norm (m2/uur) weekend]],0)</f>
        <v>0</v>
      </c>
      <c r="AC185" s="136">
        <f>Ruimtestaat[[#This Row],[uren / jaar weekend]]*Tariefsopbouw!$D$40</f>
        <v>0</v>
      </c>
      <c r="AD185" s="135">
        <f>Ruimtestaat[[#This Row],[Prest. (m2 /jaar) weekend]]+Ruimtestaat[[#This Row],[Prest. (m2 /jaar) werkdagen]]</f>
        <v>446.25</v>
      </c>
      <c r="AE185" s="135">
        <f>Ruimtestaat[[#This Row],[uren / jaar weekend]]+Ruimtestaat[[#This Row],[uren / jaar werkdagen]]</f>
        <v>0</v>
      </c>
      <c r="AF185" s="130">
        <f>Ruimtestaat[[#This Row],[kosten / jaar weekend]]+Ruimtestaat[[#This Row],[kosten / jaar werkdagen]]</f>
        <v>0</v>
      </c>
      <c r="AG185" s="130"/>
      <c r="AH185" s="137" t="str">
        <f>IF(Ruimtestaat[[#This Row],[Frequentie werkdagen]]="","",_xlfn.CONCAT(Ruimtestaat[[#This Row],[Ruimte code]],"-",Ruimtestaat[[#This Row],[Frequentie werkdagen]]," ",Ruimtestaat[[#This Row],[Vloer code]]))</f>
        <v>5-5w S</v>
      </c>
      <c r="AI185" s="142" t="str">
        <f>_xlfn.IFNA(VLOOKUP($AH185,Programma!$F$3:$G$1101,2,0),"")</f>
        <v>_</v>
      </c>
      <c r="AJ185" s="142" t="str">
        <f>_xlfn.IFNA(VLOOKUP($AH185,Programma!$F$3:$H$1101,3,0),"")</f>
        <v>_</v>
      </c>
      <c r="AK185" s="142" t="str">
        <f>_xlfn.IFNA(VLOOKUP($AH185,Programma!$F$3:$I$1101,4,0),"")</f>
        <v>_</v>
      </c>
      <c r="AL185" s="142" t="str">
        <f>_xlfn.IFNA(VLOOKUP($AH185,Programma!$F$3:$J$1101,5,0),"")</f>
        <v>4w</v>
      </c>
      <c r="AM185" s="142" t="str">
        <f>_xlfn.IFNA(VLOOKUP($AH185,Programma!$F$3:$K$1101,6,0),"")</f>
        <v>1w</v>
      </c>
      <c r="AN185" s="142" t="str">
        <f>_xlfn.IFNA(VLOOKUP($AH185,Programma!$F$3:$L$1101,7,0),"")</f>
        <v>_</v>
      </c>
      <c r="AO185" s="142" t="str">
        <f>_xlfn.IFNA(VLOOKUP($AH185,Programma!$F$3:$M$1101,8,0),"")</f>
        <v>_</v>
      </c>
      <c r="AP185" s="142" t="str">
        <f>_xlfn.IFNA(VLOOKUP($AH185,Programma!$F$3:$N$1101,9,0),"")</f>
        <v>_</v>
      </c>
      <c r="AQ185" s="142" t="str">
        <f>_xlfn.IFNA(VLOOKUP($AH185,Programma!$F$3:$O$1101,10,0),"")</f>
        <v>_</v>
      </c>
      <c r="AR185" s="142" t="str">
        <f>_xlfn.IFNA(VLOOKUP($AH185,Programma!$F$3:$P$1101,11,0),"")</f>
        <v>_</v>
      </c>
      <c r="AS185" s="142" t="str">
        <f>_xlfn.IFNA(VLOOKUP($AH185,Programma!$F$3:$Q$1101,12,0),"")</f>
        <v>_</v>
      </c>
      <c r="AT185" s="142" t="str">
        <f>_xlfn.IFNA(VLOOKUP($AH185,Programma!$F$3:$R$1101,13,0),"")</f>
        <v>_</v>
      </c>
      <c r="AU185" s="142" t="str">
        <f>_xlfn.IFNA(VLOOKUP($AH185,Programma!$F$3:$S$1101,14,0),"")</f>
        <v>_</v>
      </c>
      <c r="AV185" s="142" t="str">
        <f>_xlfn.IFNA(VLOOKUP($AH185,Programma!$F$3:$T$1101,15,0),"")</f>
        <v>_</v>
      </c>
      <c r="AW185" s="142" t="str">
        <f>_xlfn.IFNA(VLOOKUP($AH185,Programma!$F$3:$U$1101,16,0),"")</f>
        <v>_</v>
      </c>
      <c r="AX185" s="142" t="str">
        <f>_xlfn.IFNA(VLOOKUP($AH185,Programma!$F$3:$V$1101,17,0),"")</f>
        <v>_</v>
      </c>
      <c r="AY185" s="142" t="str">
        <f>_xlfn.IFNA(VLOOKUP($AH185,Programma!$F$3:$W$1101,18,0),"")</f>
        <v>4w</v>
      </c>
      <c r="AZ185" s="142" t="str">
        <f>_xlfn.IFNA(VLOOKUP($AH185,Programma!$F$3:$X$1101,19,0),"")</f>
        <v>1w</v>
      </c>
      <c r="BA185" s="142" t="str">
        <f>_xlfn.IFNA(VLOOKUP($AH185,Programma!$F$3:$Y$1101,20,0),"")</f>
        <v>_</v>
      </c>
      <c r="BB185" s="138"/>
      <c r="BC185" s="137" t="str">
        <f>IF(Ruimtestaat[[#This Row],[Frequentie weekend]]="","",_xlfn.CONCAT(Ruimtestaat[[#This Row],[Ruimte code]],"-",Ruimtestaat[[#This Row],[Frequentie weekend]]," ",Ruimtestaat[[#This Row],[Vloer code]]))</f>
        <v/>
      </c>
      <c r="BD185" s="142" t="str">
        <f>_xlfn.IFNA(VLOOKUP($BC185,Programma!$F$3:$G$1101,2,0),"")</f>
        <v/>
      </c>
      <c r="BE185" s="142" t="str">
        <f>_xlfn.IFNA(VLOOKUP($BC185,Programma!$F$3:$H$1101,3,0),"")</f>
        <v/>
      </c>
      <c r="BF185" s="142" t="str">
        <f>_xlfn.IFNA(VLOOKUP($BC185,Programma!$F$3:$I$1101,4,0),"")</f>
        <v/>
      </c>
      <c r="BG185" s="142" t="str">
        <f>_xlfn.IFNA(VLOOKUP($BC185,Programma!$F$3:$J$1101,5,0),"")</f>
        <v/>
      </c>
      <c r="BH185" s="142" t="str">
        <f>_xlfn.IFNA(VLOOKUP($BC185,Programma!$F$3:$K$1101,6,0),"")</f>
        <v/>
      </c>
      <c r="BI185" s="142" t="str">
        <f>_xlfn.IFNA(VLOOKUP($BC185,Programma!$F$3:$L$1101,7,0),"")</f>
        <v/>
      </c>
      <c r="BJ185" s="142" t="str">
        <f>_xlfn.IFNA(VLOOKUP($BC185,Programma!$F$3:$M$1101,8,0),"")</f>
        <v/>
      </c>
      <c r="BK185" s="142" t="str">
        <f>_xlfn.IFNA(VLOOKUP($BC185,Programma!$F$3:$N$1101,9,0),"")</f>
        <v/>
      </c>
      <c r="BL185" s="142" t="str">
        <f>_xlfn.IFNA(VLOOKUP($BC185,Programma!$F$3:$O$1101,10,0),"")</f>
        <v/>
      </c>
      <c r="BM185" s="142" t="str">
        <f>_xlfn.IFNA(VLOOKUP($BC185,Programma!$F$3:$P$1101,11,0),"")</f>
        <v/>
      </c>
      <c r="BN185" s="142" t="str">
        <f>_xlfn.IFNA(VLOOKUP($BC185,Programma!$F$3:$Q$1101,12,0),"")</f>
        <v/>
      </c>
      <c r="BO185" s="142" t="str">
        <f>_xlfn.IFNA(VLOOKUP($BC185,Programma!$F$3:$R$1101,13,0),"")</f>
        <v/>
      </c>
      <c r="BP185" s="142" t="str">
        <f>_xlfn.IFNA(VLOOKUP($BC185,Programma!$F$3:$S$1101,14,0),"")</f>
        <v/>
      </c>
      <c r="BQ185" s="142" t="str">
        <f>_xlfn.IFNA(VLOOKUP($BC185,Programma!$F$3:$T$1101,15,0),"")</f>
        <v/>
      </c>
      <c r="BR185" s="142" t="str">
        <f>_xlfn.IFNA(VLOOKUP($BC185,Programma!$F$3:$U$1101,16,0),"")</f>
        <v/>
      </c>
      <c r="BS185" s="142" t="str">
        <f>_xlfn.IFNA(VLOOKUP($BC185,Programma!$F$3:$V$1101,17,0),"")</f>
        <v/>
      </c>
      <c r="BT185" s="142" t="str">
        <f>_xlfn.IFNA(VLOOKUP($BC185,Programma!$F$3:$W$1101,18,0),"")</f>
        <v/>
      </c>
      <c r="BU185" s="142" t="str">
        <f>_xlfn.IFNA(VLOOKUP($BC185,Programma!$F$3:$X$1101,19,0),"")</f>
        <v/>
      </c>
      <c r="BV185" s="142" t="str">
        <f>_xlfn.IFNA(VLOOKUP($BC185,Programma!$F$3:$Y$1101,20,0),"")</f>
        <v/>
      </c>
      <c r="BW185" s="28"/>
      <c r="BX185" s="28"/>
      <c r="BY185" s="28"/>
      <c r="BZ185" s="28"/>
      <c r="CA185" s="28"/>
      <c r="CB185" s="28"/>
      <c r="CC185" s="28"/>
      <c r="CD185" s="28"/>
      <c r="CE185" s="28"/>
      <c r="CF185" s="28"/>
      <c r="CG185" s="28"/>
      <c r="CH185" s="28"/>
      <c r="CI185" s="28"/>
      <c r="CJ185" s="28"/>
      <c r="CK185" s="28"/>
      <c r="CL185" s="28"/>
      <c r="CM185" s="28"/>
      <c r="CN185" s="28"/>
      <c r="CO185" s="28"/>
      <c r="CP185" s="28"/>
      <c r="CQ185" s="28"/>
      <c r="CR185" s="28"/>
      <c r="CS185" s="28"/>
      <c r="CT185" s="28"/>
      <c r="CU185" s="28"/>
      <c r="CV185" s="28"/>
      <c r="CW185" s="28"/>
      <c r="CX185" s="28"/>
      <c r="CY185" s="28"/>
      <c r="CZ185" s="28"/>
      <c r="DA185" s="28"/>
      <c r="DB185" s="28"/>
      <c r="DC185" s="28"/>
      <c r="DD185" s="28"/>
      <c r="DE185" s="28"/>
      <c r="DF185" s="28"/>
      <c r="DG185" s="28"/>
      <c r="DH185" s="28"/>
      <c r="DI185" s="28"/>
      <c r="DJ185" s="28"/>
      <c r="DK185" s="28"/>
      <c r="DL185" s="28"/>
      <c r="DM185" s="28"/>
      <c r="DN185" s="28"/>
      <c r="DO185" s="28"/>
      <c r="DP185" s="28"/>
      <c r="DQ185" s="28"/>
      <c r="DR185" s="28"/>
      <c r="DS185" s="28"/>
      <c r="DT185" s="28"/>
      <c r="DU185" s="28"/>
      <c r="DV185" s="28"/>
      <c r="DW185" s="28"/>
      <c r="DX185" s="28"/>
      <c r="DY185" s="28"/>
      <c r="DZ185" s="28"/>
      <c r="EA185" s="28"/>
      <c r="EB185" s="28"/>
      <c r="EC185" s="28"/>
      <c r="ED185" s="28"/>
      <c r="EE185" s="28"/>
      <c r="EF185" s="28"/>
      <c r="EG185" s="28"/>
      <c r="EH185" s="28"/>
      <c r="EI185" s="28"/>
      <c r="EJ185" s="28"/>
      <c r="EK185" s="28"/>
      <c r="EL185" s="28"/>
      <c r="EM185" s="28"/>
      <c r="EN185" s="28"/>
      <c r="EO185" s="28"/>
      <c r="EP185" s="28"/>
      <c r="EQ185" s="28"/>
      <c r="ER185" s="28"/>
      <c r="ES185" s="28"/>
      <c r="ET185" s="28"/>
      <c r="EU185" s="28"/>
      <c r="EV185" s="28"/>
      <c r="EW185" s="28"/>
      <c r="EX185" s="28"/>
      <c r="EY185" s="28"/>
      <c r="EZ185" s="28"/>
      <c r="FA185" s="28"/>
      <c r="FB185" s="28"/>
      <c r="FC185" s="28"/>
      <c r="FD185" s="28"/>
      <c r="FE185" s="28"/>
      <c r="FF185" s="28"/>
      <c r="FG185" s="28"/>
      <c r="FH185" s="28"/>
      <c r="FI185" s="28"/>
      <c r="FJ185" s="28"/>
      <c r="FK185" s="28"/>
      <c r="FL185" s="28"/>
      <c r="FM185" s="28"/>
      <c r="FN185" s="28"/>
      <c r="FO185" s="28"/>
      <c r="FP185" s="28"/>
      <c r="FQ185" s="28"/>
      <c r="FR185" s="28"/>
      <c r="FS185" s="28"/>
      <c r="FT185" s="28"/>
      <c r="FU185" s="28"/>
      <c r="FV185" s="28"/>
      <c r="FW185" s="28"/>
      <c r="FX185" s="28"/>
      <c r="FY185" s="28"/>
      <c r="FZ185" s="28"/>
      <c r="GA185" s="28"/>
      <c r="GB185" s="28"/>
      <c r="GC185" s="28"/>
      <c r="GD185" s="28"/>
      <c r="GE185" s="28"/>
      <c r="GF185" s="28"/>
      <c r="GG185" s="28"/>
      <c r="GH185" s="28"/>
      <c r="GI185" s="28"/>
      <c r="GJ185" s="28"/>
      <c r="GK185" s="28"/>
      <c r="GL185" s="28"/>
      <c r="GM185" s="28"/>
      <c r="GN185" s="28"/>
      <c r="GO185" s="28"/>
      <c r="GP185" s="28"/>
      <c r="GQ185" s="28"/>
      <c r="GR185" s="28"/>
      <c r="GS185" s="28"/>
      <c r="GT185" s="28"/>
      <c r="GU185" s="28"/>
      <c r="GV185" s="28"/>
      <c r="GW185" s="28"/>
      <c r="GX185" s="28"/>
      <c r="GY185" s="28"/>
      <c r="GZ185" s="28"/>
      <c r="HA185" s="28"/>
      <c r="HB185" s="28"/>
      <c r="HC185" s="28"/>
      <c r="HD185" s="28"/>
      <c r="HE185" s="28"/>
      <c r="HF185" s="28"/>
      <c r="HG185" s="28"/>
      <c r="HH185" s="28"/>
      <c r="HI185" s="28"/>
      <c r="HJ185" s="28"/>
      <c r="HK185" s="28"/>
    </row>
    <row r="186" spans="1:219" ht="15" customHeight="1">
      <c r="A186" s="49">
        <v>1</v>
      </c>
      <c r="B186" s="132" t="str">
        <f>VLOOKUP(Ruimtestaat[[#This Row],[Code]],Locaties[[Code]:[Locatie]],2,FALSE)</f>
        <v>Mirtehuis</v>
      </c>
      <c r="C186" s="132" t="str">
        <f>VLOOKUP(Ruimtestaat[[#This Row],[Code]],Locaties[[#All],[Code]:[Adres]],4,FALSE)</f>
        <v>Weseperweg 6</v>
      </c>
      <c r="D186" s="132" t="str">
        <f>VLOOKUP(Ruimtestaat[[#This Row],[Code]],Locaties[[#All],[Code]:[Postcode]],5,FALSE)</f>
        <v>8111 PK</v>
      </c>
      <c r="E186" s="132" t="str">
        <f>VLOOKUP(Ruimtestaat[[#This Row],[Code]],Locaties[#All],6,FALSE)</f>
        <v>Heeten</v>
      </c>
      <c r="F186" s="100"/>
      <c r="G186" s="100" t="s">
        <v>1691</v>
      </c>
      <c r="H186" s="49">
        <v>25</v>
      </c>
      <c r="I186" s="140" t="s">
        <v>1656</v>
      </c>
      <c r="J186" s="49">
        <v>20</v>
      </c>
      <c r="K186" s="140" t="str">
        <f>VLOOKUP(Ruimtestaat[[#This Row],[Ruimte code]],Ruimtegroepen[[#All],[Code]:[Ruimte omschrijving]],2,FALSE)</f>
        <v>Niet in Onderhoud</v>
      </c>
      <c r="L186" s="100"/>
      <c r="M186" s="345"/>
      <c r="N186" s="133"/>
      <c r="O186" s="139"/>
      <c r="P186" s="134">
        <f>VLOOKUP(Ruimtestaat[[#This Row],[Ruimte code]],Ruimtegroepen[],4,FALSE)</f>
        <v>0</v>
      </c>
      <c r="Q186" s="100"/>
      <c r="R186" s="100"/>
      <c r="S186" s="100">
        <f>IF(Q186&gt;0,IF(RIGHT(Ruimtestaat[[#This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86" s="100">
        <f>IF(S186&gt;0,VLOOKUP($J186,Ruimtegroepen[],3,FALSE)*VLOOKUP($L186,Vloersoorten[],3,FALSE)*VLOOKUP($R186,Frequenties[],3,FALSE)*VLOOKUP($A186,Locaties[],3,FALSE),0)</f>
        <v>0</v>
      </c>
      <c r="U186" s="100">
        <f>Ruimtestaat[[#This Row],[Uitvoeringen werkdagen]]*Ruimtestaat[[#This Row],[Oppervlak (netto)]]</f>
        <v>0</v>
      </c>
      <c r="V186" s="135">
        <f>IF(T186&gt;0,Ruimtestaat[[#This Row],[Prest. (m2 /jaar) werkdagen]]/Ruimtestaat[[#This Row],[Norm (m2/uur) werkdagen]],0)</f>
        <v>0</v>
      </c>
      <c r="W186" s="136">
        <f>Ruimtestaat[[#This Row],[uren / jaar werkdagen]]*Tariefsopbouw!$E$35</f>
        <v>0</v>
      </c>
      <c r="X186" s="100"/>
      <c r="Y186" s="100">
        <f>IF(Ruimtestaat[[#This Row],[Frequentie weekend]]&gt;0,VALUE(LEFT(X186,1))*Q186,0)</f>
        <v>0</v>
      </c>
      <c r="Z186" s="99">
        <f>IF($Y186&gt;0,VLOOKUP($J186,Ruimtegroepen[],3,FALSE)*VLOOKUP($L186,Vloersoorten[],3,FALSE)*VLOOKUP($X186,Frequenties[],3,FALSE)*VLOOKUP(Ruimtestaat[[#This Row],[Code]],Locaties[],3,FALSE),0)</f>
        <v>0</v>
      </c>
      <c r="AA186" s="99">
        <f>Ruimtestaat[[#This Row],[Uitvoeringen weekend]]*Ruimtestaat[[#This Row],[Oppervlak (netto)]]</f>
        <v>0</v>
      </c>
      <c r="AB186" s="99">
        <f>IF(Z186&gt;0,Ruimtestaat[[#This Row],[Prest. (m2 /jaar) weekend]]/Ruimtestaat[[#This Row],[Norm (m2/uur) weekend]],0)</f>
        <v>0</v>
      </c>
      <c r="AC186" s="136">
        <f>Ruimtestaat[[#This Row],[uren / jaar weekend]]*Tariefsopbouw!$D$40</f>
        <v>0</v>
      </c>
      <c r="AD186" s="135">
        <f>Ruimtestaat[[#This Row],[Prest. (m2 /jaar) weekend]]+Ruimtestaat[[#This Row],[Prest. (m2 /jaar) werkdagen]]</f>
        <v>0</v>
      </c>
      <c r="AE186" s="135">
        <f>Ruimtestaat[[#This Row],[uren / jaar weekend]]+Ruimtestaat[[#This Row],[uren / jaar werkdagen]]</f>
        <v>0</v>
      </c>
      <c r="AF186" s="130">
        <f>Ruimtestaat[[#This Row],[kosten / jaar weekend]]+Ruimtestaat[[#This Row],[kosten / jaar werkdagen]]</f>
        <v>0</v>
      </c>
      <c r="AG186" s="130"/>
      <c r="AH186" s="137" t="str">
        <f>IF(Ruimtestaat[[#This Row],[Frequentie werkdagen]]="","",_xlfn.CONCAT(Ruimtestaat[[#This Row],[Ruimte code]],"-",Ruimtestaat[[#This Row],[Frequentie werkdagen]]," ",Ruimtestaat[[#This Row],[Vloer code]]))</f>
        <v/>
      </c>
      <c r="AI186" s="142" t="str">
        <f>_xlfn.IFNA(VLOOKUP($AH186,Programma!$F$3:$G$1101,2,0),"")</f>
        <v/>
      </c>
      <c r="AJ186" s="142" t="str">
        <f>_xlfn.IFNA(VLOOKUP($AH186,Programma!$F$3:$H$1101,3,0),"")</f>
        <v/>
      </c>
      <c r="AK186" s="142" t="str">
        <f>_xlfn.IFNA(VLOOKUP($AH186,Programma!$F$3:$I$1101,4,0),"")</f>
        <v/>
      </c>
      <c r="AL186" s="142" t="str">
        <f>_xlfn.IFNA(VLOOKUP($AH186,Programma!$F$3:$J$1101,5,0),"")</f>
        <v/>
      </c>
      <c r="AM186" s="142" t="str">
        <f>_xlfn.IFNA(VLOOKUP($AH186,Programma!$F$3:$K$1101,6,0),"")</f>
        <v/>
      </c>
      <c r="AN186" s="142" t="str">
        <f>_xlfn.IFNA(VLOOKUP($AH186,Programma!$F$3:$L$1101,7,0),"")</f>
        <v/>
      </c>
      <c r="AO186" s="142" t="str">
        <f>_xlfn.IFNA(VLOOKUP($AH186,Programma!$F$3:$M$1101,8,0),"")</f>
        <v/>
      </c>
      <c r="AP186" s="142" t="str">
        <f>_xlfn.IFNA(VLOOKUP($AH186,Programma!$F$3:$N$1101,9,0),"")</f>
        <v/>
      </c>
      <c r="AQ186" s="142" t="str">
        <f>_xlfn.IFNA(VLOOKUP($AH186,Programma!$F$3:$O$1101,10,0),"")</f>
        <v/>
      </c>
      <c r="AR186" s="142" t="str">
        <f>_xlfn.IFNA(VLOOKUP($AH186,Programma!$F$3:$P$1101,11,0),"")</f>
        <v/>
      </c>
      <c r="AS186" s="142" t="str">
        <f>_xlfn.IFNA(VLOOKUP($AH186,Programma!$F$3:$Q$1101,12,0),"")</f>
        <v/>
      </c>
      <c r="AT186" s="142" t="str">
        <f>_xlfn.IFNA(VLOOKUP($AH186,Programma!$F$3:$R$1101,13,0),"")</f>
        <v/>
      </c>
      <c r="AU186" s="142" t="str">
        <f>_xlfn.IFNA(VLOOKUP($AH186,Programma!$F$3:$S$1101,14,0),"")</f>
        <v/>
      </c>
      <c r="AV186" s="142" t="str">
        <f>_xlfn.IFNA(VLOOKUP($AH186,Programma!$F$3:$T$1101,15,0),"")</f>
        <v/>
      </c>
      <c r="AW186" s="142" t="str">
        <f>_xlfn.IFNA(VLOOKUP($AH186,Programma!$F$3:$U$1101,16,0),"")</f>
        <v/>
      </c>
      <c r="AX186" s="142" t="str">
        <f>_xlfn.IFNA(VLOOKUP($AH186,Programma!$F$3:$V$1101,17,0),"")</f>
        <v/>
      </c>
      <c r="AY186" s="142" t="str">
        <f>_xlfn.IFNA(VLOOKUP($AH186,Programma!$F$3:$W$1101,18,0),"")</f>
        <v/>
      </c>
      <c r="AZ186" s="142" t="str">
        <f>_xlfn.IFNA(VLOOKUP($AH186,Programma!$F$3:$X$1101,19,0),"")</f>
        <v/>
      </c>
      <c r="BA186" s="142" t="str">
        <f>_xlfn.IFNA(VLOOKUP($AH186,Programma!$F$3:$Y$1101,20,0),"")</f>
        <v/>
      </c>
      <c r="BB186" s="138"/>
      <c r="BC186" s="137" t="str">
        <f>IF(Ruimtestaat[[#This Row],[Frequentie weekend]]="","",_xlfn.CONCAT(Ruimtestaat[[#This Row],[Ruimte code]],"-",Ruimtestaat[[#This Row],[Frequentie weekend]]," ",Ruimtestaat[[#This Row],[Vloer code]]))</f>
        <v/>
      </c>
      <c r="BD186" s="142" t="str">
        <f>_xlfn.IFNA(VLOOKUP($BC186,Programma!$F$3:$G$1101,2,0),"")</f>
        <v/>
      </c>
      <c r="BE186" s="142" t="str">
        <f>_xlfn.IFNA(VLOOKUP($BC186,Programma!$F$3:$H$1101,3,0),"")</f>
        <v/>
      </c>
      <c r="BF186" s="142" t="str">
        <f>_xlfn.IFNA(VLOOKUP($BC186,Programma!$F$3:$I$1101,4,0),"")</f>
        <v/>
      </c>
      <c r="BG186" s="142" t="str">
        <f>_xlfn.IFNA(VLOOKUP($BC186,Programma!$F$3:$J$1101,5,0),"")</f>
        <v/>
      </c>
      <c r="BH186" s="142" t="str">
        <f>_xlfn.IFNA(VLOOKUP($BC186,Programma!$F$3:$K$1101,6,0),"")</f>
        <v/>
      </c>
      <c r="BI186" s="142" t="str">
        <f>_xlfn.IFNA(VLOOKUP($BC186,Programma!$F$3:$L$1101,7,0),"")</f>
        <v/>
      </c>
      <c r="BJ186" s="142" t="str">
        <f>_xlfn.IFNA(VLOOKUP($BC186,Programma!$F$3:$M$1101,8,0),"")</f>
        <v/>
      </c>
      <c r="BK186" s="142" t="str">
        <f>_xlfn.IFNA(VLOOKUP($BC186,Programma!$F$3:$N$1101,9,0),"")</f>
        <v/>
      </c>
      <c r="BL186" s="142" t="str">
        <f>_xlfn.IFNA(VLOOKUP($BC186,Programma!$F$3:$O$1101,10,0),"")</f>
        <v/>
      </c>
      <c r="BM186" s="142" t="str">
        <f>_xlfn.IFNA(VLOOKUP($BC186,Programma!$F$3:$P$1101,11,0),"")</f>
        <v/>
      </c>
      <c r="BN186" s="142" t="str">
        <f>_xlfn.IFNA(VLOOKUP($BC186,Programma!$F$3:$Q$1101,12,0),"")</f>
        <v/>
      </c>
      <c r="BO186" s="142" t="str">
        <f>_xlfn.IFNA(VLOOKUP($BC186,Programma!$F$3:$R$1101,13,0),"")</f>
        <v/>
      </c>
      <c r="BP186" s="142" t="str">
        <f>_xlfn.IFNA(VLOOKUP($BC186,Programma!$F$3:$S$1101,14,0),"")</f>
        <v/>
      </c>
      <c r="BQ186" s="142" t="str">
        <f>_xlfn.IFNA(VLOOKUP($BC186,Programma!$F$3:$T$1101,15,0),"")</f>
        <v/>
      </c>
      <c r="BR186" s="142" t="str">
        <f>_xlfn.IFNA(VLOOKUP($BC186,Programma!$F$3:$U$1101,16,0),"")</f>
        <v/>
      </c>
      <c r="BS186" s="142" t="str">
        <f>_xlfn.IFNA(VLOOKUP($BC186,Programma!$F$3:$V$1101,17,0),"")</f>
        <v/>
      </c>
      <c r="BT186" s="142" t="str">
        <f>_xlfn.IFNA(VLOOKUP($BC186,Programma!$F$3:$W$1101,18,0),"")</f>
        <v/>
      </c>
      <c r="BU186" s="142" t="str">
        <f>_xlfn.IFNA(VLOOKUP($BC186,Programma!$F$3:$X$1101,19,0),"")</f>
        <v/>
      </c>
      <c r="BV186" s="142" t="str">
        <f>_xlfn.IFNA(VLOOKUP($BC186,Programma!$F$3:$Y$1101,20,0),"")</f>
        <v/>
      </c>
      <c r="BW186" s="28"/>
      <c r="BX186" s="28"/>
      <c r="BY186" s="28"/>
      <c r="BZ186" s="28"/>
      <c r="CA186" s="28"/>
      <c r="CB186" s="28"/>
      <c r="CC186" s="28"/>
      <c r="CD186" s="28"/>
      <c r="CE186" s="28"/>
      <c r="CF186" s="28"/>
      <c r="CG186" s="28"/>
      <c r="CH186" s="28"/>
      <c r="CI186" s="28"/>
      <c r="CJ186" s="28"/>
      <c r="CK186" s="28"/>
      <c r="CL186" s="28"/>
      <c r="CM186" s="28"/>
      <c r="CN186" s="28"/>
      <c r="CO186" s="28"/>
      <c r="CP186" s="28"/>
      <c r="CQ186" s="28"/>
      <c r="CR186" s="28"/>
      <c r="CS186" s="28"/>
      <c r="CT186" s="28"/>
      <c r="CU186" s="28"/>
      <c r="CV186" s="28"/>
      <c r="CW186" s="28"/>
      <c r="CX186" s="28"/>
      <c r="CY186" s="28"/>
      <c r="CZ186" s="28"/>
      <c r="DA186" s="28"/>
      <c r="DB186" s="28"/>
      <c r="DC186" s="28"/>
      <c r="DD186" s="28"/>
      <c r="DE186" s="28"/>
      <c r="DF186" s="28"/>
      <c r="DG186" s="28"/>
      <c r="DH186" s="28"/>
      <c r="DI186" s="28"/>
      <c r="DJ186" s="28"/>
      <c r="DK186" s="28"/>
      <c r="DL186" s="28"/>
      <c r="DM186" s="28"/>
      <c r="DN186" s="28"/>
      <c r="DO186" s="28"/>
      <c r="DP186" s="28"/>
      <c r="DQ186" s="28"/>
      <c r="DR186" s="28"/>
      <c r="DS186" s="28"/>
      <c r="DT186" s="28"/>
      <c r="DU186" s="28"/>
      <c r="DV186" s="28"/>
      <c r="DW186" s="28"/>
      <c r="DX186" s="28"/>
      <c r="DY186" s="28"/>
      <c r="DZ186" s="28"/>
      <c r="EA186" s="28"/>
      <c r="EB186" s="28"/>
      <c r="EC186" s="28"/>
      <c r="ED186" s="28"/>
      <c r="EE186" s="28"/>
      <c r="EF186" s="28"/>
      <c r="EG186" s="28"/>
      <c r="EH186" s="28"/>
      <c r="EI186" s="28"/>
      <c r="EJ186" s="28"/>
      <c r="EK186" s="28"/>
      <c r="EL186" s="28"/>
      <c r="EM186" s="28"/>
      <c r="EN186" s="28"/>
      <c r="EO186" s="28"/>
      <c r="EP186" s="28"/>
      <c r="EQ186" s="28"/>
      <c r="ER186" s="28"/>
      <c r="ES186" s="28"/>
      <c r="ET186" s="28"/>
      <c r="EU186" s="28"/>
      <c r="EV186" s="28"/>
      <c r="EW186" s="28"/>
      <c r="EX186" s="28"/>
      <c r="EY186" s="28"/>
      <c r="EZ186" s="28"/>
      <c r="FA186" s="28"/>
      <c r="FB186" s="28"/>
      <c r="FC186" s="28"/>
      <c r="FD186" s="28"/>
      <c r="FE186" s="28"/>
      <c r="FF186" s="28"/>
      <c r="FG186" s="28"/>
      <c r="FH186" s="28"/>
      <c r="FI186" s="28"/>
      <c r="FJ186" s="28"/>
      <c r="FK186" s="28"/>
      <c r="FL186" s="28"/>
      <c r="FM186" s="28"/>
      <c r="FN186" s="28"/>
      <c r="FO186" s="28"/>
      <c r="FP186" s="28"/>
      <c r="FQ186" s="28"/>
      <c r="FR186" s="28"/>
      <c r="FS186" s="28"/>
      <c r="FT186" s="28"/>
      <c r="FU186" s="28"/>
      <c r="FV186" s="28"/>
      <c r="FW186" s="28"/>
      <c r="FX186" s="28"/>
      <c r="FY186" s="28"/>
      <c r="FZ186" s="28"/>
      <c r="GA186" s="28"/>
      <c r="GB186" s="28"/>
      <c r="GC186" s="28"/>
      <c r="GD186" s="28"/>
      <c r="GE186" s="28"/>
      <c r="GF186" s="28"/>
      <c r="GG186" s="28"/>
      <c r="GH186" s="28"/>
      <c r="GI186" s="28"/>
      <c r="GJ186" s="28"/>
      <c r="GK186" s="28"/>
      <c r="GL186" s="28"/>
      <c r="GM186" s="28"/>
      <c r="GN186" s="28"/>
      <c r="GO186" s="28"/>
      <c r="GP186" s="28"/>
      <c r="GQ186" s="28"/>
      <c r="GR186" s="28"/>
      <c r="GS186" s="28"/>
      <c r="GT186" s="28"/>
      <c r="GU186" s="28"/>
      <c r="GV186" s="28"/>
      <c r="GW186" s="28"/>
      <c r="GX186" s="28"/>
      <c r="GY186" s="28"/>
      <c r="GZ186" s="28"/>
      <c r="HA186" s="28"/>
      <c r="HB186" s="28"/>
      <c r="HC186" s="28"/>
      <c r="HD186" s="28"/>
      <c r="HE186" s="28"/>
      <c r="HF186" s="28"/>
      <c r="HG186" s="28"/>
      <c r="HH186" s="28"/>
      <c r="HI186" s="28"/>
      <c r="HJ186" s="28"/>
      <c r="HK186" s="28"/>
    </row>
    <row r="187" spans="1:219" ht="15" customHeight="1">
      <c r="A187" s="49">
        <v>1</v>
      </c>
      <c r="B187" s="132" t="str">
        <f>VLOOKUP(Ruimtestaat[[#This Row],[Code]],Locaties[[Code]:[Locatie]],2,FALSE)</f>
        <v>Mirtehuis</v>
      </c>
      <c r="C187" s="132" t="str">
        <f>VLOOKUP(Ruimtestaat[[#This Row],[Code]],Locaties[[#All],[Code]:[Adres]],4,FALSE)</f>
        <v>Weseperweg 6</v>
      </c>
      <c r="D187" s="132" t="str">
        <f>VLOOKUP(Ruimtestaat[[#This Row],[Code]],Locaties[[#All],[Code]:[Postcode]],5,FALSE)</f>
        <v>8111 PK</v>
      </c>
      <c r="E187" s="132" t="str">
        <f>VLOOKUP(Ruimtestaat[[#This Row],[Code]],Locaties[#All],6,FALSE)</f>
        <v>Heeten</v>
      </c>
      <c r="F187" s="100"/>
      <c r="G187" s="100" t="s">
        <v>1691</v>
      </c>
      <c r="H187" s="49">
        <v>24</v>
      </c>
      <c r="I187" s="140" t="s">
        <v>1656</v>
      </c>
      <c r="J187" s="49">
        <v>20</v>
      </c>
      <c r="K187" s="140" t="str">
        <f>VLOOKUP(Ruimtestaat[[#This Row],[Ruimte code]],Ruimtegroepen[[#All],[Code]:[Ruimte omschrijving]],2,FALSE)</f>
        <v>Niet in Onderhoud</v>
      </c>
      <c r="L187" s="100"/>
      <c r="M187" s="345"/>
      <c r="N187" s="133"/>
      <c r="O187" s="100"/>
      <c r="P187" s="134">
        <f>VLOOKUP(Ruimtestaat[[#This Row],[Ruimte code]],Ruimtegroepen[],4,FALSE)</f>
        <v>0</v>
      </c>
      <c r="Q187" s="100"/>
      <c r="R187" s="100"/>
      <c r="S187" s="100">
        <f>IF(Q187&gt;0,IF(RIGHT(Ruimtestaat[[#This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87" s="100">
        <f>IF(S187&gt;0,VLOOKUP($J187,Ruimtegroepen[],3,FALSE)*VLOOKUP($L187,Vloersoorten[],3,FALSE)*VLOOKUP($R187,Frequenties[],3,FALSE)*VLOOKUP($A187,Locaties[],3,FALSE),0)</f>
        <v>0</v>
      </c>
      <c r="U187" s="100">
        <f>Ruimtestaat[[#This Row],[Uitvoeringen werkdagen]]*Ruimtestaat[[#This Row],[Oppervlak (netto)]]</f>
        <v>0</v>
      </c>
      <c r="V187" s="135">
        <f>IF(T187&gt;0,Ruimtestaat[[#This Row],[Prest. (m2 /jaar) werkdagen]]/Ruimtestaat[[#This Row],[Norm (m2/uur) werkdagen]],0)</f>
        <v>0</v>
      </c>
      <c r="W187" s="136">
        <f>Ruimtestaat[[#This Row],[uren / jaar werkdagen]]*Tariefsopbouw!$E$35</f>
        <v>0</v>
      </c>
      <c r="X187" s="100"/>
      <c r="Y187" s="100">
        <f>IF(Ruimtestaat[[#This Row],[Frequentie weekend]]&gt;0,VALUE(LEFT(X187,1))*Q187,0)</f>
        <v>0</v>
      </c>
      <c r="Z187" s="99">
        <f>IF($Y187&gt;0,VLOOKUP($J187,Ruimtegroepen[],3,FALSE)*VLOOKUP($L187,Vloersoorten[],3,FALSE)*VLOOKUP($X187,Frequenties[],3,FALSE)*VLOOKUP(Ruimtestaat[[#This Row],[Code]],Locaties[],3,FALSE),0)</f>
        <v>0</v>
      </c>
      <c r="AA187" s="99">
        <f>Ruimtestaat[[#This Row],[Uitvoeringen weekend]]*Ruimtestaat[[#This Row],[Oppervlak (netto)]]</f>
        <v>0</v>
      </c>
      <c r="AB187" s="99">
        <f>IF(Z187&gt;0,Ruimtestaat[[#This Row],[Prest. (m2 /jaar) weekend]]/Ruimtestaat[[#This Row],[Norm (m2/uur) weekend]],0)</f>
        <v>0</v>
      </c>
      <c r="AC187" s="136">
        <f>Ruimtestaat[[#This Row],[uren / jaar weekend]]*Tariefsopbouw!$D$40</f>
        <v>0</v>
      </c>
      <c r="AD187" s="135">
        <f>Ruimtestaat[[#This Row],[Prest. (m2 /jaar) weekend]]+Ruimtestaat[[#This Row],[Prest. (m2 /jaar) werkdagen]]</f>
        <v>0</v>
      </c>
      <c r="AE187" s="135">
        <f>Ruimtestaat[[#This Row],[uren / jaar weekend]]+Ruimtestaat[[#This Row],[uren / jaar werkdagen]]</f>
        <v>0</v>
      </c>
      <c r="AF187" s="130">
        <f>Ruimtestaat[[#This Row],[kosten / jaar weekend]]+Ruimtestaat[[#This Row],[kosten / jaar werkdagen]]</f>
        <v>0</v>
      </c>
      <c r="AG187" s="130"/>
      <c r="AH187" s="137" t="str">
        <f>IF(Ruimtestaat[[#This Row],[Frequentie werkdagen]]="","",_xlfn.CONCAT(Ruimtestaat[[#This Row],[Ruimte code]],"-",Ruimtestaat[[#This Row],[Frequentie werkdagen]]," ",Ruimtestaat[[#This Row],[Vloer code]]))</f>
        <v/>
      </c>
      <c r="AI187" s="142" t="str">
        <f>_xlfn.IFNA(VLOOKUP($AH187,Programma!$F$3:$G$1101,2,0),"")</f>
        <v/>
      </c>
      <c r="AJ187" s="142" t="str">
        <f>_xlfn.IFNA(VLOOKUP($AH187,Programma!$F$3:$H$1101,3,0),"")</f>
        <v/>
      </c>
      <c r="AK187" s="142" t="str">
        <f>_xlfn.IFNA(VLOOKUP($AH187,Programma!$F$3:$I$1101,4,0),"")</f>
        <v/>
      </c>
      <c r="AL187" s="142" t="str">
        <f>_xlfn.IFNA(VLOOKUP($AH187,Programma!$F$3:$J$1101,5,0),"")</f>
        <v/>
      </c>
      <c r="AM187" s="142" t="str">
        <f>_xlfn.IFNA(VLOOKUP($AH187,Programma!$F$3:$K$1101,6,0),"")</f>
        <v/>
      </c>
      <c r="AN187" s="142" t="str">
        <f>_xlfn.IFNA(VLOOKUP($AH187,Programma!$F$3:$L$1101,7,0),"")</f>
        <v/>
      </c>
      <c r="AO187" s="142" t="str">
        <f>_xlfn.IFNA(VLOOKUP($AH187,Programma!$F$3:$M$1101,8,0),"")</f>
        <v/>
      </c>
      <c r="AP187" s="142" t="str">
        <f>_xlfn.IFNA(VLOOKUP($AH187,Programma!$F$3:$N$1101,9,0),"")</f>
        <v/>
      </c>
      <c r="AQ187" s="142" t="str">
        <f>_xlfn.IFNA(VLOOKUP($AH187,Programma!$F$3:$O$1101,10,0),"")</f>
        <v/>
      </c>
      <c r="AR187" s="142" t="str">
        <f>_xlfn.IFNA(VLOOKUP($AH187,Programma!$F$3:$P$1101,11,0),"")</f>
        <v/>
      </c>
      <c r="AS187" s="142" t="str">
        <f>_xlfn.IFNA(VLOOKUP($AH187,Programma!$F$3:$Q$1101,12,0),"")</f>
        <v/>
      </c>
      <c r="AT187" s="142" t="str">
        <f>_xlfn.IFNA(VLOOKUP($AH187,Programma!$F$3:$R$1101,13,0),"")</f>
        <v/>
      </c>
      <c r="AU187" s="142" t="str">
        <f>_xlfn.IFNA(VLOOKUP($AH187,Programma!$F$3:$S$1101,14,0),"")</f>
        <v/>
      </c>
      <c r="AV187" s="142" t="str">
        <f>_xlfn.IFNA(VLOOKUP($AH187,Programma!$F$3:$T$1101,15,0),"")</f>
        <v/>
      </c>
      <c r="AW187" s="142" t="str">
        <f>_xlfn.IFNA(VLOOKUP($AH187,Programma!$F$3:$U$1101,16,0),"")</f>
        <v/>
      </c>
      <c r="AX187" s="142" t="str">
        <f>_xlfn.IFNA(VLOOKUP($AH187,Programma!$F$3:$V$1101,17,0),"")</f>
        <v/>
      </c>
      <c r="AY187" s="142" t="str">
        <f>_xlfn.IFNA(VLOOKUP($AH187,Programma!$F$3:$W$1101,18,0),"")</f>
        <v/>
      </c>
      <c r="AZ187" s="142" t="str">
        <f>_xlfn.IFNA(VLOOKUP($AH187,Programma!$F$3:$X$1101,19,0),"")</f>
        <v/>
      </c>
      <c r="BA187" s="142" t="str">
        <f>_xlfn.IFNA(VLOOKUP($AH187,Programma!$F$3:$Y$1101,20,0),"")</f>
        <v/>
      </c>
      <c r="BB187" s="138"/>
      <c r="BC187" s="137" t="str">
        <f>IF(Ruimtestaat[[#This Row],[Frequentie weekend]]="","",_xlfn.CONCAT(Ruimtestaat[[#This Row],[Ruimte code]],"-",Ruimtestaat[[#This Row],[Frequentie weekend]]," ",Ruimtestaat[[#This Row],[Vloer code]]))</f>
        <v/>
      </c>
      <c r="BD187" s="142" t="str">
        <f>_xlfn.IFNA(VLOOKUP($BC187,Programma!$F$3:$G$1101,2,0),"")</f>
        <v/>
      </c>
      <c r="BE187" s="142" t="str">
        <f>_xlfn.IFNA(VLOOKUP($BC187,Programma!$F$3:$H$1101,3,0),"")</f>
        <v/>
      </c>
      <c r="BF187" s="142" t="str">
        <f>_xlfn.IFNA(VLOOKUP($BC187,Programma!$F$3:$I$1101,4,0),"")</f>
        <v/>
      </c>
      <c r="BG187" s="142" t="str">
        <f>_xlfn.IFNA(VLOOKUP($BC187,Programma!$F$3:$J$1101,5,0),"")</f>
        <v/>
      </c>
      <c r="BH187" s="142" t="str">
        <f>_xlfn.IFNA(VLOOKUP($BC187,Programma!$F$3:$K$1101,6,0),"")</f>
        <v/>
      </c>
      <c r="BI187" s="142" t="str">
        <f>_xlfn.IFNA(VLOOKUP($BC187,Programma!$F$3:$L$1101,7,0),"")</f>
        <v/>
      </c>
      <c r="BJ187" s="142" t="str">
        <f>_xlfn.IFNA(VLOOKUP($BC187,Programma!$F$3:$M$1101,8,0),"")</f>
        <v/>
      </c>
      <c r="BK187" s="142" t="str">
        <f>_xlfn.IFNA(VLOOKUP($BC187,Programma!$F$3:$N$1101,9,0),"")</f>
        <v/>
      </c>
      <c r="BL187" s="142" t="str">
        <f>_xlfn.IFNA(VLOOKUP($BC187,Programma!$F$3:$O$1101,10,0),"")</f>
        <v/>
      </c>
      <c r="BM187" s="142" t="str">
        <f>_xlfn.IFNA(VLOOKUP($BC187,Programma!$F$3:$P$1101,11,0),"")</f>
        <v/>
      </c>
      <c r="BN187" s="142" t="str">
        <f>_xlfn.IFNA(VLOOKUP($BC187,Programma!$F$3:$Q$1101,12,0),"")</f>
        <v/>
      </c>
      <c r="BO187" s="142" t="str">
        <f>_xlfn.IFNA(VLOOKUP($BC187,Programma!$F$3:$R$1101,13,0),"")</f>
        <v/>
      </c>
      <c r="BP187" s="142" t="str">
        <f>_xlfn.IFNA(VLOOKUP($BC187,Programma!$F$3:$S$1101,14,0),"")</f>
        <v/>
      </c>
      <c r="BQ187" s="142" t="str">
        <f>_xlfn.IFNA(VLOOKUP($BC187,Programma!$F$3:$T$1101,15,0),"")</f>
        <v/>
      </c>
      <c r="BR187" s="142" t="str">
        <f>_xlfn.IFNA(VLOOKUP($BC187,Programma!$F$3:$U$1101,16,0),"")</f>
        <v/>
      </c>
      <c r="BS187" s="142" t="str">
        <f>_xlfn.IFNA(VLOOKUP($BC187,Programma!$F$3:$V$1101,17,0),"")</f>
        <v/>
      </c>
      <c r="BT187" s="142" t="str">
        <f>_xlfn.IFNA(VLOOKUP($BC187,Programma!$F$3:$W$1101,18,0),"")</f>
        <v/>
      </c>
      <c r="BU187" s="142" t="str">
        <f>_xlfn.IFNA(VLOOKUP($BC187,Programma!$F$3:$X$1101,19,0),"")</f>
        <v/>
      </c>
      <c r="BV187" s="142" t="str">
        <f>_xlfn.IFNA(VLOOKUP($BC187,Programma!$F$3:$Y$1101,20,0),"")</f>
        <v/>
      </c>
      <c r="BW187" s="28"/>
      <c r="BX187" s="28"/>
      <c r="BY187" s="28"/>
      <c r="BZ187" s="28"/>
      <c r="CA187" s="28"/>
      <c r="CB187" s="28"/>
      <c r="CC187" s="28"/>
      <c r="CD187" s="28"/>
      <c r="CE187" s="28"/>
      <c r="CF187" s="28"/>
      <c r="CG187" s="28"/>
      <c r="CH187" s="28"/>
      <c r="CI187" s="28"/>
      <c r="CJ187" s="28"/>
      <c r="CK187" s="28"/>
      <c r="CL187" s="28"/>
      <c r="CM187" s="28"/>
      <c r="CN187" s="28"/>
      <c r="CO187" s="28"/>
      <c r="CP187" s="28"/>
      <c r="CQ187" s="28"/>
      <c r="CR187" s="28"/>
      <c r="CS187" s="28"/>
      <c r="CT187" s="28"/>
      <c r="CU187" s="28"/>
      <c r="CV187" s="28"/>
      <c r="CW187" s="28"/>
      <c r="CX187" s="28"/>
      <c r="CY187" s="28"/>
      <c r="CZ187" s="28"/>
      <c r="DA187" s="28"/>
      <c r="DB187" s="28"/>
      <c r="DC187" s="28"/>
      <c r="DD187" s="28"/>
      <c r="DE187" s="28"/>
      <c r="DF187" s="28"/>
      <c r="DG187" s="28"/>
      <c r="DH187" s="28"/>
      <c r="DI187" s="28"/>
      <c r="DJ187" s="28"/>
      <c r="DK187" s="28"/>
      <c r="DL187" s="28"/>
      <c r="DM187" s="28"/>
      <c r="DN187" s="28"/>
      <c r="DO187" s="28"/>
      <c r="DP187" s="28"/>
      <c r="DQ187" s="28"/>
      <c r="DR187" s="28"/>
      <c r="DS187" s="28"/>
      <c r="DT187" s="28"/>
      <c r="DU187" s="28"/>
      <c r="DV187" s="28"/>
      <c r="DW187" s="28"/>
      <c r="DX187" s="28"/>
      <c r="DY187" s="28"/>
      <c r="DZ187" s="28"/>
      <c r="EA187" s="28"/>
      <c r="EB187" s="28"/>
      <c r="EC187" s="28"/>
      <c r="ED187" s="28"/>
      <c r="EE187" s="28"/>
      <c r="EF187" s="28"/>
      <c r="EG187" s="28"/>
      <c r="EH187" s="28"/>
      <c r="EI187" s="28"/>
      <c r="EJ187" s="28"/>
      <c r="EK187" s="28"/>
      <c r="EL187" s="28"/>
      <c r="EM187" s="28"/>
      <c r="EN187" s="28"/>
      <c r="EO187" s="28"/>
      <c r="EP187" s="28"/>
      <c r="EQ187" s="28"/>
      <c r="ER187" s="28"/>
      <c r="ES187" s="28"/>
      <c r="ET187" s="28"/>
      <c r="EU187" s="28"/>
      <c r="EV187" s="28"/>
      <c r="EW187" s="28"/>
      <c r="EX187" s="28"/>
      <c r="EY187" s="28"/>
      <c r="EZ187" s="28"/>
      <c r="FA187" s="28"/>
      <c r="FB187" s="28"/>
      <c r="FC187" s="28"/>
      <c r="FD187" s="28"/>
      <c r="FE187" s="28"/>
      <c r="FF187" s="28"/>
      <c r="FG187" s="28"/>
      <c r="FH187" s="28"/>
      <c r="FI187" s="28"/>
      <c r="FJ187" s="28"/>
      <c r="FK187" s="28"/>
      <c r="FL187" s="28"/>
      <c r="FM187" s="28"/>
      <c r="FN187" s="28"/>
      <c r="FO187" s="28"/>
      <c r="FP187" s="28"/>
      <c r="FQ187" s="28"/>
      <c r="FR187" s="28"/>
      <c r="FS187" s="28"/>
      <c r="FT187" s="28"/>
      <c r="FU187" s="28"/>
      <c r="FV187" s="28"/>
      <c r="FW187" s="28"/>
      <c r="FX187" s="28"/>
      <c r="FY187" s="28"/>
      <c r="FZ187" s="28"/>
      <c r="GA187" s="28"/>
      <c r="GB187" s="28"/>
      <c r="GC187" s="28"/>
      <c r="GD187" s="28"/>
      <c r="GE187" s="28"/>
      <c r="GF187" s="28"/>
      <c r="GG187" s="28"/>
      <c r="GH187" s="28"/>
      <c r="GI187" s="28"/>
      <c r="GJ187" s="28"/>
      <c r="GK187" s="28"/>
      <c r="GL187" s="28"/>
      <c r="GM187" s="28"/>
      <c r="GN187" s="28"/>
      <c r="GO187" s="28"/>
      <c r="GP187" s="28"/>
      <c r="GQ187" s="28"/>
      <c r="GR187" s="28"/>
      <c r="GS187" s="28"/>
      <c r="GT187" s="28"/>
      <c r="GU187" s="28"/>
      <c r="GV187" s="28"/>
      <c r="GW187" s="28"/>
      <c r="GX187" s="28"/>
      <c r="GY187" s="28"/>
      <c r="GZ187" s="28"/>
      <c r="HA187" s="28"/>
      <c r="HB187" s="28"/>
      <c r="HC187" s="28"/>
      <c r="HD187" s="28"/>
      <c r="HE187" s="28"/>
      <c r="HF187" s="28"/>
      <c r="HG187" s="28"/>
      <c r="HH187" s="28"/>
      <c r="HI187" s="28"/>
      <c r="HJ187" s="28"/>
      <c r="HK187" s="28"/>
    </row>
    <row r="188" spans="1:219" ht="15" customHeight="1">
      <c r="A188" s="49">
        <v>1</v>
      </c>
      <c r="B188" s="132" t="str">
        <f>VLOOKUP(Ruimtestaat[[#This Row],[Code]],Locaties[[Code]:[Locatie]],2,FALSE)</f>
        <v>Mirtehuis</v>
      </c>
      <c r="C188" s="132" t="str">
        <f>VLOOKUP(Ruimtestaat[[#This Row],[Code]],Locaties[[#All],[Code]:[Adres]],4,FALSE)</f>
        <v>Weseperweg 6</v>
      </c>
      <c r="D188" s="132" t="str">
        <f>VLOOKUP(Ruimtestaat[[#This Row],[Code]],Locaties[[#All],[Code]:[Postcode]],5,FALSE)</f>
        <v>8111 PK</v>
      </c>
      <c r="E188" s="132" t="str">
        <f>VLOOKUP(Ruimtestaat[[#This Row],[Code]],Locaties[#All],6,FALSE)</f>
        <v>Heeten</v>
      </c>
      <c r="F188" s="100"/>
      <c r="G188" s="100" t="s">
        <v>1691</v>
      </c>
      <c r="H188" s="49">
        <v>23</v>
      </c>
      <c r="I188" s="140" t="s">
        <v>1656</v>
      </c>
      <c r="J188" s="49">
        <v>20</v>
      </c>
      <c r="K188" s="140" t="str">
        <f>VLOOKUP(Ruimtestaat[[#This Row],[Ruimte code]],Ruimtegroepen[[#All],[Code]:[Ruimte omschrijving]],2,FALSE)</f>
        <v>Niet in Onderhoud</v>
      </c>
      <c r="L188" s="100"/>
      <c r="M188" s="345"/>
      <c r="N188" s="133"/>
      <c r="O188" s="139"/>
      <c r="P188" s="134">
        <f>VLOOKUP(Ruimtestaat[[#This Row],[Ruimte code]],Ruimtegroepen[],4,FALSE)</f>
        <v>0</v>
      </c>
      <c r="Q188" s="100"/>
      <c r="R188" s="100"/>
      <c r="S188" s="100">
        <f>IF(Q188&gt;0,IF(RIGHT(Ruimtestaat[[#This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88" s="100">
        <f>IF(S188&gt;0,VLOOKUP($J188,Ruimtegroepen[],3,FALSE)*VLOOKUP($L188,Vloersoorten[],3,FALSE)*VLOOKUP($R188,Frequenties[],3,FALSE)*VLOOKUP($A188,Locaties[],3,FALSE),0)</f>
        <v>0</v>
      </c>
      <c r="U188" s="100">
        <f>Ruimtestaat[[#This Row],[Uitvoeringen werkdagen]]*Ruimtestaat[[#This Row],[Oppervlak (netto)]]</f>
        <v>0</v>
      </c>
      <c r="V188" s="135">
        <f>IF(T188&gt;0,Ruimtestaat[[#This Row],[Prest. (m2 /jaar) werkdagen]]/Ruimtestaat[[#This Row],[Norm (m2/uur) werkdagen]],0)</f>
        <v>0</v>
      </c>
      <c r="W188" s="136">
        <f>Ruimtestaat[[#This Row],[uren / jaar werkdagen]]*Tariefsopbouw!$E$35</f>
        <v>0</v>
      </c>
      <c r="X188" s="100"/>
      <c r="Y188" s="100">
        <f>IF(Ruimtestaat[[#This Row],[Frequentie weekend]]&gt;0,VALUE(LEFT(X188,1))*Q188,0)</f>
        <v>0</v>
      </c>
      <c r="Z188" s="99">
        <f>IF($Y188&gt;0,VLOOKUP($J188,Ruimtegroepen[],3,FALSE)*VLOOKUP($L188,Vloersoorten[],3,FALSE)*VLOOKUP($X188,Frequenties[],3,FALSE)*VLOOKUP(Ruimtestaat[[#This Row],[Code]],Locaties[],3,FALSE),0)</f>
        <v>0</v>
      </c>
      <c r="AA188" s="99">
        <f>Ruimtestaat[[#This Row],[Uitvoeringen weekend]]*Ruimtestaat[[#This Row],[Oppervlak (netto)]]</f>
        <v>0</v>
      </c>
      <c r="AB188" s="99">
        <f>IF(Z188&gt;0,Ruimtestaat[[#This Row],[Prest. (m2 /jaar) weekend]]/Ruimtestaat[[#This Row],[Norm (m2/uur) weekend]],0)</f>
        <v>0</v>
      </c>
      <c r="AC188" s="136">
        <f>Ruimtestaat[[#This Row],[uren / jaar weekend]]*Tariefsopbouw!$D$40</f>
        <v>0</v>
      </c>
      <c r="AD188" s="135">
        <f>Ruimtestaat[[#This Row],[Prest. (m2 /jaar) weekend]]+Ruimtestaat[[#This Row],[Prest. (m2 /jaar) werkdagen]]</f>
        <v>0</v>
      </c>
      <c r="AE188" s="135">
        <f>Ruimtestaat[[#This Row],[uren / jaar weekend]]+Ruimtestaat[[#This Row],[uren / jaar werkdagen]]</f>
        <v>0</v>
      </c>
      <c r="AF188" s="130">
        <f>Ruimtestaat[[#This Row],[kosten / jaar weekend]]+Ruimtestaat[[#This Row],[kosten / jaar werkdagen]]</f>
        <v>0</v>
      </c>
      <c r="AG188" s="130"/>
      <c r="AH188" s="137" t="str">
        <f>IF(Ruimtestaat[[#This Row],[Frequentie werkdagen]]="","",_xlfn.CONCAT(Ruimtestaat[[#This Row],[Ruimte code]],"-",Ruimtestaat[[#This Row],[Frequentie werkdagen]]," ",Ruimtestaat[[#This Row],[Vloer code]]))</f>
        <v/>
      </c>
      <c r="AI188" s="142" t="str">
        <f>_xlfn.IFNA(VLOOKUP($AH188,Programma!$F$3:$G$1101,2,0),"")</f>
        <v/>
      </c>
      <c r="AJ188" s="142" t="str">
        <f>_xlfn.IFNA(VLOOKUP($AH188,Programma!$F$3:$H$1101,3,0),"")</f>
        <v/>
      </c>
      <c r="AK188" s="142" t="str">
        <f>_xlfn.IFNA(VLOOKUP($AH188,Programma!$F$3:$I$1101,4,0),"")</f>
        <v/>
      </c>
      <c r="AL188" s="142" t="str">
        <f>_xlfn.IFNA(VLOOKUP($AH188,Programma!$F$3:$J$1101,5,0),"")</f>
        <v/>
      </c>
      <c r="AM188" s="142" t="str">
        <f>_xlfn.IFNA(VLOOKUP($AH188,Programma!$F$3:$K$1101,6,0),"")</f>
        <v/>
      </c>
      <c r="AN188" s="142" t="str">
        <f>_xlfn.IFNA(VLOOKUP($AH188,Programma!$F$3:$L$1101,7,0),"")</f>
        <v/>
      </c>
      <c r="AO188" s="142" t="str">
        <f>_xlfn.IFNA(VLOOKUP($AH188,Programma!$F$3:$M$1101,8,0),"")</f>
        <v/>
      </c>
      <c r="AP188" s="142" t="str">
        <f>_xlfn.IFNA(VLOOKUP($AH188,Programma!$F$3:$N$1101,9,0),"")</f>
        <v/>
      </c>
      <c r="AQ188" s="142" t="str">
        <f>_xlfn.IFNA(VLOOKUP($AH188,Programma!$F$3:$O$1101,10,0),"")</f>
        <v/>
      </c>
      <c r="AR188" s="142" t="str">
        <f>_xlfn.IFNA(VLOOKUP($AH188,Programma!$F$3:$P$1101,11,0),"")</f>
        <v/>
      </c>
      <c r="AS188" s="142" t="str">
        <f>_xlfn.IFNA(VLOOKUP($AH188,Programma!$F$3:$Q$1101,12,0),"")</f>
        <v/>
      </c>
      <c r="AT188" s="142" t="str">
        <f>_xlfn.IFNA(VLOOKUP($AH188,Programma!$F$3:$R$1101,13,0),"")</f>
        <v/>
      </c>
      <c r="AU188" s="142" t="str">
        <f>_xlfn.IFNA(VLOOKUP($AH188,Programma!$F$3:$S$1101,14,0),"")</f>
        <v/>
      </c>
      <c r="AV188" s="142" t="str">
        <f>_xlfn.IFNA(VLOOKUP($AH188,Programma!$F$3:$T$1101,15,0),"")</f>
        <v/>
      </c>
      <c r="AW188" s="142" t="str">
        <f>_xlfn.IFNA(VLOOKUP($AH188,Programma!$F$3:$U$1101,16,0),"")</f>
        <v/>
      </c>
      <c r="AX188" s="142" t="str">
        <f>_xlfn.IFNA(VLOOKUP($AH188,Programma!$F$3:$V$1101,17,0),"")</f>
        <v/>
      </c>
      <c r="AY188" s="142" t="str">
        <f>_xlfn.IFNA(VLOOKUP($AH188,Programma!$F$3:$W$1101,18,0),"")</f>
        <v/>
      </c>
      <c r="AZ188" s="142" t="str">
        <f>_xlfn.IFNA(VLOOKUP($AH188,Programma!$F$3:$X$1101,19,0),"")</f>
        <v/>
      </c>
      <c r="BA188" s="142" t="str">
        <f>_xlfn.IFNA(VLOOKUP($AH188,Programma!$F$3:$Y$1101,20,0),"")</f>
        <v/>
      </c>
      <c r="BB188" s="138"/>
      <c r="BC188" s="137" t="str">
        <f>IF(Ruimtestaat[[#This Row],[Frequentie weekend]]="","",_xlfn.CONCAT(Ruimtestaat[[#This Row],[Ruimte code]],"-",Ruimtestaat[[#This Row],[Frequentie weekend]]," ",Ruimtestaat[[#This Row],[Vloer code]]))</f>
        <v/>
      </c>
      <c r="BD188" s="142" t="str">
        <f>_xlfn.IFNA(VLOOKUP($BC188,Programma!$F$3:$G$1101,2,0),"")</f>
        <v/>
      </c>
      <c r="BE188" s="142" t="str">
        <f>_xlfn.IFNA(VLOOKUP($BC188,Programma!$F$3:$H$1101,3,0),"")</f>
        <v/>
      </c>
      <c r="BF188" s="142" t="str">
        <f>_xlfn.IFNA(VLOOKUP($BC188,Programma!$F$3:$I$1101,4,0),"")</f>
        <v/>
      </c>
      <c r="BG188" s="142" t="str">
        <f>_xlfn.IFNA(VLOOKUP($BC188,Programma!$F$3:$J$1101,5,0),"")</f>
        <v/>
      </c>
      <c r="BH188" s="142" t="str">
        <f>_xlfn.IFNA(VLOOKUP($BC188,Programma!$F$3:$K$1101,6,0),"")</f>
        <v/>
      </c>
      <c r="BI188" s="142" t="str">
        <f>_xlfn.IFNA(VLOOKUP($BC188,Programma!$F$3:$L$1101,7,0),"")</f>
        <v/>
      </c>
      <c r="BJ188" s="142" t="str">
        <f>_xlfn.IFNA(VLOOKUP($BC188,Programma!$F$3:$M$1101,8,0),"")</f>
        <v/>
      </c>
      <c r="BK188" s="142" t="str">
        <f>_xlfn.IFNA(VLOOKUP($BC188,Programma!$F$3:$N$1101,9,0),"")</f>
        <v/>
      </c>
      <c r="BL188" s="142" t="str">
        <f>_xlfn.IFNA(VLOOKUP($BC188,Programma!$F$3:$O$1101,10,0),"")</f>
        <v/>
      </c>
      <c r="BM188" s="142" t="str">
        <f>_xlfn.IFNA(VLOOKUP($BC188,Programma!$F$3:$P$1101,11,0),"")</f>
        <v/>
      </c>
      <c r="BN188" s="142" t="str">
        <f>_xlfn.IFNA(VLOOKUP($BC188,Programma!$F$3:$Q$1101,12,0),"")</f>
        <v/>
      </c>
      <c r="BO188" s="142" t="str">
        <f>_xlfn.IFNA(VLOOKUP($BC188,Programma!$F$3:$R$1101,13,0),"")</f>
        <v/>
      </c>
      <c r="BP188" s="142" t="str">
        <f>_xlfn.IFNA(VLOOKUP($BC188,Programma!$F$3:$S$1101,14,0),"")</f>
        <v/>
      </c>
      <c r="BQ188" s="142" t="str">
        <f>_xlfn.IFNA(VLOOKUP($BC188,Programma!$F$3:$T$1101,15,0),"")</f>
        <v/>
      </c>
      <c r="BR188" s="142" t="str">
        <f>_xlfn.IFNA(VLOOKUP($BC188,Programma!$F$3:$U$1101,16,0),"")</f>
        <v/>
      </c>
      <c r="BS188" s="142" t="str">
        <f>_xlfn.IFNA(VLOOKUP($BC188,Programma!$F$3:$V$1101,17,0),"")</f>
        <v/>
      </c>
      <c r="BT188" s="142" t="str">
        <f>_xlfn.IFNA(VLOOKUP($BC188,Programma!$F$3:$W$1101,18,0),"")</f>
        <v/>
      </c>
      <c r="BU188" s="142" t="str">
        <f>_xlfn.IFNA(VLOOKUP($BC188,Programma!$F$3:$X$1101,19,0),"")</f>
        <v/>
      </c>
      <c r="BV188" s="142" t="str">
        <f>_xlfn.IFNA(VLOOKUP($BC188,Programma!$F$3:$Y$1101,20,0),"")</f>
        <v/>
      </c>
      <c r="BW188" s="28"/>
      <c r="BX188" s="28"/>
      <c r="BY188" s="28"/>
      <c r="BZ188" s="28"/>
      <c r="CA188" s="28"/>
      <c r="CB188" s="28"/>
      <c r="CC188" s="28"/>
      <c r="CD188" s="28"/>
      <c r="CE188" s="28"/>
      <c r="CF188" s="28"/>
      <c r="CG188" s="28"/>
      <c r="CH188" s="28"/>
      <c r="CI188" s="28"/>
      <c r="CJ188" s="28"/>
      <c r="CK188" s="28"/>
      <c r="CL188" s="28"/>
      <c r="CM188" s="28"/>
      <c r="CN188" s="28"/>
      <c r="CO188" s="28"/>
      <c r="CP188" s="28"/>
      <c r="CQ188" s="28"/>
      <c r="CR188" s="28"/>
      <c r="CS188" s="28"/>
      <c r="CT188" s="28"/>
      <c r="CU188" s="28"/>
      <c r="CV188" s="28"/>
      <c r="CW188" s="28"/>
      <c r="CX188" s="28"/>
      <c r="CY188" s="28"/>
      <c r="CZ188" s="28"/>
      <c r="DA188" s="28"/>
      <c r="DB188" s="28"/>
      <c r="DC188" s="28"/>
      <c r="DD188" s="28"/>
      <c r="DE188" s="28"/>
      <c r="DF188" s="28"/>
      <c r="DG188" s="28"/>
      <c r="DH188" s="28"/>
      <c r="DI188" s="28"/>
      <c r="DJ188" s="28"/>
      <c r="DK188" s="28"/>
      <c r="DL188" s="28"/>
      <c r="DM188" s="28"/>
      <c r="DN188" s="28"/>
      <c r="DO188" s="28"/>
      <c r="DP188" s="28"/>
      <c r="DQ188" s="28"/>
      <c r="DR188" s="28"/>
      <c r="DS188" s="28"/>
      <c r="DT188" s="28"/>
      <c r="DU188" s="28"/>
      <c r="DV188" s="28"/>
      <c r="DW188" s="28"/>
      <c r="DX188" s="28"/>
      <c r="DY188" s="28"/>
      <c r="DZ188" s="28"/>
      <c r="EA188" s="28"/>
      <c r="EB188" s="28"/>
      <c r="EC188" s="28"/>
      <c r="ED188" s="28"/>
      <c r="EE188" s="28"/>
      <c r="EF188" s="28"/>
      <c r="EG188" s="28"/>
      <c r="EH188" s="28"/>
      <c r="EI188" s="28"/>
      <c r="EJ188" s="28"/>
      <c r="EK188" s="28"/>
      <c r="EL188" s="28"/>
      <c r="EM188" s="28"/>
      <c r="EN188" s="28"/>
      <c r="EO188" s="28"/>
      <c r="EP188" s="28"/>
      <c r="EQ188" s="28"/>
      <c r="ER188" s="28"/>
      <c r="ES188" s="28"/>
      <c r="ET188" s="28"/>
      <c r="EU188" s="28"/>
      <c r="EV188" s="28"/>
      <c r="EW188" s="28"/>
      <c r="EX188" s="28"/>
      <c r="EY188" s="28"/>
      <c r="EZ188" s="28"/>
      <c r="FA188" s="28"/>
      <c r="FB188" s="28"/>
      <c r="FC188" s="28"/>
      <c r="FD188" s="28"/>
      <c r="FE188" s="28"/>
      <c r="FF188" s="28"/>
      <c r="FG188" s="28"/>
      <c r="FH188" s="28"/>
      <c r="FI188" s="28"/>
      <c r="FJ188" s="28"/>
      <c r="FK188" s="28"/>
      <c r="FL188" s="28"/>
      <c r="FM188" s="28"/>
      <c r="FN188" s="28"/>
      <c r="FO188" s="28"/>
      <c r="FP188" s="28"/>
      <c r="FQ188" s="28"/>
      <c r="FR188" s="28"/>
      <c r="FS188" s="28"/>
      <c r="FT188" s="28"/>
      <c r="FU188" s="28"/>
      <c r="FV188" s="28"/>
      <c r="FW188" s="28"/>
      <c r="FX188" s="28"/>
      <c r="FY188" s="28"/>
      <c r="FZ188" s="28"/>
      <c r="GA188" s="28"/>
      <c r="GB188" s="28"/>
      <c r="GC188" s="28"/>
      <c r="GD188" s="28"/>
      <c r="GE188" s="28"/>
      <c r="GF188" s="28"/>
      <c r="GG188" s="28"/>
      <c r="GH188" s="28"/>
      <c r="GI188" s="28"/>
      <c r="GJ188" s="28"/>
      <c r="GK188" s="28"/>
      <c r="GL188" s="28"/>
      <c r="GM188" s="28"/>
      <c r="GN188" s="28"/>
      <c r="GO188" s="28"/>
      <c r="GP188" s="28"/>
      <c r="GQ188" s="28"/>
      <c r="GR188" s="28"/>
      <c r="GS188" s="28"/>
      <c r="GT188" s="28"/>
      <c r="GU188" s="28"/>
      <c r="GV188" s="28"/>
      <c r="GW188" s="28"/>
      <c r="GX188" s="28"/>
      <c r="GY188" s="28"/>
      <c r="GZ188" s="28"/>
      <c r="HA188" s="28"/>
      <c r="HB188" s="28"/>
      <c r="HC188" s="28"/>
      <c r="HD188" s="28"/>
      <c r="HE188" s="28"/>
      <c r="HF188" s="28"/>
      <c r="HG188" s="28"/>
      <c r="HH188" s="28"/>
      <c r="HI188" s="28"/>
      <c r="HJ188" s="28"/>
      <c r="HK188" s="28"/>
    </row>
    <row r="189" spans="1:219" ht="15" customHeight="1">
      <c r="A189" s="49">
        <v>1</v>
      </c>
      <c r="B189" s="132" t="str">
        <f>VLOOKUP(Ruimtestaat[[#This Row],[Code]],Locaties[[Code]:[Locatie]],2,FALSE)</f>
        <v>Mirtehuis</v>
      </c>
      <c r="C189" s="132" t="str">
        <f>VLOOKUP(Ruimtestaat[[#This Row],[Code]],Locaties[[#All],[Code]:[Adres]],4,FALSE)</f>
        <v>Weseperweg 6</v>
      </c>
      <c r="D189" s="132" t="str">
        <f>VLOOKUP(Ruimtestaat[[#This Row],[Code]],Locaties[[#All],[Code]:[Postcode]],5,FALSE)</f>
        <v>8111 PK</v>
      </c>
      <c r="E189" s="132" t="str">
        <f>VLOOKUP(Ruimtestaat[[#This Row],[Code]],Locaties[#All],6,FALSE)</f>
        <v>Heeten</v>
      </c>
      <c r="F189" s="100"/>
      <c r="G189" s="100" t="s">
        <v>1691</v>
      </c>
      <c r="I189" s="140" t="s">
        <v>1632</v>
      </c>
      <c r="J189" s="49">
        <v>6</v>
      </c>
      <c r="K189" s="140" t="str">
        <f>VLOOKUP(Ruimtestaat[[#This Row],[Ruimte code]],Ruimtegroepen[[#All],[Code]:[Ruimte omschrijving]],2,FALSE)</f>
        <v>Gangen/hallen</v>
      </c>
      <c r="L189" s="100" t="s">
        <v>100</v>
      </c>
      <c r="M189" s="345" t="s">
        <v>1636</v>
      </c>
      <c r="N189" s="133">
        <v>6</v>
      </c>
      <c r="O189" s="139"/>
      <c r="P189" s="134" t="str">
        <f>VLOOKUP(Ruimtestaat[[#This Row],[Ruimte code]],Ruimtegroepen[],4,FALSE)</f>
        <v>Ve</v>
      </c>
      <c r="Q189" s="100">
        <v>51</v>
      </c>
      <c r="R189" s="100" t="s">
        <v>2</v>
      </c>
      <c r="S189" s="100">
        <f>IF(Q189&gt;0,IF(RIGHT(Ruimtestaat[[#This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89" s="100">
        <f>IF(S189&gt;0,VLOOKUP($J189,Ruimtegroepen[],3,FALSE)*VLOOKUP($L189,Vloersoorten[],3,FALSE)*VLOOKUP($R189,Frequenties[],3,FALSE)*VLOOKUP($A189,Locaties[],3,FALSE),0)</f>
        <v>0</v>
      </c>
      <c r="U189" s="100">
        <f>Ruimtestaat[[#This Row],[Uitvoeringen werkdagen]]*Ruimtestaat[[#This Row],[Oppervlak (netto)]]</f>
        <v>1530</v>
      </c>
      <c r="V189" s="135">
        <f>IF(T189&gt;0,Ruimtestaat[[#This Row],[Prest. (m2 /jaar) werkdagen]]/Ruimtestaat[[#This Row],[Norm (m2/uur) werkdagen]],0)</f>
        <v>0</v>
      </c>
      <c r="W189" s="136">
        <f>Ruimtestaat[[#This Row],[uren / jaar werkdagen]]*Tariefsopbouw!$E$35</f>
        <v>0</v>
      </c>
      <c r="X189" s="100"/>
      <c r="Y189" s="100">
        <f>IF(Ruimtestaat[[#This Row],[Frequentie weekend]]&gt;0,VALUE(LEFT(X189,1))*Q189,0)</f>
        <v>0</v>
      </c>
      <c r="Z189" s="99">
        <f>IF($Y189&gt;0,VLOOKUP($J189,Ruimtegroepen[],3,FALSE)*VLOOKUP($L189,Vloersoorten[],3,FALSE)*VLOOKUP($X189,Frequenties[],3,FALSE)*VLOOKUP(Ruimtestaat[[#This Row],[Code]],Locaties[],3,FALSE),0)</f>
        <v>0</v>
      </c>
      <c r="AA189" s="99">
        <f>Ruimtestaat[[#This Row],[Uitvoeringen weekend]]*Ruimtestaat[[#This Row],[Oppervlak (netto)]]</f>
        <v>0</v>
      </c>
      <c r="AB189" s="99">
        <f>IF(Z189&gt;0,Ruimtestaat[[#This Row],[Prest. (m2 /jaar) weekend]]/Ruimtestaat[[#This Row],[Norm (m2/uur) weekend]],0)</f>
        <v>0</v>
      </c>
      <c r="AC189" s="136">
        <f>Ruimtestaat[[#This Row],[uren / jaar weekend]]*Tariefsopbouw!$D$40</f>
        <v>0</v>
      </c>
      <c r="AD189" s="135">
        <f>Ruimtestaat[[#This Row],[Prest. (m2 /jaar) weekend]]+Ruimtestaat[[#This Row],[Prest. (m2 /jaar) werkdagen]]</f>
        <v>1530</v>
      </c>
      <c r="AE189" s="135">
        <f>Ruimtestaat[[#This Row],[uren / jaar weekend]]+Ruimtestaat[[#This Row],[uren / jaar werkdagen]]</f>
        <v>0</v>
      </c>
      <c r="AF189" s="130">
        <f>Ruimtestaat[[#This Row],[kosten / jaar weekend]]+Ruimtestaat[[#This Row],[kosten / jaar werkdagen]]</f>
        <v>0</v>
      </c>
      <c r="AG189" s="130"/>
      <c r="AH189" s="137" t="str">
        <f>IF(Ruimtestaat[[#This Row],[Frequentie werkdagen]]="","",_xlfn.CONCAT(Ruimtestaat[[#This Row],[Ruimte code]],"-",Ruimtestaat[[#This Row],[Frequentie werkdagen]]," ",Ruimtestaat[[#This Row],[Vloer code]]))</f>
        <v>6-5w L</v>
      </c>
      <c r="AI189" s="142" t="str">
        <f>_xlfn.IFNA(VLOOKUP($AH189,Programma!$F$3:$G$1101,2,0),"")</f>
        <v>_</v>
      </c>
      <c r="AJ189" s="142" t="str">
        <f>_xlfn.IFNA(VLOOKUP($AH189,Programma!$F$3:$H$1101,3,0),"")</f>
        <v>_</v>
      </c>
      <c r="AK189" s="142" t="str">
        <f>_xlfn.IFNA(VLOOKUP($AH189,Programma!$F$3:$I$1101,4,0),"")</f>
        <v>_</v>
      </c>
      <c r="AL189" s="142" t="str">
        <f>_xlfn.IFNA(VLOOKUP($AH189,Programma!$F$3:$J$1101,5,0),"")</f>
        <v>5w</v>
      </c>
      <c r="AM189" s="142" t="str">
        <f>_xlfn.IFNA(VLOOKUP($AH189,Programma!$F$3:$K$1101,6,0),"")</f>
        <v>_</v>
      </c>
      <c r="AN189" s="142" t="str">
        <f>_xlfn.IFNA(VLOOKUP($AH189,Programma!$F$3:$L$1101,7,0),"")</f>
        <v>_</v>
      </c>
      <c r="AO189" s="142" t="str">
        <f>_xlfn.IFNA(VLOOKUP($AH189,Programma!$F$3:$M$1101,8,0),"")</f>
        <v>_</v>
      </c>
      <c r="AP189" s="142" t="str">
        <f>_xlfn.IFNA(VLOOKUP($AH189,Programma!$F$3:$N$1101,9,0),"")</f>
        <v>_</v>
      </c>
      <c r="AQ189" s="142" t="str">
        <f>_xlfn.IFNA(VLOOKUP($AH189,Programma!$F$3:$O$1101,10,0),"")</f>
        <v>5w</v>
      </c>
      <c r="AR189" s="142" t="str">
        <f>_xlfn.IFNA(VLOOKUP($AH189,Programma!$F$3:$P$1101,11,0),"")</f>
        <v>5w</v>
      </c>
      <c r="AS189" s="142" t="str">
        <f>_xlfn.IFNA(VLOOKUP($AH189,Programma!$F$3:$Q$1101,12,0),"")</f>
        <v>1w</v>
      </c>
      <c r="AT189" s="142" t="str">
        <f>_xlfn.IFNA(VLOOKUP($AH189,Programma!$F$3:$R$1101,13,0),"")</f>
        <v>1w</v>
      </c>
      <c r="AU189" s="142" t="str">
        <f>_xlfn.IFNA(VLOOKUP($AH189,Programma!$F$3:$S$1101,14,0),"")</f>
        <v>1m</v>
      </c>
      <c r="AV189" s="142" t="str">
        <f>_xlfn.IFNA(VLOOKUP($AH189,Programma!$F$3:$T$1101,15,0),"")</f>
        <v>2j</v>
      </c>
      <c r="AW189" s="142" t="str">
        <f>_xlfn.IFNA(VLOOKUP($AH189,Programma!$F$3:$U$1101,16,0),"")</f>
        <v>1j</v>
      </c>
      <c r="AX189" s="142" t="str">
        <f>_xlfn.IFNA(VLOOKUP($AH189,Programma!$F$3:$V$1101,17,0),"")</f>
        <v>_</v>
      </c>
      <c r="AY189" s="142" t="str">
        <f>_xlfn.IFNA(VLOOKUP($AH189,Programma!$F$3:$W$1101,18,0),"")</f>
        <v>_</v>
      </c>
      <c r="AZ189" s="142" t="str">
        <f>_xlfn.IFNA(VLOOKUP($AH189,Programma!$F$3:$X$1101,19,0),"")</f>
        <v>_</v>
      </c>
      <c r="BA189" s="142" t="str">
        <f>_xlfn.IFNA(VLOOKUP($AH189,Programma!$F$3:$Y$1101,20,0),"")</f>
        <v>_</v>
      </c>
      <c r="BB189" s="138"/>
      <c r="BC189" s="137" t="str">
        <f>IF(Ruimtestaat[[#This Row],[Frequentie weekend]]="","",_xlfn.CONCAT(Ruimtestaat[[#This Row],[Ruimte code]],"-",Ruimtestaat[[#This Row],[Frequentie weekend]]," ",Ruimtestaat[[#This Row],[Vloer code]]))</f>
        <v/>
      </c>
      <c r="BD189" s="142" t="str">
        <f>_xlfn.IFNA(VLOOKUP($BC189,Programma!$F$3:$G$1101,2,0),"")</f>
        <v/>
      </c>
      <c r="BE189" s="142" t="str">
        <f>_xlfn.IFNA(VLOOKUP($BC189,Programma!$F$3:$H$1101,3,0),"")</f>
        <v/>
      </c>
      <c r="BF189" s="142" t="str">
        <f>_xlfn.IFNA(VLOOKUP($BC189,Programma!$F$3:$I$1101,4,0),"")</f>
        <v/>
      </c>
      <c r="BG189" s="142" t="str">
        <f>_xlfn.IFNA(VLOOKUP($BC189,Programma!$F$3:$J$1101,5,0),"")</f>
        <v/>
      </c>
      <c r="BH189" s="142" t="str">
        <f>_xlfn.IFNA(VLOOKUP($BC189,Programma!$F$3:$K$1101,6,0),"")</f>
        <v/>
      </c>
      <c r="BI189" s="142" t="str">
        <f>_xlfn.IFNA(VLOOKUP($BC189,Programma!$F$3:$L$1101,7,0),"")</f>
        <v/>
      </c>
      <c r="BJ189" s="142" t="str">
        <f>_xlfn.IFNA(VLOOKUP($BC189,Programma!$F$3:$M$1101,8,0),"")</f>
        <v/>
      </c>
      <c r="BK189" s="142" t="str">
        <f>_xlfn.IFNA(VLOOKUP($BC189,Programma!$F$3:$N$1101,9,0),"")</f>
        <v/>
      </c>
      <c r="BL189" s="142" t="str">
        <f>_xlfn.IFNA(VLOOKUP($BC189,Programma!$F$3:$O$1101,10,0),"")</f>
        <v/>
      </c>
      <c r="BM189" s="142" t="str">
        <f>_xlfn.IFNA(VLOOKUP($BC189,Programma!$F$3:$P$1101,11,0),"")</f>
        <v/>
      </c>
      <c r="BN189" s="142" t="str">
        <f>_xlfn.IFNA(VLOOKUP($BC189,Programma!$F$3:$Q$1101,12,0),"")</f>
        <v/>
      </c>
      <c r="BO189" s="142" t="str">
        <f>_xlfn.IFNA(VLOOKUP($BC189,Programma!$F$3:$R$1101,13,0),"")</f>
        <v/>
      </c>
      <c r="BP189" s="142" t="str">
        <f>_xlfn.IFNA(VLOOKUP($BC189,Programma!$F$3:$S$1101,14,0),"")</f>
        <v/>
      </c>
      <c r="BQ189" s="142" t="str">
        <f>_xlfn.IFNA(VLOOKUP($BC189,Programma!$F$3:$T$1101,15,0),"")</f>
        <v/>
      </c>
      <c r="BR189" s="142" t="str">
        <f>_xlfn.IFNA(VLOOKUP($BC189,Programma!$F$3:$U$1101,16,0),"")</f>
        <v/>
      </c>
      <c r="BS189" s="142" t="str">
        <f>_xlfn.IFNA(VLOOKUP($BC189,Programma!$F$3:$V$1101,17,0),"")</f>
        <v/>
      </c>
      <c r="BT189" s="142" t="str">
        <f>_xlfn.IFNA(VLOOKUP($BC189,Programma!$F$3:$W$1101,18,0),"")</f>
        <v/>
      </c>
      <c r="BU189" s="142" t="str">
        <f>_xlfn.IFNA(VLOOKUP($BC189,Programma!$F$3:$X$1101,19,0),"")</f>
        <v/>
      </c>
      <c r="BV189" s="142" t="str">
        <f>_xlfn.IFNA(VLOOKUP($BC189,Programma!$F$3:$Y$1101,20,0),"")</f>
        <v/>
      </c>
      <c r="BW189" s="28"/>
      <c r="BX189" s="28"/>
      <c r="BY189" s="28"/>
      <c r="BZ189" s="28"/>
      <c r="CA189" s="28"/>
      <c r="CB189" s="28"/>
      <c r="CC189" s="28"/>
      <c r="CD189" s="28"/>
      <c r="CE189" s="28"/>
      <c r="CF189" s="28"/>
      <c r="CG189" s="28"/>
      <c r="CH189" s="28"/>
      <c r="CI189" s="28"/>
      <c r="CJ189" s="28"/>
      <c r="CK189" s="28"/>
      <c r="CL189" s="28"/>
      <c r="CM189" s="28"/>
      <c r="CN189" s="28"/>
      <c r="CO189" s="28"/>
      <c r="CP189" s="28"/>
      <c r="CQ189" s="28"/>
      <c r="CR189" s="28"/>
      <c r="CS189" s="28"/>
      <c r="CT189" s="28"/>
      <c r="CU189" s="28"/>
      <c r="CV189" s="28"/>
      <c r="CW189" s="28"/>
      <c r="CX189" s="28"/>
      <c r="CY189" s="28"/>
      <c r="CZ189" s="28"/>
      <c r="DA189" s="28"/>
      <c r="DB189" s="28"/>
      <c r="DC189" s="28"/>
      <c r="DD189" s="28"/>
      <c r="DE189" s="28"/>
      <c r="DF189" s="28"/>
      <c r="DG189" s="28"/>
      <c r="DH189" s="28"/>
      <c r="DI189" s="28"/>
      <c r="DJ189" s="28"/>
      <c r="DK189" s="28"/>
      <c r="DL189" s="28"/>
      <c r="DM189" s="28"/>
      <c r="DN189" s="28"/>
      <c r="DO189" s="28"/>
      <c r="DP189" s="28"/>
      <c r="DQ189" s="28"/>
      <c r="DR189" s="28"/>
      <c r="DS189" s="28"/>
      <c r="DT189" s="28"/>
      <c r="DU189" s="28"/>
      <c r="DV189" s="28"/>
      <c r="DW189" s="28"/>
      <c r="DX189" s="28"/>
      <c r="DY189" s="28"/>
      <c r="DZ189" s="28"/>
      <c r="EA189" s="28"/>
      <c r="EB189" s="28"/>
      <c r="EC189" s="28"/>
      <c r="ED189" s="28"/>
      <c r="EE189" s="28"/>
      <c r="EF189" s="28"/>
      <c r="EG189" s="28"/>
      <c r="EH189" s="28"/>
      <c r="EI189" s="28"/>
      <c r="EJ189" s="28"/>
      <c r="EK189" s="28"/>
      <c r="EL189" s="28"/>
      <c r="EM189" s="28"/>
      <c r="EN189" s="28"/>
      <c r="EO189" s="28"/>
      <c r="EP189" s="28"/>
      <c r="EQ189" s="28"/>
      <c r="ER189" s="28"/>
      <c r="ES189" s="28"/>
      <c r="ET189" s="28"/>
      <c r="EU189" s="28"/>
      <c r="EV189" s="28"/>
      <c r="EW189" s="28"/>
      <c r="EX189" s="28"/>
      <c r="EY189" s="28"/>
      <c r="EZ189" s="28"/>
      <c r="FA189" s="28"/>
      <c r="FB189" s="28"/>
      <c r="FC189" s="28"/>
      <c r="FD189" s="28"/>
      <c r="FE189" s="28"/>
      <c r="FF189" s="28"/>
      <c r="FG189" s="28"/>
      <c r="FH189" s="28"/>
      <c r="FI189" s="28"/>
      <c r="FJ189" s="28"/>
      <c r="FK189" s="28"/>
      <c r="FL189" s="28"/>
      <c r="FM189" s="28"/>
      <c r="FN189" s="28"/>
      <c r="FO189" s="28"/>
      <c r="FP189" s="28"/>
      <c r="FQ189" s="28"/>
      <c r="FR189" s="28"/>
      <c r="FS189" s="28"/>
      <c r="FT189" s="28"/>
      <c r="FU189" s="28"/>
      <c r="FV189" s="28"/>
      <c r="FW189" s="28"/>
      <c r="FX189" s="28"/>
      <c r="FY189" s="28"/>
      <c r="FZ189" s="28"/>
      <c r="GA189" s="28"/>
      <c r="GB189" s="28"/>
      <c r="GC189" s="28"/>
      <c r="GD189" s="28"/>
      <c r="GE189" s="28"/>
      <c r="GF189" s="28"/>
      <c r="GG189" s="28"/>
      <c r="GH189" s="28"/>
      <c r="GI189" s="28"/>
      <c r="GJ189" s="28"/>
      <c r="GK189" s="28"/>
      <c r="GL189" s="28"/>
      <c r="GM189" s="28"/>
      <c r="GN189" s="28"/>
      <c r="GO189" s="28"/>
      <c r="GP189" s="28"/>
      <c r="GQ189" s="28"/>
      <c r="GR189" s="28"/>
      <c r="GS189" s="28"/>
      <c r="GT189" s="28"/>
      <c r="GU189" s="28"/>
      <c r="GV189" s="28"/>
      <c r="GW189" s="28"/>
      <c r="GX189" s="28"/>
      <c r="GY189" s="28"/>
      <c r="GZ189" s="28"/>
      <c r="HA189" s="28"/>
      <c r="HB189" s="28"/>
      <c r="HC189" s="28"/>
      <c r="HD189" s="28"/>
      <c r="HE189" s="28"/>
      <c r="HF189" s="28"/>
      <c r="HG189" s="28"/>
      <c r="HH189" s="28"/>
      <c r="HI189" s="28"/>
      <c r="HJ189" s="28"/>
      <c r="HK189" s="28"/>
    </row>
    <row r="190" spans="1:219" ht="15" customHeight="1">
      <c r="A190" s="49">
        <v>1</v>
      </c>
      <c r="B190" s="132" t="str">
        <f>VLOOKUP(Ruimtestaat[[#This Row],[Code]],Locaties[[Code]:[Locatie]],2,FALSE)</f>
        <v>Mirtehuis</v>
      </c>
      <c r="C190" s="132" t="str">
        <f>VLOOKUP(Ruimtestaat[[#This Row],[Code]],Locaties[[#All],[Code]:[Adres]],4,FALSE)</f>
        <v>Weseperweg 6</v>
      </c>
      <c r="D190" s="132" t="str">
        <f>VLOOKUP(Ruimtestaat[[#This Row],[Code]],Locaties[[#All],[Code]:[Postcode]],5,FALSE)</f>
        <v>8111 PK</v>
      </c>
      <c r="E190" s="132" t="str">
        <f>VLOOKUP(Ruimtestaat[[#This Row],[Code]],Locaties[#All],6,FALSE)</f>
        <v>Heeten</v>
      </c>
      <c r="F190" s="100"/>
      <c r="G190" s="100" t="s">
        <v>1691</v>
      </c>
      <c r="H190" s="49">
        <v>22</v>
      </c>
      <c r="I190" s="140" t="s">
        <v>1656</v>
      </c>
      <c r="J190" s="49">
        <v>20</v>
      </c>
      <c r="K190" s="140" t="str">
        <f>VLOOKUP(Ruimtestaat[[#This Row],[Ruimte code]],Ruimtegroepen[[#All],[Code]:[Ruimte omschrijving]],2,FALSE)</f>
        <v>Niet in Onderhoud</v>
      </c>
      <c r="L190" s="100"/>
      <c r="M190" s="345"/>
      <c r="N190" s="133"/>
      <c r="O190" s="100"/>
      <c r="P190" s="134">
        <f>VLOOKUP(Ruimtestaat[[#This Row],[Ruimte code]],Ruimtegroepen[],4,FALSE)</f>
        <v>0</v>
      </c>
      <c r="Q190" s="100"/>
      <c r="R190" s="100"/>
      <c r="S190" s="100">
        <f>IF(Q190&gt;0,IF(RIGHT(Ruimtestaat[[#This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90" s="100">
        <f>IF(S190&gt;0,VLOOKUP($J190,Ruimtegroepen[],3,FALSE)*VLOOKUP($L190,Vloersoorten[],3,FALSE)*VLOOKUP($R190,Frequenties[],3,FALSE)*VLOOKUP($A190,Locaties[],3,FALSE),0)</f>
        <v>0</v>
      </c>
      <c r="U190" s="100">
        <f>Ruimtestaat[[#This Row],[Uitvoeringen werkdagen]]*Ruimtestaat[[#This Row],[Oppervlak (netto)]]</f>
        <v>0</v>
      </c>
      <c r="V190" s="135">
        <f>IF(T190&gt;0,Ruimtestaat[[#This Row],[Prest. (m2 /jaar) werkdagen]]/Ruimtestaat[[#This Row],[Norm (m2/uur) werkdagen]],0)</f>
        <v>0</v>
      </c>
      <c r="W190" s="136">
        <f>Ruimtestaat[[#This Row],[uren / jaar werkdagen]]*Tariefsopbouw!$E$35</f>
        <v>0</v>
      </c>
      <c r="X190" s="100"/>
      <c r="Y190" s="100">
        <f>IF(Ruimtestaat[[#This Row],[Frequentie weekend]]&gt;0,VALUE(LEFT(X190,1))*Q190,0)</f>
        <v>0</v>
      </c>
      <c r="Z190" s="99">
        <f>IF($Y190&gt;0,VLOOKUP($J190,Ruimtegroepen[],3,FALSE)*VLOOKUP($L190,Vloersoorten[],3,FALSE)*VLOOKUP($X190,Frequenties[],3,FALSE)*VLOOKUP(Ruimtestaat[[#This Row],[Code]],Locaties[],3,FALSE),0)</f>
        <v>0</v>
      </c>
      <c r="AA190" s="99">
        <f>Ruimtestaat[[#This Row],[Uitvoeringen weekend]]*Ruimtestaat[[#This Row],[Oppervlak (netto)]]</f>
        <v>0</v>
      </c>
      <c r="AB190" s="99">
        <f>IF(Z190&gt;0,Ruimtestaat[[#This Row],[Prest. (m2 /jaar) weekend]]/Ruimtestaat[[#This Row],[Norm (m2/uur) weekend]],0)</f>
        <v>0</v>
      </c>
      <c r="AC190" s="136">
        <f>Ruimtestaat[[#This Row],[uren / jaar weekend]]*Tariefsopbouw!$D$40</f>
        <v>0</v>
      </c>
      <c r="AD190" s="135">
        <f>Ruimtestaat[[#This Row],[Prest. (m2 /jaar) weekend]]+Ruimtestaat[[#This Row],[Prest. (m2 /jaar) werkdagen]]</f>
        <v>0</v>
      </c>
      <c r="AE190" s="135">
        <f>Ruimtestaat[[#This Row],[uren / jaar weekend]]+Ruimtestaat[[#This Row],[uren / jaar werkdagen]]</f>
        <v>0</v>
      </c>
      <c r="AF190" s="130">
        <f>Ruimtestaat[[#This Row],[kosten / jaar weekend]]+Ruimtestaat[[#This Row],[kosten / jaar werkdagen]]</f>
        <v>0</v>
      </c>
      <c r="AG190" s="130"/>
      <c r="AH190" s="137" t="str">
        <f>IF(Ruimtestaat[[#This Row],[Frequentie werkdagen]]="","",_xlfn.CONCAT(Ruimtestaat[[#This Row],[Ruimte code]],"-",Ruimtestaat[[#This Row],[Frequentie werkdagen]]," ",Ruimtestaat[[#This Row],[Vloer code]]))</f>
        <v/>
      </c>
      <c r="AI190" s="142" t="str">
        <f>_xlfn.IFNA(VLOOKUP($AH190,Programma!$F$3:$G$1101,2,0),"")</f>
        <v/>
      </c>
      <c r="AJ190" s="142" t="str">
        <f>_xlfn.IFNA(VLOOKUP($AH190,Programma!$F$3:$H$1101,3,0),"")</f>
        <v/>
      </c>
      <c r="AK190" s="142" t="str">
        <f>_xlfn.IFNA(VLOOKUP($AH190,Programma!$F$3:$I$1101,4,0),"")</f>
        <v/>
      </c>
      <c r="AL190" s="142" t="str">
        <f>_xlfn.IFNA(VLOOKUP($AH190,Programma!$F$3:$J$1101,5,0),"")</f>
        <v/>
      </c>
      <c r="AM190" s="142" t="str">
        <f>_xlfn.IFNA(VLOOKUP($AH190,Programma!$F$3:$K$1101,6,0),"")</f>
        <v/>
      </c>
      <c r="AN190" s="142" t="str">
        <f>_xlfn.IFNA(VLOOKUP($AH190,Programma!$F$3:$L$1101,7,0),"")</f>
        <v/>
      </c>
      <c r="AO190" s="142" t="str">
        <f>_xlfn.IFNA(VLOOKUP($AH190,Programma!$F$3:$M$1101,8,0),"")</f>
        <v/>
      </c>
      <c r="AP190" s="142" t="str">
        <f>_xlfn.IFNA(VLOOKUP($AH190,Programma!$F$3:$N$1101,9,0),"")</f>
        <v/>
      </c>
      <c r="AQ190" s="142" t="str">
        <f>_xlfn.IFNA(VLOOKUP($AH190,Programma!$F$3:$O$1101,10,0),"")</f>
        <v/>
      </c>
      <c r="AR190" s="142" t="str">
        <f>_xlfn.IFNA(VLOOKUP($AH190,Programma!$F$3:$P$1101,11,0),"")</f>
        <v/>
      </c>
      <c r="AS190" s="142" t="str">
        <f>_xlfn.IFNA(VLOOKUP($AH190,Programma!$F$3:$Q$1101,12,0),"")</f>
        <v/>
      </c>
      <c r="AT190" s="142" t="str">
        <f>_xlfn.IFNA(VLOOKUP($AH190,Programma!$F$3:$R$1101,13,0),"")</f>
        <v/>
      </c>
      <c r="AU190" s="142" t="str">
        <f>_xlfn.IFNA(VLOOKUP($AH190,Programma!$F$3:$S$1101,14,0),"")</f>
        <v/>
      </c>
      <c r="AV190" s="142" t="str">
        <f>_xlfn.IFNA(VLOOKUP($AH190,Programma!$F$3:$T$1101,15,0),"")</f>
        <v/>
      </c>
      <c r="AW190" s="142" t="str">
        <f>_xlfn.IFNA(VLOOKUP($AH190,Programma!$F$3:$U$1101,16,0),"")</f>
        <v/>
      </c>
      <c r="AX190" s="142" t="str">
        <f>_xlfn.IFNA(VLOOKUP($AH190,Programma!$F$3:$V$1101,17,0),"")</f>
        <v/>
      </c>
      <c r="AY190" s="142" t="str">
        <f>_xlfn.IFNA(VLOOKUP($AH190,Programma!$F$3:$W$1101,18,0),"")</f>
        <v/>
      </c>
      <c r="AZ190" s="142" t="str">
        <f>_xlfn.IFNA(VLOOKUP($AH190,Programma!$F$3:$X$1101,19,0),"")</f>
        <v/>
      </c>
      <c r="BA190" s="142" t="str">
        <f>_xlfn.IFNA(VLOOKUP($AH190,Programma!$F$3:$Y$1101,20,0),"")</f>
        <v/>
      </c>
      <c r="BB190" s="138"/>
      <c r="BC190" s="137" t="str">
        <f>IF(Ruimtestaat[[#This Row],[Frequentie weekend]]="","",_xlfn.CONCAT(Ruimtestaat[[#This Row],[Ruimte code]],"-",Ruimtestaat[[#This Row],[Frequentie weekend]]," ",Ruimtestaat[[#This Row],[Vloer code]]))</f>
        <v/>
      </c>
      <c r="BD190" s="142" t="str">
        <f>_xlfn.IFNA(VLOOKUP($BC190,Programma!$F$3:$G$1101,2,0),"")</f>
        <v/>
      </c>
      <c r="BE190" s="142" t="str">
        <f>_xlfn.IFNA(VLOOKUP($BC190,Programma!$F$3:$H$1101,3,0),"")</f>
        <v/>
      </c>
      <c r="BF190" s="142" t="str">
        <f>_xlfn.IFNA(VLOOKUP($BC190,Programma!$F$3:$I$1101,4,0),"")</f>
        <v/>
      </c>
      <c r="BG190" s="142" t="str">
        <f>_xlfn.IFNA(VLOOKUP($BC190,Programma!$F$3:$J$1101,5,0),"")</f>
        <v/>
      </c>
      <c r="BH190" s="142" t="str">
        <f>_xlfn.IFNA(VLOOKUP($BC190,Programma!$F$3:$K$1101,6,0),"")</f>
        <v/>
      </c>
      <c r="BI190" s="142" t="str">
        <f>_xlfn.IFNA(VLOOKUP($BC190,Programma!$F$3:$L$1101,7,0),"")</f>
        <v/>
      </c>
      <c r="BJ190" s="142" t="str">
        <f>_xlfn.IFNA(VLOOKUP($BC190,Programma!$F$3:$M$1101,8,0),"")</f>
        <v/>
      </c>
      <c r="BK190" s="142" t="str">
        <f>_xlfn.IFNA(VLOOKUP($BC190,Programma!$F$3:$N$1101,9,0),"")</f>
        <v/>
      </c>
      <c r="BL190" s="142" t="str">
        <f>_xlfn.IFNA(VLOOKUP($BC190,Programma!$F$3:$O$1101,10,0),"")</f>
        <v/>
      </c>
      <c r="BM190" s="142" t="str">
        <f>_xlfn.IFNA(VLOOKUP($BC190,Programma!$F$3:$P$1101,11,0),"")</f>
        <v/>
      </c>
      <c r="BN190" s="142" t="str">
        <f>_xlfn.IFNA(VLOOKUP($BC190,Programma!$F$3:$Q$1101,12,0),"")</f>
        <v/>
      </c>
      <c r="BO190" s="142" t="str">
        <f>_xlfn.IFNA(VLOOKUP($BC190,Programma!$F$3:$R$1101,13,0),"")</f>
        <v/>
      </c>
      <c r="BP190" s="142" t="str">
        <f>_xlfn.IFNA(VLOOKUP($BC190,Programma!$F$3:$S$1101,14,0),"")</f>
        <v/>
      </c>
      <c r="BQ190" s="142" t="str">
        <f>_xlfn.IFNA(VLOOKUP($BC190,Programma!$F$3:$T$1101,15,0),"")</f>
        <v/>
      </c>
      <c r="BR190" s="142" t="str">
        <f>_xlfn.IFNA(VLOOKUP($BC190,Programma!$F$3:$U$1101,16,0),"")</f>
        <v/>
      </c>
      <c r="BS190" s="142" t="str">
        <f>_xlfn.IFNA(VLOOKUP($BC190,Programma!$F$3:$V$1101,17,0),"")</f>
        <v/>
      </c>
      <c r="BT190" s="142" t="str">
        <f>_xlfn.IFNA(VLOOKUP($BC190,Programma!$F$3:$W$1101,18,0),"")</f>
        <v/>
      </c>
      <c r="BU190" s="142" t="str">
        <f>_xlfn.IFNA(VLOOKUP($BC190,Programma!$F$3:$X$1101,19,0),"")</f>
        <v/>
      </c>
      <c r="BV190" s="142" t="str">
        <f>_xlfn.IFNA(VLOOKUP($BC190,Programma!$F$3:$Y$1101,20,0),"")</f>
        <v/>
      </c>
      <c r="BW190" s="28"/>
      <c r="BX190" s="28"/>
      <c r="BY190" s="28"/>
      <c r="BZ190" s="28"/>
      <c r="CA190" s="28"/>
      <c r="CB190" s="28"/>
      <c r="CC190" s="28"/>
      <c r="CD190" s="28"/>
      <c r="CE190" s="28"/>
      <c r="CF190" s="28"/>
      <c r="CG190" s="28"/>
      <c r="CH190" s="28"/>
      <c r="CI190" s="28"/>
      <c r="CJ190" s="28"/>
      <c r="CK190" s="28"/>
      <c r="CL190" s="28"/>
      <c r="CM190" s="28"/>
      <c r="CN190" s="28"/>
      <c r="CO190" s="28"/>
      <c r="CP190" s="28"/>
      <c r="CQ190" s="28"/>
      <c r="CR190" s="28"/>
      <c r="CS190" s="28"/>
      <c r="CT190" s="28"/>
      <c r="CU190" s="28"/>
      <c r="CV190" s="28"/>
      <c r="CW190" s="28"/>
      <c r="CX190" s="28"/>
      <c r="CY190" s="28"/>
      <c r="CZ190" s="28"/>
      <c r="DA190" s="28"/>
      <c r="DB190" s="28"/>
      <c r="DC190" s="28"/>
      <c r="DD190" s="28"/>
      <c r="DE190" s="28"/>
      <c r="DF190" s="28"/>
      <c r="DG190" s="28"/>
      <c r="DH190" s="28"/>
      <c r="DI190" s="28"/>
      <c r="DJ190" s="28"/>
      <c r="DK190" s="28"/>
      <c r="DL190" s="28"/>
      <c r="DM190" s="28"/>
      <c r="DN190" s="28"/>
      <c r="DO190" s="28"/>
      <c r="DP190" s="28"/>
      <c r="DQ190" s="28"/>
      <c r="DR190" s="28"/>
      <c r="DS190" s="28"/>
      <c r="DT190" s="28"/>
      <c r="DU190" s="28"/>
      <c r="DV190" s="28"/>
      <c r="DW190" s="28"/>
      <c r="DX190" s="28"/>
      <c r="DY190" s="28"/>
      <c r="DZ190" s="28"/>
      <c r="EA190" s="28"/>
      <c r="EB190" s="28"/>
      <c r="EC190" s="28"/>
      <c r="ED190" s="28"/>
      <c r="EE190" s="28"/>
      <c r="EF190" s="28"/>
      <c r="EG190" s="28"/>
      <c r="EH190" s="28"/>
      <c r="EI190" s="28"/>
      <c r="EJ190" s="28"/>
      <c r="EK190" s="28"/>
      <c r="EL190" s="28"/>
      <c r="EM190" s="28"/>
      <c r="EN190" s="28"/>
      <c r="EO190" s="28"/>
      <c r="EP190" s="28"/>
      <c r="EQ190" s="28"/>
      <c r="ER190" s="28"/>
      <c r="ES190" s="28"/>
      <c r="ET190" s="28"/>
      <c r="EU190" s="28"/>
      <c r="EV190" s="28"/>
      <c r="EW190" s="28"/>
      <c r="EX190" s="28"/>
      <c r="EY190" s="28"/>
      <c r="EZ190" s="28"/>
      <c r="FA190" s="28"/>
      <c r="FB190" s="28"/>
      <c r="FC190" s="28"/>
      <c r="FD190" s="28"/>
      <c r="FE190" s="28"/>
      <c r="FF190" s="28"/>
      <c r="FG190" s="28"/>
      <c r="FH190" s="28"/>
      <c r="FI190" s="28"/>
      <c r="FJ190" s="28"/>
      <c r="FK190" s="28"/>
      <c r="FL190" s="28"/>
      <c r="FM190" s="28"/>
      <c r="FN190" s="28"/>
      <c r="FO190" s="28"/>
      <c r="FP190" s="28"/>
      <c r="FQ190" s="28"/>
      <c r="FR190" s="28"/>
      <c r="FS190" s="28"/>
      <c r="FT190" s="28"/>
      <c r="FU190" s="28"/>
      <c r="FV190" s="28"/>
      <c r="FW190" s="28"/>
      <c r="FX190" s="28"/>
      <c r="FY190" s="28"/>
      <c r="FZ190" s="28"/>
      <c r="GA190" s="28"/>
      <c r="GB190" s="28"/>
      <c r="GC190" s="28"/>
      <c r="GD190" s="28"/>
      <c r="GE190" s="28"/>
      <c r="GF190" s="28"/>
      <c r="GG190" s="28"/>
      <c r="GH190" s="28"/>
      <c r="GI190" s="28"/>
      <c r="GJ190" s="28"/>
      <c r="GK190" s="28"/>
      <c r="GL190" s="28"/>
      <c r="GM190" s="28"/>
      <c r="GN190" s="28"/>
      <c r="GO190" s="28"/>
      <c r="GP190" s="28"/>
      <c r="GQ190" s="28"/>
      <c r="GR190" s="28"/>
      <c r="GS190" s="28"/>
      <c r="GT190" s="28"/>
      <c r="GU190" s="28"/>
      <c r="GV190" s="28"/>
      <c r="GW190" s="28"/>
      <c r="GX190" s="28"/>
      <c r="GY190" s="28"/>
      <c r="GZ190" s="28"/>
      <c r="HA190" s="28"/>
      <c r="HB190" s="28"/>
      <c r="HC190" s="28"/>
      <c r="HD190" s="28"/>
      <c r="HE190" s="28"/>
      <c r="HF190" s="28"/>
      <c r="HG190" s="28"/>
      <c r="HH190" s="28"/>
      <c r="HI190" s="28"/>
      <c r="HJ190" s="28"/>
      <c r="HK190" s="28"/>
    </row>
    <row r="191" spans="1:219" ht="15" customHeight="1">
      <c r="A191" s="49">
        <v>1</v>
      </c>
      <c r="B191" s="132" t="str">
        <f>VLOOKUP(Ruimtestaat[[#This Row],[Code]],Locaties[[Code]:[Locatie]],2,FALSE)</f>
        <v>Mirtehuis</v>
      </c>
      <c r="C191" s="132" t="str">
        <f>VLOOKUP(Ruimtestaat[[#This Row],[Code]],Locaties[[#All],[Code]:[Adres]],4,FALSE)</f>
        <v>Weseperweg 6</v>
      </c>
      <c r="D191" s="132" t="str">
        <f>VLOOKUP(Ruimtestaat[[#This Row],[Code]],Locaties[[#All],[Code]:[Postcode]],5,FALSE)</f>
        <v>8111 PK</v>
      </c>
      <c r="E191" s="132" t="str">
        <f>VLOOKUP(Ruimtestaat[[#This Row],[Code]],Locaties[#All],6,FALSE)</f>
        <v>Heeten</v>
      </c>
      <c r="F191" s="100"/>
      <c r="G191" s="100" t="s">
        <v>1691</v>
      </c>
      <c r="H191" s="49">
        <v>21</v>
      </c>
      <c r="I191" s="140" t="s">
        <v>1656</v>
      </c>
      <c r="J191" s="49">
        <v>20</v>
      </c>
      <c r="K191" s="140" t="str">
        <f>VLOOKUP(Ruimtestaat[[#This Row],[Ruimte code]],Ruimtegroepen[[#All],[Code]:[Ruimte omschrijving]],2,FALSE)</f>
        <v>Niet in Onderhoud</v>
      </c>
      <c r="L191" s="100"/>
      <c r="M191" s="345"/>
      <c r="N191" s="133"/>
      <c r="O191" s="139"/>
      <c r="P191" s="134">
        <f>VLOOKUP(Ruimtestaat[[#This Row],[Ruimte code]],Ruimtegroepen[],4,FALSE)</f>
        <v>0</v>
      </c>
      <c r="Q191" s="100"/>
      <c r="R191" s="100"/>
      <c r="S191" s="100">
        <f>IF(Q191&gt;0,IF(RIGHT(Ruimtestaat[[#This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91" s="100">
        <f>IF(S191&gt;0,VLOOKUP($J191,Ruimtegroepen[],3,FALSE)*VLOOKUP($L191,Vloersoorten[],3,FALSE)*VLOOKUP($R191,Frequenties[],3,FALSE)*VLOOKUP($A191,Locaties[],3,FALSE),0)</f>
        <v>0</v>
      </c>
      <c r="U191" s="100">
        <f>Ruimtestaat[[#This Row],[Uitvoeringen werkdagen]]*Ruimtestaat[[#This Row],[Oppervlak (netto)]]</f>
        <v>0</v>
      </c>
      <c r="V191" s="135">
        <f>IF(T191&gt;0,Ruimtestaat[[#This Row],[Prest. (m2 /jaar) werkdagen]]/Ruimtestaat[[#This Row],[Norm (m2/uur) werkdagen]],0)</f>
        <v>0</v>
      </c>
      <c r="W191" s="136">
        <f>Ruimtestaat[[#This Row],[uren / jaar werkdagen]]*Tariefsopbouw!$E$35</f>
        <v>0</v>
      </c>
      <c r="X191" s="100"/>
      <c r="Y191" s="100">
        <f>IF(Ruimtestaat[[#This Row],[Frequentie weekend]]&gt;0,VALUE(LEFT(X191,1))*Q191,0)</f>
        <v>0</v>
      </c>
      <c r="Z191" s="99">
        <f>IF($Y191&gt;0,VLOOKUP($J191,Ruimtegroepen[],3,FALSE)*VLOOKUP($L191,Vloersoorten[],3,FALSE)*VLOOKUP($X191,Frequenties[],3,FALSE)*VLOOKUP(Ruimtestaat[[#This Row],[Code]],Locaties[],3,FALSE),0)</f>
        <v>0</v>
      </c>
      <c r="AA191" s="99">
        <f>Ruimtestaat[[#This Row],[Uitvoeringen weekend]]*Ruimtestaat[[#This Row],[Oppervlak (netto)]]</f>
        <v>0</v>
      </c>
      <c r="AB191" s="99">
        <f>IF(Z191&gt;0,Ruimtestaat[[#This Row],[Prest. (m2 /jaar) weekend]]/Ruimtestaat[[#This Row],[Norm (m2/uur) weekend]],0)</f>
        <v>0</v>
      </c>
      <c r="AC191" s="136">
        <f>Ruimtestaat[[#This Row],[uren / jaar weekend]]*Tariefsopbouw!$D$40</f>
        <v>0</v>
      </c>
      <c r="AD191" s="135">
        <f>Ruimtestaat[[#This Row],[Prest. (m2 /jaar) weekend]]+Ruimtestaat[[#This Row],[Prest. (m2 /jaar) werkdagen]]</f>
        <v>0</v>
      </c>
      <c r="AE191" s="135">
        <f>Ruimtestaat[[#This Row],[uren / jaar weekend]]+Ruimtestaat[[#This Row],[uren / jaar werkdagen]]</f>
        <v>0</v>
      </c>
      <c r="AF191" s="130">
        <f>Ruimtestaat[[#This Row],[kosten / jaar weekend]]+Ruimtestaat[[#This Row],[kosten / jaar werkdagen]]</f>
        <v>0</v>
      </c>
      <c r="AG191" s="130"/>
      <c r="AH191" s="137" t="str">
        <f>IF(Ruimtestaat[[#This Row],[Frequentie werkdagen]]="","",_xlfn.CONCAT(Ruimtestaat[[#This Row],[Ruimte code]],"-",Ruimtestaat[[#This Row],[Frequentie werkdagen]]," ",Ruimtestaat[[#This Row],[Vloer code]]))</f>
        <v/>
      </c>
      <c r="AI191" s="142" t="str">
        <f>_xlfn.IFNA(VLOOKUP($AH191,Programma!$F$3:$G$1101,2,0),"")</f>
        <v/>
      </c>
      <c r="AJ191" s="142" t="str">
        <f>_xlfn.IFNA(VLOOKUP($AH191,Programma!$F$3:$H$1101,3,0),"")</f>
        <v/>
      </c>
      <c r="AK191" s="142" t="str">
        <f>_xlfn.IFNA(VLOOKUP($AH191,Programma!$F$3:$I$1101,4,0),"")</f>
        <v/>
      </c>
      <c r="AL191" s="142" t="str">
        <f>_xlfn.IFNA(VLOOKUP($AH191,Programma!$F$3:$J$1101,5,0),"")</f>
        <v/>
      </c>
      <c r="AM191" s="142" t="str">
        <f>_xlfn.IFNA(VLOOKUP($AH191,Programma!$F$3:$K$1101,6,0),"")</f>
        <v/>
      </c>
      <c r="AN191" s="142" t="str">
        <f>_xlfn.IFNA(VLOOKUP($AH191,Programma!$F$3:$L$1101,7,0),"")</f>
        <v/>
      </c>
      <c r="AO191" s="142" t="str">
        <f>_xlfn.IFNA(VLOOKUP($AH191,Programma!$F$3:$M$1101,8,0),"")</f>
        <v/>
      </c>
      <c r="AP191" s="142" t="str">
        <f>_xlfn.IFNA(VLOOKUP($AH191,Programma!$F$3:$N$1101,9,0),"")</f>
        <v/>
      </c>
      <c r="AQ191" s="142" t="str">
        <f>_xlfn.IFNA(VLOOKUP($AH191,Programma!$F$3:$O$1101,10,0),"")</f>
        <v/>
      </c>
      <c r="AR191" s="142" t="str">
        <f>_xlfn.IFNA(VLOOKUP($AH191,Programma!$F$3:$P$1101,11,0),"")</f>
        <v/>
      </c>
      <c r="AS191" s="142" t="str">
        <f>_xlfn.IFNA(VLOOKUP($AH191,Programma!$F$3:$Q$1101,12,0),"")</f>
        <v/>
      </c>
      <c r="AT191" s="142" t="str">
        <f>_xlfn.IFNA(VLOOKUP($AH191,Programma!$F$3:$R$1101,13,0),"")</f>
        <v/>
      </c>
      <c r="AU191" s="142" t="str">
        <f>_xlfn.IFNA(VLOOKUP($AH191,Programma!$F$3:$S$1101,14,0),"")</f>
        <v/>
      </c>
      <c r="AV191" s="142" t="str">
        <f>_xlfn.IFNA(VLOOKUP($AH191,Programma!$F$3:$T$1101,15,0),"")</f>
        <v/>
      </c>
      <c r="AW191" s="142" t="str">
        <f>_xlfn.IFNA(VLOOKUP($AH191,Programma!$F$3:$U$1101,16,0),"")</f>
        <v/>
      </c>
      <c r="AX191" s="142" t="str">
        <f>_xlfn.IFNA(VLOOKUP($AH191,Programma!$F$3:$V$1101,17,0),"")</f>
        <v/>
      </c>
      <c r="AY191" s="142" t="str">
        <f>_xlfn.IFNA(VLOOKUP($AH191,Programma!$F$3:$W$1101,18,0),"")</f>
        <v/>
      </c>
      <c r="AZ191" s="142" t="str">
        <f>_xlfn.IFNA(VLOOKUP($AH191,Programma!$F$3:$X$1101,19,0),"")</f>
        <v/>
      </c>
      <c r="BA191" s="142" t="str">
        <f>_xlfn.IFNA(VLOOKUP($AH191,Programma!$F$3:$Y$1101,20,0),"")</f>
        <v/>
      </c>
      <c r="BB191" s="138"/>
      <c r="BC191" s="137" t="str">
        <f>IF(Ruimtestaat[[#This Row],[Frequentie weekend]]="","",_xlfn.CONCAT(Ruimtestaat[[#This Row],[Ruimte code]],"-",Ruimtestaat[[#This Row],[Frequentie weekend]]," ",Ruimtestaat[[#This Row],[Vloer code]]))</f>
        <v/>
      </c>
      <c r="BD191" s="142" t="str">
        <f>_xlfn.IFNA(VLOOKUP($BC191,Programma!$F$3:$G$1101,2,0),"")</f>
        <v/>
      </c>
      <c r="BE191" s="142" t="str">
        <f>_xlfn.IFNA(VLOOKUP($BC191,Programma!$F$3:$H$1101,3,0),"")</f>
        <v/>
      </c>
      <c r="BF191" s="142" t="str">
        <f>_xlfn.IFNA(VLOOKUP($BC191,Programma!$F$3:$I$1101,4,0),"")</f>
        <v/>
      </c>
      <c r="BG191" s="142" t="str">
        <f>_xlfn.IFNA(VLOOKUP($BC191,Programma!$F$3:$J$1101,5,0),"")</f>
        <v/>
      </c>
      <c r="BH191" s="142" t="str">
        <f>_xlfn.IFNA(VLOOKUP($BC191,Programma!$F$3:$K$1101,6,0),"")</f>
        <v/>
      </c>
      <c r="BI191" s="142" t="str">
        <f>_xlfn.IFNA(VLOOKUP($BC191,Programma!$F$3:$L$1101,7,0),"")</f>
        <v/>
      </c>
      <c r="BJ191" s="142" t="str">
        <f>_xlfn.IFNA(VLOOKUP($BC191,Programma!$F$3:$M$1101,8,0),"")</f>
        <v/>
      </c>
      <c r="BK191" s="142" t="str">
        <f>_xlfn.IFNA(VLOOKUP($BC191,Programma!$F$3:$N$1101,9,0),"")</f>
        <v/>
      </c>
      <c r="BL191" s="142" t="str">
        <f>_xlfn.IFNA(VLOOKUP($BC191,Programma!$F$3:$O$1101,10,0),"")</f>
        <v/>
      </c>
      <c r="BM191" s="142" t="str">
        <f>_xlfn.IFNA(VLOOKUP($BC191,Programma!$F$3:$P$1101,11,0),"")</f>
        <v/>
      </c>
      <c r="BN191" s="142" t="str">
        <f>_xlfn.IFNA(VLOOKUP($BC191,Programma!$F$3:$Q$1101,12,0),"")</f>
        <v/>
      </c>
      <c r="BO191" s="142" t="str">
        <f>_xlfn.IFNA(VLOOKUP($BC191,Programma!$F$3:$R$1101,13,0),"")</f>
        <v/>
      </c>
      <c r="BP191" s="142" t="str">
        <f>_xlfn.IFNA(VLOOKUP($BC191,Programma!$F$3:$S$1101,14,0),"")</f>
        <v/>
      </c>
      <c r="BQ191" s="142" t="str">
        <f>_xlfn.IFNA(VLOOKUP($BC191,Programma!$F$3:$T$1101,15,0),"")</f>
        <v/>
      </c>
      <c r="BR191" s="142" t="str">
        <f>_xlfn.IFNA(VLOOKUP($BC191,Programma!$F$3:$U$1101,16,0),"")</f>
        <v/>
      </c>
      <c r="BS191" s="142" t="str">
        <f>_xlfn.IFNA(VLOOKUP($BC191,Programma!$F$3:$V$1101,17,0),"")</f>
        <v/>
      </c>
      <c r="BT191" s="142" t="str">
        <f>_xlfn.IFNA(VLOOKUP($BC191,Programma!$F$3:$W$1101,18,0),"")</f>
        <v/>
      </c>
      <c r="BU191" s="142" t="str">
        <f>_xlfn.IFNA(VLOOKUP($BC191,Programma!$F$3:$X$1101,19,0),"")</f>
        <v/>
      </c>
      <c r="BV191" s="142" t="str">
        <f>_xlfn.IFNA(VLOOKUP($BC191,Programma!$F$3:$Y$1101,20,0),"")</f>
        <v/>
      </c>
      <c r="BW191" s="28"/>
      <c r="BX191" s="28"/>
      <c r="BY191" s="28"/>
      <c r="BZ191" s="28"/>
      <c r="CA191" s="28"/>
      <c r="CB191" s="28"/>
      <c r="CC191" s="28"/>
      <c r="CD191" s="28"/>
      <c r="CE191" s="28"/>
      <c r="CF191" s="28"/>
      <c r="CG191" s="28"/>
      <c r="CH191" s="28"/>
      <c r="CI191" s="28"/>
      <c r="CJ191" s="28"/>
      <c r="CK191" s="28"/>
      <c r="CL191" s="28"/>
      <c r="CM191" s="28"/>
      <c r="CN191" s="28"/>
      <c r="CO191" s="28"/>
      <c r="CP191" s="28"/>
      <c r="CQ191" s="28"/>
      <c r="CR191" s="28"/>
      <c r="CS191" s="28"/>
      <c r="CT191" s="28"/>
      <c r="CU191" s="28"/>
      <c r="CV191" s="28"/>
      <c r="CW191" s="28"/>
      <c r="CX191" s="28"/>
      <c r="CY191" s="28"/>
      <c r="CZ191" s="28"/>
      <c r="DA191" s="28"/>
      <c r="DB191" s="28"/>
      <c r="DC191" s="28"/>
      <c r="DD191" s="28"/>
      <c r="DE191" s="28"/>
      <c r="DF191" s="28"/>
      <c r="DG191" s="28"/>
      <c r="DH191" s="28"/>
      <c r="DI191" s="28"/>
      <c r="DJ191" s="28"/>
      <c r="DK191" s="28"/>
      <c r="DL191" s="28"/>
      <c r="DM191" s="28"/>
      <c r="DN191" s="28"/>
      <c r="DO191" s="28"/>
      <c r="DP191" s="28"/>
      <c r="DQ191" s="28"/>
      <c r="DR191" s="28"/>
      <c r="DS191" s="28"/>
      <c r="DT191" s="28"/>
      <c r="DU191" s="28"/>
      <c r="DV191" s="28"/>
      <c r="DW191" s="28"/>
      <c r="DX191" s="28"/>
      <c r="DY191" s="28"/>
      <c r="DZ191" s="28"/>
      <c r="EA191" s="28"/>
      <c r="EB191" s="28"/>
      <c r="EC191" s="28"/>
      <c r="ED191" s="28"/>
      <c r="EE191" s="28"/>
      <c r="EF191" s="28"/>
      <c r="EG191" s="28"/>
      <c r="EH191" s="28"/>
      <c r="EI191" s="28"/>
      <c r="EJ191" s="28"/>
      <c r="EK191" s="28"/>
      <c r="EL191" s="28"/>
      <c r="EM191" s="28"/>
      <c r="EN191" s="28"/>
      <c r="EO191" s="28"/>
      <c r="EP191" s="28"/>
      <c r="EQ191" s="28"/>
      <c r="ER191" s="28"/>
      <c r="ES191" s="28"/>
      <c r="ET191" s="28"/>
      <c r="EU191" s="28"/>
      <c r="EV191" s="28"/>
      <c r="EW191" s="28"/>
      <c r="EX191" s="28"/>
      <c r="EY191" s="28"/>
      <c r="EZ191" s="28"/>
      <c r="FA191" s="28"/>
      <c r="FB191" s="28"/>
      <c r="FC191" s="28"/>
      <c r="FD191" s="28"/>
      <c r="FE191" s="28"/>
      <c r="FF191" s="28"/>
      <c r="FG191" s="28"/>
      <c r="FH191" s="28"/>
      <c r="FI191" s="28"/>
      <c r="FJ191" s="28"/>
      <c r="FK191" s="28"/>
      <c r="FL191" s="28"/>
      <c r="FM191" s="28"/>
      <c r="FN191" s="28"/>
      <c r="FO191" s="28"/>
      <c r="FP191" s="28"/>
      <c r="FQ191" s="28"/>
      <c r="FR191" s="28"/>
      <c r="FS191" s="28"/>
      <c r="FT191" s="28"/>
      <c r="FU191" s="28"/>
      <c r="FV191" s="28"/>
      <c r="FW191" s="28"/>
      <c r="FX191" s="28"/>
      <c r="FY191" s="28"/>
      <c r="FZ191" s="28"/>
      <c r="GA191" s="28"/>
      <c r="GB191" s="28"/>
      <c r="GC191" s="28"/>
      <c r="GD191" s="28"/>
      <c r="GE191" s="28"/>
      <c r="GF191" s="28"/>
      <c r="GG191" s="28"/>
      <c r="GH191" s="28"/>
      <c r="GI191" s="28"/>
      <c r="GJ191" s="28"/>
      <c r="GK191" s="28"/>
      <c r="GL191" s="28"/>
      <c r="GM191" s="28"/>
      <c r="GN191" s="28"/>
      <c r="GO191" s="28"/>
      <c r="GP191" s="28"/>
      <c r="GQ191" s="28"/>
      <c r="GR191" s="28"/>
      <c r="GS191" s="28"/>
      <c r="GT191" s="28"/>
      <c r="GU191" s="28"/>
      <c r="GV191" s="28"/>
      <c r="GW191" s="28"/>
      <c r="GX191" s="28"/>
      <c r="GY191" s="28"/>
      <c r="GZ191" s="28"/>
      <c r="HA191" s="28"/>
      <c r="HB191" s="28"/>
      <c r="HC191" s="28"/>
      <c r="HD191" s="28"/>
      <c r="HE191" s="28"/>
      <c r="HF191" s="28"/>
      <c r="HG191" s="28"/>
      <c r="HH191" s="28"/>
      <c r="HI191" s="28"/>
      <c r="HJ191" s="28"/>
      <c r="HK191" s="28"/>
    </row>
    <row r="192" spans="1:219" ht="15" customHeight="1">
      <c r="A192" s="49">
        <v>1</v>
      </c>
      <c r="B192" s="132" t="str">
        <f>VLOOKUP(Ruimtestaat[[#This Row],[Code]],Locaties[[Code]:[Locatie]],2,FALSE)</f>
        <v>Mirtehuis</v>
      </c>
      <c r="C192" s="132" t="str">
        <f>VLOOKUP(Ruimtestaat[[#This Row],[Code]],Locaties[[#All],[Code]:[Adres]],4,FALSE)</f>
        <v>Weseperweg 6</v>
      </c>
      <c r="D192" s="132" t="str">
        <f>VLOOKUP(Ruimtestaat[[#This Row],[Code]],Locaties[[#All],[Code]:[Postcode]],5,FALSE)</f>
        <v>8111 PK</v>
      </c>
      <c r="E192" s="132" t="str">
        <f>VLOOKUP(Ruimtestaat[[#This Row],[Code]],Locaties[#All],6,FALSE)</f>
        <v>Heeten</v>
      </c>
      <c r="F192" s="100"/>
      <c r="G192" s="100" t="s">
        <v>1691</v>
      </c>
      <c r="I192" s="140" t="s">
        <v>1632</v>
      </c>
      <c r="J192" s="49">
        <v>6</v>
      </c>
      <c r="K192" s="140" t="str">
        <f>VLOOKUP(Ruimtestaat[[#This Row],[Ruimte code]],Ruimtegroepen[[#All],[Code]:[Ruimte omschrijving]],2,FALSE)</f>
        <v>Gangen/hallen</v>
      </c>
      <c r="L192" s="100" t="s">
        <v>99</v>
      </c>
      <c r="M192" s="345" t="s">
        <v>36</v>
      </c>
      <c r="N192" s="133">
        <v>7.18</v>
      </c>
      <c r="O192" s="139"/>
      <c r="P192" s="134" t="str">
        <f>VLOOKUP(Ruimtestaat[[#This Row],[Ruimte code]],Ruimtegroepen[],4,FALSE)</f>
        <v>Ve</v>
      </c>
      <c r="Q192" s="100">
        <v>51</v>
      </c>
      <c r="R192" s="100" t="s">
        <v>2</v>
      </c>
      <c r="S192" s="100">
        <f>IF(Q192&gt;0,IF(RIGHT(Ruimtestaat[[#This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92" s="100">
        <f>IF(S192&gt;0,VLOOKUP($J192,Ruimtegroepen[],3,FALSE)*VLOOKUP($L192,Vloersoorten[],3,FALSE)*VLOOKUP($R192,Frequenties[],3,FALSE)*VLOOKUP($A192,Locaties[],3,FALSE),0)</f>
        <v>0</v>
      </c>
      <c r="U192" s="100">
        <f>Ruimtestaat[[#This Row],[Uitvoeringen werkdagen]]*Ruimtestaat[[#This Row],[Oppervlak (netto)]]</f>
        <v>1830.8999999999999</v>
      </c>
      <c r="V192" s="135">
        <f>IF(T192&gt;0,Ruimtestaat[[#This Row],[Prest. (m2 /jaar) werkdagen]]/Ruimtestaat[[#This Row],[Norm (m2/uur) werkdagen]],0)</f>
        <v>0</v>
      </c>
      <c r="W192" s="136">
        <f>Ruimtestaat[[#This Row],[uren / jaar werkdagen]]*Tariefsopbouw!$E$35</f>
        <v>0</v>
      </c>
      <c r="X192" s="100"/>
      <c r="Y192" s="100">
        <f>IF(Ruimtestaat[[#This Row],[Frequentie weekend]]&gt;0,VALUE(LEFT(X192,1))*Q192,0)</f>
        <v>0</v>
      </c>
      <c r="Z192" s="99">
        <f>IF($Y192&gt;0,VLOOKUP($J192,Ruimtegroepen[],3,FALSE)*VLOOKUP($L192,Vloersoorten[],3,FALSE)*VLOOKUP($X192,Frequenties[],3,FALSE)*VLOOKUP(Ruimtestaat[[#This Row],[Code]],Locaties[],3,FALSE),0)</f>
        <v>0</v>
      </c>
      <c r="AA192" s="99">
        <f>Ruimtestaat[[#This Row],[Uitvoeringen weekend]]*Ruimtestaat[[#This Row],[Oppervlak (netto)]]</f>
        <v>0</v>
      </c>
      <c r="AB192" s="99">
        <f>IF(Z192&gt;0,Ruimtestaat[[#This Row],[Prest. (m2 /jaar) weekend]]/Ruimtestaat[[#This Row],[Norm (m2/uur) weekend]],0)</f>
        <v>0</v>
      </c>
      <c r="AC192" s="136">
        <f>Ruimtestaat[[#This Row],[uren / jaar weekend]]*Tariefsopbouw!$D$40</f>
        <v>0</v>
      </c>
      <c r="AD192" s="135">
        <f>Ruimtestaat[[#This Row],[Prest. (m2 /jaar) weekend]]+Ruimtestaat[[#This Row],[Prest. (m2 /jaar) werkdagen]]</f>
        <v>1830.8999999999999</v>
      </c>
      <c r="AE192" s="135">
        <f>Ruimtestaat[[#This Row],[uren / jaar weekend]]+Ruimtestaat[[#This Row],[uren / jaar werkdagen]]</f>
        <v>0</v>
      </c>
      <c r="AF192" s="130">
        <f>Ruimtestaat[[#This Row],[kosten / jaar weekend]]+Ruimtestaat[[#This Row],[kosten / jaar werkdagen]]</f>
        <v>0</v>
      </c>
      <c r="AG192" s="130"/>
      <c r="AH192" s="137" t="str">
        <f>IF(Ruimtestaat[[#This Row],[Frequentie werkdagen]]="","",_xlfn.CONCAT(Ruimtestaat[[#This Row],[Ruimte code]],"-",Ruimtestaat[[#This Row],[Frequentie werkdagen]]," ",Ruimtestaat[[#This Row],[Vloer code]]))</f>
        <v>6-5w T</v>
      </c>
      <c r="AI192" s="142" t="str">
        <f>_xlfn.IFNA(VLOOKUP($AH192,Programma!$F$3:$G$1101,2,0),"")</f>
        <v>_</v>
      </c>
      <c r="AJ192" s="142" t="str">
        <f>_xlfn.IFNA(VLOOKUP($AH192,Programma!$F$3:$H$1101,3,0),"")</f>
        <v>5w</v>
      </c>
      <c r="AK192" s="142" t="str">
        <f>_xlfn.IFNA(VLOOKUP($AH192,Programma!$F$3:$I$1101,4,0),"")</f>
        <v>_</v>
      </c>
      <c r="AL192" s="142" t="str">
        <f>_xlfn.IFNA(VLOOKUP($AH192,Programma!$F$3:$J$1101,5,0),"")</f>
        <v>_</v>
      </c>
      <c r="AM192" s="142" t="str">
        <f>_xlfn.IFNA(VLOOKUP($AH192,Programma!$F$3:$K$1101,6,0),"")</f>
        <v>_</v>
      </c>
      <c r="AN192" s="142" t="str">
        <f>_xlfn.IFNA(VLOOKUP($AH192,Programma!$F$3:$L$1101,7,0),"")</f>
        <v>_</v>
      </c>
      <c r="AO192" s="142" t="str">
        <f>_xlfn.IFNA(VLOOKUP($AH192,Programma!$F$3:$M$1101,8,0),"")</f>
        <v>_</v>
      </c>
      <c r="AP192" s="142" t="str">
        <f>_xlfn.IFNA(VLOOKUP($AH192,Programma!$F$3:$N$1101,9,0),"")</f>
        <v>_</v>
      </c>
      <c r="AQ192" s="142" t="str">
        <f>_xlfn.IFNA(VLOOKUP($AH192,Programma!$F$3:$O$1101,10,0),"")</f>
        <v>5w</v>
      </c>
      <c r="AR192" s="142" t="str">
        <f>_xlfn.IFNA(VLOOKUP($AH192,Programma!$F$3:$P$1101,11,0),"")</f>
        <v>5w</v>
      </c>
      <c r="AS192" s="142" t="str">
        <f>_xlfn.IFNA(VLOOKUP($AH192,Programma!$F$3:$Q$1101,12,0),"")</f>
        <v>1w</v>
      </c>
      <c r="AT192" s="142" t="str">
        <f>_xlfn.IFNA(VLOOKUP($AH192,Programma!$F$3:$R$1101,13,0),"")</f>
        <v>1w</v>
      </c>
      <c r="AU192" s="142" t="str">
        <f>_xlfn.IFNA(VLOOKUP($AH192,Programma!$F$3:$S$1101,14,0),"")</f>
        <v>1m</v>
      </c>
      <c r="AV192" s="142" t="str">
        <f>_xlfn.IFNA(VLOOKUP($AH192,Programma!$F$3:$T$1101,15,0),"")</f>
        <v>2j</v>
      </c>
      <c r="AW192" s="142" t="str">
        <f>_xlfn.IFNA(VLOOKUP($AH192,Programma!$F$3:$U$1101,16,0),"")</f>
        <v>1j</v>
      </c>
      <c r="AX192" s="142" t="str">
        <f>_xlfn.IFNA(VLOOKUP($AH192,Programma!$F$3:$V$1101,17,0),"")</f>
        <v>_</v>
      </c>
      <c r="AY192" s="142" t="str">
        <f>_xlfn.IFNA(VLOOKUP($AH192,Programma!$F$3:$W$1101,18,0),"")</f>
        <v>_</v>
      </c>
      <c r="AZ192" s="142" t="str">
        <f>_xlfn.IFNA(VLOOKUP($AH192,Programma!$F$3:$X$1101,19,0),"")</f>
        <v>_</v>
      </c>
      <c r="BA192" s="142" t="str">
        <f>_xlfn.IFNA(VLOOKUP($AH192,Programma!$F$3:$Y$1101,20,0),"")</f>
        <v>_</v>
      </c>
      <c r="BB192" s="138"/>
      <c r="BC192" s="137" t="str">
        <f>IF(Ruimtestaat[[#This Row],[Frequentie weekend]]="","",_xlfn.CONCAT(Ruimtestaat[[#This Row],[Ruimte code]],"-",Ruimtestaat[[#This Row],[Frequentie weekend]]," ",Ruimtestaat[[#This Row],[Vloer code]]))</f>
        <v/>
      </c>
      <c r="BD192" s="142" t="str">
        <f>_xlfn.IFNA(VLOOKUP($BC192,Programma!$F$3:$G$1101,2,0),"")</f>
        <v/>
      </c>
      <c r="BE192" s="142" t="str">
        <f>_xlfn.IFNA(VLOOKUP($BC192,Programma!$F$3:$H$1101,3,0),"")</f>
        <v/>
      </c>
      <c r="BF192" s="142" t="str">
        <f>_xlfn.IFNA(VLOOKUP($BC192,Programma!$F$3:$I$1101,4,0),"")</f>
        <v/>
      </c>
      <c r="BG192" s="142" t="str">
        <f>_xlfn.IFNA(VLOOKUP($BC192,Programma!$F$3:$J$1101,5,0),"")</f>
        <v/>
      </c>
      <c r="BH192" s="142" t="str">
        <f>_xlfn.IFNA(VLOOKUP($BC192,Programma!$F$3:$K$1101,6,0),"")</f>
        <v/>
      </c>
      <c r="BI192" s="142" t="str">
        <f>_xlfn.IFNA(VLOOKUP($BC192,Programma!$F$3:$L$1101,7,0),"")</f>
        <v/>
      </c>
      <c r="BJ192" s="142" t="str">
        <f>_xlfn.IFNA(VLOOKUP($BC192,Programma!$F$3:$M$1101,8,0),"")</f>
        <v/>
      </c>
      <c r="BK192" s="142" t="str">
        <f>_xlfn.IFNA(VLOOKUP($BC192,Programma!$F$3:$N$1101,9,0),"")</f>
        <v/>
      </c>
      <c r="BL192" s="142" t="str">
        <f>_xlfn.IFNA(VLOOKUP($BC192,Programma!$F$3:$O$1101,10,0),"")</f>
        <v/>
      </c>
      <c r="BM192" s="142" t="str">
        <f>_xlfn.IFNA(VLOOKUP($BC192,Programma!$F$3:$P$1101,11,0),"")</f>
        <v/>
      </c>
      <c r="BN192" s="142" t="str">
        <f>_xlfn.IFNA(VLOOKUP($BC192,Programma!$F$3:$Q$1101,12,0),"")</f>
        <v/>
      </c>
      <c r="BO192" s="142" t="str">
        <f>_xlfn.IFNA(VLOOKUP($BC192,Programma!$F$3:$R$1101,13,0),"")</f>
        <v/>
      </c>
      <c r="BP192" s="142" t="str">
        <f>_xlfn.IFNA(VLOOKUP($BC192,Programma!$F$3:$S$1101,14,0),"")</f>
        <v/>
      </c>
      <c r="BQ192" s="142" t="str">
        <f>_xlfn.IFNA(VLOOKUP($BC192,Programma!$F$3:$T$1101,15,0),"")</f>
        <v/>
      </c>
      <c r="BR192" s="142" t="str">
        <f>_xlfn.IFNA(VLOOKUP($BC192,Programma!$F$3:$U$1101,16,0),"")</f>
        <v/>
      </c>
      <c r="BS192" s="142" t="str">
        <f>_xlfn.IFNA(VLOOKUP($BC192,Programma!$F$3:$V$1101,17,0),"")</f>
        <v/>
      </c>
      <c r="BT192" s="142" t="str">
        <f>_xlfn.IFNA(VLOOKUP($BC192,Programma!$F$3:$W$1101,18,0),"")</f>
        <v/>
      </c>
      <c r="BU192" s="142" t="str">
        <f>_xlfn.IFNA(VLOOKUP($BC192,Programma!$F$3:$X$1101,19,0),"")</f>
        <v/>
      </c>
      <c r="BV192" s="142" t="str">
        <f>_xlfn.IFNA(VLOOKUP($BC192,Programma!$F$3:$Y$1101,20,0),"")</f>
        <v/>
      </c>
      <c r="BW192" s="28"/>
      <c r="BX192" s="28"/>
      <c r="BY192" s="28"/>
      <c r="BZ192" s="28"/>
      <c r="CA192" s="28"/>
      <c r="CB192" s="28"/>
      <c r="CC192" s="28"/>
      <c r="CD192" s="28"/>
      <c r="CE192" s="28"/>
      <c r="CF192" s="28"/>
      <c r="CG192" s="28"/>
      <c r="CH192" s="28"/>
      <c r="CI192" s="28"/>
      <c r="CJ192" s="28"/>
      <c r="CK192" s="28"/>
      <c r="CL192" s="28"/>
      <c r="CM192" s="28"/>
      <c r="CN192" s="28"/>
      <c r="CO192" s="28"/>
      <c r="CP192" s="28"/>
      <c r="CQ192" s="28"/>
      <c r="CR192" s="28"/>
      <c r="CS192" s="28"/>
      <c r="CT192" s="28"/>
      <c r="CU192" s="28"/>
      <c r="CV192" s="28"/>
      <c r="CW192" s="28"/>
      <c r="CX192" s="28"/>
      <c r="CY192" s="28"/>
      <c r="CZ192" s="28"/>
      <c r="DA192" s="28"/>
      <c r="DB192" s="28"/>
      <c r="DC192" s="28"/>
      <c r="DD192" s="28"/>
      <c r="DE192" s="28"/>
      <c r="DF192" s="28"/>
      <c r="DG192" s="28"/>
      <c r="DH192" s="28"/>
      <c r="DI192" s="28"/>
      <c r="DJ192" s="28"/>
      <c r="DK192" s="28"/>
      <c r="DL192" s="28"/>
      <c r="DM192" s="28"/>
      <c r="DN192" s="28"/>
      <c r="DO192" s="28"/>
      <c r="DP192" s="28"/>
      <c r="DQ192" s="28"/>
      <c r="DR192" s="28"/>
      <c r="DS192" s="28"/>
      <c r="DT192" s="28"/>
      <c r="DU192" s="28"/>
      <c r="DV192" s="28"/>
      <c r="DW192" s="28"/>
      <c r="DX192" s="28"/>
      <c r="DY192" s="28"/>
      <c r="DZ192" s="28"/>
      <c r="EA192" s="28"/>
      <c r="EB192" s="28"/>
      <c r="EC192" s="28"/>
      <c r="ED192" s="28"/>
      <c r="EE192" s="28"/>
      <c r="EF192" s="28"/>
      <c r="EG192" s="28"/>
      <c r="EH192" s="28"/>
      <c r="EI192" s="28"/>
      <c r="EJ192" s="28"/>
      <c r="EK192" s="28"/>
      <c r="EL192" s="28"/>
      <c r="EM192" s="28"/>
      <c r="EN192" s="28"/>
      <c r="EO192" s="28"/>
      <c r="EP192" s="28"/>
      <c r="EQ192" s="28"/>
      <c r="ER192" s="28"/>
      <c r="ES192" s="28"/>
      <c r="ET192" s="28"/>
      <c r="EU192" s="28"/>
      <c r="EV192" s="28"/>
      <c r="EW192" s="28"/>
      <c r="EX192" s="28"/>
      <c r="EY192" s="28"/>
      <c r="EZ192" s="28"/>
      <c r="FA192" s="28"/>
      <c r="FB192" s="28"/>
      <c r="FC192" s="28"/>
      <c r="FD192" s="28"/>
      <c r="FE192" s="28"/>
      <c r="FF192" s="28"/>
      <c r="FG192" s="28"/>
      <c r="FH192" s="28"/>
      <c r="FI192" s="28"/>
      <c r="FJ192" s="28"/>
      <c r="FK192" s="28"/>
      <c r="FL192" s="28"/>
      <c r="FM192" s="28"/>
      <c r="FN192" s="28"/>
      <c r="FO192" s="28"/>
      <c r="FP192" s="28"/>
      <c r="FQ192" s="28"/>
      <c r="FR192" s="28"/>
      <c r="FS192" s="28"/>
      <c r="FT192" s="28"/>
      <c r="FU192" s="28"/>
      <c r="FV192" s="28"/>
      <c r="FW192" s="28"/>
      <c r="FX192" s="28"/>
      <c r="FY192" s="28"/>
      <c r="FZ192" s="28"/>
      <c r="GA192" s="28"/>
      <c r="GB192" s="28"/>
      <c r="GC192" s="28"/>
      <c r="GD192" s="28"/>
      <c r="GE192" s="28"/>
      <c r="GF192" s="28"/>
      <c r="GG192" s="28"/>
      <c r="GH192" s="28"/>
      <c r="GI192" s="28"/>
      <c r="GJ192" s="28"/>
      <c r="GK192" s="28"/>
      <c r="GL192" s="28"/>
      <c r="GM192" s="28"/>
      <c r="GN192" s="28"/>
      <c r="GO192" s="28"/>
      <c r="GP192" s="28"/>
      <c r="GQ192" s="28"/>
      <c r="GR192" s="28"/>
      <c r="GS192" s="28"/>
      <c r="GT192" s="28"/>
      <c r="GU192" s="28"/>
      <c r="GV192" s="28"/>
      <c r="GW192" s="28"/>
      <c r="GX192" s="28"/>
      <c r="GY192" s="28"/>
      <c r="GZ192" s="28"/>
      <c r="HA192" s="28"/>
      <c r="HB192" s="28"/>
      <c r="HC192" s="28"/>
      <c r="HD192" s="28"/>
      <c r="HE192" s="28"/>
      <c r="HF192" s="28"/>
      <c r="HG192" s="28"/>
      <c r="HH192" s="28"/>
      <c r="HI192" s="28"/>
      <c r="HJ192" s="28"/>
      <c r="HK192" s="28"/>
    </row>
    <row r="193" spans="1:219" ht="15" customHeight="1">
      <c r="A193" s="49">
        <v>1</v>
      </c>
      <c r="B193" s="132" t="str">
        <f>VLOOKUP(Ruimtestaat[[#This Row],[Code]],Locaties[[Code]:[Locatie]],2,FALSE)</f>
        <v>Mirtehuis</v>
      </c>
      <c r="C193" s="132" t="str">
        <f>VLOOKUP(Ruimtestaat[[#This Row],[Code]],Locaties[[#All],[Code]:[Adres]],4,FALSE)</f>
        <v>Weseperweg 6</v>
      </c>
      <c r="D193" s="132" t="str">
        <f>VLOOKUP(Ruimtestaat[[#This Row],[Code]],Locaties[[#All],[Code]:[Postcode]],5,FALSE)</f>
        <v>8111 PK</v>
      </c>
      <c r="E193" s="132" t="str">
        <f>VLOOKUP(Ruimtestaat[[#This Row],[Code]],Locaties[#All],6,FALSE)</f>
        <v>Heeten</v>
      </c>
      <c r="F193" s="100"/>
      <c r="G193" s="100" t="s">
        <v>1691</v>
      </c>
      <c r="I193" s="140" t="s">
        <v>1668</v>
      </c>
      <c r="J193" s="100">
        <v>5</v>
      </c>
      <c r="K193" s="140" t="str">
        <f>VLOOKUP(Ruimtestaat[[#This Row],[Ruimte code]],Ruimtegroepen[[#All],[Code]:[Ruimte omschrijving]],2,FALSE)</f>
        <v>Sanitair</v>
      </c>
      <c r="L193" s="100" t="s">
        <v>101</v>
      </c>
      <c r="M193" s="345" t="s">
        <v>1642</v>
      </c>
      <c r="N193" s="133">
        <v>1.75</v>
      </c>
      <c r="O193" s="100"/>
      <c r="P193" s="134" t="str">
        <f>VLOOKUP(Ruimtestaat[[#This Row],[Ruimte code]],Ruimtegroepen[],4,FALSE)</f>
        <v>Sa</v>
      </c>
      <c r="Q193" s="100">
        <v>51</v>
      </c>
      <c r="R193" s="100" t="s">
        <v>2</v>
      </c>
      <c r="S193" s="100">
        <f>IF(Q193&gt;0,IF(RIGHT(Ruimtestaat[[#This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93" s="100">
        <f>IF(S193&gt;0,VLOOKUP($J193,Ruimtegroepen[],3,FALSE)*VLOOKUP($L193,Vloersoorten[],3,FALSE)*VLOOKUP($R193,Frequenties[],3,FALSE)*VLOOKUP($A193,Locaties[],3,FALSE),0)</f>
        <v>0</v>
      </c>
      <c r="U193" s="100">
        <f>Ruimtestaat[[#This Row],[Uitvoeringen werkdagen]]*Ruimtestaat[[#This Row],[Oppervlak (netto)]]</f>
        <v>446.25</v>
      </c>
      <c r="V193" s="135">
        <f>IF(T193&gt;0,Ruimtestaat[[#This Row],[Prest. (m2 /jaar) werkdagen]]/Ruimtestaat[[#This Row],[Norm (m2/uur) werkdagen]],0)</f>
        <v>0</v>
      </c>
      <c r="W193" s="136">
        <f>Ruimtestaat[[#This Row],[uren / jaar werkdagen]]*Tariefsopbouw!$E$35</f>
        <v>0</v>
      </c>
      <c r="X193" s="100"/>
      <c r="Y193" s="100">
        <f>IF(Ruimtestaat[[#This Row],[Frequentie weekend]]&gt;0,VALUE(LEFT(X193,1))*Q193,0)</f>
        <v>0</v>
      </c>
      <c r="Z193" s="99">
        <f>IF($Y193&gt;0,VLOOKUP($J193,Ruimtegroepen[],3,FALSE)*VLOOKUP($L193,Vloersoorten[],3,FALSE)*VLOOKUP($X193,Frequenties[],3,FALSE)*VLOOKUP(Ruimtestaat[[#This Row],[Code]],Locaties[],3,FALSE),0)</f>
        <v>0</v>
      </c>
      <c r="AA193" s="99">
        <f>Ruimtestaat[[#This Row],[Uitvoeringen weekend]]*Ruimtestaat[[#This Row],[Oppervlak (netto)]]</f>
        <v>0</v>
      </c>
      <c r="AB193" s="99">
        <f>IF(Z193&gt;0,Ruimtestaat[[#This Row],[Prest. (m2 /jaar) weekend]]/Ruimtestaat[[#This Row],[Norm (m2/uur) weekend]],0)</f>
        <v>0</v>
      </c>
      <c r="AC193" s="136">
        <f>Ruimtestaat[[#This Row],[uren / jaar weekend]]*Tariefsopbouw!$D$40</f>
        <v>0</v>
      </c>
      <c r="AD193" s="135">
        <f>Ruimtestaat[[#This Row],[Prest. (m2 /jaar) weekend]]+Ruimtestaat[[#This Row],[Prest. (m2 /jaar) werkdagen]]</f>
        <v>446.25</v>
      </c>
      <c r="AE193" s="135">
        <f>Ruimtestaat[[#This Row],[uren / jaar weekend]]+Ruimtestaat[[#This Row],[uren / jaar werkdagen]]</f>
        <v>0</v>
      </c>
      <c r="AF193" s="130">
        <f>Ruimtestaat[[#This Row],[kosten / jaar weekend]]+Ruimtestaat[[#This Row],[kosten / jaar werkdagen]]</f>
        <v>0</v>
      </c>
      <c r="AG193" s="130"/>
      <c r="AH193" s="137" t="str">
        <f>IF(Ruimtestaat[[#This Row],[Frequentie werkdagen]]="","",_xlfn.CONCAT(Ruimtestaat[[#This Row],[Ruimte code]],"-",Ruimtestaat[[#This Row],[Frequentie werkdagen]]," ",Ruimtestaat[[#This Row],[Vloer code]]))</f>
        <v>5-5w S</v>
      </c>
      <c r="AI193" s="142" t="str">
        <f>_xlfn.IFNA(VLOOKUP($AH193,Programma!$F$3:$G$1101,2,0),"")</f>
        <v>_</v>
      </c>
      <c r="AJ193" s="142" t="str">
        <f>_xlfn.IFNA(VLOOKUP($AH193,Programma!$F$3:$H$1101,3,0),"")</f>
        <v>_</v>
      </c>
      <c r="AK193" s="142" t="str">
        <f>_xlfn.IFNA(VLOOKUP($AH193,Programma!$F$3:$I$1101,4,0),"")</f>
        <v>_</v>
      </c>
      <c r="AL193" s="142" t="str">
        <f>_xlfn.IFNA(VLOOKUP($AH193,Programma!$F$3:$J$1101,5,0),"")</f>
        <v>4w</v>
      </c>
      <c r="AM193" s="142" t="str">
        <f>_xlfn.IFNA(VLOOKUP($AH193,Programma!$F$3:$K$1101,6,0),"")</f>
        <v>1w</v>
      </c>
      <c r="AN193" s="142" t="str">
        <f>_xlfn.IFNA(VLOOKUP($AH193,Programma!$F$3:$L$1101,7,0),"")</f>
        <v>_</v>
      </c>
      <c r="AO193" s="142" t="str">
        <f>_xlfn.IFNA(VLOOKUP($AH193,Programma!$F$3:$M$1101,8,0),"")</f>
        <v>_</v>
      </c>
      <c r="AP193" s="142" t="str">
        <f>_xlfn.IFNA(VLOOKUP($AH193,Programma!$F$3:$N$1101,9,0),"")</f>
        <v>_</v>
      </c>
      <c r="AQ193" s="142" t="str">
        <f>_xlfn.IFNA(VLOOKUP($AH193,Programma!$F$3:$O$1101,10,0),"")</f>
        <v>_</v>
      </c>
      <c r="AR193" s="142" t="str">
        <f>_xlfn.IFNA(VLOOKUP($AH193,Programma!$F$3:$P$1101,11,0),"")</f>
        <v>_</v>
      </c>
      <c r="AS193" s="142" t="str">
        <f>_xlfn.IFNA(VLOOKUP($AH193,Programma!$F$3:$Q$1101,12,0),"")</f>
        <v>_</v>
      </c>
      <c r="AT193" s="142" t="str">
        <f>_xlfn.IFNA(VLOOKUP($AH193,Programma!$F$3:$R$1101,13,0),"")</f>
        <v>_</v>
      </c>
      <c r="AU193" s="142" t="str">
        <f>_xlfn.IFNA(VLOOKUP($AH193,Programma!$F$3:$S$1101,14,0),"")</f>
        <v>_</v>
      </c>
      <c r="AV193" s="142" t="str">
        <f>_xlfn.IFNA(VLOOKUP($AH193,Programma!$F$3:$T$1101,15,0),"")</f>
        <v>_</v>
      </c>
      <c r="AW193" s="142" t="str">
        <f>_xlfn.IFNA(VLOOKUP($AH193,Programma!$F$3:$U$1101,16,0),"")</f>
        <v>_</v>
      </c>
      <c r="AX193" s="142" t="str">
        <f>_xlfn.IFNA(VLOOKUP($AH193,Programma!$F$3:$V$1101,17,0),"")</f>
        <v>_</v>
      </c>
      <c r="AY193" s="142" t="str">
        <f>_xlfn.IFNA(VLOOKUP($AH193,Programma!$F$3:$W$1101,18,0),"")</f>
        <v>4w</v>
      </c>
      <c r="AZ193" s="142" t="str">
        <f>_xlfn.IFNA(VLOOKUP($AH193,Programma!$F$3:$X$1101,19,0),"")</f>
        <v>1w</v>
      </c>
      <c r="BA193" s="142" t="str">
        <f>_xlfn.IFNA(VLOOKUP($AH193,Programma!$F$3:$Y$1101,20,0),"")</f>
        <v>_</v>
      </c>
      <c r="BB193" s="138"/>
      <c r="BC193" s="137" t="str">
        <f>IF(Ruimtestaat[[#This Row],[Frequentie weekend]]="","",_xlfn.CONCAT(Ruimtestaat[[#This Row],[Ruimte code]],"-",Ruimtestaat[[#This Row],[Frequentie weekend]]," ",Ruimtestaat[[#This Row],[Vloer code]]))</f>
        <v/>
      </c>
      <c r="BD193" s="142" t="str">
        <f>_xlfn.IFNA(VLOOKUP($BC193,Programma!$F$3:$G$1101,2,0),"")</f>
        <v/>
      </c>
      <c r="BE193" s="142" t="str">
        <f>_xlfn.IFNA(VLOOKUP($BC193,Programma!$F$3:$H$1101,3,0),"")</f>
        <v/>
      </c>
      <c r="BF193" s="142" t="str">
        <f>_xlfn.IFNA(VLOOKUP($BC193,Programma!$F$3:$I$1101,4,0),"")</f>
        <v/>
      </c>
      <c r="BG193" s="142" t="str">
        <f>_xlfn.IFNA(VLOOKUP($BC193,Programma!$F$3:$J$1101,5,0),"")</f>
        <v/>
      </c>
      <c r="BH193" s="142" t="str">
        <f>_xlfn.IFNA(VLOOKUP($BC193,Programma!$F$3:$K$1101,6,0),"")</f>
        <v/>
      </c>
      <c r="BI193" s="142" t="str">
        <f>_xlfn.IFNA(VLOOKUP($BC193,Programma!$F$3:$L$1101,7,0),"")</f>
        <v/>
      </c>
      <c r="BJ193" s="142" t="str">
        <f>_xlfn.IFNA(VLOOKUP($BC193,Programma!$F$3:$M$1101,8,0),"")</f>
        <v/>
      </c>
      <c r="BK193" s="142" t="str">
        <f>_xlfn.IFNA(VLOOKUP($BC193,Programma!$F$3:$N$1101,9,0),"")</f>
        <v/>
      </c>
      <c r="BL193" s="142" t="str">
        <f>_xlfn.IFNA(VLOOKUP($BC193,Programma!$F$3:$O$1101,10,0),"")</f>
        <v/>
      </c>
      <c r="BM193" s="142" t="str">
        <f>_xlfn.IFNA(VLOOKUP($BC193,Programma!$F$3:$P$1101,11,0),"")</f>
        <v/>
      </c>
      <c r="BN193" s="142" t="str">
        <f>_xlfn.IFNA(VLOOKUP($BC193,Programma!$F$3:$Q$1101,12,0),"")</f>
        <v/>
      </c>
      <c r="BO193" s="142" t="str">
        <f>_xlfn.IFNA(VLOOKUP($BC193,Programma!$F$3:$R$1101,13,0),"")</f>
        <v/>
      </c>
      <c r="BP193" s="142" t="str">
        <f>_xlfn.IFNA(VLOOKUP($BC193,Programma!$F$3:$S$1101,14,0),"")</f>
        <v/>
      </c>
      <c r="BQ193" s="142" t="str">
        <f>_xlfn.IFNA(VLOOKUP($BC193,Programma!$F$3:$T$1101,15,0),"")</f>
        <v/>
      </c>
      <c r="BR193" s="142" t="str">
        <f>_xlfn.IFNA(VLOOKUP($BC193,Programma!$F$3:$U$1101,16,0),"")</f>
        <v/>
      </c>
      <c r="BS193" s="142" t="str">
        <f>_xlfn.IFNA(VLOOKUP($BC193,Programma!$F$3:$V$1101,17,0),"")</f>
        <v/>
      </c>
      <c r="BT193" s="142" t="str">
        <f>_xlfn.IFNA(VLOOKUP($BC193,Programma!$F$3:$W$1101,18,0),"")</f>
        <v/>
      </c>
      <c r="BU193" s="142" t="str">
        <f>_xlfn.IFNA(VLOOKUP($BC193,Programma!$F$3:$X$1101,19,0),"")</f>
        <v/>
      </c>
      <c r="BV193" s="142" t="str">
        <f>_xlfn.IFNA(VLOOKUP($BC193,Programma!$F$3:$Y$1101,20,0),"")</f>
        <v/>
      </c>
      <c r="BW193" s="28"/>
      <c r="BX193" s="28"/>
      <c r="BY193" s="28"/>
      <c r="BZ193" s="28"/>
      <c r="CA193" s="28"/>
      <c r="CB193" s="28"/>
      <c r="CC193" s="28"/>
      <c r="CD193" s="28"/>
      <c r="CE193" s="28"/>
      <c r="CF193" s="28"/>
      <c r="CG193" s="28"/>
      <c r="CH193" s="28"/>
      <c r="CI193" s="28"/>
      <c r="CJ193" s="28"/>
      <c r="CK193" s="28"/>
      <c r="CL193" s="28"/>
      <c r="CM193" s="28"/>
      <c r="CN193" s="28"/>
      <c r="CO193" s="28"/>
      <c r="CP193" s="28"/>
      <c r="CQ193" s="28"/>
      <c r="CR193" s="28"/>
      <c r="CS193" s="28"/>
      <c r="CT193" s="28"/>
      <c r="CU193" s="28"/>
      <c r="CV193" s="28"/>
      <c r="CW193" s="28"/>
      <c r="CX193" s="28"/>
      <c r="CY193" s="28"/>
      <c r="CZ193" s="28"/>
      <c r="DA193" s="28"/>
      <c r="DB193" s="28"/>
      <c r="DC193" s="28"/>
      <c r="DD193" s="28"/>
      <c r="DE193" s="28"/>
      <c r="DF193" s="28"/>
      <c r="DG193" s="28"/>
      <c r="DH193" s="28"/>
      <c r="DI193" s="28"/>
      <c r="DJ193" s="28"/>
      <c r="DK193" s="28"/>
      <c r="DL193" s="28"/>
      <c r="DM193" s="28"/>
      <c r="DN193" s="28"/>
      <c r="DO193" s="28"/>
      <c r="DP193" s="28"/>
      <c r="DQ193" s="28"/>
      <c r="DR193" s="28"/>
      <c r="DS193" s="28"/>
      <c r="DT193" s="28"/>
      <c r="DU193" s="28"/>
      <c r="DV193" s="28"/>
      <c r="DW193" s="28"/>
      <c r="DX193" s="28"/>
      <c r="DY193" s="28"/>
      <c r="DZ193" s="28"/>
      <c r="EA193" s="28"/>
      <c r="EB193" s="28"/>
      <c r="EC193" s="28"/>
      <c r="ED193" s="28"/>
      <c r="EE193" s="28"/>
      <c r="EF193" s="28"/>
      <c r="EG193" s="28"/>
      <c r="EH193" s="28"/>
      <c r="EI193" s="28"/>
      <c r="EJ193" s="28"/>
      <c r="EK193" s="28"/>
      <c r="EL193" s="28"/>
      <c r="EM193" s="28"/>
      <c r="EN193" s="28"/>
      <c r="EO193" s="28"/>
      <c r="EP193" s="28"/>
      <c r="EQ193" s="28"/>
      <c r="ER193" s="28"/>
      <c r="ES193" s="28"/>
      <c r="ET193" s="28"/>
      <c r="EU193" s="28"/>
      <c r="EV193" s="28"/>
      <c r="EW193" s="28"/>
      <c r="EX193" s="28"/>
      <c r="EY193" s="28"/>
      <c r="EZ193" s="28"/>
      <c r="FA193" s="28"/>
      <c r="FB193" s="28"/>
      <c r="FC193" s="28"/>
      <c r="FD193" s="28"/>
      <c r="FE193" s="28"/>
      <c r="FF193" s="28"/>
      <c r="FG193" s="28"/>
      <c r="FH193" s="28"/>
      <c r="FI193" s="28"/>
      <c r="FJ193" s="28"/>
      <c r="FK193" s="28"/>
      <c r="FL193" s="28"/>
      <c r="FM193" s="28"/>
      <c r="FN193" s="28"/>
      <c r="FO193" s="28"/>
      <c r="FP193" s="28"/>
      <c r="FQ193" s="28"/>
      <c r="FR193" s="28"/>
      <c r="FS193" s="28"/>
      <c r="FT193" s="28"/>
      <c r="FU193" s="28"/>
      <c r="FV193" s="28"/>
      <c r="FW193" s="28"/>
      <c r="FX193" s="28"/>
      <c r="FY193" s="28"/>
      <c r="FZ193" s="28"/>
      <c r="GA193" s="28"/>
      <c r="GB193" s="28"/>
      <c r="GC193" s="28"/>
      <c r="GD193" s="28"/>
      <c r="GE193" s="28"/>
      <c r="GF193" s="28"/>
      <c r="GG193" s="28"/>
      <c r="GH193" s="28"/>
      <c r="GI193" s="28"/>
      <c r="GJ193" s="28"/>
      <c r="GK193" s="28"/>
      <c r="GL193" s="28"/>
      <c r="GM193" s="28"/>
      <c r="GN193" s="28"/>
      <c r="GO193" s="28"/>
      <c r="GP193" s="28"/>
      <c r="GQ193" s="28"/>
      <c r="GR193" s="28"/>
      <c r="GS193" s="28"/>
      <c r="GT193" s="28"/>
      <c r="GU193" s="28"/>
      <c r="GV193" s="28"/>
      <c r="GW193" s="28"/>
      <c r="GX193" s="28"/>
      <c r="GY193" s="28"/>
      <c r="GZ193" s="28"/>
      <c r="HA193" s="28"/>
      <c r="HB193" s="28"/>
      <c r="HC193" s="28"/>
      <c r="HD193" s="28"/>
      <c r="HE193" s="28"/>
      <c r="HF193" s="28"/>
      <c r="HG193" s="28"/>
      <c r="HH193" s="28"/>
      <c r="HI193" s="28"/>
      <c r="HJ193" s="28"/>
      <c r="HK193" s="28"/>
    </row>
    <row r="194" spans="1:219" ht="15" customHeight="1">
      <c r="A194" s="49">
        <v>1</v>
      </c>
      <c r="B194" s="132" t="str">
        <f>VLOOKUP(Ruimtestaat[[#This Row],[Code]],Locaties[[Code]:[Locatie]],2,FALSE)</f>
        <v>Mirtehuis</v>
      </c>
      <c r="C194" s="132" t="str">
        <f>VLOOKUP(Ruimtestaat[[#This Row],[Code]],Locaties[[#All],[Code]:[Adres]],4,FALSE)</f>
        <v>Weseperweg 6</v>
      </c>
      <c r="D194" s="132" t="str">
        <f>VLOOKUP(Ruimtestaat[[#This Row],[Code]],Locaties[[#All],[Code]:[Postcode]],5,FALSE)</f>
        <v>8111 PK</v>
      </c>
      <c r="E194" s="132" t="str">
        <f>VLOOKUP(Ruimtestaat[[#This Row],[Code]],Locaties[#All],6,FALSE)</f>
        <v>Heeten</v>
      </c>
      <c r="F194" s="100"/>
      <c r="G194" s="100"/>
      <c r="H194" s="49">
        <v>20</v>
      </c>
      <c r="I194" s="140" t="s">
        <v>1656</v>
      </c>
      <c r="J194" s="49">
        <v>20</v>
      </c>
      <c r="K194" s="140" t="str">
        <f>VLOOKUP(Ruimtestaat[[#This Row],[Ruimte code]],Ruimtegroepen[[#All],[Code]:[Ruimte omschrijving]],2,FALSE)</f>
        <v>Niet in Onderhoud</v>
      </c>
      <c r="L194" s="100"/>
      <c r="M194" s="345"/>
      <c r="N194" s="133"/>
      <c r="O194" s="139"/>
      <c r="P194" s="134">
        <f>VLOOKUP(Ruimtestaat[[#This Row],[Ruimte code]],Ruimtegroepen[],4,FALSE)</f>
        <v>0</v>
      </c>
      <c r="Q194" s="100"/>
      <c r="R194" s="100"/>
      <c r="S194" s="100">
        <f>IF(Q194&gt;0,IF(RIGHT(Ruimtestaat[[#This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94" s="100">
        <f>IF(S194&gt;0,VLOOKUP($J194,Ruimtegroepen[],3,FALSE)*VLOOKUP($L194,Vloersoorten[],3,FALSE)*VLOOKUP($R194,Frequenties[],3,FALSE)*VLOOKUP($A194,Locaties[],3,FALSE),0)</f>
        <v>0</v>
      </c>
      <c r="U194" s="100">
        <f>Ruimtestaat[[#This Row],[Uitvoeringen werkdagen]]*Ruimtestaat[[#This Row],[Oppervlak (netto)]]</f>
        <v>0</v>
      </c>
      <c r="V194" s="135">
        <f>IF(T194&gt;0,Ruimtestaat[[#This Row],[Prest. (m2 /jaar) werkdagen]]/Ruimtestaat[[#This Row],[Norm (m2/uur) werkdagen]],0)</f>
        <v>0</v>
      </c>
      <c r="W194" s="136">
        <f>Ruimtestaat[[#This Row],[uren / jaar werkdagen]]*Tariefsopbouw!$E$35</f>
        <v>0</v>
      </c>
      <c r="X194" s="100"/>
      <c r="Y194" s="100">
        <f>IF(Ruimtestaat[[#This Row],[Frequentie weekend]]&gt;0,VALUE(LEFT(X194,1))*Q194,0)</f>
        <v>0</v>
      </c>
      <c r="Z194" s="99">
        <f>IF($Y194&gt;0,VLOOKUP($J194,Ruimtegroepen[],3,FALSE)*VLOOKUP($L194,Vloersoorten[],3,FALSE)*VLOOKUP($X194,Frequenties[],3,FALSE)*VLOOKUP(Ruimtestaat[[#This Row],[Code]],Locaties[],3,FALSE),0)</f>
        <v>0</v>
      </c>
      <c r="AA194" s="99">
        <f>Ruimtestaat[[#This Row],[Uitvoeringen weekend]]*Ruimtestaat[[#This Row],[Oppervlak (netto)]]</f>
        <v>0</v>
      </c>
      <c r="AB194" s="99">
        <f>IF(Z194&gt;0,Ruimtestaat[[#This Row],[Prest. (m2 /jaar) weekend]]/Ruimtestaat[[#This Row],[Norm (m2/uur) weekend]],0)</f>
        <v>0</v>
      </c>
      <c r="AC194" s="136">
        <f>Ruimtestaat[[#This Row],[uren / jaar weekend]]*Tariefsopbouw!$D$40</f>
        <v>0</v>
      </c>
      <c r="AD194" s="135">
        <f>Ruimtestaat[[#This Row],[Prest. (m2 /jaar) weekend]]+Ruimtestaat[[#This Row],[Prest. (m2 /jaar) werkdagen]]</f>
        <v>0</v>
      </c>
      <c r="AE194" s="135">
        <f>Ruimtestaat[[#This Row],[uren / jaar weekend]]+Ruimtestaat[[#This Row],[uren / jaar werkdagen]]</f>
        <v>0</v>
      </c>
      <c r="AF194" s="130">
        <f>Ruimtestaat[[#This Row],[kosten / jaar weekend]]+Ruimtestaat[[#This Row],[kosten / jaar werkdagen]]</f>
        <v>0</v>
      </c>
      <c r="AG194" s="130"/>
      <c r="AH194" s="137" t="str">
        <f>IF(Ruimtestaat[[#This Row],[Frequentie werkdagen]]="","",_xlfn.CONCAT(Ruimtestaat[[#This Row],[Ruimte code]],"-",Ruimtestaat[[#This Row],[Frequentie werkdagen]]," ",Ruimtestaat[[#This Row],[Vloer code]]))</f>
        <v/>
      </c>
      <c r="AI194" s="142" t="str">
        <f>_xlfn.IFNA(VLOOKUP($AH194,Programma!$F$3:$G$1101,2,0),"")</f>
        <v/>
      </c>
      <c r="AJ194" s="142" t="str">
        <f>_xlfn.IFNA(VLOOKUP($AH194,Programma!$F$3:$H$1101,3,0),"")</f>
        <v/>
      </c>
      <c r="AK194" s="142" t="str">
        <f>_xlfn.IFNA(VLOOKUP($AH194,Programma!$F$3:$I$1101,4,0),"")</f>
        <v/>
      </c>
      <c r="AL194" s="142" t="str">
        <f>_xlfn.IFNA(VLOOKUP($AH194,Programma!$F$3:$J$1101,5,0),"")</f>
        <v/>
      </c>
      <c r="AM194" s="142" t="str">
        <f>_xlfn.IFNA(VLOOKUP($AH194,Programma!$F$3:$K$1101,6,0),"")</f>
        <v/>
      </c>
      <c r="AN194" s="142" t="str">
        <f>_xlfn.IFNA(VLOOKUP($AH194,Programma!$F$3:$L$1101,7,0),"")</f>
        <v/>
      </c>
      <c r="AO194" s="142" t="str">
        <f>_xlfn.IFNA(VLOOKUP($AH194,Programma!$F$3:$M$1101,8,0),"")</f>
        <v/>
      </c>
      <c r="AP194" s="142" t="str">
        <f>_xlfn.IFNA(VLOOKUP($AH194,Programma!$F$3:$N$1101,9,0),"")</f>
        <v/>
      </c>
      <c r="AQ194" s="142" t="str">
        <f>_xlfn.IFNA(VLOOKUP($AH194,Programma!$F$3:$O$1101,10,0),"")</f>
        <v/>
      </c>
      <c r="AR194" s="142" t="str">
        <f>_xlfn.IFNA(VLOOKUP($AH194,Programma!$F$3:$P$1101,11,0),"")</f>
        <v/>
      </c>
      <c r="AS194" s="142" t="str">
        <f>_xlfn.IFNA(VLOOKUP($AH194,Programma!$F$3:$Q$1101,12,0),"")</f>
        <v/>
      </c>
      <c r="AT194" s="142" t="str">
        <f>_xlfn.IFNA(VLOOKUP($AH194,Programma!$F$3:$R$1101,13,0),"")</f>
        <v/>
      </c>
      <c r="AU194" s="142" t="str">
        <f>_xlfn.IFNA(VLOOKUP($AH194,Programma!$F$3:$S$1101,14,0),"")</f>
        <v/>
      </c>
      <c r="AV194" s="142" t="str">
        <f>_xlfn.IFNA(VLOOKUP($AH194,Programma!$F$3:$T$1101,15,0),"")</f>
        <v/>
      </c>
      <c r="AW194" s="142" t="str">
        <f>_xlfn.IFNA(VLOOKUP($AH194,Programma!$F$3:$U$1101,16,0),"")</f>
        <v/>
      </c>
      <c r="AX194" s="142" t="str">
        <f>_xlfn.IFNA(VLOOKUP($AH194,Programma!$F$3:$V$1101,17,0),"")</f>
        <v/>
      </c>
      <c r="AY194" s="142" t="str">
        <f>_xlfn.IFNA(VLOOKUP($AH194,Programma!$F$3:$W$1101,18,0),"")</f>
        <v/>
      </c>
      <c r="AZ194" s="142" t="str">
        <f>_xlfn.IFNA(VLOOKUP($AH194,Programma!$F$3:$X$1101,19,0),"")</f>
        <v/>
      </c>
      <c r="BA194" s="142" t="str">
        <f>_xlfn.IFNA(VLOOKUP($AH194,Programma!$F$3:$Y$1101,20,0),"")</f>
        <v/>
      </c>
      <c r="BB194" s="138"/>
      <c r="BC194" s="137" t="str">
        <f>IF(Ruimtestaat[[#This Row],[Frequentie weekend]]="","",_xlfn.CONCAT(Ruimtestaat[[#This Row],[Ruimte code]],"-",Ruimtestaat[[#This Row],[Frequentie weekend]]," ",Ruimtestaat[[#This Row],[Vloer code]]))</f>
        <v/>
      </c>
      <c r="BD194" s="142" t="str">
        <f>_xlfn.IFNA(VLOOKUP($BC194,Programma!$F$3:$G$1101,2,0),"")</f>
        <v/>
      </c>
      <c r="BE194" s="142" t="str">
        <f>_xlfn.IFNA(VLOOKUP($BC194,Programma!$F$3:$H$1101,3,0),"")</f>
        <v/>
      </c>
      <c r="BF194" s="142" t="str">
        <f>_xlfn.IFNA(VLOOKUP($BC194,Programma!$F$3:$I$1101,4,0),"")</f>
        <v/>
      </c>
      <c r="BG194" s="142" t="str">
        <f>_xlfn.IFNA(VLOOKUP($BC194,Programma!$F$3:$J$1101,5,0),"")</f>
        <v/>
      </c>
      <c r="BH194" s="142" t="str">
        <f>_xlfn.IFNA(VLOOKUP($BC194,Programma!$F$3:$K$1101,6,0),"")</f>
        <v/>
      </c>
      <c r="BI194" s="142" t="str">
        <f>_xlfn.IFNA(VLOOKUP($BC194,Programma!$F$3:$L$1101,7,0),"")</f>
        <v/>
      </c>
      <c r="BJ194" s="142" t="str">
        <f>_xlfn.IFNA(VLOOKUP($BC194,Programma!$F$3:$M$1101,8,0),"")</f>
        <v/>
      </c>
      <c r="BK194" s="142" t="str">
        <f>_xlfn.IFNA(VLOOKUP($BC194,Programma!$F$3:$N$1101,9,0),"")</f>
        <v/>
      </c>
      <c r="BL194" s="142" t="str">
        <f>_xlfn.IFNA(VLOOKUP($BC194,Programma!$F$3:$O$1101,10,0),"")</f>
        <v/>
      </c>
      <c r="BM194" s="142" t="str">
        <f>_xlfn.IFNA(VLOOKUP($BC194,Programma!$F$3:$P$1101,11,0),"")</f>
        <v/>
      </c>
      <c r="BN194" s="142" t="str">
        <f>_xlfn.IFNA(VLOOKUP($BC194,Programma!$F$3:$Q$1101,12,0),"")</f>
        <v/>
      </c>
      <c r="BO194" s="142" t="str">
        <f>_xlfn.IFNA(VLOOKUP($BC194,Programma!$F$3:$R$1101,13,0),"")</f>
        <v/>
      </c>
      <c r="BP194" s="142" t="str">
        <f>_xlfn.IFNA(VLOOKUP($BC194,Programma!$F$3:$S$1101,14,0),"")</f>
        <v/>
      </c>
      <c r="BQ194" s="142" t="str">
        <f>_xlfn.IFNA(VLOOKUP($BC194,Programma!$F$3:$T$1101,15,0),"")</f>
        <v/>
      </c>
      <c r="BR194" s="142" t="str">
        <f>_xlfn.IFNA(VLOOKUP($BC194,Programma!$F$3:$U$1101,16,0),"")</f>
        <v/>
      </c>
      <c r="BS194" s="142" t="str">
        <f>_xlfn.IFNA(VLOOKUP($BC194,Programma!$F$3:$V$1101,17,0),"")</f>
        <v/>
      </c>
      <c r="BT194" s="142" t="str">
        <f>_xlfn.IFNA(VLOOKUP($BC194,Programma!$F$3:$W$1101,18,0),"")</f>
        <v/>
      </c>
      <c r="BU194" s="142" t="str">
        <f>_xlfn.IFNA(VLOOKUP($BC194,Programma!$F$3:$X$1101,19,0),"")</f>
        <v/>
      </c>
      <c r="BV194" s="142" t="str">
        <f>_xlfn.IFNA(VLOOKUP($BC194,Programma!$F$3:$Y$1101,20,0),"")</f>
        <v/>
      </c>
      <c r="BW194" s="28"/>
      <c r="BX194" s="28"/>
      <c r="BY194" s="28"/>
      <c r="BZ194" s="28"/>
      <c r="CA194" s="28"/>
      <c r="CB194" s="28"/>
      <c r="CC194" s="28"/>
      <c r="CD194" s="28"/>
      <c r="CE194" s="28"/>
      <c r="CF194" s="28"/>
      <c r="CG194" s="28"/>
      <c r="CH194" s="28"/>
      <c r="CI194" s="28"/>
      <c r="CJ194" s="28"/>
      <c r="CK194" s="28"/>
      <c r="CL194" s="28"/>
      <c r="CM194" s="28"/>
      <c r="CN194" s="28"/>
      <c r="CO194" s="28"/>
      <c r="CP194" s="28"/>
      <c r="CQ194" s="28"/>
      <c r="CR194" s="28"/>
      <c r="CS194" s="28"/>
      <c r="CT194" s="28"/>
      <c r="CU194" s="28"/>
      <c r="CV194" s="28"/>
      <c r="CW194" s="28"/>
      <c r="CX194" s="28"/>
      <c r="CY194" s="28"/>
      <c r="CZ194" s="28"/>
      <c r="DA194" s="28"/>
      <c r="DB194" s="28"/>
      <c r="DC194" s="28"/>
      <c r="DD194" s="28"/>
      <c r="DE194" s="28"/>
      <c r="DF194" s="28"/>
      <c r="DG194" s="28"/>
      <c r="DH194" s="28"/>
      <c r="DI194" s="28"/>
      <c r="DJ194" s="28"/>
      <c r="DK194" s="28"/>
      <c r="DL194" s="28"/>
      <c r="DM194" s="28"/>
      <c r="DN194" s="28"/>
      <c r="DO194" s="28"/>
      <c r="DP194" s="28"/>
      <c r="DQ194" s="28"/>
      <c r="DR194" s="28"/>
      <c r="DS194" s="28"/>
      <c r="DT194" s="28"/>
      <c r="DU194" s="28"/>
      <c r="DV194" s="28"/>
      <c r="DW194" s="28"/>
      <c r="DX194" s="28"/>
      <c r="DY194" s="28"/>
      <c r="DZ194" s="28"/>
      <c r="EA194" s="28"/>
      <c r="EB194" s="28"/>
      <c r="EC194" s="28"/>
      <c r="ED194" s="28"/>
      <c r="EE194" s="28"/>
      <c r="EF194" s="28"/>
      <c r="EG194" s="28"/>
      <c r="EH194" s="28"/>
      <c r="EI194" s="28"/>
      <c r="EJ194" s="28"/>
      <c r="EK194" s="28"/>
      <c r="EL194" s="28"/>
      <c r="EM194" s="28"/>
      <c r="EN194" s="28"/>
      <c r="EO194" s="28"/>
      <c r="EP194" s="28"/>
      <c r="EQ194" s="28"/>
      <c r="ER194" s="28"/>
      <c r="ES194" s="28"/>
      <c r="ET194" s="28"/>
      <c r="EU194" s="28"/>
      <c r="EV194" s="28"/>
      <c r="EW194" s="28"/>
      <c r="EX194" s="28"/>
      <c r="EY194" s="28"/>
      <c r="EZ194" s="28"/>
      <c r="FA194" s="28"/>
      <c r="FB194" s="28"/>
      <c r="FC194" s="28"/>
      <c r="FD194" s="28"/>
      <c r="FE194" s="28"/>
      <c r="FF194" s="28"/>
      <c r="FG194" s="28"/>
      <c r="FH194" s="28"/>
      <c r="FI194" s="28"/>
      <c r="FJ194" s="28"/>
      <c r="FK194" s="28"/>
      <c r="FL194" s="28"/>
      <c r="FM194" s="28"/>
      <c r="FN194" s="28"/>
      <c r="FO194" s="28"/>
      <c r="FP194" s="28"/>
      <c r="FQ194" s="28"/>
      <c r="FR194" s="28"/>
      <c r="FS194" s="28"/>
      <c r="FT194" s="28"/>
      <c r="FU194" s="28"/>
      <c r="FV194" s="28"/>
      <c r="FW194" s="28"/>
      <c r="FX194" s="28"/>
      <c r="FY194" s="28"/>
      <c r="FZ194" s="28"/>
      <c r="GA194" s="28"/>
      <c r="GB194" s="28"/>
      <c r="GC194" s="28"/>
      <c r="GD194" s="28"/>
      <c r="GE194" s="28"/>
      <c r="GF194" s="28"/>
      <c r="GG194" s="28"/>
      <c r="GH194" s="28"/>
      <c r="GI194" s="28"/>
      <c r="GJ194" s="28"/>
      <c r="GK194" s="28"/>
      <c r="GL194" s="28"/>
      <c r="GM194" s="28"/>
      <c r="GN194" s="28"/>
      <c r="GO194" s="28"/>
      <c r="GP194" s="28"/>
      <c r="GQ194" s="28"/>
      <c r="GR194" s="28"/>
      <c r="GS194" s="28"/>
      <c r="GT194" s="28"/>
      <c r="GU194" s="28"/>
      <c r="GV194" s="28"/>
      <c r="GW194" s="28"/>
      <c r="GX194" s="28"/>
      <c r="GY194" s="28"/>
      <c r="GZ194" s="28"/>
      <c r="HA194" s="28"/>
      <c r="HB194" s="28"/>
      <c r="HC194" s="28"/>
      <c r="HD194" s="28"/>
      <c r="HE194" s="28"/>
      <c r="HF194" s="28"/>
      <c r="HG194" s="28"/>
      <c r="HH194" s="28"/>
      <c r="HI194" s="28"/>
      <c r="HJ194" s="28"/>
      <c r="HK194" s="28"/>
    </row>
    <row r="195" spans="1:219" ht="15" customHeight="1">
      <c r="A195" s="49">
        <v>1</v>
      </c>
      <c r="B195" s="132" t="str">
        <f>VLOOKUP(Ruimtestaat[[#This Row],[Code]],Locaties[[Code]:[Locatie]],2,FALSE)</f>
        <v>Mirtehuis</v>
      </c>
      <c r="C195" s="132" t="str">
        <f>VLOOKUP(Ruimtestaat[[#This Row],[Code]],Locaties[[#All],[Code]:[Adres]],4,FALSE)</f>
        <v>Weseperweg 6</v>
      </c>
      <c r="D195" s="132" t="str">
        <f>VLOOKUP(Ruimtestaat[[#This Row],[Code]],Locaties[[#All],[Code]:[Postcode]],5,FALSE)</f>
        <v>8111 PK</v>
      </c>
      <c r="E195" s="132" t="str">
        <f>VLOOKUP(Ruimtestaat[[#This Row],[Code]],Locaties[#All],6,FALSE)</f>
        <v>Heeten</v>
      </c>
      <c r="F195" s="100"/>
      <c r="G195" s="100"/>
      <c r="H195" s="49">
        <v>19</v>
      </c>
      <c r="I195" s="140" t="s">
        <v>1656</v>
      </c>
      <c r="J195" s="49">
        <v>20</v>
      </c>
      <c r="K195" s="140" t="str">
        <f>VLOOKUP(Ruimtestaat[[#This Row],[Ruimte code]],Ruimtegroepen[[#All],[Code]:[Ruimte omschrijving]],2,FALSE)</f>
        <v>Niet in Onderhoud</v>
      </c>
      <c r="L195" s="100"/>
      <c r="M195" s="345"/>
      <c r="N195" s="133"/>
      <c r="O195" s="139"/>
      <c r="P195" s="134">
        <f>VLOOKUP(Ruimtestaat[[#This Row],[Ruimte code]],Ruimtegroepen[],4,FALSE)</f>
        <v>0</v>
      </c>
      <c r="Q195" s="100"/>
      <c r="R195" s="100"/>
      <c r="S195" s="100">
        <f>IF(Q195&gt;0,IF(RIGHT(Ruimtestaat[[#This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95" s="100">
        <f>IF(S195&gt;0,VLOOKUP($J195,Ruimtegroepen[],3,FALSE)*VLOOKUP($L195,Vloersoorten[],3,FALSE)*VLOOKUP($R195,Frequenties[],3,FALSE)*VLOOKUP($A195,Locaties[],3,FALSE),0)</f>
        <v>0</v>
      </c>
      <c r="U195" s="100">
        <f>Ruimtestaat[[#This Row],[Uitvoeringen werkdagen]]*Ruimtestaat[[#This Row],[Oppervlak (netto)]]</f>
        <v>0</v>
      </c>
      <c r="V195" s="135">
        <f>IF(T195&gt;0,Ruimtestaat[[#This Row],[Prest. (m2 /jaar) werkdagen]]/Ruimtestaat[[#This Row],[Norm (m2/uur) werkdagen]],0)</f>
        <v>0</v>
      </c>
      <c r="W195" s="136">
        <f>Ruimtestaat[[#This Row],[uren / jaar werkdagen]]*Tariefsopbouw!$E$35</f>
        <v>0</v>
      </c>
      <c r="X195" s="100"/>
      <c r="Y195" s="100">
        <f>IF(Ruimtestaat[[#This Row],[Frequentie weekend]]&gt;0,VALUE(LEFT(X195,1))*Q195,0)</f>
        <v>0</v>
      </c>
      <c r="Z195" s="99">
        <f>IF($Y195&gt;0,VLOOKUP($J195,Ruimtegroepen[],3,FALSE)*VLOOKUP($L195,Vloersoorten[],3,FALSE)*VLOOKUP($X195,Frequenties[],3,FALSE)*VLOOKUP(Ruimtestaat[[#This Row],[Code]],Locaties[],3,FALSE),0)</f>
        <v>0</v>
      </c>
      <c r="AA195" s="99">
        <f>Ruimtestaat[[#This Row],[Uitvoeringen weekend]]*Ruimtestaat[[#This Row],[Oppervlak (netto)]]</f>
        <v>0</v>
      </c>
      <c r="AB195" s="99">
        <f>IF(Z195&gt;0,Ruimtestaat[[#This Row],[Prest. (m2 /jaar) weekend]]/Ruimtestaat[[#This Row],[Norm (m2/uur) weekend]],0)</f>
        <v>0</v>
      </c>
      <c r="AC195" s="136">
        <f>Ruimtestaat[[#This Row],[uren / jaar weekend]]*Tariefsopbouw!$D$40</f>
        <v>0</v>
      </c>
      <c r="AD195" s="135">
        <f>Ruimtestaat[[#This Row],[Prest. (m2 /jaar) weekend]]+Ruimtestaat[[#This Row],[Prest. (m2 /jaar) werkdagen]]</f>
        <v>0</v>
      </c>
      <c r="AE195" s="135">
        <f>Ruimtestaat[[#This Row],[uren / jaar weekend]]+Ruimtestaat[[#This Row],[uren / jaar werkdagen]]</f>
        <v>0</v>
      </c>
      <c r="AF195" s="130">
        <f>Ruimtestaat[[#This Row],[kosten / jaar weekend]]+Ruimtestaat[[#This Row],[kosten / jaar werkdagen]]</f>
        <v>0</v>
      </c>
      <c r="AG195" s="130"/>
      <c r="AH195" s="137" t="str">
        <f>IF(Ruimtestaat[[#This Row],[Frequentie werkdagen]]="","",_xlfn.CONCAT(Ruimtestaat[[#This Row],[Ruimte code]],"-",Ruimtestaat[[#This Row],[Frequentie werkdagen]]," ",Ruimtestaat[[#This Row],[Vloer code]]))</f>
        <v/>
      </c>
      <c r="AI195" s="142" t="str">
        <f>_xlfn.IFNA(VLOOKUP($AH195,Programma!$F$3:$G$1101,2,0),"")</f>
        <v/>
      </c>
      <c r="AJ195" s="142" t="str">
        <f>_xlfn.IFNA(VLOOKUP($AH195,Programma!$F$3:$H$1101,3,0),"")</f>
        <v/>
      </c>
      <c r="AK195" s="142" t="str">
        <f>_xlfn.IFNA(VLOOKUP($AH195,Programma!$F$3:$I$1101,4,0),"")</f>
        <v/>
      </c>
      <c r="AL195" s="142" t="str">
        <f>_xlfn.IFNA(VLOOKUP($AH195,Programma!$F$3:$J$1101,5,0),"")</f>
        <v/>
      </c>
      <c r="AM195" s="142" t="str">
        <f>_xlfn.IFNA(VLOOKUP($AH195,Programma!$F$3:$K$1101,6,0),"")</f>
        <v/>
      </c>
      <c r="AN195" s="142" t="str">
        <f>_xlfn.IFNA(VLOOKUP($AH195,Programma!$F$3:$L$1101,7,0),"")</f>
        <v/>
      </c>
      <c r="AO195" s="142" t="str">
        <f>_xlfn.IFNA(VLOOKUP($AH195,Programma!$F$3:$M$1101,8,0),"")</f>
        <v/>
      </c>
      <c r="AP195" s="142" t="str">
        <f>_xlfn.IFNA(VLOOKUP($AH195,Programma!$F$3:$N$1101,9,0),"")</f>
        <v/>
      </c>
      <c r="AQ195" s="142" t="str">
        <f>_xlfn.IFNA(VLOOKUP($AH195,Programma!$F$3:$O$1101,10,0),"")</f>
        <v/>
      </c>
      <c r="AR195" s="142" t="str">
        <f>_xlfn.IFNA(VLOOKUP($AH195,Programma!$F$3:$P$1101,11,0),"")</f>
        <v/>
      </c>
      <c r="AS195" s="142" t="str">
        <f>_xlfn.IFNA(VLOOKUP($AH195,Programma!$F$3:$Q$1101,12,0),"")</f>
        <v/>
      </c>
      <c r="AT195" s="142" t="str">
        <f>_xlfn.IFNA(VLOOKUP($AH195,Programma!$F$3:$R$1101,13,0),"")</f>
        <v/>
      </c>
      <c r="AU195" s="142" t="str">
        <f>_xlfn.IFNA(VLOOKUP($AH195,Programma!$F$3:$S$1101,14,0),"")</f>
        <v/>
      </c>
      <c r="AV195" s="142" t="str">
        <f>_xlfn.IFNA(VLOOKUP($AH195,Programma!$F$3:$T$1101,15,0),"")</f>
        <v/>
      </c>
      <c r="AW195" s="142" t="str">
        <f>_xlfn.IFNA(VLOOKUP($AH195,Programma!$F$3:$U$1101,16,0),"")</f>
        <v/>
      </c>
      <c r="AX195" s="142" t="str">
        <f>_xlfn.IFNA(VLOOKUP($AH195,Programma!$F$3:$V$1101,17,0),"")</f>
        <v/>
      </c>
      <c r="AY195" s="142" t="str">
        <f>_xlfn.IFNA(VLOOKUP($AH195,Programma!$F$3:$W$1101,18,0),"")</f>
        <v/>
      </c>
      <c r="AZ195" s="142" t="str">
        <f>_xlfn.IFNA(VLOOKUP($AH195,Programma!$F$3:$X$1101,19,0),"")</f>
        <v/>
      </c>
      <c r="BA195" s="142" t="str">
        <f>_xlfn.IFNA(VLOOKUP($AH195,Programma!$F$3:$Y$1101,20,0),"")</f>
        <v/>
      </c>
      <c r="BB195" s="138"/>
      <c r="BC195" s="137" t="str">
        <f>IF(Ruimtestaat[[#This Row],[Frequentie weekend]]="","",_xlfn.CONCAT(Ruimtestaat[[#This Row],[Ruimte code]],"-",Ruimtestaat[[#This Row],[Frequentie weekend]]," ",Ruimtestaat[[#This Row],[Vloer code]]))</f>
        <v/>
      </c>
      <c r="BD195" s="142" t="str">
        <f>_xlfn.IFNA(VLOOKUP($BC195,Programma!$F$3:$G$1101,2,0),"")</f>
        <v/>
      </c>
      <c r="BE195" s="142" t="str">
        <f>_xlfn.IFNA(VLOOKUP($BC195,Programma!$F$3:$H$1101,3,0),"")</f>
        <v/>
      </c>
      <c r="BF195" s="142" t="str">
        <f>_xlfn.IFNA(VLOOKUP($BC195,Programma!$F$3:$I$1101,4,0),"")</f>
        <v/>
      </c>
      <c r="BG195" s="142" t="str">
        <f>_xlfn.IFNA(VLOOKUP($BC195,Programma!$F$3:$J$1101,5,0),"")</f>
        <v/>
      </c>
      <c r="BH195" s="142" t="str">
        <f>_xlfn.IFNA(VLOOKUP($BC195,Programma!$F$3:$K$1101,6,0),"")</f>
        <v/>
      </c>
      <c r="BI195" s="142" t="str">
        <f>_xlfn.IFNA(VLOOKUP($BC195,Programma!$F$3:$L$1101,7,0),"")</f>
        <v/>
      </c>
      <c r="BJ195" s="142" t="str">
        <f>_xlfn.IFNA(VLOOKUP($BC195,Programma!$F$3:$M$1101,8,0),"")</f>
        <v/>
      </c>
      <c r="BK195" s="142" t="str">
        <f>_xlfn.IFNA(VLOOKUP($BC195,Programma!$F$3:$N$1101,9,0),"")</f>
        <v/>
      </c>
      <c r="BL195" s="142" t="str">
        <f>_xlfn.IFNA(VLOOKUP($BC195,Programma!$F$3:$O$1101,10,0),"")</f>
        <v/>
      </c>
      <c r="BM195" s="142" t="str">
        <f>_xlfn.IFNA(VLOOKUP($BC195,Programma!$F$3:$P$1101,11,0),"")</f>
        <v/>
      </c>
      <c r="BN195" s="142" t="str">
        <f>_xlfn.IFNA(VLOOKUP($BC195,Programma!$F$3:$Q$1101,12,0),"")</f>
        <v/>
      </c>
      <c r="BO195" s="142" t="str">
        <f>_xlfn.IFNA(VLOOKUP($BC195,Programma!$F$3:$R$1101,13,0),"")</f>
        <v/>
      </c>
      <c r="BP195" s="142" t="str">
        <f>_xlfn.IFNA(VLOOKUP($BC195,Programma!$F$3:$S$1101,14,0),"")</f>
        <v/>
      </c>
      <c r="BQ195" s="142" t="str">
        <f>_xlfn.IFNA(VLOOKUP($BC195,Programma!$F$3:$T$1101,15,0),"")</f>
        <v/>
      </c>
      <c r="BR195" s="142" t="str">
        <f>_xlfn.IFNA(VLOOKUP($BC195,Programma!$F$3:$U$1101,16,0),"")</f>
        <v/>
      </c>
      <c r="BS195" s="142" t="str">
        <f>_xlfn.IFNA(VLOOKUP($BC195,Programma!$F$3:$V$1101,17,0),"")</f>
        <v/>
      </c>
      <c r="BT195" s="142" t="str">
        <f>_xlfn.IFNA(VLOOKUP($BC195,Programma!$F$3:$W$1101,18,0),"")</f>
        <v/>
      </c>
      <c r="BU195" s="142" t="str">
        <f>_xlfn.IFNA(VLOOKUP($BC195,Programma!$F$3:$X$1101,19,0),"")</f>
        <v/>
      </c>
      <c r="BV195" s="142" t="str">
        <f>_xlfn.IFNA(VLOOKUP($BC195,Programma!$F$3:$Y$1101,20,0),"")</f>
        <v/>
      </c>
      <c r="BW195" s="28"/>
      <c r="BX195" s="28"/>
      <c r="BY195" s="28"/>
      <c r="BZ195" s="28"/>
      <c r="CA195" s="28"/>
      <c r="CB195" s="28"/>
      <c r="CC195" s="28"/>
      <c r="CD195" s="28"/>
      <c r="CE195" s="28"/>
      <c r="CF195" s="28"/>
      <c r="CG195" s="28"/>
      <c r="CH195" s="28"/>
      <c r="CI195" s="28"/>
      <c r="CJ195" s="28"/>
      <c r="CK195" s="28"/>
      <c r="CL195" s="28"/>
      <c r="CM195" s="28"/>
      <c r="CN195" s="28"/>
      <c r="CO195" s="28"/>
      <c r="CP195" s="28"/>
      <c r="CQ195" s="28"/>
      <c r="CR195" s="28"/>
      <c r="CS195" s="28"/>
      <c r="CT195" s="28"/>
      <c r="CU195" s="28"/>
      <c r="CV195" s="28"/>
      <c r="CW195" s="28"/>
      <c r="CX195" s="28"/>
      <c r="CY195" s="28"/>
      <c r="CZ195" s="28"/>
      <c r="DA195" s="28"/>
      <c r="DB195" s="28"/>
      <c r="DC195" s="28"/>
      <c r="DD195" s="28"/>
      <c r="DE195" s="28"/>
      <c r="DF195" s="28"/>
      <c r="DG195" s="28"/>
      <c r="DH195" s="28"/>
      <c r="DI195" s="28"/>
      <c r="DJ195" s="28"/>
      <c r="DK195" s="28"/>
      <c r="DL195" s="28"/>
      <c r="DM195" s="28"/>
      <c r="DN195" s="28"/>
      <c r="DO195" s="28"/>
      <c r="DP195" s="28"/>
      <c r="DQ195" s="28"/>
      <c r="DR195" s="28"/>
      <c r="DS195" s="28"/>
      <c r="DT195" s="28"/>
      <c r="DU195" s="28"/>
      <c r="DV195" s="28"/>
      <c r="DW195" s="28"/>
      <c r="DX195" s="28"/>
      <c r="DY195" s="28"/>
      <c r="DZ195" s="28"/>
      <c r="EA195" s="28"/>
      <c r="EB195" s="28"/>
      <c r="EC195" s="28"/>
      <c r="ED195" s="28"/>
      <c r="EE195" s="28"/>
      <c r="EF195" s="28"/>
      <c r="EG195" s="28"/>
      <c r="EH195" s="28"/>
      <c r="EI195" s="28"/>
      <c r="EJ195" s="28"/>
      <c r="EK195" s="28"/>
      <c r="EL195" s="28"/>
      <c r="EM195" s="28"/>
      <c r="EN195" s="28"/>
      <c r="EO195" s="28"/>
      <c r="EP195" s="28"/>
      <c r="EQ195" s="28"/>
      <c r="ER195" s="28"/>
      <c r="ES195" s="28"/>
      <c r="ET195" s="28"/>
      <c r="EU195" s="28"/>
      <c r="EV195" s="28"/>
      <c r="EW195" s="28"/>
      <c r="EX195" s="28"/>
      <c r="EY195" s="28"/>
      <c r="EZ195" s="28"/>
      <c r="FA195" s="28"/>
      <c r="FB195" s="28"/>
      <c r="FC195" s="28"/>
      <c r="FD195" s="28"/>
      <c r="FE195" s="28"/>
      <c r="FF195" s="28"/>
      <c r="FG195" s="28"/>
      <c r="FH195" s="28"/>
      <c r="FI195" s="28"/>
      <c r="FJ195" s="28"/>
      <c r="FK195" s="28"/>
      <c r="FL195" s="28"/>
      <c r="FM195" s="28"/>
      <c r="FN195" s="28"/>
      <c r="FO195" s="28"/>
      <c r="FP195" s="28"/>
      <c r="FQ195" s="28"/>
      <c r="FR195" s="28"/>
      <c r="FS195" s="28"/>
      <c r="FT195" s="28"/>
      <c r="FU195" s="28"/>
      <c r="FV195" s="28"/>
      <c r="FW195" s="28"/>
      <c r="FX195" s="28"/>
      <c r="FY195" s="28"/>
      <c r="FZ195" s="28"/>
      <c r="GA195" s="28"/>
      <c r="GB195" s="28"/>
      <c r="GC195" s="28"/>
      <c r="GD195" s="28"/>
      <c r="GE195" s="28"/>
      <c r="GF195" s="28"/>
      <c r="GG195" s="28"/>
      <c r="GH195" s="28"/>
      <c r="GI195" s="28"/>
      <c r="GJ195" s="28"/>
      <c r="GK195" s="28"/>
      <c r="GL195" s="28"/>
      <c r="GM195" s="28"/>
      <c r="GN195" s="28"/>
      <c r="GO195" s="28"/>
      <c r="GP195" s="28"/>
      <c r="GQ195" s="28"/>
      <c r="GR195" s="28"/>
      <c r="GS195" s="28"/>
      <c r="GT195" s="28"/>
      <c r="GU195" s="28"/>
      <c r="GV195" s="28"/>
      <c r="GW195" s="28"/>
      <c r="GX195" s="28"/>
      <c r="GY195" s="28"/>
      <c r="GZ195" s="28"/>
      <c r="HA195" s="28"/>
      <c r="HB195" s="28"/>
      <c r="HC195" s="28"/>
      <c r="HD195" s="28"/>
      <c r="HE195" s="28"/>
      <c r="HF195" s="28"/>
      <c r="HG195" s="28"/>
      <c r="HH195" s="28"/>
      <c r="HI195" s="28"/>
      <c r="HJ195" s="28"/>
      <c r="HK195" s="28"/>
    </row>
    <row r="196" spans="1:219" ht="15" customHeight="1">
      <c r="A196" s="49">
        <v>1</v>
      </c>
      <c r="B196" s="132" t="str">
        <f>VLOOKUP(Ruimtestaat[[#This Row],[Code]],Locaties[[Code]:[Locatie]],2,FALSE)</f>
        <v>Mirtehuis</v>
      </c>
      <c r="C196" s="132" t="str">
        <f>VLOOKUP(Ruimtestaat[[#This Row],[Code]],Locaties[[#All],[Code]:[Adres]],4,FALSE)</f>
        <v>Weseperweg 6</v>
      </c>
      <c r="D196" s="132" t="str">
        <f>VLOOKUP(Ruimtestaat[[#This Row],[Code]],Locaties[[#All],[Code]:[Postcode]],5,FALSE)</f>
        <v>8111 PK</v>
      </c>
      <c r="E196" s="132" t="str">
        <f>VLOOKUP(Ruimtestaat[[#This Row],[Code]],Locaties[#All],6,FALSE)</f>
        <v>Heeten</v>
      </c>
      <c r="F196" s="100"/>
      <c r="G196" s="100"/>
      <c r="I196" s="140" t="s">
        <v>121</v>
      </c>
      <c r="J196" s="49">
        <v>15</v>
      </c>
      <c r="K196" s="140" t="str">
        <f>VLOOKUP(Ruimtestaat[[#This Row],[Ruimte code]],Ruimtegroepen[[#All],[Code]:[Ruimte omschrijving]],2,FALSE)</f>
        <v>Keuken/pantry</v>
      </c>
      <c r="L196" s="100" t="s">
        <v>100</v>
      </c>
      <c r="M196" s="345" t="s">
        <v>1636</v>
      </c>
      <c r="N196" s="133">
        <v>2.25</v>
      </c>
      <c r="O196" s="100"/>
      <c r="P196" s="134" t="str">
        <f>VLOOKUP(Ruimtestaat[[#This Row],[Ruimte code]],Ruimtegroepen[],4,FALSE)</f>
        <v>Ve</v>
      </c>
      <c r="Q196" s="100">
        <v>51</v>
      </c>
      <c r="R196" s="100" t="s">
        <v>2</v>
      </c>
      <c r="S196" s="100">
        <f>IF(Q196&gt;0,IF(RIGHT(Ruimtestaat[[#This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96" s="100">
        <f>IF(S196&gt;0,VLOOKUP($J196,Ruimtegroepen[],3,FALSE)*VLOOKUP($L196,Vloersoorten[],3,FALSE)*VLOOKUP($R196,Frequenties[],3,FALSE)*VLOOKUP($A196,Locaties[],3,FALSE),0)</f>
        <v>0</v>
      </c>
      <c r="U196" s="100">
        <f>Ruimtestaat[[#This Row],[Uitvoeringen werkdagen]]*Ruimtestaat[[#This Row],[Oppervlak (netto)]]</f>
        <v>573.75</v>
      </c>
      <c r="V196" s="135">
        <f>IF(T196&gt;0,Ruimtestaat[[#This Row],[Prest. (m2 /jaar) werkdagen]]/Ruimtestaat[[#This Row],[Norm (m2/uur) werkdagen]],0)</f>
        <v>0</v>
      </c>
      <c r="W196" s="136">
        <f>Ruimtestaat[[#This Row],[uren / jaar werkdagen]]*Tariefsopbouw!$E$35</f>
        <v>0</v>
      </c>
      <c r="X196" s="100"/>
      <c r="Y196" s="100">
        <f>IF(Ruimtestaat[[#This Row],[Frequentie weekend]]&gt;0,VALUE(LEFT(X196,1))*Q196,0)</f>
        <v>0</v>
      </c>
      <c r="Z196" s="99">
        <f>IF($Y196&gt;0,VLOOKUP($J196,Ruimtegroepen[],3,FALSE)*VLOOKUP($L196,Vloersoorten[],3,FALSE)*VLOOKUP($X196,Frequenties[],3,FALSE)*VLOOKUP(Ruimtestaat[[#This Row],[Code]],Locaties[],3,FALSE),0)</f>
        <v>0</v>
      </c>
      <c r="AA196" s="99">
        <f>Ruimtestaat[[#This Row],[Uitvoeringen weekend]]*Ruimtestaat[[#This Row],[Oppervlak (netto)]]</f>
        <v>0</v>
      </c>
      <c r="AB196" s="99">
        <f>IF(Z196&gt;0,Ruimtestaat[[#This Row],[Prest. (m2 /jaar) weekend]]/Ruimtestaat[[#This Row],[Norm (m2/uur) weekend]],0)</f>
        <v>0</v>
      </c>
      <c r="AC196" s="136">
        <f>Ruimtestaat[[#This Row],[uren / jaar weekend]]*Tariefsopbouw!$D$40</f>
        <v>0</v>
      </c>
      <c r="AD196" s="135">
        <f>Ruimtestaat[[#This Row],[Prest. (m2 /jaar) weekend]]+Ruimtestaat[[#This Row],[Prest. (m2 /jaar) werkdagen]]</f>
        <v>573.75</v>
      </c>
      <c r="AE196" s="135">
        <f>Ruimtestaat[[#This Row],[uren / jaar weekend]]+Ruimtestaat[[#This Row],[uren / jaar werkdagen]]</f>
        <v>0</v>
      </c>
      <c r="AF196" s="130">
        <f>Ruimtestaat[[#This Row],[kosten / jaar weekend]]+Ruimtestaat[[#This Row],[kosten / jaar werkdagen]]</f>
        <v>0</v>
      </c>
      <c r="AG196" s="130"/>
      <c r="AH196" s="137" t="str">
        <f>IF(Ruimtestaat[[#This Row],[Frequentie werkdagen]]="","",_xlfn.CONCAT(Ruimtestaat[[#This Row],[Ruimte code]],"-",Ruimtestaat[[#This Row],[Frequentie werkdagen]]," ",Ruimtestaat[[#This Row],[Vloer code]]))</f>
        <v>15-5w L</v>
      </c>
      <c r="AI196" s="142" t="str">
        <f>_xlfn.IFNA(VLOOKUP($AH196,Programma!$F$3:$G$1101,2,0),"")</f>
        <v>_</v>
      </c>
      <c r="AJ196" s="142" t="str">
        <f>_xlfn.IFNA(VLOOKUP($AH196,Programma!$F$3:$H$1101,3,0),"")</f>
        <v>_</v>
      </c>
      <c r="AK196" s="142" t="str">
        <f>_xlfn.IFNA(VLOOKUP($AH196,Programma!$F$3:$I$1101,4,0),"")</f>
        <v>_</v>
      </c>
      <c r="AL196" s="142" t="str">
        <f>_xlfn.IFNA(VLOOKUP($AH196,Programma!$F$3:$J$1101,5,0),"")</f>
        <v>5w</v>
      </c>
      <c r="AM196" s="142" t="str">
        <f>_xlfn.IFNA(VLOOKUP($AH196,Programma!$F$3:$K$1101,6,0),"")</f>
        <v>_</v>
      </c>
      <c r="AN196" s="142" t="str">
        <f>_xlfn.IFNA(VLOOKUP($AH196,Programma!$F$3:$L$1101,7,0),"")</f>
        <v>_</v>
      </c>
      <c r="AO196" s="142" t="str">
        <f>_xlfn.IFNA(VLOOKUP($AH196,Programma!$F$3:$M$1101,8,0),"")</f>
        <v>_</v>
      </c>
      <c r="AP196" s="142" t="str">
        <f>_xlfn.IFNA(VLOOKUP($AH196,Programma!$F$3:$N$1101,9,0),"")</f>
        <v>_</v>
      </c>
      <c r="AQ196" s="142" t="str">
        <f>_xlfn.IFNA(VLOOKUP($AH196,Programma!$F$3:$O$1101,10,0),"")</f>
        <v>5w</v>
      </c>
      <c r="AR196" s="142" t="str">
        <f>_xlfn.IFNA(VLOOKUP($AH196,Programma!$F$3:$P$1101,11,0),"")</f>
        <v>5w</v>
      </c>
      <c r="AS196" s="142" t="str">
        <f>_xlfn.IFNA(VLOOKUP($AH196,Programma!$F$3:$Q$1101,12,0),"")</f>
        <v>1w</v>
      </c>
      <c r="AT196" s="142" t="str">
        <f>_xlfn.IFNA(VLOOKUP($AH196,Programma!$F$3:$R$1101,13,0),"")</f>
        <v>1w</v>
      </c>
      <c r="AU196" s="142" t="str">
        <f>_xlfn.IFNA(VLOOKUP($AH196,Programma!$F$3:$S$1101,14,0),"")</f>
        <v>1m</v>
      </c>
      <c r="AV196" s="142" t="str">
        <f>_xlfn.IFNA(VLOOKUP($AH196,Programma!$F$3:$T$1101,15,0),"")</f>
        <v>2j</v>
      </c>
      <c r="AW196" s="142" t="str">
        <f>_xlfn.IFNA(VLOOKUP($AH196,Programma!$F$3:$U$1101,16,0),"")</f>
        <v>1j</v>
      </c>
      <c r="AX196" s="142" t="str">
        <f>_xlfn.IFNA(VLOOKUP($AH196,Programma!$F$3:$V$1101,17,0),"")</f>
        <v>_</v>
      </c>
      <c r="AY196" s="142" t="str">
        <f>_xlfn.IFNA(VLOOKUP($AH196,Programma!$F$3:$W$1101,18,0),"")</f>
        <v>_</v>
      </c>
      <c r="AZ196" s="142" t="str">
        <f>_xlfn.IFNA(VLOOKUP($AH196,Programma!$F$3:$X$1101,19,0),"")</f>
        <v>_</v>
      </c>
      <c r="BA196" s="142" t="str">
        <f>_xlfn.IFNA(VLOOKUP($AH196,Programma!$F$3:$Y$1101,20,0),"")</f>
        <v>_</v>
      </c>
      <c r="BB196" s="138"/>
      <c r="BC196" s="137" t="str">
        <f>IF(Ruimtestaat[[#This Row],[Frequentie weekend]]="","",_xlfn.CONCAT(Ruimtestaat[[#This Row],[Ruimte code]],"-",Ruimtestaat[[#This Row],[Frequentie weekend]]," ",Ruimtestaat[[#This Row],[Vloer code]]))</f>
        <v/>
      </c>
      <c r="BD196" s="142" t="str">
        <f>_xlfn.IFNA(VLOOKUP($BC196,Programma!$F$3:$G$1101,2,0),"")</f>
        <v/>
      </c>
      <c r="BE196" s="142" t="str">
        <f>_xlfn.IFNA(VLOOKUP($BC196,Programma!$F$3:$H$1101,3,0),"")</f>
        <v/>
      </c>
      <c r="BF196" s="142" t="str">
        <f>_xlfn.IFNA(VLOOKUP($BC196,Programma!$F$3:$I$1101,4,0),"")</f>
        <v/>
      </c>
      <c r="BG196" s="142" t="str">
        <f>_xlfn.IFNA(VLOOKUP($BC196,Programma!$F$3:$J$1101,5,0),"")</f>
        <v/>
      </c>
      <c r="BH196" s="142" t="str">
        <f>_xlfn.IFNA(VLOOKUP($BC196,Programma!$F$3:$K$1101,6,0),"")</f>
        <v/>
      </c>
      <c r="BI196" s="142" t="str">
        <f>_xlfn.IFNA(VLOOKUP($BC196,Programma!$F$3:$L$1101,7,0),"")</f>
        <v/>
      </c>
      <c r="BJ196" s="142" t="str">
        <f>_xlfn.IFNA(VLOOKUP($BC196,Programma!$F$3:$M$1101,8,0),"")</f>
        <v/>
      </c>
      <c r="BK196" s="142" t="str">
        <f>_xlfn.IFNA(VLOOKUP($BC196,Programma!$F$3:$N$1101,9,0),"")</f>
        <v/>
      </c>
      <c r="BL196" s="142" t="str">
        <f>_xlfn.IFNA(VLOOKUP($BC196,Programma!$F$3:$O$1101,10,0),"")</f>
        <v/>
      </c>
      <c r="BM196" s="142" t="str">
        <f>_xlfn.IFNA(VLOOKUP($BC196,Programma!$F$3:$P$1101,11,0),"")</f>
        <v/>
      </c>
      <c r="BN196" s="142" t="str">
        <f>_xlfn.IFNA(VLOOKUP($BC196,Programma!$F$3:$Q$1101,12,0),"")</f>
        <v/>
      </c>
      <c r="BO196" s="142" t="str">
        <f>_xlfn.IFNA(VLOOKUP($BC196,Programma!$F$3:$R$1101,13,0),"")</f>
        <v/>
      </c>
      <c r="BP196" s="142" t="str">
        <f>_xlfn.IFNA(VLOOKUP($BC196,Programma!$F$3:$S$1101,14,0),"")</f>
        <v/>
      </c>
      <c r="BQ196" s="142" t="str">
        <f>_xlfn.IFNA(VLOOKUP($BC196,Programma!$F$3:$T$1101,15,0),"")</f>
        <v/>
      </c>
      <c r="BR196" s="142" t="str">
        <f>_xlfn.IFNA(VLOOKUP($BC196,Programma!$F$3:$U$1101,16,0),"")</f>
        <v/>
      </c>
      <c r="BS196" s="142" t="str">
        <f>_xlfn.IFNA(VLOOKUP($BC196,Programma!$F$3:$V$1101,17,0),"")</f>
        <v/>
      </c>
      <c r="BT196" s="142" t="str">
        <f>_xlfn.IFNA(VLOOKUP($BC196,Programma!$F$3:$W$1101,18,0),"")</f>
        <v/>
      </c>
      <c r="BU196" s="142" t="str">
        <f>_xlfn.IFNA(VLOOKUP($BC196,Programma!$F$3:$X$1101,19,0),"")</f>
        <v/>
      </c>
      <c r="BV196" s="142" t="str">
        <f>_xlfn.IFNA(VLOOKUP($BC196,Programma!$F$3:$Y$1101,20,0),"")</f>
        <v/>
      </c>
      <c r="BW196" s="28"/>
      <c r="BX196" s="28"/>
      <c r="BY196" s="28"/>
      <c r="BZ196" s="28"/>
      <c r="CA196" s="28"/>
      <c r="CB196" s="28"/>
      <c r="CC196" s="28"/>
      <c r="CD196" s="28"/>
      <c r="CE196" s="28"/>
      <c r="CF196" s="28"/>
      <c r="CG196" s="28"/>
      <c r="CH196" s="28"/>
      <c r="CI196" s="28"/>
      <c r="CJ196" s="28"/>
      <c r="CK196" s="28"/>
      <c r="CL196" s="28"/>
      <c r="CM196" s="28"/>
      <c r="CN196" s="28"/>
      <c r="CO196" s="28"/>
      <c r="CP196" s="28"/>
      <c r="CQ196" s="28"/>
      <c r="CR196" s="28"/>
      <c r="CS196" s="28"/>
      <c r="CT196" s="28"/>
      <c r="CU196" s="28"/>
      <c r="CV196" s="28"/>
      <c r="CW196" s="28"/>
      <c r="CX196" s="28"/>
      <c r="CY196" s="28"/>
      <c r="CZ196" s="28"/>
      <c r="DA196" s="28"/>
      <c r="DB196" s="28"/>
      <c r="DC196" s="28"/>
      <c r="DD196" s="28"/>
      <c r="DE196" s="28"/>
      <c r="DF196" s="28"/>
      <c r="DG196" s="28"/>
      <c r="DH196" s="28"/>
      <c r="DI196" s="28"/>
      <c r="DJ196" s="28"/>
      <c r="DK196" s="28"/>
      <c r="DL196" s="28"/>
      <c r="DM196" s="28"/>
      <c r="DN196" s="28"/>
      <c r="DO196" s="28"/>
      <c r="DP196" s="28"/>
      <c r="DQ196" s="28"/>
      <c r="DR196" s="28"/>
      <c r="DS196" s="28"/>
      <c r="DT196" s="28"/>
      <c r="DU196" s="28"/>
      <c r="DV196" s="28"/>
      <c r="DW196" s="28"/>
      <c r="DX196" s="28"/>
      <c r="DY196" s="28"/>
      <c r="DZ196" s="28"/>
      <c r="EA196" s="28"/>
      <c r="EB196" s="28"/>
      <c r="EC196" s="28"/>
      <c r="ED196" s="28"/>
      <c r="EE196" s="28"/>
      <c r="EF196" s="28"/>
      <c r="EG196" s="28"/>
      <c r="EH196" s="28"/>
      <c r="EI196" s="28"/>
      <c r="EJ196" s="28"/>
      <c r="EK196" s="28"/>
      <c r="EL196" s="28"/>
      <c r="EM196" s="28"/>
      <c r="EN196" s="28"/>
      <c r="EO196" s="28"/>
      <c r="EP196" s="28"/>
      <c r="EQ196" s="28"/>
      <c r="ER196" s="28"/>
      <c r="ES196" s="28"/>
      <c r="ET196" s="28"/>
      <c r="EU196" s="28"/>
      <c r="EV196" s="28"/>
      <c r="EW196" s="28"/>
      <c r="EX196" s="28"/>
      <c r="EY196" s="28"/>
      <c r="EZ196" s="28"/>
      <c r="FA196" s="28"/>
      <c r="FB196" s="28"/>
      <c r="FC196" s="28"/>
      <c r="FD196" s="28"/>
      <c r="FE196" s="28"/>
      <c r="FF196" s="28"/>
      <c r="FG196" s="28"/>
      <c r="FH196" s="28"/>
      <c r="FI196" s="28"/>
      <c r="FJ196" s="28"/>
      <c r="FK196" s="28"/>
      <c r="FL196" s="28"/>
      <c r="FM196" s="28"/>
      <c r="FN196" s="28"/>
      <c r="FO196" s="28"/>
      <c r="FP196" s="28"/>
      <c r="FQ196" s="28"/>
      <c r="FR196" s="28"/>
      <c r="FS196" s="28"/>
      <c r="FT196" s="28"/>
      <c r="FU196" s="28"/>
      <c r="FV196" s="28"/>
      <c r="FW196" s="28"/>
      <c r="FX196" s="28"/>
      <c r="FY196" s="28"/>
      <c r="FZ196" s="28"/>
      <c r="GA196" s="28"/>
      <c r="GB196" s="28"/>
      <c r="GC196" s="28"/>
      <c r="GD196" s="28"/>
      <c r="GE196" s="28"/>
      <c r="GF196" s="28"/>
      <c r="GG196" s="28"/>
      <c r="GH196" s="28"/>
      <c r="GI196" s="28"/>
      <c r="GJ196" s="28"/>
      <c r="GK196" s="28"/>
      <c r="GL196" s="28"/>
      <c r="GM196" s="28"/>
      <c r="GN196" s="28"/>
      <c r="GO196" s="28"/>
      <c r="GP196" s="28"/>
      <c r="GQ196" s="28"/>
      <c r="GR196" s="28"/>
      <c r="GS196" s="28"/>
      <c r="GT196" s="28"/>
      <c r="GU196" s="28"/>
      <c r="GV196" s="28"/>
      <c r="GW196" s="28"/>
      <c r="GX196" s="28"/>
      <c r="GY196" s="28"/>
      <c r="GZ196" s="28"/>
      <c r="HA196" s="28"/>
      <c r="HB196" s="28"/>
      <c r="HC196" s="28"/>
      <c r="HD196" s="28"/>
      <c r="HE196" s="28"/>
      <c r="HF196" s="28"/>
      <c r="HG196" s="28"/>
      <c r="HH196" s="28"/>
      <c r="HI196" s="28"/>
      <c r="HJ196" s="28"/>
      <c r="HK196" s="28"/>
    </row>
    <row r="197" spans="1:219" ht="15" customHeight="1">
      <c r="A197" s="49">
        <v>1</v>
      </c>
      <c r="B197" s="132" t="str">
        <f>VLOOKUP(Ruimtestaat[[#This Row],[Code]],Locaties[[Code]:[Locatie]],2,FALSE)</f>
        <v>Mirtehuis</v>
      </c>
      <c r="C197" s="132" t="str">
        <f>VLOOKUP(Ruimtestaat[[#This Row],[Code]],Locaties[[#All],[Code]:[Adres]],4,FALSE)</f>
        <v>Weseperweg 6</v>
      </c>
      <c r="D197" s="132" t="str">
        <f>VLOOKUP(Ruimtestaat[[#This Row],[Code]],Locaties[[#All],[Code]:[Postcode]],5,FALSE)</f>
        <v>8111 PK</v>
      </c>
      <c r="E197" s="132" t="str">
        <f>VLOOKUP(Ruimtestaat[[#This Row],[Code]],Locaties[#All],6,FALSE)</f>
        <v>Heeten</v>
      </c>
      <c r="F197" s="100"/>
      <c r="G197" s="100"/>
      <c r="I197" s="140" t="s">
        <v>1641</v>
      </c>
      <c r="J197" s="49">
        <v>5</v>
      </c>
      <c r="K197" s="140" t="str">
        <f>VLOOKUP(Ruimtestaat[[#This Row],[Ruimte code]],Ruimtegroepen[[#All],[Code]:[Ruimte omschrijving]],2,FALSE)</f>
        <v>Sanitair</v>
      </c>
      <c r="L197" s="100" t="s">
        <v>101</v>
      </c>
      <c r="M197" s="345" t="s">
        <v>1642</v>
      </c>
      <c r="N197" s="133">
        <v>1.254</v>
      </c>
      <c r="O197" s="139"/>
      <c r="P197" s="134" t="str">
        <f>VLOOKUP(Ruimtestaat[[#This Row],[Ruimte code]],Ruimtegroepen[],4,FALSE)</f>
        <v>Sa</v>
      </c>
      <c r="Q197" s="100">
        <v>51</v>
      </c>
      <c r="R197" s="100" t="s">
        <v>2</v>
      </c>
      <c r="S197" s="100">
        <f>IF(Q197&gt;0,IF(RIGHT(Ruimtestaat[[#This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97" s="100">
        <f>IF(S197&gt;0,VLOOKUP($J197,Ruimtegroepen[],3,FALSE)*VLOOKUP($L197,Vloersoorten[],3,FALSE)*VLOOKUP($R197,Frequenties[],3,FALSE)*VLOOKUP($A197,Locaties[],3,FALSE),0)</f>
        <v>0</v>
      </c>
      <c r="U197" s="100">
        <f>Ruimtestaat[[#This Row],[Uitvoeringen werkdagen]]*Ruimtestaat[[#This Row],[Oppervlak (netto)]]</f>
        <v>319.77</v>
      </c>
      <c r="V197" s="135">
        <f>IF(T197&gt;0,Ruimtestaat[[#This Row],[Prest. (m2 /jaar) werkdagen]]/Ruimtestaat[[#This Row],[Norm (m2/uur) werkdagen]],0)</f>
        <v>0</v>
      </c>
      <c r="W197" s="136">
        <f>Ruimtestaat[[#This Row],[uren / jaar werkdagen]]*Tariefsopbouw!$E$35</f>
        <v>0</v>
      </c>
      <c r="X197" s="100"/>
      <c r="Y197" s="100">
        <f>IF(Ruimtestaat[[#This Row],[Frequentie weekend]]&gt;0,VALUE(LEFT(X197,1))*Q197,0)</f>
        <v>0</v>
      </c>
      <c r="Z197" s="99">
        <f>IF($Y197&gt;0,VLOOKUP($J197,Ruimtegroepen[],3,FALSE)*VLOOKUP($L197,Vloersoorten[],3,FALSE)*VLOOKUP($X197,Frequenties[],3,FALSE)*VLOOKUP(Ruimtestaat[[#This Row],[Code]],Locaties[],3,FALSE),0)</f>
        <v>0</v>
      </c>
      <c r="AA197" s="99">
        <f>Ruimtestaat[[#This Row],[Uitvoeringen weekend]]*Ruimtestaat[[#This Row],[Oppervlak (netto)]]</f>
        <v>0</v>
      </c>
      <c r="AB197" s="99">
        <f>IF(Z197&gt;0,Ruimtestaat[[#This Row],[Prest. (m2 /jaar) weekend]]/Ruimtestaat[[#This Row],[Norm (m2/uur) weekend]],0)</f>
        <v>0</v>
      </c>
      <c r="AC197" s="136">
        <f>Ruimtestaat[[#This Row],[uren / jaar weekend]]*Tariefsopbouw!$D$40</f>
        <v>0</v>
      </c>
      <c r="AD197" s="135">
        <f>Ruimtestaat[[#This Row],[Prest. (m2 /jaar) weekend]]+Ruimtestaat[[#This Row],[Prest. (m2 /jaar) werkdagen]]</f>
        <v>319.77</v>
      </c>
      <c r="AE197" s="135">
        <f>Ruimtestaat[[#This Row],[uren / jaar weekend]]+Ruimtestaat[[#This Row],[uren / jaar werkdagen]]</f>
        <v>0</v>
      </c>
      <c r="AF197" s="130">
        <f>Ruimtestaat[[#This Row],[kosten / jaar weekend]]+Ruimtestaat[[#This Row],[kosten / jaar werkdagen]]</f>
        <v>0</v>
      </c>
      <c r="AG197" s="130"/>
      <c r="AH197" s="137" t="str">
        <f>IF(Ruimtestaat[[#This Row],[Frequentie werkdagen]]="","",_xlfn.CONCAT(Ruimtestaat[[#This Row],[Ruimte code]],"-",Ruimtestaat[[#This Row],[Frequentie werkdagen]]," ",Ruimtestaat[[#This Row],[Vloer code]]))</f>
        <v>5-5w S</v>
      </c>
      <c r="AI197" s="142" t="str">
        <f>_xlfn.IFNA(VLOOKUP($AH197,Programma!$F$3:$G$1101,2,0),"")</f>
        <v>_</v>
      </c>
      <c r="AJ197" s="142" t="str">
        <f>_xlfn.IFNA(VLOOKUP($AH197,Programma!$F$3:$H$1101,3,0),"")</f>
        <v>_</v>
      </c>
      <c r="AK197" s="142" t="str">
        <f>_xlfn.IFNA(VLOOKUP($AH197,Programma!$F$3:$I$1101,4,0),"")</f>
        <v>_</v>
      </c>
      <c r="AL197" s="142" t="str">
        <f>_xlfn.IFNA(VLOOKUP($AH197,Programma!$F$3:$J$1101,5,0),"")</f>
        <v>4w</v>
      </c>
      <c r="AM197" s="142" t="str">
        <f>_xlfn.IFNA(VLOOKUP($AH197,Programma!$F$3:$K$1101,6,0),"")</f>
        <v>1w</v>
      </c>
      <c r="AN197" s="142" t="str">
        <f>_xlfn.IFNA(VLOOKUP($AH197,Programma!$F$3:$L$1101,7,0),"")</f>
        <v>_</v>
      </c>
      <c r="AO197" s="142" t="str">
        <f>_xlfn.IFNA(VLOOKUP($AH197,Programma!$F$3:$M$1101,8,0),"")</f>
        <v>_</v>
      </c>
      <c r="AP197" s="142" t="str">
        <f>_xlfn.IFNA(VLOOKUP($AH197,Programma!$F$3:$N$1101,9,0),"")</f>
        <v>_</v>
      </c>
      <c r="AQ197" s="142" t="str">
        <f>_xlfn.IFNA(VLOOKUP($AH197,Programma!$F$3:$O$1101,10,0),"")</f>
        <v>_</v>
      </c>
      <c r="AR197" s="142" t="str">
        <f>_xlfn.IFNA(VLOOKUP($AH197,Programma!$F$3:$P$1101,11,0),"")</f>
        <v>_</v>
      </c>
      <c r="AS197" s="142" t="str">
        <f>_xlfn.IFNA(VLOOKUP($AH197,Programma!$F$3:$Q$1101,12,0),"")</f>
        <v>_</v>
      </c>
      <c r="AT197" s="142" t="str">
        <f>_xlfn.IFNA(VLOOKUP($AH197,Programma!$F$3:$R$1101,13,0),"")</f>
        <v>_</v>
      </c>
      <c r="AU197" s="142" t="str">
        <f>_xlfn.IFNA(VLOOKUP($AH197,Programma!$F$3:$S$1101,14,0),"")</f>
        <v>_</v>
      </c>
      <c r="AV197" s="142" t="str">
        <f>_xlfn.IFNA(VLOOKUP($AH197,Programma!$F$3:$T$1101,15,0),"")</f>
        <v>_</v>
      </c>
      <c r="AW197" s="142" t="str">
        <f>_xlfn.IFNA(VLOOKUP($AH197,Programma!$F$3:$U$1101,16,0),"")</f>
        <v>_</v>
      </c>
      <c r="AX197" s="142" t="str">
        <f>_xlfn.IFNA(VLOOKUP($AH197,Programma!$F$3:$V$1101,17,0),"")</f>
        <v>_</v>
      </c>
      <c r="AY197" s="142" t="str">
        <f>_xlfn.IFNA(VLOOKUP($AH197,Programma!$F$3:$W$1101,18,0),"")</f>
        <v>4w</v>
      </c>
      <c r="AZ197" s="142" t="str">
        <f>_xlfn.IFNA(VLOOKUP($AH197,Programma!$F$3:$X$1101,19,0),"")</f>
        <v>1w</v>
      </c>
      <c r="BA197" s="142" t="str">
        <f>_xlfn.IFNA(VLOOKUP($AH197,Programma!$F$3:$Y$1101,20,0),"")</f>
        <v>_</v>
      </c>
      <c r="BB197" s="138"/>
      <c r="BC197" s="137" t="str">
        <f>IF(Ruimtestaat[[#This Row],[Frequentie weekend]]="","",_xlfn.CONCAT(Ruimtestaat[[#This Row],[Ruimte code]],"-",Ruimtestaat[[#This Row],[Frequentie weekend]]," ",Ruimtestaat[[#This Row],[Vloer code]]))</f>
        <v/>
      </c>
      <c r="BD197" s="142" t="str">
        <f>_xlfn.IFNA(VLOOKUP($BC197,Programma!$F$3:$G$1101,2,0),"")</f>
        <v/>
      </c>
      <c r="BE197" s="142" t="str">
        <f>_xlfn.IFNA(VLOOKUP($BC197,Programma!$F$3:$H$1101,3,0),"")</f>
        <v/>
      </c>
      <c r="BF197" s="142" t="str">
        <f>_xlfn.IFNA(VLOOKUP($BC197,Programma!$F$3:$I$1101,4,0),"")</f>
        <v/>
      </c>
      <c r="BG197" s="142" t="str">
        <f>_xlfn.IFNA(VLOOKUP($BC197,Programma!$F$3:$J$1101,5,0),"")</f>
        <v/>
      </c>
      <c r="BH197" s="142" t="str">
        <f>_xlfn.IFNA(VLOOKUP($BC197,Programma!$F$3:$K$1101,6,0),"")</f>
        <v/>
      </c>
      <c r="BI197" s="142" t="str">
        <f>_xlfn.IFNA(VLOOKUP($BC197,Programma!$F$3:$L$1101,7,0),"")</f>
        <v/>
      </c>
      <c r="BJ197" s="142" t="str">
        <f>_xlfn.IFNA(VLOOKUP($BC197,Programma!$F$3:$M$1101,8,0),"")</f>
        <v/>
      </c>
      <c r="BK197" s="142" t="str">
        <f>_xlfn.IFNA(VLOOKUP($BC197,Programma!$F$3:$N$1101,9,0),"")</f>
        <v/>
      </c>
      <c r="BL197" s="142" t="str">
        <f>_xlfn.IFNA(VLOOKUP($BC197,Programma!$F$3:$O$1101,10,0),"")</f>
        <v/>
      </c>
      <c r="BM197" s="142" t="str">
        <f>_xlfn.IFNA(VLOOKUP($BC197,Programma!$F$3:$P$1101,11,0),"")</f>
        <v/>
      </c>
      <c r="BN197" s="142" t="str">
        <f>_xlfn.IFNA(VLOOKUP($BC197,Programma!$F$3:$Q$1101,12,0),"")</f>
        <v/>
      </c>
      <c r="BO197" s="142" t="str">
        <f>_xlfn.IFNA(VLOOKUP($BC197,Programma!$F$3:$R$1101,13,0),"")</f>
        <v/>
      </c>
      <c r="BP197" s="142" t="str">
        <f>_xlfn.IFNA(VLOOKUP($BC197,Programma!$F$3:$S$1101,14,0),"")</f>
        <v/>
      </c>
      <c r="BQ197" s="142" t="str">
        <f>_xlfn.IFNA(VLOOKUP($BC197,Programma!$F$3:$T$1101,15,0),"")</f>
        <v/>
      </c>
      <c r="BR197" s="142" t="str">
        <f>_xlfn.IFNA(VLOOKUP($BC197,Programma!$F$3:$U$1101,16,0),"")</f>
        <v/>
      </c>
      <c r="BS197" s="142" t="str">
        <f>_xlfn.IFNA(VLOOKUP($BC197,Programma!$F$3:$V$1101,17,0),"")</f>
        <v/>
      </c>
      <c r="BT197" s="142" t="str">
        <f>_xlfn.IFNA(VLOOKUP($BC197,Programma!$F$3:$W$1101,18,0),"")</f>
        <v/>
      </c>
      <c r="BU197" s="142" t="str">
        <f>_xlfn.IFNA(VLOOKUP($BC197,Programma!$F$3:$X$1101,19,0),"")</f>
        <v/>
      </c>
      <c r="BV197" s="142" t="str">
        <f>_xlfn.IFNA(VLOOKUP($BC197,Programma!$F$3:$Y$1101,20,0),"")</f>
        <v/>
      </c>
      <c r="BW197" s="28"/>
      <c r="BX197" s="28"/>
      <c r="BY197" s="28"/>
      <c r="BZ197" s="28"/>
      <c r="CA197" s="28"/>
      <c r="CB197" s="28"/>
      <c r="CC197" s="28"/>
      <c r="CD197" s="28"/>
      <c r="CE197" s="28"/>
      <c r="CF197" s="28"/>
      <c r="CG197" s="28"/>
      <c r="CH197" s="28"/>
      <c r="CI197" s="28"/>
      <c r="CJ197" s="28"/>
      <c r="CK197" s="28"/>
      <c r="CL197" s="28"/>
      <c r="CM197" s="28"/>
      <c r="CN197" s="28"/>
      <c r="CO197" s="28"/>
      <c r="CP197" s="28"/>
      <c r="CQ197" s="28"/>
      <c r="CR197" s="28"/>
      <c r="CS197" s="28"/>
      <c r="CT197" s="28"/>
      <c r="CU197" s="28"/>
      <c r="CV197" s="28"/>
      <c r="CW197" s="28"/>
      <c r="CX197" s="28"/>
      <c r="CY197" s="28"/>
      <c r="CZ197" s="28"/>
      <c r="DA197" s="28"/>
      <c r="DB197" s="28"/>
      <c r="DC197" s="28"/>
      <c r="DD197" s="28"/>
      <c r="DE197" s="28"/>
      <c r="DF197" s="28"/>
      <c r="DG197" s="28"/>
      <c r="DH197" s="28"/>
      <c r="DI197" s="28"/>
      <c r="DJ197" s="28"/>
      <c r="DK197" s="28"/>
      <c r="DL197" s="28"/>
      <c r="DM197" s="28"/>
      <c r="DN197" s="28"/>
      <c r="DO197" s="28"/>
      <c r="DP197" s="28"/>
      <c r="DQ197" s="28"/>
      <c r="DR197" s="28"/>
      <c r="DS197" s="28"/>
      <c r="DT197" s="28"/>
      <c r="DU197" s="28"/>
      <c r="DV197" s="28"/>
      <c r="DW197" s="28"/>
      <c r="DX197" s="28"/>
      <c r="DY197" s="28"/>
      <c r="DZ197" s="28"/>
      <c r="EA197" s="28"/>
      <c r="EB197" s="28"/>
      <c r="EC197" s="28"/>
      <c r="ED197" s="28"/>
      <c r="EE197" s="28"/>
      <c r="EF197" s="28"/>
      <c r="EG197" s="28"/>
      <c r="EH197" s="28"/>
      <c r="EI197" s="28"/>
      <c r="EJ197" s="28"/>
      <c r="EK197" s="28"/>
      <c r="EL197" s="28"/>
      <c r="EM197" s="28"/>
      <c r="EN197" s="28"/>
      <c r="EO197" s="28"/>
      <c r="EP197" s="28"/>
      <c r="EQ197" s="28"/>
      <c r="ER197" s="28"/>
      <c r="ES197" s="28"/>
      <c r="ET197" s="28"/>
      <c r="EU197" s="28"/>
      <c r="EV197" s="28"/>
      <c r="EW197" s="28"/>
      <c r="EX197" s="28"/>
      <c r="EY197" s="28"/>
      <c r="EZ197" s="28"/>
      <c r="FA197" s="28"/>
      <c r="FB197" s="28"/>
      <c r="FC197" s="28"/>
      <c r="FD197" s="28"/>
      <c r="FE197" s="28"/>
      <c r="FF197" s="28"/>
      <c r="FG197" s="28"/>
      <c r="FH197" s="28"/>
      <c r="FI197" s="28"/>
      <c r="FJ197" s="28"/>
      <c r="FK197" s="28"/>
      <c r="FL197" s="28"/>
      <c r="FM197" s="28"/>
      <c r="FN197" s="28"/>
      <c r="FO197" s="28"/>
      <c r="FP197" s="28"/>
      <c r="FQ197" s="28"/>
      <c r="FR197" s="28"/>
      <c r="FS197" s="28"/>
      <c r="FT197" s="28"/>
      <c r="FU197" s="28"/>
      <c r="FV197" s="28"/>
      <c r="FW197" s="28"/>
      <c r="FX197" s="28"/>
      <c r="FY197" s="28"/>
      <c r="FZ197" s="28"/>
      <c r="GA197" s="28"/>
      <c r="GB197" s="28"/>
      <c r="GC197" s="28"/>
      <c r="GD197" s="28"/>
      <c r="GE197" s="28"/>
      <c r="GF197" s="28"/>
      <c r="GG197" s="28"/>
      <c r="GH197" s="28"/>
      <c r="GI197" s="28"/>
      <c r="GJ197" s="28"/>
      <c r="GK197" s="28"/>
      <c r="GL197" s="28"/>
      <c r="GM197" s="28"/>
      <c r="GN197" s="28"/>
      <c r="GO197" s="28"/>
      <c r="GP197" s="28"/>
      <c r="GQ197" s="28"/>
      <c r="GR197" s="28"/>
      <c r="GS197" s="28"/>
      <c r="GT197" s="28"/>
      <c r="GU197" s="28"/>
      <c r="GV197" s="28"/>
      <c r="GW197" s="28"/>
      <c r="GX197" s="28"/>
      <c r="GY197" s="28"/>
      <c r="GZ197" s="28"/>
      <c r="HA197" s="28"/>
      <c r="HB197" s="28"/>
      <c r="HC197" s="28"/>
      <c r="HD197" s="28"/>
      <c r="HE197" s="28"/>
      <c r="HF197" s="28"/>
      <c r="HG197" s="28"/>
      <c r="HH197" s="28"/>
      <c r="HI197" s="28"/>
      <c r="HJ197" s="28"/>
      <c r="HK197" s="28"/>
    </row>
    <row r="198" spans="1:219" ht="15" customHeight="1">
      <c r="A198" s="49">
        <v>2</v>
      </c>
      <c r="B198" s="132" t="str">
        <f>VLOOKUP(Ruimtestaat[[#This Row],[Code]],Locaties[[Code]:[Locatie]],2,FALSE)</f>
        <v>Pauluskerk</v>
      </c>
      <c r="C198" s="132" t="str">
        <f>VLOOKUP(Ruimtestaat[[#This Row],[Code]],Locaties[[#All],[Code]:[Adres]],4,FALSE)</f>
        <v>Westdorplaan 122</v>
      </c>
      <c r="D198" s="132" t="str">
        <f>VLOOKUP(Ruimtestaat[[#This Row],[Code]],Locaties[[#All],[Code]:[Postcode]],5,FALSE)</f>
        <v>8101 BJ</v>
      </c>
      <c r="E198" s="132" t="str">
        <f>VLOOKUP(Ruimtestaat[[#This Row],[Code]],Locaties[#All],6,FALSE)</f>
        <v>Raalte</v>
      </c>
      <c r="F198" s="100"/>
      <c r="G198" s="100" t="s">
        <v>1764</v>
      </c>
      <c r="H198" s="346" t="s">
        <v>1692</v>
      </c>
      <c r="I198" s="140" t="s">
        <v>1650</v>
      </c>
      <c r="J198" s="49">
        <v>20</v>
      </c>
      <c r="K198" s="140" t="str">
        <f>VLOOKUP(Ruimtestaat[[#This Row],[Ruimte code]],Ruimtegroepen[[#All],[Code]:[Ruimte omschrijving]],2,FALSE)</f>
        <v>Niet in Onderhoud</v>
      </c>
      <c r="L198" s="100"/>
      <c r="M198" s="345"/>
      <c r="N198" s="133"/>
      <c r="O198" s="139">
        <v>5.8</v>
      </c>
      <c r="P198" s="134">
        <f>VLOOKUP(Ruimtestaat[[#This Row],[Ruimte code]],Ruimtegroepen[],4,FALSE)</f>
        <v>0</v>
      </c>
      <c r="Q198" s="100"/>
      <c r="R198" s="100"/>
      <c r="S198" s="100">
        <f>IF(Q198&gt;0,IF(RIGHT(Ruimtestaat[[#This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98" s="100">
        <f>IF(S198&gt;0,VLOOKUP($J198,Ruimtegroepen[],3,FALSE)*VLOOKUP($L198,Vloersoorten[],3,FALSE)*VLOOKUP($R198,Frequenties[],3,FALSE)*VLOOKUP($A198,Locaties[],3,FALSE),0)</f>
        <v>0</v>
      </c>
      <c r="U198" s="100">
        <f>Ruimtestaat[[#This Row],[Uitvoeringen werkdagen]]*Ruimtestaat[[#This Row],[Oppervlak (netto)]]</f>
        <v>0</v>
      </c>
      <c r="V198" s="135">
        <f>IF(T198&gt;0,Ruimtestaat[[#This Row],[Prest. (m2 /jaar) werkdagen]]/Ruimtestaat[[#This Row],[Norm (m2/uur) werkdagen]],0)</f>
        <v>0</v>
      </c>
      <c r="W198" s="136">
        <f>Ruimtestaat[[#This Row],[uren / jaar werkdagen]]*Tariefsopbouw!$E$35</f>
        <v>0</v>
      </c>
      <c r="X198" s="100"/>
      <c r="Y198" s="100">
        <f>IF(Ruimtestaat[[#This Row],[Frequentie weekend]]&gt;0,VALUE(LEFT(X198,1))*Q198,0)</f>
        <v>0</v>
      </c>
      <c r="Z198" s="99">
        <f>IF($Y198&gt;0,VLOOKUP($J198,Ruimtegroepen[],3,FALSE)*VLOOKUP($L198,Vloersoorten[],3,FALSE)*VLOOKUP($X198,Frequenties[],3,FALSE)*VLOOKUP(Ruimtestaat[[#This Row],[Code]],Locaties[],3,FALSE),0)</f>
        <v>0</v>
      </c>
      <c r="AA198" s="99">
        <f>Ruimtestaat[[#This Row],[Uitvoeringen weekend]]*Ruimtestaat[[#This Row],[Oppervlak (netto)]]</f>
        <v>0</v>
      </c>
      <c r="AB198" s="99">
        <f>IF(Z198&gt;0,Ruimtestaat[[#This Row],[Prest. (m2 /jaar) weekend]]/Ruimtestaat[[#This Row],[Norm (m2/uur) weekend]],0)</f>
        <v>0</v>
      </c>
      <c r="AC198" s="136">
        <f>Ruimtestaat[[#This Row],[uren / jaar weekend]]*Tariefsopbouw!$D$40</f>
        <v>0</v>
      </c>
      <c r="AD198" s="135">
        <f>Ruimtestaat[[#This Row],[Prest. (m2 /jaar) weekend]]+Ruimtestaat[[#This Row],[Prest. (m2 /jaar) werkdagen]]</f>
        <v>0</v>
      </c>
      <c r="AE198" s="135">
        <f>Ruimtestaat[[#This Row],[uren / jaar weekend]]+Ruimtestaat[[#This Row],[uren / jaar werkdagen]]</f>
        <v>0</v>
      </c>
      <c r="AF198" s="130">
        <f>Ruimtestaat[[#This Row],[kosten / jaar weekend]]+Ruimtestaat[[#This Row],[kosten / jaar werkdagen]]</f>
        <v>0</v>
      </c>
      <c r="AG198" s="130"/>
      <c r="AH198" s="137" t="str">
        <f>IF(Ruimtestaat[[#This Row],[Frequentie werkdagen]]="","",_xlfn.CONCAT(Ruimtestaat[[#This Row],[Ruimte code]],"-",Ruimtestaat[[#This Row],[Frequentie werkdagen]]," ",Ruimtestaat[[#This Row],[Vloer code]]))</f>
        <v/>
      </c>
      <c r="AI198" s="142" t="str">
        <f>_xlfn.IFNA(VLOOKUP($AH198,Programma!$F$3:$G$1101,2,0),"")</f>
        <v/>
      </c>
      <c r="AJ198" s="142" t="str">
        <f>_xlfn.IFNA(VLOOKUP($AH198,Programma!$F$3:$H$1101,3,0),"")</f>
        <v/>
      </c>
      <c r="AK198" s="142" t="str">
        <f>_xlfn.IFNA(VLOOKUP($AH198,Programma!$F$3:$I$1101,4,0),"")</f>
        <v/>
      </c>
      <c r="AL198" s="142" t="str">
        <f>_xlfn.IFNA(VLOOKUP($AH198,Programma!$F$3:$J$1101,5,0),"")</f>
        <v/>
      </c>
      <c r="AM198" s="142" t="str">
        <f>_xlfn.IFNA(VLOOKUP($AH198,Programma!$F$3:$K$1101,6,0),"")</f>
        <v/>
      </c>
      <c r="AN198" s="142" t="str">
        <f>_xlfn.IFNA(VLOOKUP($AH198,Programma!$F$3:$L$1101,7,0),"")</f>
        <v/>
      </c>
      <c r="AO198" s="142" t="str">
        <f>_xlfn.IFNA(VLOOKUP($AH198,Programma!$F$3:$M$1101,8,0),"")</f>
        <v/>
      </c>
      <c r="AP198" s="142" t="str">
        <f>_xlfn.IFNA(VLOOKUP($AH198,Programma!$F$3:$N$1101,9,0),"")</f>
        <v/>
      </c>
      <c r="AQ198" s="142" t="str">
        <f>_xlfn.IFNA(VLOOKUP($AH198,Programma!$F$3:$O$1101,10,0),"")</f>
        <v/>
      </c>
      <c r="AR198" s="142" t="str">
        <f>_xlfn.IFNA(VLOOKUP($AH198,Programma!$F$3:$P$1101,11,0),"")</f>
        <v/>
      </c>
      <c r="AS198" s="142" t="str">
        <f>_xlfn.IFNA(VLOOKUP($AH198,Programma!$F$3:$Q$1101,12,0),"")</f>
        <v/>
      </c>
      <c r="AT198" s="142" t="str">
        <f>_xlfn.IFNA(VLOOKUP($AH198,Programma!$F$3:$R$1101,13,0),"")</f>
        <v/>
      </c>
      <c r="AU198" s="142" t="str">
        <f>_xlfn.IFNA(VLOOKUP($AH198,Programma!$F$3:$S$1101,14,0),"")</f>
        <v/>
      </c>
      <c r="AV198" s="142" t="str">
        <f>_xlfn.IFNA(VLOOKUP($AH198,Programma!$F$3:$T$1101,15,0),"")</f>
        <v/>
      </c>
      <c r="AW198" s="142" t="str">
        <f>_xlfn.IFNA(VLOOKUP($AH198,Programma!$F$3:$U$1101,16,0),"")</f>
        <v/>
      </c>
      <c r="AX198" s="142" t="str">
        <f>_xlfn.IFNA(VLOOKUP($AH198,Programma!$F$3:$V$1101,17,0),"")</f>
        <v/>
      </c>
      <c r="AY198" s="142" t="str">
        <f>_xlfn.IFNA(VLOOKUP($AH198,Programma!$F$3:$W$1101,18,0),"")</f>
        <v/>
      </c>
      <c r="AZ198" s="142" t="str">
        <f>_xlfn.IFNA(VLOOKUP($AH198,Programma!$F$3:$X$1101,19,0),"")</f>
        <v/>
      </c>
      <c r="BA198" s="142" t="str">
        <f>_xlfn.IFNA(VLOOKUP($AH198,Programma!$F$3:$Y$1101,20,0),"")</f>
        <v/>
      </c>
      <c r="BB198" s="138"/>
      <c r="BC198" s="137" t="str">
        <f>IF(Ruimtestaat[[#This Row],[Frequentie weekend]]="","",_xlfn.CONCAT(Ruimtestaat[[#This Row],[Ruimte code]],"-",Ruimtestaat[[#This Row],[Frequentie weekend]]," ",Ruimtestaat[[#This Row],[Vloer code]]))</f>
        <v/>
      </c>
      <c r="BD198" s="142" t="str">
        <f>_xlfn.IFNA(VLOOKUP($BC198,Programma!$F$3:$G$1101,2,0),"")</f>
        <v/>
      </c>
      <c r="BE198" s="142" t="str">
        <f>_xlfn.IFNA(VLOOKUP($BC198,Programma!$F$3:$H$1101,3,0),"")</f>
        <v/>
      </c>
      <c r="BF198" s="142" t="str">
        <f>_xlfn.IFNA(VLOOKUP($BC198,Programma!$F$3:$I$1101,4,0),"")</f>
        <v/>
      </c>
      <c r="BG198" s="142" t="str">
        <f>_xlfn.IFNA(VLOOKUP($BC198,Programma!$F$3:$J$1101,5,0),"")</f>
        <v/>
      </c>
      <c r="BH198" s="142" t="str">
        <f>_xlfn.IFNA(VLOOKUP($BC198,Programma!$F$3:$K$1101,6,0),"")</f>
        <v/>
      </c>
      <c r="BI198" s="142" t="str">
        <f>_xlfn.IFNA(VLOOKUP($BC198,Programma!$F$3:$L$1101,7,0),"")</f>
        <v/>
      </c>
      <c r="BJ198" s="142" t="str">
        <f>_xlfn.IFNA(VLOOKUP($BC198,Programma!$F$3:$M$1101,8,0),"")</f>
        <v/>
      </c>
      <c r="BK198" s="142" t="str">
        <f>_xlfn.IFNA(VLOOKUP($BC198,Programma!$F$3:$N$1101,9,0),"")</f>
        <v/>
      </c>
      <c r="BL198" s="142" t="str">
        <f>_xlfn.IFNA(VLOOKUP($BC198,Programma!$F$3:$O$1101,10,0),"")</f>
        <v/>
      </c>
      <c r="BM198" s="142" t="str">
        <f>_xlfn.IFNA(VLOOKUP($BC198,Programma!$F$3:$P$1101,11,0),"")</f>
        <v/>
      </c>
      <c r="BN198" s="142" t="str">
        <f>_xlfn.IFNA(VLOOKUP($BC198,Programma!$F$3:$Q$1101,12,0),"")</f>
        <v/>
      </c>
      <c r="BO198" s="142" t="str">
        <f>_xlfn.IFNA(VLOOKUP($BC198,Programma!$F$3:$R$1101,13,0),"")</f>
        <v/>
      </c>
      <c r="BP198" s="142" t="str">
        <f>_xlfn.IFNA(VLOOKUP($BC198,Programma!$F$3:$S$1101,14,0),"")</f>
        <v/>
      </c>
      <c r="BQ198" s="142" t="str">
        <f>_xlfn.IFNA(VLOOKUP($BC198,Programma!$F$3:$T$1101,15,0),"")</f>
        <v/>
      </c>
      <c r="BR198" s="142" t="str">
        <f>_xlfn.IFNA(VLOOKUP($BC198,Programma!$F$3:$U$1101,16,0),"")</f>
        <v/>
      </c>
      <c r="BS198" s="142" t="str">
        <f>_xlfn.IFNA(VLOOKUP($BC198,Programma!$F$3:$V$1101,17,0),"")</f>
        <v/>
      </c>
      <c r="BT198" s="142" t="str">
        <f>_xlfn.IFNA(VLOOKUP($BC198,Programma!$F$3:$W$1101,18,0),"")</f>
        <v/>
      </c>
      <c r="BU198" s="142" t="str">
        <f>_xlfn.IFNA(VLOOKUP($BC198,Programma!$F$3:$X$1101,19,0),"")</f>
        <v/>
      </c>
      <c r="BV198" s="142" t="str">
        <f>_xlfn.IFNA(VLOOKUP($BC198,Programma!$F$3:$Y$1101,20,0),"")</f>
        <v/>
      </c>
      <c r="BW198" s="28"/>
      <c r="BX198" s="28"/>
      <c r="BY198" s="28"/>
      <c r="BZ198" s="28"/>
      <c r="CA198" s="28"/>
      <c r="CB198" s="28"/>
      <c r="CC198" s="28"/>
      <c r="CD198" s="28"/>
      <c r="CE198" s="28"/>
      <c r="CF198" s="28"/>
      <c r="CG198" s="28"/>
      <c r="CH198" s="28"/>
      <c r="CI198" s="28"/>
      <c r="CJ198" s="28"/>
      <c r="CK198" s="28"/>
      <c r="CL198" s="28"/>
      <c r="CM198" s="28"/>
      <c r="CN198" s="28"/>
      <c r="CO198" s="28"/>
      <c r="CP198" s="28"/>
      <c r="CQ198" s="28"/>
      <c r="CR198" s="28"/>
      <c r="CS198" s="28"/>
      <c r="CT198" s="28"/>
      <c r="CU198" s="28"/>
      <c r="CV198" s="28"/>
      <c r="CW198" s="28"/>
      <c r="CX198" s="28"/>
      <c r="CY198" s="28"/>
      <c r="CZ198" s="28"/>
      <c r="DA198" s="28"/>
      <c r="DB198" s="28"/>
      <c r="DC198" s="28"/>
      <c r="DD198" s="28"/>
      <c r="DE198" s="28"/>
      <c r="DF198" s="28"/>
      <c r="DG198" s="28"/>
      <c r="DH198" s="28"/>
      <c r="DI198" s="28"/>
      <c r="DJ198" s="28"/>
      <c r="DK198" s="28"/>
      <c r="DL198" s="28"/>
      <c r="DM198" s="28"/>
      <c r="DN198" s="28"/>
      <c r="DO198" s="28"/>
      <c r="DP198" s="28"/>
      <c r="DQ198" s="28"/>
      <c r="DR198" s="28"/>
      <c r="DS198" s="28"/>
      <c r="DT198" s="28"/>
      <c r="DU198" s="28"/>
      <c r="DV198" s="28"/>
      <c r="DW198" s="28"/>
      <c r="DX198" s="28"/>
      <c r="DY198" s="28"/>
      <c r="DZ198" s="28"/>
      <c r="EA198" s="28"/>
      <c r="EB198" s="28"/>
      <c r="EC198" s="28"/>
      <c r="ED198" s="28"/>
      <c r="EE198" s="28"/>
      <c r="EF198" s="28"/>
      <c r="EG198" s="28"/>
      <c r="EH198" s="28"/>
      <c r="EI198" s="28"/>
      <c r="EJ198" s="28"/>
      <c r="EK198" s="28"/>
      <c r="EL198" s="28"/>
      <c r="EM198" s="28"/>
      <c r="EN198" s="28"/>
      <c r="EO198" s="28"/>
      <c r="EP198" s="28"/>
      <c r="EQ198" s="28"/>
      <c r="ER198" s="28"/>
      <c r="ES198" s="28"/>
      <c r="ET198" s="28"/>
      <c r="EU198" s="28"/>
      <c r="EV198" s="28"/>
      <c r="EW198" s="28"/>
      <c r="EX198" s="28"/>
      <c r="EY198" s="28"/>
      <c r="EZ198" s="28"/>
      <c r="FA198" s="28"/>
      <c r="FB198" s="28"/>
      <c r="FC198" s="28"/>
      <c r="FD198" s="28"/>
      <c r="FE198" s="28"/>
      <c r="FF198" s="28"/>
      <c r="FG198" s="28"/>
      <c r="FH198" s="28"/>
      <c r="FI198" s="28"/>
      <c r="FJ198" s="28"/>
      <c r="FK198" s="28"/>
      <c r="FL198" s="28"/>
      <c r="FM198" s="28"/>
      <c r="FN198" s="28"/>
      <c r="FO198" s="28"/>
      <c r="FP198" s="28"/>
      <c r="FQ198" s="28"/>
      <c r="FR198" s="28"/>
      <c r="FS198" s="28"/>
      <c r="FT198" s="28"/>
      <c r="FU198" s="28"/>
      <c r="FV198" s="28"/>
      <c r="FW198" s="28"/>
      <c r="FX198" s="28"/>
      <c r="FY198" s="28"/>
      <c r="FZ198" s="28"/>
      <c r="GA198" s="28"/>
      <c r="GB198" s="28"/>
      <c r="GC198" s="28"/>
      <c r="GD198" s="28"/>
      <c r="GE198" s="28"/>
      <c r="GF198" s="28"/>
      <c r="GG198" s="28"/>
      <c r="GH198" s="28"/>
      <c r="GI198" s="28"/>
      <c r="GJ198" s="28"/>
      <c r="GK198" s="28"/>
      <c r="GL198" s="28"/>
      <c r="GM198" s="28"/>
      <c r="GN198" s="28"/>
      <c r="GO198" s="28"/>
      <c r="GP198" s="28"/>
      <c r="GQ198" s="28"/>
      <c r="GR198" s="28"/>
      <c r="GS198" s="28"/>
      <c r="GT198" s="28"/>
      <c r="GU198" s="28"/>
      <c r="GV198" s="28"/>
      <c r="GW198" s="28"/>
      <c r="GX198" s="28"/>
      <c r="GY198" s="28"/>
      <c r="GZ198" s="28"/>
      <c r="HA198" s="28"/>
      <c r="HB198" s="28"/>
      <c r="HC198" s="28"/>
      <c r="HD198" s="28"/>
      <c r="HE198" s="28"/>
      <c r="HF198" s="28"/>
      <c r="HG198" s="28"/>
      <c r="HH198" s="28"/>
      <c r="HI198" s="28"/>
      <c r="HJ198" s="28"/>
      <c r="HK198" s="28"/>
    </row>
    <row r="199" spans="1:219" ht="15" customHeight="1">
      <c r="A199" s="49">
        <v>2</v>
      </c>
      <c r="B199" s="132" t="str">
        <f>VLOOKUP(Ruimtestaat[[#This Row],[Code]],Locaties[[Code]:[Locatie]],2,FALSE)</f>
        <v>Pauluskerk</v>
      </c>
      <c r="C199" s="132" t="str">
        <f>VLOOKUP(Ruimtestaat[[#This Row],[Code]],Locaties[[#All],[Code]:[Adres]],4,FALSE)</f>
        <v>Westdorplaan 122</v>
      </c>
      <c r="D199" s="132" t="str">
        <f>VLOOKUP(Ruimtestaat[[#This Row],[Code]],Locaties[[#All],[Code]:[Postcode]],5,FALSE)</f>
        <v>8101 BJ</v>
      </c>
      <c r="E199" s="132" t="str">
        <f>VLOOKUP(Ruimtestaat[[#This Row],[Code]],Locaties[#All],6,FALSE)</f>
        <v>Raalte</v>
      </c>
      <c r="F199" s="100"/>
      <c r="G199" s="100" t="s">
        <v>1764</v>
      </c>
      <c r="H199" s="346" t="s">
        <v>1693</v>
      </c>
      <c r="I199" s="140" t="s">
        <v>1696</v>
      </c>
      <c r="J199" s="49">
        <v>20</v>
      </c>
      <c r="K199" s="140" t="str">
        <f>VLOOKUP(Ruimtestaat[[#This Row],[Ruimte code]],Ruimtegroepen[[#All],[Code]:[Ruimte omschrijving]],2,FALSE)</f>
        <v>Niet in Onderhoud</v>
      </c>
      <c r="L199" s="100"/>
      <c r="M199" s="345"/>
      <c r="N199" s="133"/>
      <c r="O199" s="139">
        <v>3.77</v>
      </c>
      <c r="P199" s="134">
        <f>VLOOKUP(Ruimtestaat[[#This Row],[Ruimte code]],Ruimtegroepen[],4,FALSE)</f>
        <v>0</v>
      </c>
      <c r="Q199" s="100"/>
      <c r="R199" s="100"/>
      <c r="S199" s="100">
        <f>IF(Q199&gt;0,IF(RIGHT(Ruimtestaat[[#This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99" s="100">
        <f>IF(S199&gt;0,VLOOKUP($J199,Ruimtegroepen[],3,FALSE)*VLOOKUP($L199,Vloersoorten[],3,FALSE)*VLOOKUP($R199,Frequenties[],3,FALSE)*VLOOKUP($A199,Locaties[],3,FALSE),0)</f>
        <v>0</v>
      </c>
      <c r="U199" s="100">
        <f>Ruimtestaat[[#This Row],[Uitvoeringen werkdagen]]*Ruimtestaat[[#This Row],[Oppervlak (netto)]]</f>
        <v>0</v>
      </c>
      <c r="V199" s="135">
        <f>IF(T199&gt;0,Ruimtestaat[[#This Row],[Prest. (m2 /jaar) werkdagen]]/Ruimtestaat[[#This Row],[Norm (m2/uur) werkdagen]],0)</f>
        <v>0</v>
      </c>
      <c r="W199" s="136">
        <f>Ruimtestaat[[#This Row],[uren / jaar werkdagen]]*Tariefsopbouw!$E$35</f>
        <v>0</v>
      </c>
      <c r="X199" s="100"/>
      <c r="Y199" s="100">
        <f>IF(Ruimtestaat[[#This Row],[Frequentie weekend]]&gt;0,VALUE(LEFT(X199,1))*Q199,0)</f>
        <v>0</v>
      </c>
      <c r="Z199" s="99">
        <f>IF($Y199&gt;0,VLOOKUP($J199,Ruimtegroepen[],3,FALSE)*VLOOKUP($L199,Vloersoorten[],3,FALSE)*VLOOKUP($X199,Frequenties[],3,FALSE)*VLOOKUP(Ruimtestaat[[#This Row],[Code]],Locaties[],3,FALSE),0)</f>
        <v>0</v>
      </c>
      <c r="AA199" s="99">
        <f>Ruimtestaat[[#This Row],[Uitvoeringen weekend]]*Ruimtestaat[[#This Row],[Oppervlak (netto)]]</f>
        <v>0</v>
      </c>
      <c r="AB199" s="99">
        <f>IF(Z199&gt;0,Ruimtestaat[[#This Row],[Prest. (m2 /jaar) weekend]]/Ruimtestaat[[#This Row],[Norm (m2/uur) weekend]],0)</f>
        <v>0</v>
      </c>
      <c r="AC199" s="136">
        <f>Ruimtestaat[[#This Row],[uren / jaar weekend]]*Tariefsopbouw!$D$40</f>
        <v>0</v>
      </c>
      <c r="AD199" s="135">
        <f>Ruimtestaat[[#This Row],[Prest. (m2 /jaar) weekend]]+Ruimtestaat[[#This Row],[Prest. (m2 /jaar) werkdagen]]</f>
        <v>0</v>
      </c>
      <c r="AE199" s="135">
        <f>Ruimtestaat[[#This Row],[uren / jaar weekend]]+Ruimtestaat[[#This Row],[uren / jaar werkdagen]]</f>
        <v>0</v>
      </c>
      <c r="AF199" s="130">
        <f>Ruimtestaat[[#This Row],[kosten / jaar weekend]]+Ruimtestaat[[#This Row],[kosten / jaar werkdagen]]</f>
        <v>0</v>
      </c>
      <c r="AG199" s="130"/>
      <c r="AH199" s="137" t="str">
        <f>IF(Ruimtestaat[[#This Row],[Frequentie werkdagen]]="","",_xlfn.CONCAT(Ruimtestaat[[#This Row],[Ruimte code]],"-",Ruimtestaat[[#This Row],[Frequentie werkdagen]]," ",Ruimtestaat[[#This Row],[Vloer code]]))</f>
        <v/>
      </c>
      <c r="AI199" s="142" t="str">
        <f>_xlfn.IFNA(VLOOKUP($AH199,Programma!$F$3:$G$1101,2,0),"")</f>
        <v/>
      </c>
      <c r="AJ199" s="142" t="str">
        <f>_xlfn.IFNA(VLOOKUP($AH199,Programma!$F$3:$H$1101,3,0),"")</f>
        <v/>
      </c>
      <c r="AK199" s="142" t="str">
        <f>_xlfn.IFNA(VLOOKUP($AH199,Programma!$F$3:$I$1101,4,0),"")</f>
        <v/>
      </c>
      <c r="AL199" s="142" t="str">
        <f>_xlfn.IFNA(VLOOKUP($AH199,Programma!$F$3:$J$1101,5,0),"")</f>
        <v/>
      </c>
      <c r="AM199" s="142" t="str">
        <f>_xlfn.IFNA(VLOOKUP($AH199,Programma!$F$3:$K$1101,6,0),"")</f>
        <v/>
      </c>
      <c r="AN199" s="142" t="str">
        <f>_xlfn.IFNA(VLOOKUP($AH199,Programma!$F$3:$L$1101,7,0),"")</f>
        <v/>
      </c>
      <c r="AO199" s="142" t="str">
        <f>_xlfn.IFNA(VLOOKUP($AH199,Programma!$F$3:$M$1101,8,0),"")</f>
        <v/>
      </c>
      <c r="AP199" s="142" t="str">
        <f>_xlfn.IFNA(VLOOKUP($AH199,Programma!$F$3:$N$1101,9,0),"")</f>
        <v/>
      </c>
      <c r="AQ199" s="142" t="str">
        <f>_xlfn.IFNA(VLOOKUP($AH199,Programma!$F$3:$O$1101,10,0),"")</f>
        <v/>
      </c>
      <c r="AR199" s="142" t="str">
        <f>_xlfn.IFNA(VLOOKUP($AH199,Programma!$F$3:$P$1101,11,0),"")</f>
        <v/>
      </c>
      <c r="AS199" s="142" t="str">
        <f>_xlfn.IFNA(VLOOKUP($AH199,Programma!$F$3:$Q$1101,12,0),"")</f>
        <v/>
      </c>
      <c r="AT199" s="142" t="str">
        <f>_xlfn.IFNA(VLOOKUP($AH199,Programma!$F$3:$R$1101,13,0),"")</f>
        <v/>
      </c>
      <c r="AU199" s="142" t="str">
        <f>_xlfn.IFNA(VLOOKUP($AH199,Programma!$F$3:$S$1101,14,0),"")</f>
        <v/>
      </c>
      <c r="AV199" s="142" t="str">
        <f>_xlfn.IFNA(VLOOKUP($AH199,Programma!$F$3:$T$1101,15,0),"")</f>
        <v/>
      </c>
      <c r="AW199" s="142" t="str">
        <f>_xlfn.IFNA(VLOOKUP($AH199,Programma!$F$3:$U$1101,16,0),"")</f>
        <v/>
      </c>
      <c r="AX199" s="142" t="str">
        <f>_xlfn.IFNA(VLOOKUP($AH199,Programma!$F$3:$V$1101,17,0),"")</f>
        <v/>
      </c>
      <c r="AY199" s="142" t="str">
        <f>_xlfn.IFNA(VLOOKUP($AH199,Programma!$F$3:$W$1101,18,0),"")</f>
        <v/>
      </c>
      <c r="AZ199" s="142" t="str">
        <f>_xlfn.IFNA(VLOOKUP($AH199,Programma!$F$3:$X$1101,19,0),"")</f>
        <v/>
      </c>
      <c r="BA199" s="142" t="str">
        <f>_xlfn.IFNA(VLOOKUP($AH199,Programma!$F$3:$Y$1101,20,0),"")</f>
        <v/>
      </c>
      <c r="BB199" s="138"/>
      <c r="BC199" s="137" t="str">
        <f>IF(Ruimtestaat[[#This Row],[Frequentie weekend]]="","",_xlfn.CONCAT(Ruimtestaat[[#This Row],[Ruimte code]],"-",Ruimtestaat[[#This Row],[Frequentie weekend]]," ",Ruimtestaat[[#This Row],[Vloer code]]))</f>
        <v/>
      </c>
      <c r="BD199" s="142" t="str">
        <f>_xlfn.IFNA(VLOOKUP($BC199,Programma!$F$3:$G$1101,2,0),"")</f>
        <v/>
      </c>
      <c r="BE199" s="142" t="str">
        <f>_xlfn.IFNA(VLOOKUP($BC199,Programma!$F$3:$H$1101,3,0),"")</f>
        <v/>
      </c>
      <c r="BF199" s="142" t="str">
        <f>_xlfn.IFNA(VLOOKUP($BC199,Programma!$F$3:$I$1101,4,0),"")</f>
        <v/>
      </c>
      <c r="BG199" s="142" t="str">
        <f>_xlfn.IFNA(VLOOKUP($BC199,Programma!$F$3:$J$1101,5,0),"")</f>
        <v/>
      </c>
      <c r="BH199" s="142" t="str">
        <f>_xlfn.IFNA(VLOOKUP($BC199,Programma!$F$3:$K$1101,6,0),"")</f>
        <v/>
      </c>
      <c r="BI199" s="142" t="str">
        <f>_xlfn.IFNA(VLOOKUP($BC199,Programma!$F$3:$L$1101,7,0),"")</f>
        <v/>
      </c>
      <c r="BJ199" s="142" t="str">
        <f>_xlfn.IFNA(VLOOKUP($BC199,Programma!$F$3:$M$1101,8,0),"")</f>
        <v/>
      </c>
      <c r="BK199" s="142" t="str">
        <f>_xlfn.IFNA(VLOOKUP($BC199,Programma!$F$3:$N$1101,9,0),"")</f>
        <v/>
      </c>
      <c r="BL199" s="142" t="str">
        <f>_xlfn.IFNA(VLOOKUP($BC199,Programma!$F$3:$O$1101,10,0),"")</f>
        <v/>
      </c>
      <c r="BM199" s="142" t="str">
        <f>_xlfn.IFNA(VLOOKUP($BC199,Programma!$F$3:$P$1101,11,0),"")</f>
        <v/>
      </c>
      <c r="BN199" s="142" t="str">
        <f>_xlfn.IFNA(VLOOKUP($BC199,Programma!$F$3:$Q$1101,12,0),"")</f>
        <v/>
      </c>
      <c r="BO199" s="142" t="str">
        <f>_xlfn.IFNA(VLOOKUP($BC199,Programma!$F$3:$R$1101,13,0),"")</f>
        <v/>
      </c>
      <c r="BP199" s="142" t="str">
        <f>_xlfn.IFNA(VLOOKUP($BC199,Programma!$F$3:$S$1101,14,0),"")</f>
        <v/>
      </c>
      <c r="BQ199" s="142" t="str">
        <f>_xlfn.IFNA(VLOOKUP($BC199,Programma!$F$3:$T$1101,15,0),"")</f>
        <v/>
      </c>
      <c r="BR199" s="142" t="str">
        <f>_xlfn.IFNA(VLOOKUP($BC199,Programma!$F$3:$U$1101,16,0),"")</f>
        <v/>
      </c>
      <c r="BS199" s="142" t="str">
        <f>_xlfn.IFNA(VLOOKUP($BC199,Programma!$F$3:$V$1101,17,0),"")</f>
        <v/>
      </c>
      <c r="BT199" s="142" t="str">
        <f>_xlfn.IFNA(VLOOKUP($BC199,Programma!$F$3:$W$1101,18,0),"")</f>
        <v/>
      </c>
      <c r="BU199" s="142" t="str">
        <f>_xlfn.IFNA(VLOOKUP($BC199,Programma!$F$3:$X$1101,19,0),"")</f>
        <v/>
      </c>
      <c r="BV199" s="142" t="str">
        <f>_xlfn.IFNA(VLOOKUP($BC199,Programma!$F$3:$Y$1101,20,0),"")</f>
        <v/>
      </c>
      <c r="BW199" s="28"/>
      <c r="BX199" s="28"/>
      <c r="BY199" s="28"/>
      <c r="BZ199" s="28"/>
      <c r="CA199" s="28"/>
      <c r="CB199" s="28"/>
      <c r="CC199" s="28"/>
      <c r="CD199" s="28"/>
      <c r="CE199" s="28"/>
      <c r="CF199" s="28"/>
      <c r="CG199" s="28"/>
      <c r="CH199" s="28"/>
      <c r="CI199" s="28"/>
      <c r="CJ199" s="28"/>
      <c r="CK199" s="28"/>
      <c r="CL199" s="28"/>
      <c r="CM199" s="28"/>
      <c r="CN199" s="28"/>
      <c r="CO199" s="28"/>
      <c r="CP199" s="28"/>
      <c r="CQ199" s="28"/>
      <c r="CR199" s="28"/>
      <c r="CS199" s="28"/>
      <c r="CT199" s="28"/>
      <c r="CU199" s="28"/>
      <c r="CV199" s="28"/>
      <c r="CW199" s="28"/>
      <c r="CX199" s="28"/>
      <c r="CY199" s="28"/>
      <c r="CZ199" s="28"/>
      <c r="DA199" s="28"/>
      <c r="DB199" s="28"/>
      <c r="DC199" s="28"/>
      <c r="DD199" s="28"/>
      <c r="DE199" s="28"/>
      <c r="DF199" s="28"/>
      <c r="DG199" s="28"/>
      <c r="DH199" s="28"/>
      <c r="DI199" s="28"/>
      <c r="DJ199" s="28"/>
      <c r="DK199" s="28"/>
      <c r="DL199" s="28"/>
      <c r="DM199" s="28"/>
      <c r="DN199" s="28"/>
      <c r="DO199" s="28"/>
      <c r="DP199" s="28"/>
      <c r="DQ199" s="28"/>
      <c r="DR199" s="28"/>
      <c r="DS199" s="28"/>
      <c r="DT199" s="28"/>
      <c r="DU199" s="28"/>
      <c r="DV199" s="28"/>
      <c r="DW199" s="28"/>
      <c r="DX199" s="28"/>
      <c r="DY199" s="28"/>
      <c r="DZ199" s="28"/>
      <c r="EA199" s="28"/>
      <c r="EB199" s="28"/>
      <c r="EC199" s="28"/>
      <c r="ED199" s="28"/>
      <c r="EE199" s="28"/>
      <c r="EF199" s="28"/>
      <c r="EG199" s="28"/>
      <c r="EH199" s="28"/>
      <c r="EI199" s="28"/>
      <c r="EJ199" s="28"/>
      <c r="EK199" s="28"/>
      <c r="EL199" s="28"/>
      <c r="EM199" s="28"/>
      <c r="EN199" s="28"/>
      <c r="EO199" s="28"/>
      <c r="EP199" s="28"/>
      <c r="EQ199" s="28"/>
      <c r="ER199" s="28"/>
      <c r="ES199" s="28"/>
      <c r="ET199" s="28"/>
      <c r="EU199" s="28"/>
      <c r="EV199" s="28"/>
      <c r="EW199" s="28"/>
      <c r="EX199" s="28"/>
      <c r="EY199" s="28"/>
      <c r="EZ199" s="28"/>
      <c r="FA199" s="28"/>
      <c r="FB199" s="28"/>
      <c r="FC199" s="28"/>
      <c r="FD199" s="28"/>
      <c r="FE199" s="28"/>
      <c r="FF199" s="28"/>
      <c r="FG199" s="28"/>
      <c r="FH199" s="28"/>
      <c r="FI199" s="28"/>
      <c r="FJ199" s="28"/>
      <c r="FK199" s="28"/>
      <c r="FL199" s="28"/>
      <c r="FM199" s="28"/>
      <c r="FN199" s="28"/>
      <c r="FO199" s="28"/>
      <c r="FP199" s="28"/>
      <c r="FQ199" s="28"/>
      <c r="FR199" s="28"/>
      <c r="FS199" s="28"/>
      <c r="FT199" s="28"/>
      <c r="FU199" s="28"/>
      <c r="FV199" s="28"/>
      <c r="FW199" s="28"/>
      <c r="FX199" s="28"/>
      <c r="FY199" s="28"/>
      <c r="FZ199" s="28"/>
      <c r="GA199" s="28"/>
      <c r="GB199" s="28"/>
      <c r="GC199" s="28"/>
      <c r="GD199" s="28"/>
      <c r="GE199" s="28"/>
      <c r="GF199" s="28"/>
      <c r="GG199" s="28"/>
      <c r="GH199" s="28"/>
      <c r="GI199" s="28"/>
      <c r="GJ199" s="28"/>
      <c r="GK199" s="28"/>
      <c r="GL199" s="28"/>
      <c r="GM199" s="28"/>
      <c r="GN199" s="28"/>
      <c r="GO199" s="28"/>
      <c r="GP199" s="28"/>
      <c r="GQ199" s="28"/>
      <c r="GR199" s="28"/>
      <c r="GS199" s="28"/>
      <c r="GT199" s="28"/>
      <c r="GU199" s="28"/>
      <c r="GV199" s="28"/>
      <c r="GW199" s="28"/>
      <c r="GX199" s="28"/>
      <c r="GY199" s="28"/>
      <c r="GZ199" s="28"/>
      <c r="HA199" s="28"/>
      <c r="HB199" s="28"/>
      <c r="HC199" s="28"/>
      <c r="HD199" s="28"/>
      <c r="HE199" s="28"/>
      <c r="HF199" s="28"/>
      <c r="HG199" s="28"/>
      <c r="HH199" s="28"/>
      <c r="HI199" s="28"/>
      <c r="HJ199" s="28"/>
      <c r="HK199" s="28"/>
    </row>
    <row r="200" spans="1:219" ht="15" customHeight="1">
      <c r="A200" s="49">
        <v>2</v>
      </c>
      <c r="B200" s="132" t="str">
        <f>VLOOKUP(Ruimtestaat[[#This Row],[Code]],Locaties[[Code]:[Locatie]],2,FALSE)</f>
        <v>Pauluskerk</v>
      </c>
      <c r="C200" s="132" t="str">
        <f>VLOOKUP(Ruimtestaat[[#This Row],[Code]],Locaties[[#All],[Code]:[Adres]],4,FALSE)</f>
        <v>Westdorplaan 122</v>
      </c>
      <c r="D200" s="132" t="str">
        <f>VLOOKUP(Ruimtestaat[[#This Row],[Code]],Locaties[[#All],[Code]:[Postcode]],5,FALSE)</f>
        <v>8101 BJ</v>
      </c>
      <c r="E200" s="132" t="str">
        <f>VLOOKUP(Ruimtestaat[[#This Row],[Code]],Locaties[#All],6,FALSE)</f>
        <v>Raalte</v>
      </c>
      <c r="F200" s="100"/>
      <c r="G200" s="100" t="s">
        <v>1764</v>
      </c>
      <c r="H200" s="346" t="s">
        <v>1694</v>
      </c>
      <c r="I200" s="140" t="s">
        <v>1697</v>
      </c>
      <c r="J200" s="49">
        <v>20</v>
      </c>
      <c r="K200" s="140" t="str">
        <f>VLOOKUP(Ruimtestaat[[#This Row],[Ruimte code]],Ruimtegroepen[[#All],[Code]:[Ruimte omschrijving]],2,FALSE)</f>
        <v>Niet in Onderhoud</v>
      </c>
      <c r="L200" s="100"/>
      <c r="M200" s="345"/>
      <c r="N200" s="133"/>
      <c r="O200" s="139">
        <v>7.38</v>
      </c>
      <c r="P200" s="134">
        <f>VLOOKUP(Ruimtestaat[[#This Row],[Ruimte code]],Ruimtegroepen[],4,FALSE)</f>
        <v>0</v>
      </c>
      <c r="Q200" s="100"/>
      <c r="R200" s="100"/>
      <c r="S200" s="100">
        <f>IF(Q200&gt;0,IF(RIGHT(Ruimtestaat[[#This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00" s="100">
        <f>IF(S200&gt;0,VLOOKUP($J200,Ruimtegroepen[],3,FALSE)*VLOOKUP($L200,Vloersoorten[],3,FALSE)*VLOOKUP($R200,Frequenties[],3,FALSE)*VLOOKUP($A200,Locaties[],3,FALSE),0)</f>
        <v>0</v>
      </c>
      <c r="U200" s="100">
        <f>Ruimtestaat[[#This Row],[Uitvoeringen werkdagen]]*Ruimtestaat[[#This Row],[Oppervlak (netto)]]</f>
        <v>0</v>
      </c>
      <c r="V200" s="135">
        <f>IF(T200&gt;0,Ruimtestaat[[#This Row],[Prest. (m2 /jaar) werkdagen]]/Ruimtestaat[[#This Row],[Norm (m2/uur) werkdagen]],0)</f>
        <v>0</v>
      </c>
      <c r="W200" s="136">
        <f>Ruimtestaat[[#This Row],[uren / jaar werkdagen]]*Tariefsopbouw!$E$35</f>
        <v>0</v>
      </c>
      <c r="X200" s="100"/>
      <c r="Y200" s="100">
        <f>IF(Ruimtestaat[[#This Row],[Frequentie weekend]]&gt;0,VALUE(LEFT(X200,1))*Q200,0)</f>
        <v>0</v>
      </c>
      <c r="Z200" s="99">
        <f>IF($Y200&gt;0,VLOOKUP($J200,Ruimtegroepen[],3,FALSE)*VLOOKUP($L200,Vloersoorten[],3,FALSE)*VLOOKUP($X200,Frequenties[],3,FALSE)*VLOOKUP(Ruimtestaat[[#This Row],[Code]],Locaties[],3,FALSE),0)</f>
        <v>0</v>
      </c>
      <c r="AA200" s="99">
        <f>Ruimtestaat[[#This Row],[Uitvoeringen weekend]]*Ruimtestaat[[#This Row],[Oppervlak (netto)]]</f>
        <v>0</v>
      </c>
      <c r="AB200" s="99">
        <f>IF(Z200&gt;0,Ruimtestaat[[#This Row],[Prest. (m2 /jaar) weekend]]/Ruimtestaat[[#This Row],[Norm (m2/uur) weekend]],0)</f>
        <v>0</v>
      </c>
      <c r="AC200" s="136">
        <f>Ruimtestaat[[#This Row],[uren / jaar weekend]]*Tariefsopbouw!$D$40</f>
        <v>0</v>
      </c>
      <c r="AD200" s="135">
        <f>Ruimtestaat[[#This Row],[Prest. (m2 /jaar) weekend]]+Ruimtestaat[[#This Row],[Prest. (m2 /jaar) werkdagen]]</f>
        <v>0</v>
      </c>
      <c r="AE200" s="135">
        <f>Ruimtestaat[[#This Row],[uren / jaar weekend]]+Ruimtestaat[[#This Row],[uren / jaar werkdagen]]</f>
        <v>0</v>
      </c>
      <c r="AF200" s="130">
        <f>Ruimtestaat[[#This Row],[kosten / jaar weekend]]+Ruimtestaat[[#This Row],[kosten / jaar werkdagen]]</f>
        <v>0</v>
      </c>
      <c r="AG200" s="130"/>
      <c r="AH200" s="137" t="str">
        <f>IF(Ruimtestaat[[#This Row],[Frequentie werkdagen]]="","",_xlfn.CONCAT(Ruimtestaat[[#This Row],[Ruimte code]],"-",Ruimtestaat[[#This Row],[Frequentie werkdagen]]," ",Ruimtestaat[[#This Row],[Vloer code]]))</f>
        <v/>
      </c>
      <c r="AI200" s="142" t="str">
        <f>_xlfn.IFNA(VLOOKUP($AH200,Programma!$F$3:$G$1101,2,0),"")</f>
        <v/>
      </c>
      <c r="AJ200" s="142" t="str">
        <f>_xlfn.IFNA(VLOOKUP($AH200,Programma!$F$3:$H$1101,3,0),"")</f>
        <v/>
      </c>
      <c r="AK200" s="142" t="str">
        <f>_xlfn.IFNA(VLOOKUP($AH200,Programma!$F$3:$I$1101,4,0),"")</f>
        <v/>
      </c>
      <c r="AL200" s="142" t="str">
        <f>_xlfn.IFNA(VLOOKUP($AH200,Programma!$F$3:$J$1101,5,0),"")</f>
        <v/>
      </c>
      <c r="AM200" s="142" t="str">
        <f>_xlfn.IFNA(VLOOKUP($AH200,Programma!$F$3:$K$1101,6,0),"")</f>
        <v/>
      </c>
      <c r="AN200" s="142" t="str">
        <f>_xlfn.IFNA(VLOOKUP($AH200,Programma!$F$3:$L$1101,7,0),"")</f>
        <v/>
      </c>
      <c r="AO200" s="142" t="str">
        <f>_xlfn.IFNA(VLOOKUP($AH200,Programma!$F$3:$M$1101,8,0),"")</f>
        <v/>
      </c>
      <c r="AP200" s="142" t="str">
        <f>_xlfn.IFNA(VLOOKUP($AH200,Programma!$F$3:$N$1101,9,0),"")</f>
        <v/>
      </c>
      <c r="AQ200" s="142" t="str">
        <f>_xlfn.IFNA(VLOOKUP($AH200,Programma!$F$3:$O$1101,10,0),"")</f>
        <v/>
      </c>
      <c r="AR200" s="142" t="str">
        <f>_xlfn.IFNA(VLOOKUP($AH200,Programma!$F$3:$P$1101,11,0),"")</f>
        <v/>
      </c>
      <c r="AS200" s="142" t="str">
        <f>_xlfn.IFNA(VLOOKUP($AH200,Programma!$F$3:$Q$1101,12,0),"")</f>
        <v/>
      </c>
      <c r="AT200" s="142" t="str">
        <f>_xlfn.IFNA(VLOOKUP($AH200,Programma!$F$3:$R$1101,13,0),"")</f>
        <v/>
      </c>
      <c r="AU200" s="142" t="str">
        <f>_xlfn.IFNA(VLOOKUP($AH200,Programma!$F$3:$S$1101,14,0),"")</f>
        <v/>
      </c>
      <c r="AV200" s="142" t="str">
        <f>_xlfn.IFNA(VLOOKUP($AH200,Programma!$F$3:$T$1101,15,0),"")</f>
        <v/>
      </c>
      <c r="AW200" s="142" t="str">
        <f>_xlfn.IFNA(VLOOKUP($AH200,Programma!$F$3:$U$1101,16,0),"")</f>
        <v/>
      </c>
      <c r="AX200" s="142" t="str">
        <f>_xlfn.IFNA(VLOOKUP($AH200,Programma!$F$3:$V$1101,17,0),"")</f>
        <v/>
      </c>
      <c r="AY200" s="142" t="str">
        <f>_xlfn.IFNA(VLOOKUP($AH200,Programma!$F$3:$W$1101,18,0),"")</f>
        <v/>
      </c>
      <c r="AZ200" s="142" t="str">
        <f>_xlfn.IFNA(VLOOKUP($AH200,Programma!$F$3:$X$1101,19,0),"")</f>
        <v/>
      </c>
      <c r="BA200" s="142" t="str">
        <f>_xlfn.IFNA(VLOOKUP($AH200,Programma!$F$3:$Y$1101,20,0),"")</f>
        <v/>
      </c>
      <c r="BB200" s="138"/>
      <c r="BC200" s="137" t="str">
        <f>IF(Ruimtestaat[[#This Row],[Frequentie weekend]]="","",_xlfn.CONCAT(Ruimtestaat[[#This Row],[Ruimte code]],"-",Ruimtestaat[[#This Row],[Frequentie weekend]]," ",Ruimtestaat[[#This Row],[Vloer code]]))</f>
        <v/>
      </c>
      <c r="BD200" s="142" t="str">
        <f>_xlfn.IFNA(VLOOKUP($BC200,Programma!$F$3:$G$1101,2,0),"")</f>
        <v/>
      </c>
      <c r="BE200" s="142" t="str">
        <f>_xlfn.IFNA(VLOOKUP($BC200,Programma!$F$3:$H$1101,3,0),"")</f>
        <v/>
      </c>
      <c r="BF200" s="142" t="str">
        <f>_xlfn.IFNA(VLOOKUP($BC200,Programma!$F$3:$I$1101,4,0),"")</f>
        <v/>
      </c>
      <c r="BG200" s="142" t="str">
        <f>_xlfn.IFNA(VLOOKUP($BC200,Programma!$F$3:$J$1101,5,0),"")</f>
        <v/>
      </c>
      <c r="BH200" s="142" t="str">
        <f>_xlfn.IFNA(VLOOKUP($BC200,Programma!$F$3:$K$1101,6,0),"")</f>
        <v/>
      </c>
      <c r="BI200" s="142" t="str">
        <f>_xlfn.IFNA(VLOOKUP($BC200,Programma!$F$3:$L$1101,7,0),"")</f>
        <v/>
      </c>
      <c r="BJ200" s="142" t="str">
        <f>_xlfn.IFNA(VLOOKUP($BC200,Programma!$F$3:$M$1101,8,0),"")</f>
        <v/>
      </c>
      <c r="BK200" s="142" t="str">
        <f>_xlfn.IFNA(VLOOKUP($BC200,Programma!$F$3:$N$1101,9,0),"")</f>
        <v/>
      </c>
      <c r="BL200" s="142" t="str">
        <f>_xlfn.IFNA(VLOOKUP($BC200,Programma!$F$3:$O$1101,10,0),"")</f>
        <v/>
      </c>
      <c r="BM200" s="142" t="str">
        <f>_xlfn.IFNA(VLOOKUP($BC200,Programma!$F$3:$P$1101,11,0),"")</f>
        <v/>
      </c>
      <c r="BN200" s="142" t="str">
        <f>_xlfn.IFNA(VLOOKUP($BC200,Programma!$F$3:$Q$1101,12,0),"")</f>
        <v/>
      </c>
      <c r="BO200" s="142" t="str">
        <f>_xlfn.IFNA(VLOOKUP($BC200,Programma!$F$3:$R$1101,13,0),"")</f>
        <v/>
      </c>
      <c r="BP200" s="142" t="str">
        <f>_xlfn.IFNA(VLOOKUP($BC200,Programma!$F$3:$S$1101,14,0),"")</f>
        <v/>
      </c>
      <c r="BQ200" s="142" t="str">
        <f>_xlfn.IFNA(VLOOKUP($BC200,Programma!$F$3:$T$1101,15,0),"")</f>
        <v/>
      </c>
      <c r="BR200" s="142" t="str">
        <f>_xlfn.IFNA(VLOOKUP($BC200,Programma!$F$3:$U$1101,16,0),"")</f>
        <v/>
      </c>
      <c r="BS200" s="142" t="str">
        <f>_xlfn.IFNA(VLOOKUP($BC200,Programma!$F$3:$V$1101,17,0),"")</f>
        <v/>
      </c>
      <c r="BT200" s="142" t="str">
        <f>_xlfn.IFNA(VLOOKUP($BC200,Programma!$F$3:$W$1101,18,0),"")</f>
        <v/>
      </c>
      <c r="BU200" s="142" t="str">
        <f>_xlfn.IFNA(VLOOKUP($BC200,Programma!$F$3:$X$1101,19,0),"")</f>
        <v/>
      </c>
      <c r="BV200" s="142" t="str">
        <f>_xlfn.IFNA(VLOOKUP($BC200,Programma!$F$3:$Y$1101,20,0),"")</f>
        <v/>
      </c>
      <c r="BW200" s="28"/>
      <c r="BX200" s="28"/>
      <c r="BY200" s="28"/>
      <c r="BZ200" s="28"/>
      <c r="CA200" s="28"/>
      <c r="CB200" s="28"/>
      <c r="CC200" s="28"/>
      <c r="CD200" s="28"/>
      <c r="CE200" s="28"/>
      <c r="CF200" s="28"/>
      <c r="CG200" s="28"/>
      <c r="CH200" s="28"/>
      <c r="CI200" s="28"/>
      <c r="CJ200" s="28"/>
      <c r="CK200" s="28"/>
      <c r="CL200" s="28"/>
      <c r="CM200" s="28"/>
      <c r="CN200" s="28"/>
      <c r="CO200" s="28"/>
      <c r="CP200" s="28"/>
      <c r="CQ200" s="28"/>
      <c r="CR200" s="28"/>
      <c r="CS200" s="28"/>
      <c r="CT200" s="28"/>
      <c r="CU200" s="28"/>
      <c r="CV200" s="28"/>
      <c r="CW200" s="28"/>
      <c r="CX200" s="28"/>
      <c r="CY200" s="28"/>
      <c r="CZ200" s="28"/>
      <c r="DA200" s="28"/>
      <c r="DB200" s="28"/>
      <c r="DC200" s="28"/>
      <c r="DD200" s="28"/>
      <c r="DE200" s="28"/>
      <c r="DF200" s="28"/>
      <c r="DG200" s="28"/>
      <c r="DH200" s="28"/>
      <c r="DI200" s="28"/>
      <c r="DJ200" s="28"/>
      <c r="DK200" s="28"/>
      <c r="DL200" s="28"/>
      <c r="DM200" s="28"/>
      <c r="DN200" s="28"/>
      <c r="DO200" s="28"/>
      <c r="DP200" s="28"/>
      <c r="DQ200" s="28"/>
      <c r="DR200" s="28"/>
      <c r="DS200" s="28"/>
      <c r="DT200" s="28"/>
      <c r="DU200" s="28"/>
      <c r="DV200" s="28"/>
      <c r="DW200" s="28"/>
      <c r="DX200" s="28"/>
      <c r="DY200" s="28"/>
      <c r="DZ200" s="28"/>
      <c r="EA200" s="28"/>
      <c r="EB200" s="28"/>
      <c r="EC200" s="28"/>
      <c r="ED200" s="28"/>
      <c r="EE200" s="28"/>
      <c r="EF200" s="28"/>
      <c r="EG200" s="28"/>
      <c r="EH200" s="28"/>
      <c r="EI200" s="28"/>
      <c r="EJ200" s="28"/>
      <c r="EK200" s="28"/>
      <c r="EL200" s="28"/>
      <c r="EM200" s="28"/>
      <c r="EN200" s="28"/>
      <c r="EO200" s="28"/>
      <c r="EP200" s="28"/>
      <c r="EQ200" s="28"/>
      <c r="ER200" s="28"/>
      <c r="ES200" s="28"/>
      <c r="ET200" s="28"/>
      <c r="EU200" s="28"/>
      <c r="EV200" s="28"/>
      <c r="EW200" s="28"/>
      <c r="EX200" s="28"/>
      <c r="EY200" s="28"/>
      <c r="EZ200" s="28"/>
      <c r="FA200" s="28"/>
      <c r="FB200" s="28"/>
      <c r="FC200" s="28"/>
      <c r="FD200" s="28"/>
      <c r="FE200" s="28"/>
      <c r="FF200" s="28"/>
      <c r="FG200" s="28"/>
      <c r="FH200" s="28"/>
      <c r="FI200" s="28"/>
      <c r="FJ200" s="28"/>
      <c r="FK200" s="28"/>
      <c r="FL200" s="28"/>
      <c r="FM200" s="28"/>
      <c r="FN200" s="28"/>
      <c r="FO200" s="28"/>
      <c r="FP200" s="28"/>
      <c r="FQ200" s="28"/>
      <c r="FR200" s="28"/>
      <c r="FS200" s="28"/>
      <c r="FT200" s="28"/>
      <c r="FU200" s="28"/>
      <c r="FV200" s="28"/>
      <c r="FW200" s="28"/>
      <c r="FX200" s="28"/>
      <c r="FY200" s="28"/>
      <c r="FZ200" s="28"/>
      <c r="GA200" s="28"/>
      <c r="GB200" s="28"/>
      <c r="GC200" s="28"/>
      <c r="GD200" s="28"/>
      <c r="GE200" s="28"/>
      <c r="GF200" s="28"/>
      <c r="GG200" s="28"/>
      <c r="GH200" s="28"/>
      <c r="GI200" s="28"/>
      <c r="GJ200" s="28"/>
      <c r="GK200" s="28"/>
      <c r="GL200" s="28"/>
      <c r="GM200" s="28"/>
      <c r="GN200" s="28"/>
      <c r="GO200" s="28"/>
      <c r="GP200" s="28"/>
      <c r="GQ200" s="28"/>
      <c r="GR200" s="28"/>
      <c r="GS200" s="28"/>
      <c r="GT200" s="28"/>
      <c r="GU200" s="28"/>
      <c r="GV200" s="28"/>
      <c r="GW200" s="28"/>
      <c r="GX200" s="28"/>
      <c r="GY200" s="28"/>
      <c r="GZ200" s="28"/>
      <c r="HA200" s="28"/>
      <c r="HB200" s="28"/>
      <c r="HC200" s="28"/>
      <c r="HD200" s="28"/>
      <c r="HE200" s="28"/>
      <c r="HF200" s="28"/>
      <c r="HG200" s="28"/>
      <c r="HH200" s="28"/>
      <c r="HI200" s="28"/>
      <c r="HJ200" s="28"/>
      <c r="HK200" s="28"/>
    </row>
    <row r="201" spans="1:219" ht="15" customHeight="1">
      <c r="A201" s="49">
        <v>2</v>
      </c>
      <c r="B201" s="132" t="str">
        <f>VLOOKUP(Ruimtestaat[[#This Row],[Code]],Locaties[[Code]:[Locatie]],2,FALSE)</f>
        <v>Pauluskerk</v>
      </c>
      <c r="C201" s="132" t="str">
        <f>VLOOKUP(Ruimtestaat[[#This Row],[Code]],Locaties[[#All],[Code]:[Adres]],4,FALSE)</f>
        <v>Westdorplaan 122</v>
      </c>
      <c r="D201" s="132" t="str">
        <f>VLOOKUP(Ruimtestaat[[#This Row],[Code]],Locaties[[#All],[Code]:[Postcode]],5,FALSE)</f>
        <v>8101 BJ</v>
      </c>
      <c r="E201" s="132" t="str">
        <f>VLOOKUP(Ruimtestaat[[#This Row],[Code]],Locaties[#All],6,FALSE)</f>
        <v>Raalte</v>
      </c>
      <c r="F201" s="100"/>
      <c r="G201" s="100" t="s">
        <v>1764</v>
      </c>
      <c r="H201" s="346" t="s">
        <v>1695</v>
      </c>
      <c r="I201" s="140" t="s">
        <v>1698</v>
      </c>
      <c r="J201" s="49">
        <v>20</v>
      </c>
      <c r="K201" s="140" t="str">
        <f>VLOOKUP(Ruimtestaat[[#This Row],[Ruimte code]],Ruimtegroepen[[#All],[Code]:[Ruimte omschrijving]],2,FALSE)</f>
        <v>Niet in Onderhoud</v>
      </c>
      <c r="L201" s="100"/>
      <c r="M201" s="345"/>
      <c r="N201" s="133"/>
      <c r="O201" s="139">
        <v>12.96</v>
      </c>
      <c r="P201" s="134">
        <f>VLOOKUP(Ruimtestaat[[#This Row],[Ruimte code]],Ruimtegroepen[],4,FALSE)</f>
        <v>0</v>
      </c>
      <c r="Q201" s="100"/>
      <c r="R201" s="100"/>
      <c r="S201" s="100">
        <f>IF(Q201&gt;0,IF(RIGHT(Ruimtestaat[[#This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01" s="100">
        <f>IF(S201&gt;0,VLOOKUP($J201,Ruimtegroepen[],3,FALSE)*VLOOKUP($L201,Vloersoorten[],3,FALSE)*VLOOKUP($R201,Frequenties[],3,FALSE)*VLOOKUP($A201,Locaties[],3,FALSE),0)</f>
        <v>0</v>
      </c>
      <c r="U201" s="100">
        <f>Ruimtestaat[[#This Row],[Uitvoeringen werkdagen]]*Ruimtestaat[[#This Row],[Oppervlak (netto)]]</f>
        <v>0</v>
      </c>
      <c r="V201" s="135">
        <f>IF(T201&gt;0,Ruimtestaat[[#This Row],[Prest. (m2 /jaar) werkdagen]]/Ruimtestaat[[#This Row],[Norm (m2/uur) werkdagen]],0)</f>
        <v>0</v>
      </c>
      <c r="W201" s="136">
        <f>Ruimtestaat[[#This Row],[uren / jaar werkdagen]]*Tariefsopbouw!$E$35</f>
        <v>0</v>
      </c>
      <c r="X201" s="100"/>
      <c r="Y201" s="100">
        <f>IF(Ruimtestaat[[#This Row],[Frequentie weekend]]&gt;0,VALUE(LEFT(X201,1))*Q201,0)</f>
        <v>0</v>
      </c>
      <c r="Z201" s="99">
        <f>IF($Y201&gt;0,VLOOKUP($J201,Ruimtegroepen[],3,FALSE)*VLOOKUP($L201,Vloersoorten[],3,FALSE)*VLOOKUP($X201,Frequenties[],3,FALSE)*VLOOKUP(Ruimtestaat[[#This Row],[Code]],Locaties[],3,FALSE),0)</f>
        <v>0</v>
      </c>
      <c r="AA201" s="99">
        <f>Ruimtestaat[[#This Row],[Uitvoeringen weekend]]*Ruimtestaat[[#This Row],[Oppervlak (netto)]]</f>
        <v>0</v>
      </c>
      <c r="AB201" s="99">
        <f>IF(Z201&gt;0,Ruimtestaat[[#This Row],[Prest. (m2 /jaar) weekend]]/Ruimtestaat[[#This Row],[Norm (m2/uur) weekend]],0)</f>
        <v>0</v>
      </c>
      <c r="AC201" s="136">
        <f>Ruimtestaat[[#This Row],[uren / jaar weekend]]*Tariefsopbouw!$D$40</f>
        <v>0</v>
      </c>
      <c r="AD201" s="135">
        <f>Ruimtestaat[[#This Row],[Prest. (m2 /jaar) weekend]]+Ruimtestaat[[#This Row],[Prest. (m2 /jaar) werkdagen]]</f>
        <v>0</v>
      </c>
      <c r="AE201" s="135">
        <f>Ruimtestaat[[#This Row],[uren / jaar weekend]]+Ruimtestaat[[#This Row],[uren / jaar werkdagen]]</f>
        <v>0</v>
      </c>
      <c r="AF201" s="130">
        <f>Ruimtestaat[[#This Row],[kosten / jaar weekend]]+Ruimtestaat[[#This Row],[kosten / jaar werkdagen]]</f>
        <v>0</v>
      </c>
      <c r="AG201" s="130"/>
      <c r="AH201" s="137" t="str">
        <f>IF(Ruimtestaat[[#This Row],[Frequentie werkdagen]]="","",_xlfn.CONCAT(Ruimtestaat[[#This Row],[Ruimte code]],"-",Ruimtestaat[[#This Row],[Frequentie werkdagen]]," ",Ruimtestaat[[#This Row],[Vloer code]]))</f>
        <v/>
      </c>
      <c r="AI201" s="142" t="str">
        <f>_xlfn.IFNA(VLOOKUP($AH201,Programma!$F$3:$G$1101,2,0),"")</f>
        <v/>
      </c>
      <c r="AJ201" s="142" t="str">
        <f>_xlfn.IFNA(VLOOKUP($AH201,Programma!$F$3:$H$1101,3,0),"")</f>
        <v/>
      </c>
      <c r="AK201" s="142" t="str">
        <f>_xlfn.IFNA(VLOOKUP($AH201,Programma!$F$3:$I$1101,4,0),"")</f>
        <v/>
      </c>
      <c r="AL201" s="142" t="str">
        <f>_xlfn.IFNA(VLOOKUP($AH201,Programma!$F$3:$J$1101,5,0),"")</f>
        <v/>
      </c>
      <c r="AM201" s="142" t="str">
        <f>_xlfn.IFNA(VLOOKUP($AH201,Programma!$F$3:$K$1101,6,0),"")</f>
        <v/>
      </c>
      <c r="AN201" s="142" t="str">
        <f>_xlfn.IFNA(VLOOKUP($AH201,Programma!$F$3:$L$1101,7,0),"")</f>
        <v/>
      </c>
      <c r="AO201" s="142" t="str">
        <f>_xlfn.IFNA(VLOOKUP($AH201,Programma!$F$3:$M$1101,8,0),"")</f>
        <v/>
      </c>
      <c r="AP201" s="142" t="str">
        <f>_xlfn.IFNA(VLOOKUP($AH201,Programma!$F$3:$N$1101,9,0),"")</f>
        <v/>
      </c>
      <c r="AQ201" s="142" t="str">
        <f>_xlfn.IFNA(VLOOKUP($AH201,Programma!$F$3:$O$1101,10,0),"")</f>
        <v/>
      </c>
      <c r="AR201" s="142" t="str">
        <f>_xlfn.IFNA(VLOOKUP($AH201,Programma!$F$3:$P$1101,11,0),"")</f>
        <v/>
      </c>
      <c r="AS201" s="142" t="str">
        <f>_xlfn.IFNA(VLOOKUP($AH201,Programma!$F$3:$Q$1101,12,0),"")</f>
        <v/>
      </c>
      <c r="AT201" s="142" t="str">
        <f>_xlfn.IFNA(VLOOKUP($AH201,Programma!$F$3:$R$1101,13,0),"")</f>
        <v/>
      </c>
      <c r="AU201" s="142" t="str">
        <f>_xlfn.IFNA(VLOOKUP($AH201,Programma!$F$3:$S$1101,14,0),"")</f>
        <v/>
      </c>
      <c r="AV201" s="142" t="str">
        <f>_xlfn.IFNA(VLOOKUP($AH201,Programma!$F$3:$T$1101,15,0),"")</f>
        <v/>
      </c>
      <c r="AW201" s="142" t="str">
        <f>_xlfn.IFNA(VLOOKUP($AH201,Programma!$F$3:$U$1101,16,0),"")</f>
        <v/>
      </c>
      <c r="AX201" s="142" t="str">
        <f>_xlfn.IFNA(VLOOKUP($AH201,Programma!$F$3:$V$1101,17,0),"")</f>
        <v/>
      </c>
      <c r="AY201" s="142" t="str">
        <f>_xlfn.IFNA(VLOOKUP($AH201,Programma!$F$3:$W$1101,18,0),"")</f>
        <v/>
      </c>
      <c r="AZ201" s="142" t="str">
        <f>_xlfn.IFNA(VLOOKUP($AH201,Programma!$F$3:$X$1101,19,0),"")</f>
        <v/>
      </c>
      <c r="BA201" s="142" t="str">
        <f>_xlfn.IFNA(VLOOKUP($AH201,Programma!$F$3:$Y$1101,20,0),"")</f>
        <v/>
      </c>
      <c r="BB201" s="138"/>
      <c r="BC201" s="137" t="str">
        <f>IF(Ruimtestaat[[#This Row],[Frequentie weekend]]="","",_xlfn.CONCAT(Ruimtestaat[[#This Row],[Ruimte code]],"-",Ruimtestaat[[#This Row],[Frequentie weekend]]," ",Ruimtestaat[[#This Row],[Vloer code]]))</f>
        <v/>
      </c>
      <c r="BD201" s="142" t="str">
        <f>_xlfn.IFNA(VLOOKUP($BC201,Programma!$F$3:$G$1101,2,0),"")</f>
        <v/>
      </c>
      <c r="BE201" s="142" t="str">
        <f>_xlfn.IFNA(VLOOKUP($BC201,Programma!$F$3:$H$1101,3,0),"")</f>
        <v/>
      </c>
      <c r="BF201" s="142" t="str">
        <f>_xlfn.IFNA(VLOOKUP($BC201,Programma!$F$3:$I$1101,4,0),"")</f>
        <v/>
      </c>
      <c r="BG201" s="142" t="str">
        <f>_xlfn.IFNA(VLOOKUP($BC201,Programma!$F$3:$J$1101,5,0),"")</f>
        <v/>
      </c>
      <c r="BH201" s="142" t="str">
        <f>_xlfn.IFNA(VLOOKUP($BC201,Programma!$F$3:$K$1101,6,0),"")</f>
        <v/>
      </c>
      <c r="BI201" s="142" t="str">
        <f>_xlfn.IFNA(VLOOKUP($BC201,Programma!$F$3:$L$1101,7,0),"")</f>
        <v/>
      </c>
      <c r="BJ201" s="142" t="str">
        <f>_xlfn.IFNA(VLOOKUP($BC201,Programma!$F$3:$M$1101,8,0),"")</f>
        <v/>
      </c>
      <c r="BK201" s="142" t="str">
        <f>_xlfn.IFNA(VLOOKUP($BC201,Programma!$F$3:$N$1101,9,0),"")</f>
        <v/>
      </c>
      <c r="BL201" s="142" t="str">
        <f>_xlfn.IFNA(VLOOKUP($BC201,Programma!$F$3:$O$1101,10,0),"")</f>
        <v/>
      </c>
      <c r="BM201" s="142" t="str">
        <f>_xlfn.IFNA(VLOOKUP($BC201,Programma!$F$3:$P$1101,11,0),"")</f>
        <v/>
      </c>
      <c r="BN201" s="142" t="str">
        <f>_xlfn.IFNA(VLOOKUP($BC201,Programma!$F$3:$Q$1101,12,0),"")</f>
        <v/>
      </c>
      <c r="BO201" s="142" t="str">
        <f>_xlfn.IFNA(VLOOKUP($BC201,Programma!$F$3:$R$1101,13,0),"")</f>
        <v/>
      </c>
      <c r="BP201" s="142" t="str">
        <f>_xlfn.IFNA(VLOOKUP($BC201,Programma!$F$3:$S$1101,14,0),"")</f>
        <v/>
      </c>
      <c r="BQ201" s="142" t="str">
        <f>_xlfn.IFNA(VLOOKUP($BC201,Programma!$F$3:$T$1101,15,0),"")</f>
        <v/>
      </c>
      <c r="BR201" s="142" t="str">
        <f>_xlfn.IFNA(VLOOKUP($BC201,Programma!$F$3:$U$1101,16,0),"")</f>
        <v/>
      </c>
      <c r="BS201" s="142" t="str">
        <f>_xlfn.IFNA(VLOOKUP($BC201,Programma!$F$3:$V$1101,17,0),"")</f>
        <v/>
      </c>
      <c r="BT201" s="142" t="str">
        <f>_xlfn.IFNA(VLOOKUP($BC201,Programma!$F$3:$W$1101,18,0),"")</f>
        <v/>
      </c>
      <c r="BU201" s="142" t="str">
        <f>_xlfn.IFNA(VLOOKUP($BC201,Programma!$F$3:$X$1101,19,0),"")</f>
        <v/>
      </c>
      <c r="BV201" s="142" t="str">
        <f>_xlfn.IFNA(VLOOKUP($BC201,Programma!$F$3:$Y$1101,20,0),"")</f>
        <v/>
      </c>
      <c r="BW201" s="28"/>
      <c r="BX201" s="28"/>
      <c r="BY201" s="28"/>
      <c r="BZ201" s="28"/>
      <c r="CA201" s="28"/>
      <c r="CB201" s="28"/>
      <c r="CC201" s="28"/>
      <c r="CD201" s="28"/>
      <c r="CE201" s="28"/>
      <c r="CF201" s="28"/>
      <c r="CG201" s="28"/>
      <c r="CH201" s="28"/>
      <c r="CI201" s="28"/>
      <c r="CJ201" s="28"/>
      <c r="CK201" s="28"/>
      <c r="CL201" s="28"/>
      <c r="CM201" s="28"/>
      <c r="CN201" s="28"/>
      <c r="CO201" s="28"/>
      <c r="CP201" s="28"/>
      <c r="CQ201" s="28"/>
      <c r="CR201" s="28"/>
      <c r="CS201" s="28"/>
      <c r="CT201" s="28"/>
      <c r="CU201" s="28"/>
      <c r="CV201" s="28"/>
      <c r="CW201" s="28"/>
      <c r="CX201" s="28"/>
      <c r="CY201" s="28"/>
      <c r="CZ201" s="28"/>
      <c r="DA201" s="28"/>
      <c r="DB201" s="28"/>
      <c r="DC201" s="28"/>
      <c r="DD201" s="28"/>
      <c r="DE201" s="28"/>
      <c r="DF201" s="28"/>
      <c r="DG201" s="28"/>
      <c r="DH201" s="28"/>
      <c r="DI201" s="28"/>
      <c r="DJ201" s="28"/>
      <c r="DK201" s="28"/>
      <c r="DL201" s="28"/>
      <c r="DM201" s="28"/>
      <c r="DN201" s="28"/>
      <c r="DO201" s="28"/>
      <c r="DP201" s="28"/>
      <c r="DQ201" s="28"/>
      <c r="DR201" s="28"/>
      <c r="DS201" s="28"/>
      <c r="DT201" s="28"/>
      <c r="DU201" s="28"/>
      <c r="DV201" s="28"/>
      <c r="DW201" s="28"/>
      <c r="DX201" s="28"/>
      <c r="DY201" s="28"/>
      <c r="DZ201" s="28"/>
      <c r="EA201" s="28"/>
      <c r="EB201" s="28"/>
      <c r="EC201" s="28"/>
      <c r="ED201" s="28"/>
      <c r="EE201" s="28"/>
      <c r="EF201" s="28"/>
      <c r="EG201" s="28"/>
      <c r="EH201" s="28"/>
      <c r="EI201" s="28"/>
      <c r="EJ201" s="28"/>
      <c r="EK201" s="28"/>
      <c r="EL201" s="28"/>
      <c r="EM201" s="28"/>
      <c r="EN201" s="28"/>
      <c r="EO201" s="28"/>
      <c r="EP201" s="28"/>
      <c r="EQ201" s="28"/>
      <c r="ER201" s="28"/>
      <c r="ES201" s="28"/>
      <c r="ET201" s="28"/>
      <c r="EU201" s="28"/>
      <c r="EV201" s="28"/>
      <c r="EW201" s="28"/>
      <c r="EX201" s="28"/>
      <c r="EY201" s="28"/>
      <c r="EZ201" s="28"/>
      <c r="FA201" s="28"/>
      <c r="FB201" s="28"/>
      <c r="FC201" s="28"/>
      <c r="FD201" s="28"/>
      <c r="FE201" s="28"/>
      <c r="FF201" s="28"/>
      <c r="FG201" s="28"/>
      <c r="FH201" s="28"/>
      <c r="FI201" s="28"/>
      <c r="FJ201" s="28"/>
      <c r="FK201" s="28"/>
      <c r="FL201" s="28"/>
      <c r="FM201" s="28"/>
      <c r="FN201" s="28"/>
      <c r="FO201" s="28"/>
      <c r="FP201" s="28"/>
      <c r="FQ201" s="28"/>
      <c r="FR201" s="28"/>
      <c r="FS201" s="28"/>
      <c r="FT201" s="28"/>
      <c r="FU201" s="28"/>
      <c r="FV201" s="28"/>
      <c r="FW201" s="28"/>
      <c r="FX201" s="28"/>
      <c r="FY201" s="28"/>
      <c r="FZ201" s="28"/>
      <c r="GA201" s="28"/>
      <c r="GB201" s="28"/>
      <c r="GC201" s="28"/>
      <c r="GD201" s="28"/>
      <c r="GE201" s="28"/>
      <c r="GF201" s="28"/>
      <c r="GG201" s="28"/>
      <c r="GH201" s="28"/>
      <c r="GI201" s="28"/>
      <c r="GJ201" s="28"/>
      <c r="GK201" s="28"/>
      <c r="GL201" s="28"/>
      <c r="GM201" s="28"/>
      <c r="GN201" s="28"/>
      <c r="GO201" s="28"/>
      <c r="GP201" s="28"/>
      <c r="GQ201" s="28"/>
      <c r="GR201" s="28"/>
      <c r="GS201" s="28"/>
      <c r="GT201" s="28"/>
      <c r="GU201" s="28"/>
      <c r="GV201" s="28"/>
      <c r="GW201" s="28"/>
      <c r="GX201" s="28"/>
      <c r="GY201" s="28"/>
      <c r="GZ201" s="28"/>
      <c r="HA201" s="28"/>
      <c r="HB201" s="28"/>
      <c r="HC201" s="28"/>
      <c r="HD201" s="28"/>
      <c r="HE201" s="28"/>
      <c r="HF201" s="28"/>
      <c r="HG201" s="28"/>
      <c r="HH201" s="28"/>
      <c r="HI201" s="28"/>
      <c r="HJ201" s="28"/>
      <c r="HK201" s="28"/>
    </row>
    <row r="202" spans="1:219" ht="15" customHeight="1">
      <c r="A202" s="49">
        <v>2</v>
      </c>
      <c r="B202" s="132" t="str">
        <f>VLOOKUP(Ruimtestaat[[#This Row],[Code]],Locaties[[Code]:[Locatie]],2,FALSE)</f>
        <v>Pauluskerk</v>
      </c>
      <c r="C202" s="132" t="str">
        <f>VLOOKUP(Ruimtestaat[[#This Row],[Code]],Locaties[[#All],[Code]:[Adres]],4,FALSE)</f>
        <v>Westdorplaan 122</v>
      </c>
      <c r="D202" s="132" t="str">
        <f>VLOOKUP(Ruimtestaat[[#This Row],[Code]],Locaties[[#All],[Code]:[Postcode]],5,FALSE)</f>
        <v>8101 BJ</v>
      </c>
      <c r="E202" s="132" t="str">
        <f>VLOOKUP(Ruimtestaat[[#This Row],[Code]],Locaties[#All],6,FALSE)</f>
        <v>Raalte</v>
      </c>
      <c r="F202" s="100"/>
      <c r="G202" s="100" t="s">
        <v>1675</v>
      </c>
      <c r="H202" s="49" t="s">
        <v>1699</v>
      </c>
      <c r="I202" s="140" t="s">
        <v>1731</v>
      </c>
      <c r="J202" s="49">
        <v>20</v>
      </c>
      <c r="K202" s="140" t="str">
        <f>VLOOKUP(Ruimtestaat[[#This Row],[Ruimte code]],Ruimtegroepen[[#All],[Code]:[Ruimte omschrijving]],2,FALSE)</f>
        <v>Niet in Onderhoud</v>
      </c>
      <c r="L202" s="100"/>
      <c r="M202" s="345"/>
      <c r="N202" s="133"/>
      <c r="O202" s="139">
        <v>19.93</v>
      </c>
      <c r="P202" s="134">
        <f>VLOOKUP(Ruimtestaat[[#This Row],[Ruimte code]],Ruimtegroepen[],4,FALSE)</f>
        <v>0</v>
      </c>
      <c r="Q202" s="100"/>
      <c r="R202" s="100"/>
      <c r="S202" s="100">
        <f>IF(Q202&gt;0,IF(RIGHT(Ruimtestaat[[#This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02" s="100">
        <f>IF(S202&gt;0,VLOOKUP($J202,Ruimtegroepen[],3,FALSE)*VLOOKUP($L202,Vloersoorten[],3,FALSE)*VLOOKUP($R202,Frequenties[],3,FALSE)*VLOOKUP($A202,Locaties[],3,FALSE),0)</f>
        <v>0</v>
      </c>
      <c r="U202" s="100">
        <f>Ruimtestaat[[#This Row],[Uitvoeringen werkdagen]]*Ruimtestaat[[#This Row],[Oppervlak (netto)]]</f>
        <v>0</v>
      </c>
      <c r="V202" s="135">
        <f>IF(T202&gt;0,Ruimtestaat[[#This Row],[Prest. (m2 /jaar) werkdagen]]/Ruimtestaat[[#This Row],[Norm (m2/uur) werkdagen]],0)</f>
        <v>0</v>
      </c>
      <c r="W202" s="136">
        <f>Ruimtestaat[[#This Row],[uren / jaar werkdagen]]*Tariefsopbouw!$E$35</f>
        <v>0</v>
      </c>
      <c r="X202" s="100"/>
      <c r="Y202" s="100">
        <f>IF(Ruimtestaat[[#This Row],[Frequentie weekend]]&gt;0,VALUE(LEFT(X202,1))*Q202,0)</f>
        <v>0</v>
      </c>
      <c r="Z202" s="99">
        <f>IF($Y202&gt;0,VLOOKUP($J202,Ruimtegroepen[],3,FALSE)*VLOOKUP($L202,Vloersoorten[],3,FALSE)*VLOOKUP($X202,Frequenties[],3,FALSE)*VLOOKUP(Ruimtestaat[[#This Row],[Code]],Locaties[],3,FALSE),0)</f>
        <v>0</v>
      </c>
      <c r="AA202" s="99">
        <f>Ruimtestaat[[#This Row],[Uitvoeringen weekend]]*Ruimtestaat[[#This Row],[Oppervlak (netto)]]</f>
        <v>0</v>
      </c>
      <c r="AB202" s="99">
        <f>IF(Z202&gt;0,Ruimtestaat[[#This Row],[Prest. (m2 /jaar) weekend]]/Ruimtestaat[[#This Row],[Norm (m2/uur) weekend]],0)</f>
        <v>0</v>
      </c>
      <c r="AC202" s="136">
        <f>Ruimtestaat[[#This Row],[uren / jaar weekend]]*Tariefsopbouw!$D$40</f>
        <v>0</v>
      </c>
      <c r="AD202" s="135">
        <f>Ruimtestaat[[#This Row],[Prest. (m2 /jaar) weekend]]+Ruimtestaat[[#This Row],[Prest. (m2 /jaar) werkdagen]]</f>
        <v>0</v>
      </c>
      <c r="AE202" s="135">
        <f>Ruimtestaat[[#This Row],[uren / jaar weekend]]+Ruimtestaat[[#This Row],[uren / jaar werkdagen]]</f>
        <v>0</v>
      </c>
      <c r="AF202" s="130">
        <f>Ruimtestaat[[#This Row],[kosten / jaar weekend]]+Ruimtestaat[[#This Row],[kosten / jaar werkdagen]]</f>
        <v>0</v>
      </c>
      <c r="AG202" s="130"/>
      <c r="AH202" s="137" t="str">
        <f>IF(Ruimtestaat[[#This Row],[Frequentie werkdagen]]="","",_xlfn.CONCAT(Ruimtestaat[[#This Row],[Ruimte code]],"-",Ruimtestaat[[#This Row],[Frequentie werkdagen]]," ",Ruimtestaat[[#This Row],[Vloer code]]))</f>
        <v/>
      </c>
      <c r="AI202" s="142" t="str">
        <f>_xlfn.IFNA(VLOOKUP($AH202,Programma!$F$3:$G$1101,2,0),"")</f>
        <v/>
      </c>
      <c r="AJ202" s="142" t="str">
        <f>_xlfn.IFNA(VLOOKUP($AH202,Programma!$F$3:$H$1101,3,0),"")</f>
        <v/>
      </c>
      <c r="AK202" s="142" t="str">
        <f>_xlfn.IFNA(VLOOKUP($AH202,Programma!$F$3:$I$1101,4,0),"")</f>
        <v/>
      </c>
      <c r="AL202" s="142" t="str">
        <f>_xlfn.IFNA(VLOOKUP($AH202,Programma!$F$3:$J$1101,5,0),"")</f>
        <v/>
      </c>
      <c r="AM202" s="142" t="str">
        <f>_xlfn.IFNA(VLOOKUP($AH202,Programma!$F$3:$K$1101,6,0),"")</f>
        <v/>
      </c>
      <c r="AN202" s="142" t="str">
        <f>_xlfn.IFNA(VLOOKUP($AH202,Programma!$F$3:$L$1101,7,0),"")</f>
        <v/>
      </c>
      <c r="AO202" s="142" t="str">
        <f>_xlfn.IFNA(VLOOKUP($AH202,Programma!$F$3:$M$1101,8,0),"")</f>
        <v/>
      </c>
      <c r="AP202" s="142" t="str">
        <f>_xlfn.IFNA(VLOOKUP($AH202,Programma!$F$3:$N$1101,9,0),"")</f>
        <v/>
      </c>
      <c r="AQ202" s="142" t="str">
        <f>_xlfn.IFNA(VLOOKUP($AH202,Programma!$F$3:$O$1101,10,0),"")</f>
        <v/>
      </c>
      <c r="AR202" s="142" t="str">
        <f>_xlfn.IFNA(VLOOKUP($AH202,Programma!$F$3:$P$1101,11,0),"")</f>
        <v/>
      </c>
      <c r="AS202" s="142" t="str">
        <f>_xlfn.IFNA(VLOOKUP($AH202,Programma!$F$3:$Q$1101,12,0),"")</f>
        <v/>
      </c>
      <c r="AT202" s="142" t="str">
        <f>_xlfn.IFNA(VLOOKUP($AH202,Programma!$F$3:$R$1101,13,0),"")</f>
        <v/>
      </c>
      <c r="AU202" s="142" t="str">
        <f>_xlfn.IFNA(VLOOKUP($AH202,Programma!$F$3:$S$1101,14,0),"")</f>
        <v/>
      </c>
      <c r="AV202" s="142" t="str">
        <f>_xlfn.IFNA(VLOOKUP($AH202,Programma!$F$3:$T$1101,15,0),"")</f>
        <v/>
      </c>
      <c r="AW202" s="142" t="str">
        <f>_xlfn.IFNA(VLOOKUP($AH202,Programma!$F$3:$U$1101,16,0),"")</f>
        <v/>
      </c>
      <c r="AX202" s="142" t="str">
        <f>_xlfn.IFNA(VLOOKUP($AH202,Programma!$F$3:$V$1101,17,0),"")</f>
        <v/>
      </c>
      <c r="AY202" s="142" t="str">
        <f>_xlfn.IFNA(VLOOKUP($AH202,Programma!$F$3:$W$1101,18,0),"")</f>
        <v/>
      </c>
      <c r="AZ202" s="142" t="str">
        <f>_xlfn.IFNA(VLOOKUP($AH202,Programma!$F$3:$X$1101,19,0),"")</f>
        <v/>
      </c>
      <c r="BA202" s="142" t="str">
        <f>_xlfn.IFNA(VLOOKUP($AH202,Programma!$F$3:$Y$1101,20,0),"")</f>
        <v/>
      </c>
      <c r="BB202" s="138"/>
      <c r="BC202" s="137" t="str">
        <f>IF(Ruimtestaat[[#This Row],[Frequentie weekend]]="","",_xlfn.CONCAT(Ruimtestaat[[#This Row],[Ruimte code]],"-",Ruimtestaat[[#This Row],[Frequentie weekend]]," ",Ruimtestaat[[#This Row],[Vloer code]]))</f>
        <v/>
      </c>
      <c r="BD202" s="142" t="str">
        <f>_xlfn.IFNA(VLOOKUP($BC202,Programma!$F$3:$G$1101,2,0),"")</f>
        <v/>
      </c>
      <c r="BE202" s="142" t="str">
        <f>_xlfn.IFNA(VLOOKUP($BC202,Programma!$F$3:$H$1101,3,0),"")</f>
        <v/>
      </c>
      <c r="BF202" s="142" t="str">
        <f>_xlfn.IFNA(VLOOKUP($BC202,Programma!$F$3:$I$1101,4,0),"")</f>
        <v/>
      </c>
      <c r="BG202" s="142" t="str">
        <f>_xlfn.IFNA(VLOOKUP($BC202,Programma!$F$3:$J$1101,5,0),"")</f>
        <v/>
      </c>
      <c r="BH202" s="142" t="str">
        <f>_xlfn.IFNA(VLOOKUP($BC202,Programma!$F$3:$K$1101,6,0),"")</f>
        <v/>
      </c>
      <c r="BI202" s="142" t="str">
        <f>_xlfn.IFNA(VLOOKUP($BC202,Programma!$F$3:$L$1101,7,0),"")</f>
        <v/>
      </c>
      <c r="BJ202" s="142" t="str">
        <f>_xlfn.IFNA(VLOOKUP($BC202,Programma!$F$3:$M$1101,8,0),"")</f>
        <v/>
      </c>
      <c r="BK202" s="142" t="str">
        <f>_xlfn.IFNA(VLOOKUP($BC202,Programma!$F$3:$N$1101,9,0),"")</f>
        <v/>
      </c>
      <c r="BL202" s="142" t="str">
        <f>_xlfn.IFNA(VLOOKUP($BC202,Programma!$F$3:$O$1101,10,0),"")</f>
        <v/>
      </c>
      <c r="BM202" s="142" t="str">
        <f>_xlfn.IFNA(VLOOKUP($BC202,Programma!$F$3:$P$1101,11,0),"")</f>
        <v/>
      </c>
      <c r="BN202" s="142" t="str">
        <f>_xlfn.IFNA(VLOOKUP($BC202,Programma!$F$3:$Q$1101,12,0),"")</f>
        <v/>
      </c>
      <c r="BO202" s="142" t="str">
        <f>_xlfn.IFNA(VLOOKUP($BC202,Programma!$F$3:$R$1101,13,0),"")</f>
        <v/>
      </c>
      <c r="BP202" s="142" t="str">
        <f>_xlfn.IFNA(VLOOKUP($BC202,Programma!$F$3:$S$1101,14,0),"")</f>
        <v/>
      </c>
      <c r="BQ202" s="142" t="str">
        <f>_xlfn.IFNA(VLOOKUP($BC202,Programma!$F$3:$T$1101,15,0),"")</f>
        <v/>
      </c>
      <c r="BR202" s="142" t="str">
        <f>_xlfn.IFNA(VLOOKUP($BC202,Programma!$F$3:$U$1101,16,0),"")</f>
        <v/>
      </c>
      <c r="BS202" s="142" t="str">
        <f>_xlfn.IFNA(VLOOKUP($BC202,Programma!$F$3:$V$1101,17,0),"")</f>
        <v/>
      </c>
      <c r="BT202" s="142" t="str">
        <f>_xlfn.IFNA(VLOOKUP($BC202,Programma!$F$3:$W$1101,18,0),"")</f>
        <v/>
      </c>
      <c r="BU202" s="142" t="str">
        <f>_xlfn.IFNA(VLOOKUP($BC202,Programma!$F$3:$X$1101,19,0),"")</f>
        <v/>
      </c>
      <c r="BV202" s="142" t="str">
        <f>_xlfn.IFNA(VLOOKUP($BC202,Programma!$F$3:$Y$1101,20,0),"")</f>
        <v/>
      </c>
      <c r="BW202" s="28"/>
      <c r="BX202" s="28"/>
      <c r="BY202" s="28"/>
      <c r="BZ202" s="28"/>
      <c r="CA202" s="28"/>
      <c r="CB202" s="28"/>
      <c r="CC202" s="28"/>
      <c r="CD202" s="28"/>
      <c r="CE202" s="28"/>
      <c r="CF202" s="28"/>
      <c r="CG202" s="28"/>
      <c r="CH202" s="28"/>
      <c r="CI202" s="28"/>
      <c r="CJ202" s="28"/>
      <c r="CK202" s="28"/>
      <c r="CL202" s="28"/>
      <c r="CM202" s="28"/>
      <c r="CN202" s="28"/>
      <c r="CO202" s="28"/>
      <c r="CP202" s="28"/>
      <c r="CQ202" s="28"/>
      <c r="CR202" s="28"/>
      <c r="CS202" s="28"/>
      <c r="CT202" s="28"/>
      <c r="CU202" s="28"/>
      <c r="CV202" s="28"/>
      <c r="CW202" s="28"/>
      <c r="CX202" s="28"/>
      <c r="CY202" s="28"/>
      <c r="CZ202" s="28"/>
      <c r="DA202" s="28"/>
      <c r="DB202" s="28"/>
      <c r="DC202" s="28"/>
      <c r="DD202" s="28"/>
      <c r="DE202" s="28"/>
      <c r="DF202" s="28"/>
      <c r="DG202" s="28"/>
      <c r="DH202" s="28"/>
      <c r="DI202" s="28"/>
      <c r="DJ202" s="28"/>
      <c r="DK202" s="28"/>
      <c r="DL202" s="28"/>
      <c r="DM202" s="28"/>
      <c r="DN202" s="28"/>
      <c r="DO202" s="28"/>
      <c r="DP202" s="28"/>
      <c r="DQ202" s="28"/>
      <c r="DR202" s="28"/>
      <c r="DS202" s="28"/>
      <c r="DT202" s="28"/>
      <c r="DU202" s="28"/>
      <c r="DV202" s="28"/>
      <c r="DW202" s="28"/>
      <c r="DX202" s="28"/>
      <c r="DY202" s="28"/>
      <c r="DZ202" s="28"/>
      <c r="EA202" s="28"/>
      <c r="EB202" s="28"/>
      <c r="EC202" s="28"/>
      <c r="ED202" s="28"/>
      <c r="EE202" s="28"/>
      <c r="EF202" s="28"/>
      <c r="EG202" s="28"/>
      <c r="EH202" s="28"/>
      <c r="EI202" s="28"/>
      <c r="EJ202" s="28"/>
      <c r="EK202" s="28"/>
      <c r="EL202" s="28"/>
      <c r="EM202" s="28"/>
      <c r="EN202" s="28"/>
      <c r="EO202" s="28"/>
      <c r="EP202" s="28"/>
      <c r="EQ202" s="28"/>
      <c r="ER202" s="28"/>
      <c r="ES202" s="28"/>
      <c r="ET202" s="28"/>
      <c r="EU202" s="28"/>
      <c r="EV202" s="28"/>
      <c r="EW202" s="28"/>
      <c r="EX202" s="28"/>
      <c r="EY202" s="28"/>
      <c r="EZ202" s="28"/>
      <c r="FA202" s="28"/>
      <c r="FB202" s="28"/>
      <c r="FC202" s="28"/>
      <c r="FD202" s="28"/>
      <c r="FE202" s="28"/>
      <c r="FF202" s="28"/>
      <c r="FG202" s="28"/>
      <c r="FH202" s="28"/>
      <c r="FI202" s="28"/>
      <c r="FJ202" s="28"/>
      <c r="FK202" s="28"/>
      <c r="FL202" s="28"/>
      <c r="FM202" s="28"/>
      <c r="FN202" s="28"/>
      <c r="FO202" s="28"/>
      <c r="FP202" s="28"/>
      <c r="FQ202" s="28"/>
      <c r="FR202" s="28"/>
      <c r="FS202" s="28"/>
      <c r="FT202" s="28"/>
      <c r="FU202" s="28"/>
      <c r="FV202" s="28"/>
      <c r="FW202" s="28"/>
      <c r="FX202" s="28"/>
      <c r="FY202" s="28"/>
      <c r="FZ202" s="28"/>
      <c r="GA202" s="28"/>
      <c r="GB202" s="28"/>
      <c r="GC202" s="28"/>
      <c r="GD202" s="28"/>
      <c r="GE202" s="28"/>
      <c r="GF202" s="28"/>
      <c r="GG202" s="28"/>
      <c r="GH202" s="28"/>
      <c r="GI202" s="28"/>
      <c r="GJ202" s="28"/>
      <c r="GK202" s="28"/>
      <c r="GL202" s="28"/>
      <c r="GM202" s="28"/>
      <c r="GN202" s="28"/>
      <c r="GO202" s="28"/>
      <c r="GP202" s="28"/>
      <c r="GQ202" s="28"/>
      <c r="GR202" s="28"/>
      <c r="GS202" s="28"/>
      <c r="GT202" s="28"/>
      <c r="GU202" s="28"/>
      <c r="GV202" s="28"/>
      <c r="GW202" s="28"/>
      <c r="GX202" s="28"/>
      <c r="GY202" s="28"/>
      <c r="GZ202" s="28"/>
      <c r="HA202" s="28"/>
      <c r="HB202" s="28"/>
      <c r="HC202" s="28"/>
      <c r="HD202" s="28"/>
      <c r="HE202" s="28"/>
      <c r="HF202" s="28"/>
      <c r="HG202" s="28"/>
      <c r="HH202" s="28"/>
      <c r="HI202" s="28"/>
      <c r="HJ202" s="28"/>
      <c r="HK202" s="28"/>
    </row>
    <row r="203" spans="1:219" ht="15" customHeight="1">
      <c r="A203" s="49">
        <v>2</v>
      </c>
      <c r="B203" s="132" t="str">
        <f>VLOOKUP(Ruimtestaat[[#This Row],[Code]],Locaties[[Code]:[Locatie]],2,FALSE)</f>
        <v>Pauluskerk</v>
      </c>
      <c r="C203" s="132" t="str">
        <f>VLOOKUP(Ruimtestaat[[#This Row],[Code]],Locaties[[#All],[Code]:[Adres]],4,FALSE)</f>
        <v>Westdorplaan 122</v>
      </c>
      <c r="D203" s="132" t="str">
        <f>VLOOKUP(Ruimtestaat[[#This Row],[Code]],Locaties[[#All],[Code]:[Postcode]],5,FALSE)</f>
        <v>8101 BJ</v>
      </c>
      <c r="E203" s="132" t="str">
        <f>VLOOKUP(Ruimtestaat[[#This Row],[Code]],Locaties[#All],6,FALSE)</f>
        <v>Raalte</v>
      </c>
      <c r="F203" s="100"/>
      <c r="G203" s="100" t="s">
        <v>1675</v>
      </c>
      <c r="H203" s="49" t="s">
        <v>1700</v>
      </c>
      <c r="I203" s="140" t="s">
        <v>1732</v>
      </c>
      <c r="J203" s="100">
        <v>20</v>
      </c>
      <c r="K203" s="140" t="str">
        <f>VLOOKUP(Ruimtestaat[[#This Row],[Ruimte code]],Ruimtegroepen[[#All],[Code]:[Ruimte omschrijving]],2,FALSE)</f>
        <v>Niet in Onderhoud</v>
      </c>
      <c r="L203" s="100"/>
      <c r="M203" s="345"/>
      <c r="N203" s="133"/>
      <c r="O203" s="139">
        <v>763.27</v>
      </c>
      <c r="P203" s="134">
        <f>VLOOKUP(Ruimtestaat[[#This Row],[Ruimte code]],Ruimtegroepen[],4,FALSE)</f>
        <v>0</v>
      </c>
      <c r="Q203" s="100"/>
      <c r="R203" s="100"/>
      <c r="S203" s="100">
        <f>IF(Q203&gt;0,IF(RIGHT(Ruimtestaat[[#This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03" s="100">
        <f>IF(S203&gt;0,VLOOKUP($J203,Ruimtegroepen[],3,FALSE)*VLOOKUP($L203,Vloersoorten[],3,FALSE)*VLOOKUP($R203,Frequenties[],3,FALSE)*VLOOKUP($A203,Locaties[],3,FALSE),0)</f>
        <v>0</v>
      </c>
      <c r="U203" s="100">
        <f>Ruimtestaat[[#This Row],[Uitvoeringen werkdagen]]*Ruimtestaat[[#This Row],[Oppervlak (netto)]]</f>
        <v>0</v>
      </c>
      <c r="V203" s="135">
        <f>IF(T203&gt;0,Ruimtestaat[[#This Row],[Prest. (m2 /jaar) werkdagen]]/Ruimtestaat[[#This Row],[Norm (m2/uur) werkdagen]],0)</f>
        <v>0</v>
      </c>
      <c r="W203" s="136">
        <f>Ruimtestaat[[#This Row],[uren / jaar werkdagen]]*Tariefsopbouw!$E$35</f>
        <v>0</v>
      </c>
      <c r="X203" s="100"/>
      <c r="Y203" s="100">
        <f>IF(Ruimtestaat[[#This Row],[Frequentie weekend]]&gt;0,VALUE(LEFT(X203,1))*Q203,0)</f>
        <v>0</v>
      </c>
      <c r="Z203" s="99">
        <f>IF($Y203&gt;0,VLOOKUP($J203,Ruimtegroepen[],3,FALSE)*VLOOKUP($L203,Vloersoorten[],3,FALSE)*VLOOKUP($X203,Frequenties[],3,FALSE)*VLOOKUP(Ruimtestaat[[#This Row],[Code]],Locaties[],3,FALSE),0)</f>
        <v>0</v>
      </c>
      <c r="AA203" s="99">
        <f>Ruimtestaat[[#This Row],[Uitvoeringen weekend]]*Ruimtestaat[[#This Row],[Oppervlak (netto)]]</f>
        <v>0</v>
      </c>
      <c r="AB203" s="99">
        <f>IF(Z203&gt;0,Ruimtestaat[[#This Row],[Prest. (m2 /jaar) weekend]]/Ruimtestaat[[#This Row],[Norm (m2/uur) weekend]],0)</f>
        <v>0</v>
      </c>
      <c r="AC203" s="136">
        <f>Ruimtestaat[[#This Row],[uren / jaar weekend]]*Tariefsopbouw!$D$40</f>
        <v>0</v>
      </c>
      <c r="AD203" s="135">
        <f>Ruimtestaat[[#This Row],[Prest. (m2 /jaar) weekend]]+Ruimtestaat[[#This Row],[Prest. (m2 /jaar) werkdagen]]</f>
        <v>0</v>
      </c>
      <c r="AE203" s="135">
        <f>Ruimtestaat[[#This Row],[uren / jaar weekend]]+Ruimtestaat[[#This Row],[uren / jaar werkdagen]]</f>
        <v>0</v>
      </c>
      <c r="AF203" s="130">
        <f>Ruimtestaat[[#This Row],[kosten / jaar weekend]]+Ruimtestaat[[#This Row],[kosten / jaar werkdagen]]</f>
        <v>0</v>
      </c>
      <c r="AG203" s="130"/>
      <c r="AH203" s="137" t="str">
        <f>IF(Ruimtestaat[[#This Row],[Frequentie werkdagen]]="","",_xlfn.CONCAT(Ruimtestaat[[#This Row],[Ruimte code]],"-",Ruimtestaat[[#This Row],[Frequentie werkdagen]]," ",Ruimtestaat[[#This Row],[Vloer code]]))</f>
        <v/>
      </c>
      <c r="AI203" s="142" t="str">
        <f>_xlfn.IFNA(VLOOKUP($AH203,Programma!$F$3:$G$1101,2,0),"")</f>
        <v/>
      </c>
      <c r="AJ203" s="142" t="str">
        <f>_xlfn.IFNA(VLOOKUP($AH203,Programma!$F$3:$H$1101,3,0),"")</f>
        <v/>
      </c>
      <c r="AK203" s="142" t="str">
        <f>_xlfn.IFNA(VLOOKUP($AH203,Programma!$F$3:$I$1101,4,0),"")</f>
        <v/>
      </c>
      <c r="AL203" s="142" t="str">
        <f>_xlfn.IFNA(VLOOKUP($AH203,Programma!$F$3:$J$1101,5,0),"")</f>
        <v/>
      </c>
      <c r="AM203" s="142" t="str">
        <f>_xlfn.IFNA(VLOOKUP($AH203,Programma!$F$3:$K$1101,6,0),"")</f>
        <v/>
      </c>
      <c r="AN203" s="142" t="str">
        <f>_xlfn.IFNA(VLOOKUP($AH203,Programma!$F$3:$L$1101,7,0),"")</f>
        <v/>
      </c>
      <c r="AO203" s="142" t="str">
        <f>_xlfn.IFNA(VLOOKUP($AH203,Programma!$F$3:$M$1101,8,0),"")</f>
        <v/>
      </c>
      <c r="AP203" s="142" t="str">
        <f>_xlfn.IFNA(VLOOKUP($AH203,Programma!$F$3:$N$1101,9,0),"")</f>
        <v/>
      </c>
      <c r="AQ203" s="142" t="str">
        <f>_xlfn.IFNA(VLOOKUP($AH203,Programma!$F$3:$O$1101,10,0),"")</f>
        <v/>
      </c>
      <c r="AR203" s="142" t="str">
        <f>_xlfn.IFNA(VLOOKUP($AH203,Programma!$F$3:$P$1101,11,0),"")</f>
        <v/>
      </c>
      <c r="AS203" s="142" t="str">
        <f>_xlfn.IFNA(VLOOKUP($AH203,Programma!$F$3:$Q$1101,12,0),"")</f>
        <v/>
      </c>
      <c r="AT203" s="142" t="str">
        <f>_xlfn.IFNA(VLOOKUP($AH203,Programma!$F$3:$R$1101,13,0),"")</f>
        <v/>
      </c>
      <c r="AU203" s="142" t="str">
        <f>_xlfn.IFNA(VLOOKUP($AH203,Programma!$F$3:$S$1101,14,0),"")</f>
        <v/>
      </c>
      <c r="AV203" s="142" t="str">
        <f>_xlfn.IFNA(VLOOKUP($AH203,Programma!$F$3:$T$1101,15,0),"")</f>
        <v/>
      </c>
      <c r="AW203" s="142" t="str">
        <f>_xlfn.IFNA(VLOOKUP($AH203,Programma!$F$3:$U$1101,16,0),"")</f>
        <v/>
      </c>
      <c r="AX203" s="142" t="str">
        <f>_xlfn.IFNA(VLOOKUP($AH203,Programma!$F$3:$V$1101,17,0),"")</f>
        <v/>
      </c>
      <c r="AY203" s="142" t="str">
        <f>_xlfn.IFNA(VLOOKUP($AH203,Programma!$F$3:$W$1101,18,0),"")</f>
        <v/>
      </c>
      <c r="AZ203" s="142" t="str">
        <f>_xlfn.IFNA(VLOOKUP($AH203,Programma!$F$3:$X$1101,19,0),"")</f>
        <v/>
      </c>
      <c r="BA203" s="142" t="str">
        <f>_xlfn.IFNA(VLOOKUP($AH203,Programma!$F$3:$Y$1101,20,0),"")</f>
        <v/>
      </c>
      <c r="BB203" s="138"/>
      <c r="BC203" s="137" t="str">
        <f>IF(Ruimtestaat[[#This Row],[Frequentie weekend]]="","",_xlfn.CONCAT(Ruimtestaat[[#This Row],[Ruimte code]],"-",Ruimtestaat[[#This Row],[Frequentie weekend]]," ",Ruimtestaat[[#This Row],[Vloer code]]))</f>
        <v/>
      </c>
      <c r="BD203" s="142" t="str">
        <f>_xlfn.IFNA(VLOOKUP($BC203,Programma!$F$3:$G$1101,2,0),"")</f>
        <v/>
      </c>
      <c r="BE203" s="142" t="str">
        <f>_xlfn.IFNA(VLOOKUP($BC203,Programma!$F$3:$H$1101,3,0),"")</f>
        <v/>
      </c>
      <c r="BF203" s="142" t="str">
        <f>_xlfn.IFNA(VLOOKUP($BC203,Programma!$F$3:$I$1101,4,0),"")</f>
        <v/>
      </c>
      <c r="BG203" s="142" t="str">
        <f>_xlfn.IFNA(VLOOKUP($BC203,Programma!$F$3:$J$1101,5,0),"")</f>
        <v/>
      </c>
      <c r="BH203" s="142" t="str">
        <f>_xlfn.IFNA(VLOOKUP($BC203,Programma!$F$3:$K$1101,6,0),"")</f>
        <v/>
      </c>
      <c r="BI203" s="142" t="str">
        <f>_xlfn.IFNA(VLOOKUP($BC203,Programma!$F$3:$L$1101,7,0),"")</f>
        <v/>
      </c>
      <c r="BJ203" s="142" t="str">
        <f>_xlfn.IFNA(VLOOKUP($BC203,Programma!$F$3:$M$1101,8,0),"")</f>
        <v/>
      </c>
      <c r="BK203" s="142" t="str">
        <f>_xlfn.IFNA(VLOOKUP($BC203,Programma!$F$3:$N$1101,9,0),"")</f>
        <v/>
      </c>
      <c r="BL203" s="142" t="str">
        <f>_xlfn.IFNA(VLOOKUP($BC203,Programma!$F$3:$O$1101,10,0),"")</f>
        <v/>
      </c>
      <c r="BM203" s="142" t="str">
        <f>_xlfn.IFNA(VLOOKUP($BC203,Programma!$F$3:$P$1101,11,0),"")</f>
        <v/>
      </c>
      <c r="BN203" s="142" t="str">
        <f>_xlfn.IFNA(VLOOKUP($BC203,Programma!$F$3:$Q$1101,12,0),"")</f>
        <v/>
      </c>
      <c r="BO203" s="142" t="str">
        <f>_xlfn.IFNA(VLOOKUP($BC203,Programma!$F$3:$R$1101,13,0),"")</f>
        <v/>
      </c>
      <c r="BP203" s="142" t="str">
        <f>_xlfn.IFNA(VLOOKUP($BC203,Programma!$F$3:$S$1101,14,0),"")</f>
        <v/>
      </c>
      <c r="BQ203" s="142" t="str">
        <f>_xlfn.IFNA(VLOOKUP($BC203,Programma!$F$3:$T$1101,15,0),"")</f>
        <v/>
      </c>
      <c r="BR203" s="142" t="str">
        <f>_xlfn.IFNA(VLOOKUP($BC203,Programma!$F$3:$U$1101,16,0),"")</f>
        <v/>
      </c>
      <c r="BS203" s="142" t="str">
        <f>_xlfn.IFNA(VLOOKUP($BC203,Programma!$F$3:$V$1101,17,0),"")</f>
        <v/>
      </c>
      <c r="BT203" s="142" t="str">
        <f>_xlfn.IFNA(VLOOKUP($BC203,Programma!$F$3:$W$1101,18,0),"")</f>
        <v/>
      </c>
      <c r="BU203" s="142" t="str">
        <f>_xlfn.IFNA(VLOOKUP($BC203,Programma!$F$3:$X$1101,19,0),"")</f>
        <v/>
      </c>
      <c r="BV203" s="142" t="str">
        <f>_xlfn.IFNA(VLOOKUP($BC203,Programma!$F$3:$Y$1101,20,0),"")</f>
        <v/>
      </c>
      <c r="BW203" s="28"/>
      <c r="BX203" s="28"/>
      <c r="BY203" s="28"/>
      <c r="BZ203" s="28"/>
      <c r="CA203" s="28"/>
      <c r="CB203" s="28"/>
      <c r="CC203" s="28"/>
      <c r="CD203" s="28"/>
      <c r="CE203" s="28"/>
      <c r="CF203" s="28"/>
      <c r="CG203" s="28"/>
      <c r="CH203" s="28"/>
      <c r="CI203" s="28"/>
      <c r="CJ203" s="28"/>
      <c r="CK203" s="28"/>
      <c r="CL203" s="28"/>
      <c r="CM203" s="28"/>
      <c r="CN203" s="28"/>
      <c r="CO203" s="28"/>
      <c r="CP203" s="28"/>
      <c r="CQ203" s="28"/>
      <c r="CR203" s="28"/>
      <c r="CS203" s="28"/>
      <c r="CT203" s="28"/>
      <c r="CU203" s="28"/>
      <c r="CV203" s="28"/>
      <c r="CW203" s="28"/>
      <c r="CX203" s="28"/>
      <c r="CY203" s="28"/>
      <c r="CZ203" s="28"/>
      <c r="DA203" s="28"/>
      <c r="DB203" s="28"/>
      <c r="DC203" s="28"/>
      <c r="DD203" s="28"/>
      <c r="DE203" s="28"/>
      <c r="DF203" s="28"/>
      <c r="DG203" s="28"/>
      <c r="DH203" s="28"/>
      <c r="DI203" s="28"/>
      <c r="DJ203" s="28"/>
      <c r="DK203" s="28"/>
      <c r="DL203" s="28"/>
      <c r="DM203" s="28"/>
      <c r="DN203" s="28"/>
      <c r="DO203" s="28"/>
      <c r="DP203" s="28"/>
      <c r="DQ203" s="28"/>
      <c r="DR203" s="28"/>
      <c r="DS203" s="28"/>
      <c r="DT203" s="28"/>
      <c r="DU203" s="28"/>
      <c r="DV203" s="28"/>
      <c r="DW203" s="28"/>
      <c r="DX203" s="28"/>
      <c r="DY203" s="28"/>
      <c r="DZ203" s="28"/>
      <c r="EA203" s="28"/>
      <c r="EB203" s="28"/>
      <c r="EC203" s="28"/>
      <c r="ED203" s="28"/>
      <c r="EE203" s="28"/>
      <c r="EF203" s="28"/>
      <c r="EG203" s="28"/>
      <c r="EH203" s="28"/>
      <c r="EI203" s="28"/>
      <c r="EJ203" s="28"/>
      <c r="EK203" s="28"/>
      <c r="EL203" s="28"/>
      <c r="EM203" s="28"/>
      <c r="EN203" s="28"/>
      <c r="EO203" s="28"/>
      <c r="EP203" s="28"/>
      <c r="EQ203" s="28"/>
      <c r="ER203" s="28"/>
      <c r="ES203" s="28"/>
      <c r="ET203" s="28"/>
      <c r="EU203" s="28"/>
      <c r="EV203" s="28"/>
      <c r="EW203" s="28"/>
      <c r="EX203" s="28"/>
      <c r="EY203" s="28"/>
      <c r="EZ203" s="28"/>
      <c r="FA203" s="28"/>
      <c r="FB203" s="28"/>
      <c r="FC203" s="28"/>
      <c r="FD203" s="28"/>
      <c r="FE203" s="28"/>
      <c r="FF203" s="28"/>
      <c r="FG203" s="28"/>
      <c r="FH203" s="28"/>
      <c r="FI203" s="28"/>
      <c r="FJ203" s="28"/>
      <c r="FK203" s="28"/>
      <c r="FL203" s="28"/>
      <c r="FM203" s="28"/>
      <c r="FN203" s="28"/>
      <c r="FO203" s="28"/>
      <c r="FP203" s="28"/>
      <c r="FQ203" s="28"/>
      <c r="FR203" s="28"/>
      <c r="FS203" s="28"/>
      <c r="FT203" s="28"/>
      <c r="FU203" s="28"/>
      <c r="FV203" s="28"/>
      <c r="FW203" s="28"/>
      <c r="FX203" s="28"/>
      <c r="FY203" s="28"/>
      <c r="FZ203" s="28"/>
      <c r="GA203" s="28"/>
      <c r="GB203" s="28"/>
      <c r="GC203" s="28"/>
      <c r="GD203" s="28"/>
      <c r="GE203" s="28"/>
      <c r="GF203" s="28"/>
      <c r="GG203" s="28"/>
      <c r="GH203" s="28"/>
      <c r="GI203" s="28"/>
      <c r="GJ203" s="28"/>
      <c r="GK203" s="28"/>
      <c r="GL203" s="28"/>
      <c r="GM203" s="28"/>
      <c r="GN203" s="28"/>
      <c r="GO203" s="28"/>
      <c r="GP203" s="28"/>
      <c r="GQ203" s="28"/>
      <c r="GR203" s="28"/>
      <c r="GS203" s="28"/>
      <c r="GT203" s="28"/>
      <c r="GU203" s="28"/>
      <c r="GV203" s="28"/>
      <c r="GW203" s="28"/>
      <c r="GX203" s="28"/>
      <c r="GY203" s="28"/>
      <c r="GZ203" s="28"/>
      <c r="HA203" s="28"/>
      <c r="HB203" s="28"/>
      <c r="HC203" s="28"/>
      <c r="HD203" s="28"/>
      <c r="HE203" s="28"/>
      <c r="HF203" s="28"/>
      <c r="HG203" s="28"/>
      <c r="HH203" s="28"/>
      <c r="HI203" s="28"/>
      <c r="HJ203" s="28"/>
      <c r="HK203" s="28"/>
    </row>
    <row r="204" spans="1:219" ht="15" customHeight="1">
      <c r="A204" s="49">
        <v>2</v>
      </c>
      <c r="B204" s="132" t="str">
        <f>VLOOKUP(Ruimtestaat[[#This Row],[Code]],Locaties[[Code]:[Locatie]],2,FALSE)</f>
        <v>Pauluskerk</v>
      </c>
      <c r="C204" s="132" t="str">
        <f>VLOOKUP(Ruimtestaat[[#This Row],[Code]],Locaties[[#All],[Code]:[Adres]],4,FALSE)</f>
        <v>Westdorplaan 122</v>
      </c>
      <c r="D204" s="132" t="str">
        <f>VLOOKUP(Ruimtestaat[[#This Row],[Code]],Locaties[[#All],[Code]:[Postcode]],5,FALSE)</f>
        <v>8101 BJ</v>
      </c>
      <c r="E204" s="132" t="str">
        <f>VLOOKUP(Ruimtestaat[[#This Row],[Code]],Locaties[#All],6,FALSE)</f>
        <v>Raalte</v>
      </c>
      <c r="F204" s="100"/>
      <c r="G204" s="100" t="s">
        <v>1675</v>
      </c>
      <c r="H204" s="49" t="s">
        <v>1701</v>
      </c>
      <c r="I204" s="140" t="s">
        <v>1733</v>
      </c>
      <c r="J204" s="49">
        <v>20</v>
      </c>
      <c r="K204" s="140" t="str">
        <f>VLOOKUP(Ruimtestaat[[#This Row],[Ruimte code]],Ruimtegroepen[[#All],[Code]:[Ruimte omschrijving]],2,FALSE)</f>
        <v>Niet in Onderhoud</v>
      </c>
      <c r="L204" s="100"/>
      <c r="M204" s="345"/>
      <c r="N204" s="133"/>
      <c r="O204" s="139">
        <v>49.85</v>
      </c>
      <c r="P204" s="134">
        <f>VLOOKUP(Ruimtestaat[[#This Row],[Ruimte code]],Ruimtegroepen[],4,FALSE)</f>
        <v>0</v>
      </c>
      <c r="Q204" s="100"/>
      <c r="R204" s="100"/>
      <c r="S204" s="100">
        <f>IF(Q204&gt;0,IF(RIGHT(Ruimtestaat[[#This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04" s="100">
        <f>IF(S204&gt;0,VLOOKUP($J204,Ruimtegroepen[],3,FALSE)*VLOOKUP($L204,Vloersoorten[],3,FALSE)*VLOOKUP($R204,Frequenties[],3,FALSE)*VLOOKUP($A204,Locaties[],3,FALSE),0)</f>
        <v>0</v>
      </c>
      <c r="U204" s="100">
        <f>Ruimtestaat[[#This Row],[Uitvoeringen werkdagen]]*Ruimtestaat[[#This Row],[Oppervlak (netto)]]</f>
        <v>0</v>
      </c>
      <c r="V204" s="135">
        <f>IF(T204&gt;0,Ruimtestaat[[#This Row],[Prest. (m2 /jaar) werkdagen]]/Ruimtestaat[[#This Row],[Norm (m2/uur) werkdagen]],0)</f>
        <v>0</v>
      </c>
      <c r="W204" s="136">
        <f>Ruimtestaat[[#This Row],[uren / jaar werkdagen]]*Tariefsopbouw!$E$35</f>
        <v>0</v>
      </c>
      <c r="X204" s="100"/>
      <c r="Y204" s="100">
        <f>IF(Ruimtestaat[[#This Row],[Frequentie weekend]]&gt;0,VALUE(LEFT(X204,1))*Q204,0)</f>
        <v>0</v>
      </c>
      <c r="Z204" s="99">
        <f>IF($Y204&gt;0,VLOOKUP($J204,Ruimtegroepen[],3,FALSE)*VLOOKUP($L204,Vloersoorten[],3,FALSE)*VLOOKUP($X204,Frequenties[],3,FALSE)*VLOOKUP(Ruimtestaat[[#This Row],[Code]],Locaties[],3,FALSE),0)</f>
        <v>0</v>
      </c>
      <c r="AA204" s="99">
        <f>Ruimtestaat[[#This Row],[Uitvoeringen weekend]]*Ruimtestaat[[#This Row],[Oppervlak (netto)]]</f>
        <v>0</v>
      </c>
      <c r="AB204" s="99">
        <f>IF(Z204&gt;0,Ruimtestaat[[#This Row],[Prest. (m2 /jaar) weekend]]/Ruimtestaat[[#This Row],[Norm (m2/uur) weekend]],0)</f>
        <v>0</v>
      </c>
      <c r="AC204" s="136">
        <f>Ruimtestaat[[#This Row],[uren / jaar weekend]]*Tariefsopbouw!$D$40</f>
        <v>0</v>
      </c>
      <c r="AD204" s="135">
        <f>Ruimtestaat[[#This Row],[Prest. (m2 /jaar) weekend]]+Ruimtestaat[[#This Row],[Prest. (m2 /jaar) werkdagen]]</f>
        <v>0</v>
      </c>
      <c r="AE204" s="135">
        <f>Ruimtestaat[[#This Row],[uren / jaar weekend]]+Ruimtestaat[[#This Row],[uren / jaar werkdagen]]</f>
        <v>0</v>
      </c>
      <c r="AF204" s="130">
        <f>Ruimtestaat[[#This Row],[kosten / jaar weekend]]+Ruimtestaat[[#This Row],[kosten / jaar werkdagen]]</f>
        <v>0</v>
      </c>
      <c r="AG204" s="130"/>
      <c r="AH204" s="137" t="str">
        <f>IF(Ruimtestaat[[#This Row],[Frequentie werkdagen]]="","",_xlfn.CONCAT(Ruimtestaat[[#This Row],[Ruimte code]],"-",Ruimtestaat[[#This Row],[Frequentie werkdagen]]," ",Ruimtestaat[[#This Row],[Vloer code]]))</f>
        <v/>
      </c>
      <c r="AI204" s="142" t="str">
        <f>_xlfn.IFNA(VLOOKUP($AH204,Programma!$F$3:$G$1101,2,0),"")</f>
        <v/>
      </c>
      <c r="AJ204" s="142" t="str">
        <f>_xlfn.IFNA(VLOOKUP($AH204,Programma!$F$3:$H$1101,3,0),"")</f>
        <v/>
      </c>
      <c r="AK204" s="142" t="str">
        <f>_xlfn.IFNA(VLOOKUP($AH204,Programma!$F$3:$I$1101,4,0),"")</f>
        <v/>
      </c>
      <c r="AL204" s="142" t="str">
        <f>_xlfn.IFNA(VLOOKUP($AH204,Programma!$F$3:$J$1101,5,0),"")</f>
        <v/>
      </c>
      <c r="AM204" s="142" t="str">
        <f>_xlfn.IFNA(VLOOKUP($AH204,Programma!$F$3:$K$1101,6,0),"")</f>
        <v/>
      </c>
      <c r="AN204" s="142" t="str">
        <f>_xlfn.IFNA(VLOOKUP($AH204,Programma!$F$3:$L$1101,7,0),"")</f>
        <v/>
      </c>
      <c r="AO204" s="142" t="str">
        <f>_xlfn.IFNA(VLOOKUP($AH204,Programma!$F$3:$M$1101,8,0),"")</f>
        <v/>
      </c>
      <c r="AP204" s="142" t="str">
        <f>_xlfn.IFNA(VLOOKUP($AH204,Programma!$F$3:$N$1101,9,0),"")</f>
        <v/>
      </c>
      <c r="AQ204" s="142" t="str">
        <f>_xlfn.IFNA(VLOOKUP($AH204,Programma!$F$3:$O$1101,10,0),"")</f>
        <v/>
      </c>
      <c r="AR204" s="142" t="str">
        <f>_xlfn.IFNA(VLOOKUP($AH204,Programma!$F$3:$P$1101,11,0),"")</f>
        <v/>
      </c>
      <c r="AS204" s="142" t="str">
        <f>_xlfn.IFNA(VLOOKUP($AH204,Programma!$F$3:$Q$1101,12,0),"")</f>
        <v/>
      </c>
      <c r="AT204" s="142" t="str">
        <f>_xlfn.IFNA(VLOOKUP($AH204,Programma!$F$3:$R$1101,13,0),"")</f>
        <v/>
      </c>
      <c r="AU204" s="142" t="str">
        <f>_xlfn.IFNA(VLOOKUP($AH204,Programma!$F$3:$S$1101,14,0),"")</f>
        <v/>
      </c>
      <c r="AV204" s="142" t="str">
        <f>_xlfn.IFNA(VLOOKUP($AH204,Programma!$F$3:$T$1101,15,0),"")</f>
        <v/>
      </c>
      <c r="AW204" s="142" t="str">
        <f>_xlfn.IFNA(VLOOKUP($AH204,Programma!$F$3:$U$1101,16,0),"")</f>
        <v/>
      </c>
      <c r="AX204" s="142" t="str">
        <f>_xlfn.IFNA(VLOOKUP($AH204,Programma!$F$3:$V$1101,17,0),"")</f>
        <v/>
      </c>
      <c r="AY204" s="142" t="str">
        <f>_xlfn.IFNA(VLOOKUP($AH204,Programma!$F$3:$W$1101,18,0),"")</f>
        <v/>
      </c>
      <c r="AZ204" s="142" t="str">
        <f>_xlfn.IFNA(VLOOKUP($AH204,Programma!$F$3:$X$1101,19,0),"")</f>
        <v/>
      </c>
      <c r="BA204" s="142" t="str">
        <f>_xlfn.IFNA(VLOOKUP($AH204,Programma!$F$3:$Y$1101,20,0),"")</f>
        <v/>
      </c>
      <c r="BB204" s="138"/>
      <c r="BC204" s="137" t="str">
        <f>IF(Ruimtestaat[[#This Row],[Frequentie weekend]]="","",_xlfn.CONCAT(Ruimtestaat[[#This Row],[Ruimte code]],"-",Ruimtestaat[[#This Row],[Frequentie weekend]]," ",Ruimtestaat[[#This Row],[Vloer code]]))</f>
        <v/>
      </c>
      <c r="BD204" s="142" t="str">
        <f>_xlfn.IFNA(VLOOKUP($BC204,Programma!$F$3:$G$1101,2,0),"")</f>
        <v/>
      </c>
      <c r="BE204" s="142" t="str">
        <f>_xlfn.IFNA(VLOOKUP($BC204,Programma!$F$3:$H$1101,3,0),"")</f>
        <v/>
      </c>
      <c r="BF204" s="142" t="str">
        <f>_xlfn.IFNA(VLOOKUP($BC204,Programma!$F$3:$I$1101,4,0),"")</f>
        <v/>
      </c>
      <c r="BG204" s="142" t="str">
        <f>_xlfn.IFNA(VLOOKUP($BC204,Programma!$F$3:$J$1101,5,0),"")</f>
        <v/>
      </c>
      <c r="BH204" s="142" t="str">
        <f>_xlfn.IFNA(VLOOKUP($BC204,Programma!$F$3:$K$1101,6,0),"")</f>
        <v/>
      </c>
      <c r="BI204" s="142" t="str">
        <f>_xlfn.IFNA(VLOOKUP($BC204,Programma!$F$3:$L$1101,7,0),"")</f>
        <v/>
      </c>
      <c r="BJ204" s="142" t="str">
        <f>_xlfn.IFNA(VLOOKUP($BC204,Programma!$F$3:$M$1101,8,0),"")</f>
        <v/>
      </c>
      <c r="BK204" s="142" t="str">
        <f>_xlfn.IFNA(VLOOKUP($BC204,Programma!$F$3:$N$1101,9,0),"")</f>
        <v/>
      </c>
      <c r="BL204" s="142" t="str">
        <f>_xlfn.IFNA(VLOOKUP($BC204,Programma!$F$3:$O$1101,10,0),"")</f>
        <v/>
      </c>
      <c r="BM204" s="142" t="str">
        <f>_xlfn.IFNA(VLOOKUP($BC204,Programma!$F$3:$P$1101,11,0),"")</f>
        <v/>
      </c>
      <c r="BN204" s="142" t="str">
        <f>_xlfn.IFNA(VLOOKUP($BC204,Programma!$F$3:$Q$1101,12,0),"")</f>
        <v/>
      </c>
      <c r="BO204" s="142" t="str">
        <f>_xlfn.IFNA(VLOOKUP($BC204,Programma!$F$3:$R$1101,13,0),"")</f>
        <v/>
      </c>
      <c r="BP204" s="142" t="str">
        <f>_xlfn.IFNA(VLOOKUP($BC204,Programma!$F$3:$S$1101,14,0),"")</f>
        <v/>
      </c>
      <c r="BQ204" s="142" t="str">
        <f>_xlfn.IFNA(VLOOKUP($BC204,Programma!$F$3:$T$1101,15,0),"")</f>
        <v/>
      </c>
      <c r="BR204" s="142" t="str">
        <f>_xlfn.IFNA(VLOOKUP($BC204,Programma!$F$3:$U$1101,16,0),"")</f>
        <v/>
      </c>
      <c r="BS204" s="142" t="str">
        <f>_xlfn.IFNA(VLOOKUP($BC204,Programma!$F$3:$V$1101,17,0),"")</f>
        <v/>
      </c>
      <c r="BT204" s="142" t="str">
        <f>_xlfn.IFNA(VLOOKUP($BC204,Programma!$F$3:$W$1101,18,0),"")</f>
        <v/>
      </c>
      <c r="BU204" s="142" t="str">
        <f>_xlfn.IFNA(VLOOKUP($BC204,Programma!$F$3:$X$1101,19,0),"")</f>
        <v/>
      </c>
      <c r="BV204" s="142" t="str">
        <f>_xlfn.IFNA(VLOOKUP($BC204,Programma!$F$3:$Y$1101,20,0),"")</f>
        <v/>
      </c>
      <c r="BW204" s="28"/>
      <c r="BX204" s="28"/>
      <c r="BY204" s="28"/>
      <c r="BZ204" s="28"/>
      <c r="CA204" s="28"/>
      <c r="CB204" s="28"/>
      <c r="CC204" s="28"/>
      <c r="CD204" s="28"/>
      <c r="CE204" s="28"/>
      <c r="CF204" s="28"/>
      <c r="CG204" s="28"/>
      <c r="CH204" s="28"/>
      <c r="CI204" s="28"/>
      <c r="CJ204" s="28"/>
      <c r="CK204" s="28"/>
      <c r="CL204" s="28"/>
      <c r="CM204" s="28"/>
      <c r="CN204" s="28"/>
      <c r="CO204" s="28"/>
      <c r="CP204" s="28"/>
      <c r="CQ204" s="28"/>
      <c r="CR204" s="28"/>
      <c r="CS204" s="28"/>
      <c r="CT204" s="28"/>
      <c r="CU204" s="28"/>
      <c r="CV204" s="28"/>
      <c r="CW204" s="28"/>
      <c r="CX204" s="28"/>
      <c r="CY204" s="28"/>
      <c r="CZ204" s="28"/>
      <c r="DA204" s="28"/>
      <c r="DB204" s="28"/>
      <c r="DC204" s="28"/>
      <c r="DD204" s="28"/>
      <c r="DE204" s="28"/>
      <c r="DF204" s="28"/>
      <c r="DG204" s="28"/>
      <c r="DH204" s="28"/>
      <c r="DI204" s="28"/>
      <c r="DJ204" s="28"/>
      <c r="DK204" s="28"/>
      <c r="DL204" s="28"/>
      <c r="DM204" s="28"/>
      <c r="DN204" s="28"/>
      <c r="DO204" s="28"/>
      <c r="DP204" s="28"/>
      <c r="DQ204" s="28"/>
      <c r="DR204" s="28"/>
      <c r="DS204" s="28"/>
      <c r="DT204" s="28"/>
      <c r="DU204" s="28"/>
      <c r="DV204" s="28"/>
      <c r="DW204" s="28"/>
      <c r="DX204" s="28"/>
      <c r="DY204" s="28"/>
      <c r="DZ204" s="28"/>
      <c r="EA204" s="28"/>
      <c r="EB204" s="28"/>
      <c r="EC204" s="28"/>
      <c r="ED204" s="28"/>
      <c r="EE204" s="28"/>
      <c r="EF204" s="28"/>
      <c r="EG204" s="28"/>
      <c r="EH204" s="28"/>
      <c r="EI204" s="28"/>
      <c r="EJ204" s="28"/>
      <c r="EK204" s="28"/>
      <c r="EL204" s="28"/>
      <c r="EM204" s="28"/>
      <c r="EN204" s="28"/>
      <c r="EO204" s="28"/>
      <c r="EP204" s="28"/>
      <c r="EQ204" s="28"/>
      <c r="ER204" s="28"/>
      <c r="ES204" s="28"/>
      <c r="ET204" s="28"/>
      <c r="EU204" s="28"/>
      <c r="EV204" s="28"/>
      <c r="EW204" s="28"/>
      <c r="EX204" s="28"/>
      <c r="EY204" s="28"/>
      <c r="EZ204" s="28"/>
      <c r="FA204" s="28"/>
      <c r="FB204" s="28"/>
      <c r="FC204" s="28"/>
      <c r="FD204" s="28"/>
      <c r="FE204" s="28"/>
      <c r="FF204" s="28"/>
      <c r="FG204" s="28"/>
      <c r="FH204" s="28"/>
      <c r="FI204" s="28"/>
      <c r="FJ204" s="28"/>
      <c r="FK204" s="28"/>
      <c r="FL204" s="28"/>
      <c r="FM204" s="28"/>
      <c r="FN204" s="28"/>
      <c r="FO204" s="28"/>
      <c r="FP204" s="28"/>
      <c r="FQ204" s="28"/>
      <c r="FR204" s="28"/>
      <c r="FS204" s="28"/>
      <c r="FT204" s="28"/>
      <c r="FU204" s="28"/>
      <c r="FV204" s="28"/>
      <c r="FW204" s="28"/>
      <c r="FX204" s="28"/>
      <c r="FY204" s="28"/>
      <c r="FZ204" s="28"/>
      <c r="GA204" s="28"/>
      <c r="GB204" s="28"/>
      <c r="GC204" s="28"/>
      <c r="GD204" s="28"/>
      <c r="GE204" s="28"/>
      <c r="GF204" s="28"/>
      <c r="GG204" s="28"/>
      <c r="GH204" s="28"/>
      <c r="GI204" s="28"/>
      <c r="GJ204" s="28"/>
      <c r="GK204" s="28"/>
      <c r="GL204" s="28"/>
      <c r="GM204" s="28"/>
      <c r="GN204" s="28"/>
      <c r="GO204" s="28"/>
      <c r="GP204" s="28"/>
      <c r="GQ204" s="28"/>
      <c r="GR204" s="28"/>
      <c r="GS204" s="28"/>
      <c r="GT204" s="28"/>
      <c r="GU204" s="28"/>
      <c r="GV204" s="28"/>
      <c r="GW204" s="28"/>
      <c r="GX204" s="28"/>
      <c r="GY204" s="28"/>
      <c r="GZ204" s="28"/>
      <c r="HA204" s="28"/>
      <c r="HB204" s="28"/>
      <c r="HC204" s="28"/>
      <c r="HD204" s="28"/>
      <c r="HE204" s="28"/>
      <c r="HF204" s="28"/>
      <c r="HG204" s="28"/>
      <c r="HH204" s="28"/>
      <c r="HI204" s="28"/>
      <c r="HJ204" s="28"/>
      <c r="HK204" s="28"/>
    </row>
    <row r="205" spans="1:219" ht="15" customHeight="1">
      <c r="A205" s="49">
        <v>2</v>
      </c>
      <c r="B205" s="132" t="str">
        <f>VLOOKUP(Ruimtestaat[[#This Row],[Code]],Locaties[[Code]:[Locatie]],2,FALSE)</f>
        <v>Pauluskerk</v>
      </c>
      <c r="C205" s="132" t="str">
        <f>VLOOKUP(Ruimtestaat[[#This Row],[Code]],Locaties[[#All],[Code]:[Adres]],4,FALSE)</f>
        <v>Westdorplaan 122</v>
      </c>
      <c r="D205" s="132" t="str">
        <f>VLOOKUP(Ruimtestaat[[#This Row],[Code]],Locaties[[#All],[Code]:[Postcode]],5,FALSE)</f>
        <v>8101 BJ</v>
      </c>
      <c r="E205" s="132" t="str">
        <f>VLOOKUP(Ruimtestaat[[#This Row],[Code]],Locaties[#All],6,FALSE)</f>
        <v>Raalte</v>
      </c>
      <c r="F205" s="100"/>
      <c r="G205" s="100" t="s">
        <v>1675</v>
      </c>
      <c r="H205" s="49" t="s">
        <v>1702</v>
      </c>
      <c r="I205" s="140" t="s">
        <v>1734</v>
      </c>
      <c r="J205" s="49">
        <v>20</v>
      </c>
      <c r="K205" s="140" t="str">
        <f>VLOOKUP(Ruimtestaat[[#This Row],[Ruimte code]],Ruimtegroepen[[#All],[Code]:[Ruimte omschrijving]],2,FALSE)</f>
        <v>Niet in Onderhoud</v>
      </c>
      <c r="L205" s="100"/>
      <c r="M205" s="345"/>
      <c r="N205" s="133"/>
      <c r="O205" s="139">
        <v>5.68</v>
      </c>
      <c r="P205" s="134">
        <f>VLOOKUP(Ruimtestaat[[#This Row],[Ruimte code]],Ruimtegroepen[],4,FALSE)</f>
        <v>0</v>
      </c>
      <c r="Q205" s="100"/>
      <c r="R205" s="100"/>
      <c r="S205" s="100">
        <f>IF(Q205&gt;0,IF(RIGHT(Ruimtestaat[[#This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05" s="100">
        <f>IF(S205&gt;0,VLOOKUP($J205,Ruimtegroepen[],3,FALSE)*VLOOKUP($L205,Vloersoorten[],3,FALSE)*VLOOKUP($R205,Frequenties[],3,FALSE)*VLOOKUP($A205,Locaties[],3,FALSE),0)</f>
        <v>0</v>
      </c>
      <c r="U205" s="100">
        <f>Ruimtestaat[[#This Row],[Uitvoeringen werkdagen]]*Ruimtestaat[[#This Row],[Oppervlak (netto)]]</f>
        <v>0</v>
      </c>
      <c r="V205" s="135">
        <f>IF(T205&gt;0,Ruimtestaat[[#This Row],[Prest. (m2 /jaar) werkdagen]]/Ruimtestaat[[#This Row],[Norm (m2/uur) werkdagen]],0)</f>
        <v>0</v>
      </c>
      <c r="W205" s="136">
        <f>Ruimtestaat[[#This Row],[uren / jaar werkdagen]]*Tariefsopbouw!$E$35</f>
        <v>0</v>
      </c>
      <c r="X205" s="100"/>
      <c r="Y205" s="100">
        <f>IF(Ruimtestaat[[#This Row],[Frequentie weekend]]&gt;0,VALUE(LEFT(X205,1))*Q205,0)</f>
        <v>0</v>
      </c>
      <c r="Z205" s="99">
        <f>IF($Y205&gt;0,VLOOKUP($J205,Ruimtegroepen[],3,FALSE)*VLOOKUP($L205,Vloersoorten[],3,FALSE)*VLOOKUP($X205,Frequenties[],3,FALSE)*VLOOKUP(Ruimtestaat[[#This Row],[Code]],Locaties[],3,FALSE),0)</f>
        <v>0</v>
      </c>
      <c r="AA205" s="99">
        <f>Ruimtestaat[[#This Row],[Uitvoeringen weekend]]*Ruimtestaat[[#This Row],[Oppervlak (netto)]]</f>
        <v>0</v>
      </c>
      <c r="AB205" s="99">
        <f>IF(Z205&gt;0,Ruimtestaat[[#This Row],[Prest. (m2 /jaar) weekend]]/Ruimtestaat[[#This Row],[Norm (m2/uur) weekend]],0)</f>
        <v>0</v>
      </c>
      <c r="AC205" s="136">
        <f>Ruimtestaat[[#This Row],[uren / jaar weekend]]*Tariefsopbouw!$D$40</f>
        <v>0</v>
      </c>
      <c r="AD205" s="135">
        <f>Ruimtestaat[[#This Row],[Prest. (m2 /jaar) weekend]]+Ruimtestaat[[#This Row],[Prest. (m2 /jaar) werkdagen]]</f>
        <v>0</v>
      </c>
      <c r="AE205" s="135">
        <f>Ruimtestaat[[#This Row],[uren / jaar weekend]]+Ruimtestaat[[#This Row],[uren / jaar werkdagen]]</f>
        <v>0</v>
      </c>
      <c r="AF205" s="130">
        <f>Ruimtestaat[[#This Row],[kosten / jaar weekend]]+Ruimtestaat[[#This Row],[kosten / jaar werkdagen]]</f>
        <v>0</v>
      </c>
      <c r="AG205" s="130"/>
      <c r="AH205" s="137" t="str">
        <f>IF(Ruimtestaat[[#This Row],[Frequentie werkdagen]]="","",_xlfn.CONCAT(Ruimtestaat[[#This Row],[Ruimte code]],"-",Ruimtestaat[[#This Row],[Frequentie werkdagen]]," ",Ruimtestaat[[#This Row],[Vloer code]]))</f>
        <v/>
      </c>
      <c r="AI205" s="142" t="str">
        <f>_xlfn.IFNA(VLOOKUP($AH205,Programma!$F$3:$G$1101,2,0),"")</f>
        <v/>
      </c>
      <c r="AJ205" s="142" t="str">
        <f>_xlfn.IFNA(VLOOKUP($AH205,Programma!$F$3:$H$1101,3,0),"")</f>
        <v/>
      </c>
      <c r="AK205" s="142" t="str">
        <f>_xlfn.IFNA(VLOOKUP($AH205,Programma!$F$3:$I$1101,4,0),"")</f>
        <v/>
      </c>
      <c r="AL205" s="142" t="str">
        <f>_xlfn.IFNA(VLOOKUP($AH205,Programma!$F$3:$J$1101,5,0),"")</f>
        <v/>
      </c>
      <c r="AM205" s="142" t="str">
        <f>_xlfn.IFNA(VLOOKUP($AH205,Programma!$F$3:$K$1101,6,0),"")</f>
        <v/>
      </c>
      <c r="AN205" s="142" t="str">
        <f>_xlfn.IFNA(VLOOKUP($AH205,Programma!$F$3:$L$1101,7,0),"")</f>
        <v/>
      </c>
      <c r="AO205" s="142" t="str">
        <f>_xlfn.IFNA(VLOOKUP($AH205,Programma!$F$3:$M$1101,8,0),"")</f>
        <v/>
      </c>
      <c r="AP205" s="142" t="str">
        <f>_xlfn.IFNA(VLOOKUP($AH205,Programma!$F$3:$N$1101,9,0),"")</f>
        <v/>
      </c>
      <c r="AQ205" s="142" t="str">
        <f>_xlfn.IFNA(VLOOKUP($AH205,Programma!$F$3:$O$1101,10,0),"")</f>
        <v/>
      </c>
      <c r="AR205" s="142" t="str">
        <f>_xlfn.IFNA(VLOOKUP($AH205,Programma!$F$3:$P$1101,11,0),"")</f>
        <v/>
      </c>
      <c r="AS205" s="142" t="str">
        <f>_xlfn.IFNA(VLOOKUP($AH205,Programma!$F$3:$Q$1101,12,0),"")</f>
        <v/>
      </c>
      <c r="AT205" s="142" t="str">
        <f>_xlfn.IFNA(VLOOKUP($AH205,Programma!$F$3:$R$1101,13,0),"")</f>
        <v/>
      </c>
      <c r="AU205" s="142" t="str">
        <f>_xlfn.IFNA(VLOOKUP($AH205,Programma!$F$3:$S$1101,14,0),"")</f>
        <v/>
      </c>
      <c r="AV205" s="142" t="str">
        <f>_xlfn.IFNA(VLOOKUP($AH205,Programma!$F$3:$T$1101,15,0),"")</f>
        <v/>
      </c>
      <c r="AW205" s="142" t="str">
        <f>_xlfn.IFNA(VLOOKUP($AH205,Programma!$F$3:$U$1101,16,0),"")</f>
        <v/>
      </c>
      <c r="AX205" s="142" t="str">
        <f>_xlfn.IFNA(VLOOKUP($AH205,Programma!$F$3:$V$1101,17,0),"")</f>
        <v/>
      </c>
      <c r="AY205" s="142" t="str">
        <f>_xlfn.IFNA(VLOOKUP($AH205,Programma!$F$3:$W$1101,18,0),"")</f>
        <v/>
      </c>
      <c r="AZ205" s="142" t="str">
        <f>_xlfn.IFNA(VLOOKUP($AH205,Programma!$F$3:$X$1101,19,0),"")</f>
        <v/>
      </c>
      <c r="BA205" s="142" t="str">
        <f>_xlfn.IFNA(VLOOKUP($AH205,Programma!$F$3:$Y$1101,20,0),"")</f>
        <v/>
      </c>
      <c r="BB205" s="138"/>
      <c r="BC205" s="137" t="str">
        <f>IF(Ruimtestaat[[#This Row],[Frequentie weekend]]="","",_xlfn.CONCAT(Ruimtestaat[[#This Row],[Ruimte code]],"-",Ruimtestaat[[#This Row],[Frequentie weekend]]," ",Ruimtestaat[[#This Row],[Vloer code]]))</f>
        <v/>
      </c>
      <c r="BD205" s="142" t="str">
        <f>_xlfn.IFNA(VLOOKUP($BC205,Programma!$F$3:$G$1101,2,0),"")</f>
        <v/>
      </c>
      <c r="BE205" s="142" t="str">
        <f>_xlfn.IFNA(VLOOKUP($BC205,Programma!$F$3:$H$1101,3,0),"")</f>
        <v/>
      </c>
      <c r="BF205" s="142" t="str">
        <f>_xlfn.IFNA(VLOOKUP($BC205,Programma!$F$3:$I$1101,4,0),"")</f>
        <v/>
      </c>
      <c r="BG205" s="142" t="str">
        <f>_xlfn.IFNA(VLOOKUP($BC205,Programma!$F$3:$J$1101,5,0),"")</f>
        <v/>
      </c>
      <c r="BH205" s="142" t="str">
        <f>_xlfn.IFNA(VLOOKUP($BC205,Programma!$F$3:$K$1101,6,0),"")</f>
        <v/>
      </c>
      <c r="BI205" s="142" t="str">
        <f>_xlfn.IFNA(VLOOKUP($BC205,Programma!$F$3:$L$1101,7,0),"")</f>
        <v/>
      </c>
      <c r="BJ205" s="142" t="str">
        <f>_xlfn.IFNA(VLOOKUP($BC205,Programma!$F$3:$M$1101,8,0),"")</f>
        <v/>
      </c>
      <c r="BK205" s="142" t="str">
        <f>_xlfn.IFNA(VLOOKUP($BC205,Programma!$F$3:$N$1101,9,0),"")</f>
        <v/>
      </c>
      <c r="BL205" s="142" t="str">
        <f>_xlfn.IFNA(VLOOKUP($BC205,Programma!$F$3:$O$1101,10,0),"")</f>
        <v/>
      </c>
      <c r="BM205" s="142" t="str">
        <f>_xlfn.IFNA(VLOOKUP($BC205,Programma!$F$3:$P$1101,11,0),"")</f>
        <v/>
      </c>
      <c r="BN205" s="142" t="str">
        <f>_xlfn.IFNA(VLOOKUP($BC205,Programma!$F$3:$Q$1101,12,0),"")</f>
        <v/>
      </c>
      <c r="BO205" s="142" t="str">
        <f>_xlfn.IFNA(VLOOKUP($BC205,Programma!$F$3:$R$1101,13,0),"")</f>
        <v/>
      </c>
      <c r="BP205" s="142" t="str">
        <f>_xlfn.IFNA(VLOOKUP($BC205,Programma!$F$3:$S$1101,14,0),"")</f>
        <v/>
      </c>
      <c r="BQ205" s="142" t="str">
        <f>_xlfn.IFNA(VLOOKUP($BC205,Programma!$F$3:$T$1101,15,0),"")</f>
        <v/>
      </c>
      <c r="BR205" s="142" t="str">
        <f>_xlfn.IFNA(VLOOKUP($BC205,Programma!$F$3:$U$1101,16,0),"")</f>
        <v/>
      </c>
      <c r="BS205" s="142" t="str">
        <f>_xlfn.IFNA(VLOOKUP($BC205,Programma!$F$3:$V$1101,17,0),"")</f>
        <v/>
      </c>
      <c r="BT205" s="142" t="str">
        <f>_xlfn.IFNA(VLOOKUP($BC205,Programma!$F$3:$W$1101,18,0),"")</f>
        <v/>
      </c>
      <c r="BU205" s="142" t="str">
        <f>_xlfn.IFNA(VLOOKUP($BC205,Programma!$F$3:$X$1101,19,0),"")</f>
        <v/>
      </c>
      <c r="BV205" s="142" t="str">
        <f>_xlfn.IFNA(VLOOKUP($BC205,Programma!$F$3:$Y$1101,20,0),"")</f>
        <v/>
      </c>
      <c r="BW205" s="28"/>
      <c r="BX205" s="28"/>
      <c r="BY205" s="28"/>
      <c r="BZ205" s="28"/>
      <c r="CA205" s="28"/>
      <c r="CB205" s="28"/>
      <c r="CC205" s="28"/>
      <c r="CD205" s="28"/>
      <c r="CE205" s="28"/>
      <c r="CF205" s="28"/>
      <c r="CG205" s="28"/>
      <c r="CH205" s="28"/>
      <c r="CI205" s="28"/>
      <c r="CJ205" s="28"/>
      <c r="CK205" s="28"/>
      <c r="CL205" s="28"/>
      <c r="CM205" s="28"/>
      <c r="CN205" s="28"/>
      <c r="CO205" s="28"/>
      <c r="CP205" s="28"/>
      <c r="CQ205" s="28"/>
      <c r="CR205" s="28"/>
      <c r="CS205" s="28"/>
      <c r="CT205" s="28"/>
      <c r="CU205" s="28"/>
      <c r="CV205" s="28"/>
      <c r="CW205" s="28"/>
      <c r="CX205" s="28"/>
      <c r="CY205" s="28"/>
      <c r="CZ205" s="28"/>
      <c r="DA205" s="28"/>
      <c r="DB205" s="28"/>
      <c r="DC205" s="28"/>
      <c r="DD205" s="28"/>
      <c r="DE205" s="28"/>
      <c r="DF205" s="28"/>
      <c r="DG205" s="28"/>
      <c r="DH205" s="28"/>
      <c r="DI205" s="28"/>
      <c r="DJ205" s="28"/>
      <c r="DK205" s="28"/>
      <c r="DL205" s="28"/>
      <c r="DM205" s="28"/>
      <c r="DN205" s="28"/>
      <c r="DO205" s="28"/>
      <c r="DP205" s="28"/>
      <c r="DQ205" s="28"/>
      <c r="DR205" s="28"/>
      <c r="DS205" s="28"/>
      <c r="DT205" s="28"/>
      <c r="DU205" s="28"/>
      <c r="DV205" s="28"/>
      <c r="DW205" s="28"/>
      <c r="DX205" s="28"/>
      <c r="DY205" s="28"/>
      <c r="DZ205" s="28"/>
      <c r="EA205" s="28"/>
      <c r="EB205" s="28"/>
      <c r="EC205" s="28"/>
      <c r="ED205" s="28"/>
      <c r="EE205" s="28"/>
      <c r="EF205" s="28"/>
      <c r="EG205" s="28"/>
      <c r="EH205" s="28"/>
      <c r="EI205" s="28"/>
      <c r="EJ205" s="28"/>
      <c r="EK205" s="28"/>
      <c r="EL205" s="28"/>
      <c r="EM205" s="28"/>
      <c r="EN205" s="28"/>
      <c r="EO205" s="28"/>
      <c r="EP205" s="28"/>
      <c r="EQ205" s="28"/>
      <c r="ER205" s="28"/>
      <c r="ES205" s="28"/>
      <c r="ET205" s="28"/>
      <c r="EU205" s="28"/>
      <c r="EV205" s="28"/>
      <c r="EW205" s="28"/>
      <c r="EX205" s="28"/>
      <c r="EY205" s="28"/>
      <c r="EZ205" s="28"/>
      <c r="FA205" s="28"/>
      <c r="FB205" s="28"/>
      <c r="FC205" s="28"/>
      <c r="FD205" s="28"/>
      <c r="FE205" s="28"/>
      <c r="FF205" s="28"/>
      <c r="FG205" s="28"/>
      <c r="FH205" s="28"/>
      <c r="FI205" s="28"/>
      <c r="FJ205" s="28"/>
      <c r="FK205" s="28"/>
      <c r="FL205" s="28"/>
      <c r="FM205" s="28"/>
      <c r="FN205" s="28"/>
      <c r="FO205" s="28"/>
      <c r="FP205" s="28"/>
      <c r="FQ205" s="28"/>
      <c r="FR205" s="28"/>
      <c r="FS205" s="28"/>
      <c r="FT205" s="28"/>
      <c r="FU205" s="28"/>
      <c r="FV205" s="28"/>
      <c r="FW205" s="28"/>
      <c r="FX205" s="28"/>
      <c r="FY205" s="28"/>
      <c r="FZ205" s="28"/>
      <c r="GA205" s="28"/>
      <c r="GB205" s="28"/>
      <c r="GC205" s="28"/>
      <c r="GD205" s="28"/>
      <c r="GE205" s="28"/>
      <c r="GF205" s="28"/>
      <c r="GG205" s="28"/>
      <c r="GH205" s="28"/>
      <c r="GI205" s="28"/>
      <c r="GJ205" s="28"/>
      <c r="GK205" s="28"/>
      <c r="GL205" s="28"/>
      <c r="GM205" s="28"/>
      <c r="GN205" s="28"/>
      <c r="GO205" s="28"/>
      <c r="GP205" s="28"/>
      <c r="GQ205" s="28"/>
      <c r="GR205" s="28"/>
      <c r="GS205" s="28"/>
      <c r="GT205" s="28"/>
      <c r="GU205" s="28"/>
      <c r="GV205" s="28"/>
      <c r="GW205" s="28"/>
      <c r="GX205" s="28"/>
      <c r="GY205" s="28"/>
      <c r="GZ205" s="28"/>
      <c r="HA205" s="28"/>
      <c r="HB205" s="28"/>
      <c r="HC205" s="28"/>
      <c r="HD205" s="28"/>
      <c r="HE205" s="28"/>
      <c r="HF205" s="28"/>
      <c r="HG205" s="28"/>
      <c r="HH205" s="28"/>
      <c r="HI205" s="28"/>
      <c r="HJ205" s="28"/>
      <c r="HK205" s="28"/>
    </row>
    <row r="206" spans="1:219" ht="15" customHeight="1">
      <c r="A206" s="49">
        <v>2</v>
      </c>
      <c r="B206" s="132" t="str">
        <f>VLOOKUP(Ruimtestaat[[#This Row],[Code]],Locaties[[Code]:[Locatie]],2,FALSE)</f>
        <v>Pauluskerk</v>
      </c>
      <c r="C206" s="132" t="str">
        <f>VLOOKUP(Ruimtestaat[[#This Row],[Code]],Locaties[[#All],[Code]:[Adres]],4,FALSE)</f>
        <v>Westdorplaan 122</v>
      </c>
      <c r="D206" s="132" t="str">
        <f>VLOOKUP(Ruimtestaat[[#This Row],[Code]],Locaties[[#All],[Code]:[Postcode]],5,FALSE)</f>
        <v>8101 BJ</v>
      </c>
      <c r="E206" s="132" t="str">
        <f>VLOOKUP(Ruimtestaat[[#This Row],[Code]],Locaties[#All],6,FALSE)</f>
        <v>Raalte</v>
      </c>
      <c r="F206" s="100"/>
      <c r="G206" s="100" t="s">
        <v>1675</v>
      </c>
      <c r="H206" s="49" t="s">
        <v>1703</v>
      </c>
      <c r="I206" s="140" t="s">
        <v>1735</v>
      </c>
      <c r="J206" s="49">
        <v>20</v>
      </c>
      <c r="K206" s="140" t="str">
        <f>VLOOKUP(Ruimtestaat[[#This Row],[Ruimte code]],Ruimtegroepen[[#All],[Code]:[Ruimte omschrijving]],2,FALSE)</f>
        <v>Niet in Onderhoud</v>
      </c>
      <c r="L206" s="100"/>
      <c r="M206" s="345"/>
      <c r="N206" s="133"/>
      <c r="O206" s="139">
        <v>51.55</v>
      </c>
      <c r="P206" s="134">
        <f>VLOOKUP(Ruimtestaat[[#This Row],[Ruimte code]],Ruimtegroepen[],4,FALSE)</f>
        <v>0</v>
      </c>
      <c r="Q206" s="100"/>
      <c r="R206" s="100"/>
      <c r="S206" s="100">
        <f>IF(Q206&gt;0,IF(RIGHT(Ruimtestaat[[#This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06" s="100">
        <f>IF(S206&gt;0,VLOOKUP($J206,Ruimtegroepen[],3,FALSE)*VLOOKUP($L206,Vloersoorten[],3,FALSE)*VLOOKUP($R206,Frequenties[],3,FALSE)*VLOOKUP($A206,Locaties[],3,FALSE),0)</f>
        <v>0</v>
      </c>
      <c r="U206" s="100">
        <f>Ruimtestaat[[#This Row],[Uitvoeringen werkdagen]]*Ruimtestaat[[#This Row],[Oppervlak (netto)]]</f>
        <v>0</v>
      </c>
      <c r="V206" s="135">
        <f>IF(T206&gt;0,Ruimtestaat[[#This Row],[Prest. (m2 /jaar) werkdagen]]/Ruimtestaat[[#This Row],[Norm (m2/uur) werkdagen]],0)</f>
        <v>0</v>
      </c>
      <c r="W206" s="136">
        <f>Ruimtestaat[[#This Row],[uren / jaar werkdagen]]*Tariefsopbouw!$E$35</f>
        <v>0</v>
      </c>
      <c r="X206" s="100"/>
      <c r="Y206" s="100">
        <f>IF(Ruimtestaat[[#This Row],[Frequentie weekend]]&gt;0,VALUE(LEFT(X206,1))*Q206,0)</f>
        <v>0</v>
      </c>
      <c r="Z206" s="99">
        <f>IF($Y206&gt;0,VLOOKUP($J206,Ruimtegroepen[],3,FALSE)*VLOOKUP($L206,Vloersoorten[],3,FALSE)*VLOOKUP($X206,Frequenties[],3,FALSE)*VLOOKUP(Ruimtestaat[[#This Row],[Code]],Locaties[],3,FALSE),0)</f>
        <v>0</v>
      </c>
      <c r="AA206" s="99">
        <f>Ruimtestaat[[#This Row],[Uitvoeringen weekend]]*Ruimtestaat[[#This Row],[Oppervlak (netto)]]</f>
        <v>0</v>
      </c>
      <c r="AB206" s="99">
        <f>IF(Z206&gt;0,Ruimtestaat[[#This Row],[Prest. (m2 /jaar) weekend]]/Ruimtestaat[[#This Row],[Norm (m2/uur) weekend]],0)</f>
        <v>0</v>
      </c>
      <c r="AC206" s="136">
        <f>Ruimtestaat[[#This Row],[uren / jaar weekend]]*Tariefsopbouw!$D$40</f>
        <v>0</v>
      </c>
      <c r="AD206" s="135">
        <f>Ruimtestaat[[#This Row],[Prest. (m2 /jaar) weekend]]+Ruimtestaat[[#This Row],[Prest. (m2 /jaar) werkdagen]]</f>
        <v>0</v>
      </c>
      <c r="AE206" s="135">
        <f>Ruimtestaat[[#This Row],[uren / jaar weekend]]+Ruimtestaat[[#This Row],[uren / jaar werkdagen]]</f>
        <v>0</v>
      </c>
      <c r="AF206" s="130">
        <f>Ruimtestaat[[#This Row],[kosten / jaar weekend]]+Ruimtestaat[[#This Row],[kosten / jaar werkdagen]]</f>
        <v>0</v>
      </c>
      <c r="AG206" s="130"/>
      <c r="AH206" s="137" t="str">
        <f>IF(Ruimtestaat[[#This Row],[Frequentie werkdagen]]="","",_xlfn.CONCAT(Ruimtestaat[[#This Row],[Ruimte code]],"-",Ruimtestaat[[#This Row],[Frequentie werkdagen]]," ",Ruimtestaat[[#This Row],[Vloer code]]))</f>
        <v/>
      </c>
      <c r="AI206" s="142" t="str">
        <f>_xlfn.IFNA(VLOOKUP($AH206,Programma!$F$3:$G$1101,2,0),"")</f>
        <v/>
      </c>
      <c r="AJ206" s="142" t="str">
        <f>_xlfn.IFNA(VLOOKUP($AH206,Programma!$F$3:$H$1101,3,0),"")</f>
        <v/>
      </c>
      <c r="AK206" s="142" t="str">
        <f>_xlfn.IFNA(VLOOKUP($AH206,Programma!$F$3:$I$1101,4,0),"")</f>
        <v/>
      </c>
      <c r="AL206" s="142" t="str">
        <f>_xlfn.IFNA(VLOOKUP($AH206,Programma!$F$3:$J$1101,5,0),"")</f>
        <v/>
      </c>
      <c r="AM206" s="142" t="str">
        <f>_xlfn.IFNA(VLOOKUP($AH206,Programma!$F$3:$K$1101,6,0),"")</f>
        <v/>
      </c>
      <c r="AN206" s="142" t="str">
        <f>_xlfn.IFNA(VLOOKUP($AH206,Programma!$F$3:$L$1101,7,0),"")</f>
        <v/>
      </c>
      <c r="AO206" s="142" t="str">
        <f>_xlfn.IFNA(VLOOKUP($AH206,Programma!$F$3:$M$1101,8,0),"")</f>
        <v/>
      </c>
      <c r="AP206" s="142" t="str">
        <f>_xlfn.IFNA(VLOOKUP($AH206,Programma!$F$3:$N$1101,9,0),"")</f>
        <v/>
      </c>
      <c r="AQ206" s="142" t="str">
        <f>_xlfn.IFNA(VLOOKUP($AH206,Programma!$F$3:$O$1101,10,0),"")</f>
        <v/>
      </c>
      <c r="AR206" s="142" t="str">
        <f>_xlfn.IFNA(VLOOKUP($AH206,Programma!$F$3:$P$1101,11,0),"")</f>
        <v/>
      </c>
      <c r="AS206" s="142" t="str">
        <f>_xlfn.IFNA(VLOOKUP($AH206,Programma!$F$3:$Q$1101,12,0),"")</f>
        <v/>
      </c>
      <c r="AT206" s="142" t="str">
        <f>_xlfn.IFNA(VLOOKUP($AH206,Programma!$F$3:$R$1101,13,0),"")</f>
        <v/>
      </c>
      <c r="AU206" s="142" t="str">
        <f>_xlfn.IFNA(VLOOKUP($AH206,Programma!$F$3:$S$1101,14,0),"")</f>
        <v/>
      </c>
      <c r="AV206" s="142" t="str">
        <f>_xlfn.IFNA(VLOOKUP($AH206,Programma!$F$3:$T$1101,15,0),"")</f>
        <v/>
      </c>
      <c r="AW206" s="142" t="str">
        <f>_xlfn.IFNA(VLOOKUP($AH206,Programma!$F$3:$U$1101,16,0),"")</f>
        <v/>
      </c>
      <c r="AX206" s="142" t="str">
        <f>_xlfn.IFNA(VLOOKUP($AH206,Programma!$F$3:$V$1101,17,0),"")</f>
        <v/>
      </c>
      <c r="AY206" s="142" t="str">
        <f>_xlfn.IFNA(VLOOKUP($AH206,Programma!$F$3:$W$1101,18,0),"")</f>
        <v/>
      </c>
      <c r="AZ206" s="142" t="str">
        <f>_xlfn.IFNA(VLOOKUP($AH206,Programma!$F$3:$X$1101,19,0),"")</f>
        <v/>
      </c>
      <c r="BA206" s="142" t="str">
        <f>_xlfn.IFNA(VLOOKUP($AH206,Programma!$F$3:$Y$1101,20,0),"")</f>
        <v/>
      </c>
      <c r="BB206" s="138"/>
      <c r="BC206" s="137" t="str">
        <f>IF(Ruimtestaat[[#This Row],[Frequentie weekend]]="","",_xlfn.CONCAT(Ruimtestaat[[#This Row],[Ruimte code]],"-",Ruimtestaat[[#This Row],[Frequentie weekend]]," ",Ruimtestaat[[#This Row],[Vloer code]]))</f>
        <v/>
      </c>
      <c r="BD206" s="142" t="str">
        <f>_xlfn.IFNA(VLOOKUP($BC206,Programma!$F$3:$G$1101,2,0),"")</f>
        <v/>
      </c>
      <c r="BE206" s="142" t="str">
        <f>_xlfn.IFNA(VLOOKUP($BC206,Programma!$F$3:$H$1101,3,0),"")</f>
        <v/>
      </c>
      <c r="BF206" s="142" t="str">
        <f>_xlfn.IFNA(VLOOKUP($BC206,Programma!$F$3:$I$1101,4,0),"")</f>
        <v/>
      </c>
      <c r="BG206" s="142" t="str">
        <f>_xlfn.IFNA(VLOOKUP($BC206,Programma!$F$3:$J$1101,5,0),"")</f>
        <v/>
      </c>
      <c r="BH206" s="142" t="str">
        <f>_xlfn.IFNA(VLOOKUP($BC206,Programma!$F$3:$K$1101,6,0),"")</f>
        <v/>
      </c>
      <c r="BI206" s="142" t="str">
        <f>_xlfn.IFNA(VLOOKUP($BC206,Programma!$F$3:$L$1101,7,0),"")</f>
        <v/>
      </c>
      <c r="BJ206" s="142" t="str">
        <f>_xlfn.IFNA(VLOOKUP($BC206,Programma!$F$3:$M$1101,8,0),"")</f>
        <v/>
      </c>
      <c r="BK206" s="142" t="str">
        <f>_xlfn.IFNA(VLOOKUP($BC206,Programma!$F$3:$N$1101,9,0),"")</f>
        <v/>
      </c>
      <c r="BL206" s="142" t="str">
        <f>_xlfn.IFNA(VLOOKUP($BC206,Programma!$F$3:$O$1101,10,0),"")</f>
        <v/>
      </c>
      <c r="BM206" s="142" t="str">
        <f>_xlfn.IFNA(VLOOKUP($BC206,Programma!$F$3:$P$1101,11,0),"")</f>
        <v/>
      </c>
      <c r="BN206" s="142" t="str">
        <f>_xlfn.IFNA(VLOOKUP($BC206,Programma!$F$3:$Q$1101,12,0),"")</f>
        <v/>
      </c>
      <c r="BO206" s="142" t="str">
        <f>_xlfn.IFNA(VLOOKUP($BC206,Programma!$F$3:$R$1101,13,0),"")</f>
        <v/>
      </c>
      <c r="BP206" s="142" t="str">
        <f>_xlfn.IFNA(VLOOKUP($BC206,Programma!$F$3:$S$1101,14,0),"")</f>
        <v/>
      </c>
      <c r="BQ206" s="142" t="str">
        <f>_xlfn.IFNA(VLOOKUP($BC206,Programma!$F$3:$T$1101,15,0),"")</f>
        <v/>
      </c>
      <c r="BR206" s="142" t="str">
        <f>_xlfn.IFNA(VLOOKUP($BC206,Programma!$F$3:$U$1101,16,0),"")</f>
        <v/>
      </c>
      <c r="BS206" s="142" t="str">
        <f>_xlfn.IFNA(VLOOKUP($BC206,Programma!$F$3:$V$1101,17,0),"")</f>
        <v/>
      </c>
      <c r="BT206" s="142" t="str">
        <f>_xlfn.IFNA(VLOOKUP($BC206,Programma!$F$3:$W$1101,18,0),"")</f>
        <v/>
      </c>
      <c r="BU206" s="142" t="str">
        <f>_xlfn.IFNA(VLOOKUP($BC206,Programma!$F$3:$X$1101,19,0),"")</f>
        <v/>
      </c>
      <c r="BV206" s="142" t="str">
        <f>_xlfn.IFNA(VLOOKUP($BC206,Programma!$F$3:$Y$1101,20,0),"")</f>
        <v/>
      </c>
      <c r="BW206" s="28"/>
      <c r="BX206" s="28"/>
      <c r="BY206" s="28"/>
      <c r="BZ206" s="28"/>
      <c r="CA206" s="28"/>
      <c r="CB206" s="28"/>
      <c r="CC206" s="28"/>
      <c r="CD206" s="28"/>
      <c r="CE206" s="28"/>
      <c r="CF206" s="28"/>
      <c r="CG206" s="28"/>
      <c r="CH206" s="28"/>
      <c r="CI206" s="28"/>
      <c r="CJ206" s="28"/>
      <c r="CK206" s="28"/>
      <c r="CL206" s="28"/>
      <c r="CM206" s="28"/>
      <c r="CN206" s="28"/>
      <c r="CO206" s="28"/>
      <c r="CP206" s="28"/>
      <c r="CQ206" s="28"/>
      <c r="CR206" s="28"/>
      <c r="CS206" s="28"/>
      <c r="CT206" s="28"/>
      <c r="CU206" s="28"/>
      <c r="CV206" s="28"/>
      <c r="CW206" s="28"/>
      <c r="CX206" s="28"/>
      <c r="CY206" s="28"/>
      <c r="CZ206" s="28"/>
      <c r="DA206" s="28"/>
      <c r="DB206" s="28"/>
      <c r="DC206" s="28"/>
      <c r="DD206" s="28"/>
      <c r="DE206" s="28"/>
      <c r="DF206" s="28"/>
      <c r="DG206" s="28"/>
      <c r="DH206" s="28"/>
      <c r="DI206" s="28"/>
      <c r="DJ206" s="28"/>
      <c r="DK206" s="28"/>
      <c r="DL206" s="28"/>
      <c r="DM206" s="28"/>
      <c r="DN206" s="28"/>
      <c r="DO206" s="28"/>
      <c r="DP206" s="28"/>
      <c r="DQ206" s="28"/>
      <c r="DR206" s="28"/>
      <c r="DS206" s="28"/>
      <c r="DT206" s="28"/>
      <c r="DU206" s="28"/>
      <c r="DV206" s="28"/>
      <c r="DW206" s="28"/>
      <c r="DX206" s="28"/>
      <c r="DY206" s="28"/>
      <c r="DZ206" s="28"/>
      <c r="EA206" s="28"/>
      <c r="EB206" s="28"/>
      <c r="EC206" s="28"/>
      <c r="ED206" s="28"/>
      <c r="EE206" s="28"/>
      <c r="EF206" s="28"/>
      <c r="EG206" s="28"/>
      <c r="EH206" s="28"/>
      <c r="EI206" s="28"/>
      <c r="EJ206" s="28"/>
      <c r="EK206" s="28"/>
      <c r="EL206" s="28"/>
      <c r="EM206" s="28"/>
      <c r="EN206" s="28"/>
      <c r="EO206" s="28"/>
      <c r="EP206" s="28"/>
      <c r="EQ206" s="28"/>
      <c r="ER206" s="28"/>
      <c r="ES206" s="28"/>
      <c r="ET206" s="28"/>
      <c r="EU206" s="28"/>
      <c r="EV206" s="28"/>
      <c r="EW206" s="28"/>
      <c r="EX206" s="28"/>
      <c r="EY206" s="28"/>
      <c r="EZ206" s="28"/>
      <c r="FA206" s="28"/>
      <c r="FB206" s="28"/>
      <c r="FC206" s="28"/>
      <c r="FD206" s="28"/>
      <c r="FE206" s="28"/>
      <c r="FF206" s="28"/>
      <c r="FG206" s="28"/>
      <c r="FH206" s="28"/>
      <c r="FI206" s="28"/>
      <c r="FJ206" s="28"/>
      <c r="FK206" s="28"/>
      <c r="FL206" s="28"/>
      <c r="FM206" s="28"/>
      <c r="FN206" s="28"/>
      <c r="FO206" s="28"/>
      <c r="FP206" s="28"/>
      <c r="FQ206" s="28"/>
      <c r="FR206" s="28"/>
      <c r="FS206" s="28"/>
      <c r="FT206" s="28"/>
      <c r="FU206" s="28"/>
      <c r="FV206" s="28"/>
      <c r="FW206" s="28"/>
      <c r="FX206" s="28"/>
      <c r="FY206" s="28"/>
      <c r="FZ206" s="28"/>
      <c r="GA206" s="28"/>
      <c r="GB206" s="28"/>
      <c r="GC206" s="28"/>
      <c r="GD206" s="28"/>
      <c r="GE206" s="28"/>
      <c r="GF206" s="28"/>
      <c r="GG206" s="28"/>
      <c r="GH206" s="28"/>
      <c r="GI206" s="28"/>
      <c r="GJ206" s="28"/>
      <c r="GK206" s="28"/>
      <c r="GL206" s="28"/>
      <c r="GM206" s="28"/>
      <c r="GN206" s="28"/>
      <c r="GO206" s="28"/>
      <c r="GP206" s="28"/>
      <c r="GQ206" s="28"/>
      <c r="GR206" s="28"/>
      <c r="GS206" s="28"/>
      <c r="GT206" s="28"/>
      <c r="GU206" s="28"/>
      <c r="GV206" s="28"/>
      <c r="GW206" s="28"/>
      <c r="GX206" s="28"/>
      <c r="GY206" s="28"/>
      <c r="GZ206" s="28"/>
      <c r="HA206" s="28"/>
      <c r="HB206" s="28"/>
      <c r="HC206" s="28"/>
      <c r="HD206" s="28"/>
      <c r="HE206" s="28"/>
      <c r="HF206" s="28"/>
      <c r="HG206" s="28"/>
      <c r="HH206" s="28"/>
      <c r="HI206" s="28"/>
      <c r="HJ206" s="28"/>
      <c r="HK206" s="28"/>
    </row>
    <row r="207" spans="1:219" ht="15" customHeight="1">
      <c r="A207" s="49">
        <v>2</v>
      </c>
      <c r="B207" s="132" t="str">
        <f>VLOOKUP(Ruimtestaat[[#This Row],[Code]],Locaties[[Code]:[Locatie]],2,FALSE)</f>
        <v>Pauluskerk</v>
      </c>
      <c r="C207" s="132" t="str">
        <f>VLOOKUP(Ruimtestaat[[#This Row],[Code]],Locaties[[#All],[Code]:[Adres]],4,FALSE)</f>
        <v>Westdorplaan 122</v>
      </c>
      <c r="D207" s="132" t="str">
        <f>VLOOKUP(Ruimtestaat[[#This Row],[Code]],Locaties[[#All],[Code]:[Postcode]],5,FALSE)</f>
        <v>8101 BJ</v>
      </c>
      <c r="E207" s="132" t="str">
        <f>VLOOKUP(Ruimtestaat[[#This Row],[Code]],Locaties[#All],6,FALSE)</f>
        <v>Raalte</v>
      </c>
      <c r="F207" s="100"/>
      <c r="G207" s="100" t="s">
        <v>1675</v>
      </c>
      <c r="H207" s="49" t="s">
        <v>1705</v>
      </c>
      <c r="I207" s="140" t="s">
        <v>1734</v>
      </c>
      <c r="J207" s="49">
        <v>20</v>
      </c>
      <c r="K207" s="140" t="str">
        <f>VLOOKUP(Ruimtestaat[[#This Row],[Ruimte code]],Ruimtegroepen[[#All],[Code]:[Ruimte omschrijving]],2,FALSE)</f>
        <v>Niet in Onderhoud</v>
      </c>
      <c r="L207" s="100"/>
      <c r="M207" s="345"/>
      <c r="N207" s="133"/>
      <c r="O207" s="139">
        <v>9.43</v>
      </c>
      <c r="P207" s="134">
        <f>VLOOKUP(Ruimtestaat[[#This Row],[Ruimte code]],Ruimtegroepen[],4,FALSE)</f>
        <v>0</v>
      </c>
      <c r="Q207" s="100"/>
      <c r="R207" s="100"/>
      <c r="S207" s="100">
        <f>IF(Q207&gt;0,IF(RIGHT(Ruimtestaat[[#This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07" s="100">
        <f>IF(S207&gt;0,VLOOKUP($J207,Ruimtegroepen[],3,FALSE)*VLOOKUP($L207,Vloersoorten[],3,FALSE)*VLOOKUP($R207,Frequenties[],3,FALSE)*VLOOKUP($A207,Locaties[],3,FALSE),0)</f>
        <v>0</v>
      </c>
      <c r="U207" s="100">
        <f>Ruimtestaat[[#This Row],[Uitvoeringen werkdagen]]*Ruimtestaat[[#This Row],[Oppervlak (netto)]]</f>
        <v>0</v>
      </c>
      <c r="V207" s="135">
        <f>IF(T207&gt;0,Ruimtestaat[[#This Row],[Prest. (m2 /jaar) werkdagen]]/Ruimtestaat[[#This Row],[Norm (m2/uur) werkdagen]],0)</f>
        <v>0</v>
      </c>
      <c r="W207" s="136">
        <f>Ruimtestaat[[#This Row],[uren / jaar werkdagen]]*Tariefsopbouw!$E$35</f>
        <v>0</v>
      </c>
      <c r="X207" s="100"/>
      <c r="Y207" s="100">
        <f>IF(Ruimtestaat[[#This Row],[Frequentie weekend]]&gt;0,VALUE(LEFT(X207,1))*Q207,0)</f>
        <v>0</v>
      </c>
      <c r="Z207" s="99">
        <f>IF($Y207&gt;0,VLOOKUP($J207,Ruimtegroepen[],3,FALSE)*VLOOKUP($L207,Vloersoorten[],3,FALSE)*VLOOKUP($X207,Frequenties[],3,FALSE)*VLOOKUP(Ruimtestaat[[#This Row],[Code]],Locaties[],3,FALSE),0)</f>
        <v>0</v>
      </c>
      <c r="AA207" s="99">
        <f>Ruimtestaat[[#This Row],[Uitvoeringen weekend]]*Ruimtestaat[[#This Row],[Oppervlak (netto)]]</f>
        <v>0</v>
      </c>
      <c r="AB207" s="99">
        <f>IF(Z207&gt;0,Ruimtestaat[[#This Row],[Prest. (m2 /jaar) weekend]]/Ruimtestaat[[#This Row],[Norm (m2/uur) weekend]],0)</f>
        <v>0</v>
      </c>
      <c r="AC207" s="136">
        <f>Ruimtestaat[[#This Row],[uren / jaar weekend]]*Tariefsopbouw!$D$40</f>
        <v>0</v>
      </c>
      <c r="AD207" s="135">
        <f>Ruimtestaat[[#This Row],[Prest. (m2 /jaar) weekend]]+Ruimtestaat[[#This Row],[Prest. (m2 /jaar) werkdagen]]</f>
        <v>0</v>
      </c>
      <c r="AE207" s="135">
        <f>Ruimtestaat[[#This Row],[uren / jaar weekend]]+Ruimtestaat[[#This Row],[uren / jaar werkdagen]]</f>
        <v>0</v>
      </c>
      <c r="AF207" s="130">
        <f>Ruimtestaat[[#This Row],[kosten / jaar weekend]]+Ruimtestaat[[#This Row],[kosten / jaar werkdagen]]</f>
        <v>0</v>
      </c>
      <c r="AG207" s="130"/>
      <c r="AH207" s="137" t="str">
        <f>IF(Ruimtestaat[[#This Row],[Frequentie werkdagen]]="","",_xlfn.CONCAT(Ruimtestaat[[#This Row],[Ruimte code]],"-",Ruimtestaat[[#This Row],[Frequentie werkdagen]]," ",Ruimtestaat[[#This Row],[Vloer code]]))</f>
        <v/>
      </c>
      <c r="AI207" s="142" t="str">
        <f>_xlfn.IFNA(VLOOKUP($AH207,Programma!$F$3:$G$1101,2,0),"")</f>
        <v/>
      </c>
      <c r="AJ207" s="142" t="str">
        <f>_xlfn.IFNA(VLOOKUP($AH207,Programma!$F$3:$H$1101,3,0),"")</f>
        <v/>
      </c>
      <c r="AK207" s="142" t="str">
        <f>_xlfn.IFNA(VLOOKUP($AH207,Programma!$F$3:$I$1101,4,0),"")</f>
        <v/>
      </c>
      <c r="AL207" s="142" t="str">
        <f>_xlfn.IFNA(VLOOKUP($AH207,Programma!$F$3:$J$1101,5,0),"")</f>
        <v/>
      </c>
      <c r="AM207" s="142" t="str">
        <f>_xlfn.IFNA(VLOOKUP($AH207,Programma!$F$3:$K$1101,6,0),"")</f>
        <v/>
      </c>
      <c r="AN207" s="142" t="str">
        <f>_xlfn.IFNA(VLOOKUP($AH207,Programma!$F$3:$L$1101,7,0),"")</f>
        <v/>
      </c>
      <c r="AO207" s="142" t="str">
        <f>_xlfn.IFNA(VLOOKUP($AH207,Programma!$F$3:$M$1101,8,0),"")</f>
        <v/>
      </c>
      <c r="AP207" s="142" t="str">
        <f>_xlfn.IFNA(VLOOKUP($AH207,Programma!$F$3:$N$1101,9,0),"")</f>
        <v/>
      </c>
      <c r="AQ207" s="142" t="str">
        <f>_xlfn.IFNA(VLOOKUP($AH207,Programma!$F$3:$O$1101,10,0),"")</f>
        <v/>
      </c>
      <c r="AR207" s="142" t="str">
        <f>_xlfn.IFNA(VLOOKUP($AH207,Programma!$F$3:$P$1101,11,0),"")</f>
        <v/>
      </c>
      <c r="AS207" s="142" t="str">
        <f>_xlfn.IFNA(VLOOKUP($AH207,Programma!$F$3:$Q$1101,12,0),"")</f>
        <v/>
      </c>
      <c r="AT207" s="142" t="str">
        <f>_xlfn.IFNA(VLOOKUP($AH207,Programma!$F$3:$R$1101,13,0),"")</f>
        <v/>
      </c>
      <c r="AU207" s="142" t="str">
        <f>_xlfn.IFNA(VLOOKUP($AH207,Programma!$F$3:$S$1101,14,0),"")</f>
        <v/>
      </c>
      <c r="AV207" s="142" t="str">
        <f>_xlfn.IFNA(VLOOKUP($AH207,Programma!$F$3:$T$1101,15,0),"")</f>
        <v/>
      </c>
      <c r="AW207" s="142" t="str">
        <f>_xlfn.IFNA(VLOOKUP($AH207,Programma!$F$3:$U$1101,16,0),"")</f>
        <v/>
      </c>
      <c r="AX207" s="142" t="str">
        <f>_xlfn.IFNA(VLOOKUP($AH207,Programma!$F$3:$V$1101,17,0),"")</f>
        <v/>
      </c>
      <c r="AY207" s="142" t="str">
        <f>_xlfn.IFNA(VLOOKUP($AH207,Programma!$F$3:$W$1101,18,0),"")</f>
        <v/>
      </c>
      <c r="AZ207" s="142" t="str">
        <f>_xlfn.IFNA(VLOOKUP($AH207,Programma!$F$3:$X$1101,19,0),"")</f>
        <v/>
      </c>
      <c r="BA207" s="142" t="str">
        <f>_xlfn.IFNA(VLOOKUP($AH207,Programma!$F$3:$Y$1101,20,0),"")</f>
        <v/>
      </c>
      <c r="BB207" s="138"/>
      <c r="BC207" s="137" t="str">
        <f>IF(Ruimtestaat[[#This Row],[Frequentie weekend]]="","",_xlfn.CONCAT(Ruimtestaat[[#This Row],[Ruimte code]],"-",Ruimtestaat[[#This Row],[Frequentie weekend]]," ",Ruimtestaat[[#This Row],[Vloer code]]))</f>
        <v/>
      </c>
      <c r="BD207" s="142" t="str">
        <f>_xlfn.IFNA(VLOOKUP($BC207,Programma!$F$3:$G$1101,2,0),"")</f>
        <v/>
      </c>
      <c r="BE207" s="142" t="str">
        <f>_xlfn.IFNA(VLOOKUP($BC207,Programma!$F$3:$H$1101,3,0),"")</f>
        <v/>
      </c>
      <c r="BF207" s="142" t="str">
        <f>_xlfn.IFNA(VLOOKUP($BC207,Programma!$F$3:$I$1101,4,0),"")</f>
        <v/>
      </c>
      <c r="BG207" s="142" t="str">
        <f>_xlfn.IFNA(VLOOKUP($BC207,Programma!$F$3:$J$1101,5,0),"")</f>
        <v/>
      </c>
      <c r="BH207" s="142" t="str">
        <f>_xlfn.IFNA(VLOOKUP($BC207,Programma!$F$3:$K$1101,6,0),"")</f>
        <v/>
      </c>
      <c r="BI207" s="142" t="str">
        <f>_xlfn.IFNA(VLOOKUP($BC207,Programma!$F$3:$L$1101,7,0),"")</f>
        <v/>
      </c>
      <c r="BJ207" s="142" t="str">
        <f>_xlfn.IFNA(VLOOKUP($BC207,Programma!$F$3:$M$1101,8,0),"")</f>
        <v/>
      </c>
      <c r="BK207" s="142" t="str">
        <f>_xlfn.IFNA(VLOOKUP($BC207,Programma!$F$3:$N$1101,9,0),"")</f>
        <v/>
      </c>
      <c r="BL207" s="142" t="str">
        <f>_xlfn.IFNA(VLOOKUP($BC207,Programma!$F$3:$O$1101,10,0),"")</f>
        <v/>
      </c>
      <c r="BM207" s="142" t="str">
        <f>_xlfn.IFNA(VLOOKUP($BC207,Programma!$F$3:$P$1101,11,0),"")</f>
        <v/>
      </c>
      <c r="BN207" s="142" t="str">
        <f>_xlfn.IFNA(VLOOKUP($BC207,Programma!$F$3:$Q$1101,12,0),"")</f>
        <v/>
      </c>
      <c r="BO207" s="142" t="str">
        <f>_xlfn.IFNA(VLOOKUP($BC207,Programma!$F$3:$R$1101,13,0),"")</f>
        <v/>
      </c>
      <c r="BP207" s="142" t="str">
        <f>_xlfn.IFNA(VLOOKUP($BC207,Programma!$F$3:$S$1101,14,0),"")</f>
        <v/>
      </c>
      <c r="BQ207" s="142" t="str">
        <f>_xlfn.IFNA(VLOOKUP($BC207,Programma!$F$3:$T$1101,15,0),"")</f>
        <v/>
      </c>
      <c r="BR207" s="142" t="str">
        <f>_xlfn.IFNA(VLOOKUP($BC207,Programma!$F$3:$U$1101,16,0),"")</f>
        <v/>
      </c>
      <c r="BS207" s="142" t="str">
        <f>_xlfn.IFNA(VLOOKUP($BC207,Programma!$F$3:$V$1101,17,0),"")</f>
        <v/>
      </c>
      <c r="BT207" s="142" t="str">
        <f>_xlfn.IFNA(VLOOKUP($BC207,Programma!$F$3:$W$1101,18,0),"")</f>
        <v/>
      </c>
      <c r="BU207" s="142" t="str">
        <f>_xlfn.IFNA(VLOOKUP($BC207,Programma!$F$3:$X$1101,19,0),"")</f>
        <v/>
      </c>
      <c r="BV207" s="142" t="str">
        <f>_xlfn.IFNA(VLOOKUP($BC207,Programma!$F$3:$Y$1101,20,0),"")</f>
        <v/>
      </c>
      <c r="BW207" s="28"/>
      <c r="BX207" s="28"/>
      <c r="BY207" s="28"/>
      <c r="BZ207" s="28"/>
      <c r="CA207" s="28"/>
      <c r="CB207" s="28"/>
      <c r="CC207" s="28"/>
      <c r="CD207" s="28"/>
      <c r="CE207" s="28"/>
      <c r="CF207" s="28"/>
      <c r="CG207" s="28"/>
      <c r="CH207" s="28"/>
      <c r="CI207" s="28"/>
      <c r="CJ207" s="28"/>
      <c r="CK207" s="28"/>
      <c r="CL207" s="28"/>
      <c r="CM207" s="28"/>
      <c r="CN207" s="28"/>
      <c r="CO207" s="28"/>
      <c r="CP207" s="28"/>
      <c r="CQ207" s="28"/>
      <c r="CR207" s="28"/>
      <c r="CS207" s="28"/>
      <c r="CT207" s="28"/>
      <c r="CU207" s="28"/>
      <c r="CV207" s="28"/>
      <c r="CW207" s="28"/>
      <c r="CX207" s="28"/>
      <c r="CY207" s="28"/>
      <c r="CZ207" s="28"/>
      <c r="DA207" s="28"/>
      <c r="DB207" s="28"/>
      <c r="DC207" s="28"/>
      <c r="DD207" s="28"/>
      <c r="DE207" s="28"/>
      <c r="DF207" s="28"/>
      <c r="DG207" s="28"/>
      <c r="DH207" s="28"/>
      <c r="DI207" s="28"/>
      <c r="DJ207" s="28"/>
      <c r="DK207" s="28"/>
      <c r="DL207" s="28"/>
      <c r="DM207" s="28"/>
      <c r="DN207" s="28"/>
      <c r="DO207" s="28"/>
      <c r="DP207" s="28"/>
      <c r="DQ207" s="28"/>
      <c r="DR207" s="28"/>
      <c r="DS207" s="28"/>
      <c r="DT207" s="28"/>
      <c r="DU207" s="28"/>
      <c r="DV207" s="28"/>
      <c r="DW207" s="28"/>
      <c r="DX207" s="28"/>
      <c r="DY207" s="28"/>
      <c r="DZ207" s="28"/>
      <c r="EA207" s="28"/>
      <c r="EB207" s="28"/>
      <c r="EC207" s="28"/>
      <c r="ED207" s="28"/>
      <c r="EE207" s="28"/>
      <c r="EF207" s="28"/>
      <c r="EG207" s="28"/>
      <c r="EH207" s="28"/>
      <c r="EI207" s="28"/>
      <c r="EJ207" s="28"/>
      <c r="EK207" s="28"/>
      <c r="EL207" s="28"/>
      <c r="EM207" s="28"/>
      <c r="EN207" s="28"/>
      <c r="EO207" s="28"/>
      <c r="EP207" s="28"/>
      <c r="EQ207" s="28"/>
      <c r="ER207" s="28"/>
      <c r="ES207" s="28"/>
      <c r="ET207" s="28"/>
      <c r="EU207" s="28"/>
      <c r="EV207" s="28"/>
      <c r="EW207" s="28"/>
      <c r="EX207" s="28"/>
      <c r="EY207" s="28"/>
      <c r="EZ207" s="28"/>
      <c r="FA207" s="28"/>
      <c r="FB207" s="28"/>
      <c r="FC207" s="28"/>
      <c r="FD207" s="28"/>
      <c r="FE207" s="28"/>
      <c r="FF207" s="28"/>
      <c r="FG207" s="28"/>
      <c r="FH207" s="28"/>
      <c r="FI207" s="28"/>
      <c r="FJ207" s="28"/>
      <c r="FK207" s="28"/>
      <c r="FL207" s="28"/>
      <c r="FM207" s="28"/>
      <c r="FN207" s="28"/>
      <c r="FO207" s="28"/>
      <c r="FP207" s="28"/>
      <c r="FQ207" s="28"/>
      <c r="FR207" s="28"/>
      <c r="FS207" s="28"/>
      <c r="FT207" s="28"/>
      <c r="FU207" s="28"/>
      <c r="FV207" s="28"/>
      <c r="FW207" s="28"/>
      <c r="FX207" s="28"/>
      <c r="FY207" s="28"/>
      <c r="FZ207" s="28"/>
      <c r="GA207" s="28"/>
      <c r="GB207" s="28"/>
      <c r="GC207" s="28"/>
      <c r="GD207" s="28"/>
      <c r="GE207" s="28"/>
      <c r="GF207" s="28"/>
      <c r="GG207" s="28"/>
      <c r="GH207" s="28"/>
      <c r="GI207" s="28"/>
      <c r="GJ207" s="28"/>
      <c r="GK207" s="28"/>
      <c r="GL207" s="28"/>
      <c r="GM207" s="28"/>
      <c r="GN207" s="28"/>
      <c r="GO207" s="28"/>
      <c r="GP207" s="28"/>
      <c r="GQ207" s="28"/>
      <c r="GR207" s="28"/>
      <c r="GS207" s="28"/>
      <c r="GT207" s="28"/>
      <c r="GU207" s="28"/>
      <c r="GV207" s="28"/>
      <c r="GW207" s="28"/>
      <c r="GX207" s="28"/>
      <c r="GY207" s="28"/>
      <c r="GZ207" s="28"/>
      <c r="HA207" s="28"/>
      <c r="HB207" s="28"/>
      <c r="HC207" s="28"/>
      <c r="HD207" s="28"/>
      <c r="HE207" s="28"/>
      <c r="HF207" s="28"/>
      <c r="HG207" s="28"/>
      <c r="HH207" s="28"/>
      <c r="HI207" s="28"/>
      <c r="HJ207" s="28"/>
      <c r="HK207" s="28"/>
    </row>
    <row r="208" spans="1:219" ht="15" customHeight="1">
      <c r="A208" s="49">
        <v>2</v>
      </c>
      <c r="B208" s="132" t="str">
        <f>VLOOKUP(Ruimtestaat[[#This Row],[Code]],Locaties[[Code]:[Locatie]],2,FALSE)</f>
        <v>Pauluskerk</v>
      </c>
      <c r="C208" s="132" t="str">
        <f>VLOOKUP(Ruimtestaat[[#This Row],[Code]],Locaties[[#All],[Code]:[Adres]],4,FALSE)</f>
        <v>Westdorplaan 122</v>
      </c>
      <c r="D208" s="132" t="str">
        <f>VLOOKUP(Ruimtestaat[[#This Row],[Code]],Locaties[[#All],[Code]:[Postcode]],5,FALSE)</f>
        <v>8101 BJ</v>
      </c>
      <c r="E208" s="132" t="str">
        <f>VLOOKUP(Ruimtestaat[[#This Row],[Code]],Locaties[#All],6,FALSE)</f>
        <v>Raalte</v>
      </c>
      <c r="F208" s="100"/>
      <c r="G208" s="100" t="s">
        <v>1675</v>
      </c>
      <c r="H208" s="49" t="s">
        <v>1704</v>
      </c>
      <c r="I208" s="140" t="s">
        <v>1698</v>
      </c>
      <c r="J208" s="49">
        <v>20</v>
      </c>
      <c r="K208" s="140" t="str">
        <f>VLOOKUP(Ruimtestaat[[#This Row],[Ruimte code]],Ruimtegroepen[[#All],[Code]:[Ruimte omschrijving]],2,FALSE)</f>
        <v>Niet in Onderhoud</v>
      </c>
      <c r="L208" s="100"/>
      <c r="M208" s="345"/>
      <c r="N208" s="133"/>
      <c r="O208" s="139">
        <v>0</v>
      </c>
      <c r="P208" s="134">
        <f>VLOOKUP(Ruimtestaat[[#This Row],[Ruimte code]],Ruimtegroepen[],4,FALSE)</f>
        <v>0</v>
      </c>
      <c r="Q208" s="100"/>
      <c r="R208" s="100"/>
      <c r="S208" s="100">
        <f>IF(Q208&gt;0,IF(RIGHT(Ruimtestaat[[#This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08" s="100">
        <f>IF(S208&gt;0,VLOOKUP($J208,Ruimtegroepen[],3,FALSE)*VLOOKUP($L208,Vloersoorten[],3,FALSE)*VLOOKUP($R208,Frequenties[],3,FALSE)*VLOOKUP($A208,Locaties[],3,FALSE),0)</f>
        <v>0</v>
      </c>
      <c r="U208" s="100">
        <f>Ruimtestaat[[#This Row],[Uitvoeringen werkdagen]]*Ruimtestaat[[#This Row],[Oppervlak (netto)]]</f>
        <v>0</v>
      </c>
      <c r="V208" s="135">
        <f>IF(T208&gt;0,Ruimtestaat[[#This Row],[Prest. (m2 /jaar) werkdagen]]/Ruimtestaat[[#This Row],[Norm (m2/uur) werkdagen]],0)</f>
        <v>0</v>
      </c>
      <c r="W208" s="136">
        <f>Ruimtestaat[[#This Row],[uren / jaar werkdagen]]*Tariefsopbouw!$E$35</f>
        <v>0</v>
      </c>
      <c r="X208" s="100"/>
      <c r="Y208" s="100">
        <f>IF(Ruimtestaat[[#This Row],[Frequentie weekend]]&gt;0,VALUE(LEFT(X208,1))*Q208,0)</f>
        <v>0</v>
      </c>
      <c r="Z208" s="99">
        <f>IF($Y208&gt;0,VLOOKUP($J208,Ruimtegroepen[],3,FALSE)*VLOOKUP($L208,Vloersoorten[],3,FALSE)*VLOOKUP($X208,Frequenties[],3,FALSE)*VLOOKUP(Ruimtestaat[[#This Row],[Code]],Locaties[],3,FALSE),0)</f>
        <v>0</v>
      </c>
      <c r="AA208" s="99">
        <f>Ruimtestaat[[#This Row],[Uitvoeringen weekend]]*Ruimtestaat[[#This Row],[Oppervlak (netto)]]</f>
        <v>0</v>
      </c>
      <c r="AB208" s="99">
        <f>IF(Z208&gt;0,Ruimtestaat[[#This Row],[Prest. (m2 /jaar) weekend]]/Ruimtestaat[[#This Row],[Norm (m2/uur) weekend]],0)</f>
        <v>0</v>
      </c>
      <c r="AC208" s="136">
        <f>Ruimtestaat[[#This Row],[uren / jaar weekend]]*Tariefsopbouw!$D$40</f>
        <v>0</v>
      </c>
      <c r="AD208" s="135">
        <f>Ruimtestaat[[#This Row],[Prest. (m2 /jaar) weekend]]+Ruimtestaat[[#This Row],[Prest. (m2 /jaar) werkdagen]]</f>
        <v>0</v>
      </c>
      <c r="AE208" s="135">
        <f>Ruimtestaat[[#This Row],[uren / jaar weekend]]+Ruimtestaat[[#This Row],[uren / jaar werkdagen]]</f>
        <v>0</v>
      </c>
      <c r="AF208" s="130">
        <f>Ruimtestaat[[#This Row],[kosten / jaar weekend]]+Ruimtestaat[[#This Row],[kosten / jaar werkdagen]]</f>
        <v>0</v>
      </c>
      <c r="AG208" s="130"/>
      <c r="AH208" s="137" t="str">
        <f>IF(Ruimtestaat[[#This Row],[Frequentie werkdagen]]="","",_xlfn.CONCAT(Ruimtestaat[[#This Row],[Ruimte code]],"-",Ruimtestaat[[#This Row],[Frequentie werkdagen]]," ",Ruimtestaat[[#This Row],[Vloer code]]))</f>
        <v/>
      </c>
      <c r="AI208" s="142" t="str">
        <f>_xlfn.IFNA(VLOOKUP($AH208,Programma!$F$3:$G$1101,2,0),"")</f>
        <v/>
      </c>
      <c r="AJ208" s="142" t="str">
        <f>_xlfn.IFNA(VLOOKUP($AH208,Programma!$F$3:$H$1101,3,0),"")</f>
        <v/>
      </c>
      <c r="AK208" s="142" t="str">
        <f>_xlfn.IFNA(VLOOKUP($AH208,Programma!$F$3:$I$1101,4,0),"")</f>
        <v/>
      </c>
      <c r="AL208" s="142" t="str">
        <f>_xlfn.IFNA(VLOOKUP($AH208,Programma!$F$3:$J$1101,5,0),"")</f>
        <v/>
      </c>
      <c r="AM208" s="142" t="str">
        <f>_xlfn.IFNA(VLOOKUP($AH208,Programma!$F$3:$K$1101,6,0),"")</f>
        <v/>
      </c>
      <c r="AN208" s="142" t="str">
        <f>_xlfn.IFNA(VLOOKUP($AH208,Programma!$F$3:$L$1101,7,0),"")</f>
        <v/>
      </c>
      <c r="AO208" s="142" t="str">
        <f>_xlfn.IFNA(VLOOKUP($AH208,Programma!$F$3:$M$1101,8,0),"")</f>
        <v/>
      </c>
      <c r="AP208" s="142" t="str">
        <f>_xlfn.IFNA(VLOOKUP($AH208,Programma!$F$3:$N$1101,9,0),"")</f>
        <v/>
      </c>
      <c r="AQ208" s="142" t="str">
        <f>_xlfn.IFNA(VLOOKUP($AH208,Programma!$F$3:$O$1101,10,0),"")</f>
        <v/>
      </c>
      <c r="AR208" s="142" t="str">
        <f>_xlfn.IFNA(VLOOKUP($AH208,Programma!$F$3:$P$1101,11,0),"")</f>
        <v/>
      </c>
      <c r="AS208" s="142" t="str">
        <f>_xlfn.IFNA(VLOOKUP($AH208,Programma!$F$3:$Q$1101,12,0),"")</f>
        <v/>
      </c>
      <c r="AT208" s="142" t="str">
        <f>_xlfn.IFNA(VLOOKUP($AH208,Programma!$F$3:$R$1101,13,0),"")</f>
        <v/>
      </c>
      <c r="AU208" s="142" t="str">
        <f>_xlfn.IFNA(VLOOKUP($AH208,Programma!$F$3:$S$1101,14,0),"")</f>
        <v/>
      </c>
      <c r="AV208" s="142" t="str">
        <f>_xlfn.IFNA(VLOOKUP($AH208,Programma!$F$3:$T$1101,15,0),"")</f>
        <v/>
      </c>
      <c r="AW208" s="142" t="str">
        <f>_xlfn.IFNA(VLOOKUP($AH208,Programma!$F$3:$U$1101,16,0),"")</f>
        <v/>
      </c>
      <c r="AX208" s="142" t="str">
        <f>_xlfn.IFNA(VLOOKUP($AH208,Programma!$F$3:$V$1101,17,0),"")</f>
        <v/>
      </c>
      <c r="AY208" s="142" t="str">
        <f>_xlfn.IFNA(VLOOKUP($AH208,Programma!$F$3:$W$1101,18,0),"")</f>
        <v/>
      </c>
      <c r="AZ208" s="142" t="str">
        <f>_xlfn.IFNA(VLOOKUP($AH208,Programma!$F$3:$X$1101,19,0),"")</f>
        <v/>
      </c>
      <c r="BA208" s="142" t="str">
        <f>_xlfn.IFNA(VLOOKUP($AH208,Programma!$F$3:$Y$1101,20,0),"")</f>
        <v/>
      </c>
      <c r="BB208" s="138"/>
      <c r="BC208" s="137" t="str">
        <f>IF(Ruimtestaat[[#This Row],[Frequentie weekend]]="","",_xlfn.CONCAT(Ruimtestaat[[#This Row],[Ruimte code]],"-",Ruimtestaat[[#This Row],[Frequentie weekend]]," ",Ruimtestaat[[#This Row],[Vloer code]]))</f>
        <v/>
      </c>
      <c r="BD208" s="142" t="str">
        <f>_xlfn.IFNA(VLOOKUP($BC208,Programma!$F$3:$G$1101,2,0),"")</f>
        <v/>
      </c>
      <c r="BE208" s="142" t="str">
        <f>_xlfn.IFNA(VLOOKUP($BC208,Programma!$F$3:$H$1101,3,0),"")</f>
        <v/>
      </c>
      <c r="BF208" s="142" t="str">
        <f>_xlfn.IFNA(VLOOKUP($BC208,Programma!$F$3:$I$1101,4,0),"")</f>
        <v/>
      </c>
      <c r="BG208" s="142" t="str">
        <f>_xlfn.IFNA(VLOOKUP($BC208,Programma!$F$3:$J$1101,5,0),"")</f>
        <v/>
      </c>
      <c r="BH208" s="142" t="str">
        <f>_xlfn.IFNA(VLOOKUP($BC208,Programma!$F$3:$K$1101,6,0),"")</f>
        <v/>
      </c>
      <c r="BI208" s="142" t="str">
        <f>_xlfn.IFNA(VLOOKUP($BC208,Programma!$F$3:$L$1101,7,0),"")</f>
        <v/>
      </c>
      <c r="BJ208" s="142" t="str">
        <f>_xlfn.IFNA(VLOOKUP($BC208,Programma!$F$3:$M$1101,8,0),"")</f>
        <v/>
      </c>
      <c r="BK208" s="142" t="str">
        <f>_xlfn.IFNA(VLOOKUP($BC208,Programma!$F$3:$N$1101,9,0),"")</f>
        <v/>
      </c>
      <c r="BL208" s="142" t="str">
        <f>_xlfn.IFNA(VLOOKUP($BC208,Programma!$F$3:$O$1101,10,0),"")</f>
        <v/>
      </c>
      <c r="BM208" s="142" t="str">
        <f>_xlfn.IFNA(VLOOKUP($BC208,Programma!$F$3:$P$1101,11,0),"")</f>
        <v/>
      </c>
      <c r="BN208" s="142" t="str">
        <f>_xlfn.IFNA(VLOOKUP($BC208,Programma!$F$3:$Q$1101,12,0),"")</f>
        <v/>
      </c>
      <c r="BO208" s="142" t="str">
        <f>_xlfn.IFNA(VLOOKUP($BC208,Programma!$F$3:$R$1101,13,0),"")</f>
        <v/>
      </c>
      <c r="BP208" s="142" t="str">
        <f>_xlfn.IFNA(VLOOKUP($BC208,Programma!$F$3:$S$1101,14,0),"")</f>
        <v/>
      </c>
      <c r="BQ208" s="142" t="str">
        <f>_xlfn.IFNA(VLOOKUP($BC208,Programma!$F$3:$T$1101,15,0),"")</f>
        <v/>
      </c>
      <c r="BR208" s="142" t="str">
        <f>_xlfn.IFNA(VLOOKUP($BC208,Programma!$F$3:$U$1101,16,0),"")</f>
        <v/>
      </c>
      <c r="BS208" s="142" t="str">
        <f>_xlfn.IFNA(VLOOKUP($BC208,Programma!$F$3:$V$1101,17,0),"")</f>
        <v/>
      </c>
      <c r="BT208" s="142" t="str">
        <f>_xlfn.IFNA(VLOOKUP($BC208,Programma!$F$3:$W$1101,18,0),"")</f>
        <v/>
      </c>
      <c r="BU208" s="142" t="str">
        <f>_xlfn.IFNA(VLOOKUP($BC208,Programma!$F$3:$X$1101,19,0),"")</f>
        <v/>
      </c>
      <c r="BV208" s="142" t="str">
        <f>_xlfn.IFNA(VLOOKUP($BC208,Programma!$F$3:$Y$1101,20,0),"")</f>
        <v/>
      </c>
      <c r="BW208" s="28"/>
      <c r="BX208" s="28"/>
      <c r="BY208" s="28"/>
      <c r="BZ208" s="28"/>
      <c r="CA208" s="28"/>
      <c r="CB208" s="28"/>
      <c r="CC208" s="28"/>
      <c r="CD208" s="28"/>
      <c r="CE208" s="28"/>
      <c r="CF208" s="28"/>
      <c r="CG208" s="28"/>
      <c r="CH208" s="28"/>
      <c r="CI208" s="28"/>
      <c r="CJ208" s="28"/>
      <c r="CK208" s="28"/>
      <c r="CL208" s="28"/>
      <c r="CM208" s="28"/>
      <c r="CN208" s="28"/>
      <c r="CO208" s="28"/>
      <c r="CP208" s="28"/>
      <c r="CQ208" s="28"/>
      <c r="CR208" s="28"/>
      <c r="CS208" s="28"/>
      <c r="CT208" s="28"/>
      <c r="CU208" s="28"/>
      <c r="CV208" s="28"/>
      <c r="CW208" s="28"/>
      <c r="CX208" s="28"/>
      <c r="CY208" s="28"/>
      <c r="CZ208" s="28"/>
      <c r="DA208" s="28"/>
      <c r="DB208" s="28"/>
      <c r="DC208" s="28"/>
      <c r="DD208" s="28"/>
      <c r="DE208" s="28"/>
      <c r="DF208" s="28"/>
      <c r="DG208" s="28"/>
      <c r="DH208" s="28"/>
      <c r="DI208" s="28"/>
      <c r="DJ208" s="28"/>
      <c r="DK208" s="28"/>
      <c r="DL208" s="28"/>
      <c r="DM208" s="28"/>
      <c r="DN208" s="28"/>
      <c r="DO208" s="28"/>
      <c r="DP208" s="28"/>
      <c r="DQ208" s="28"/>
      <c r="DR208" s="28"/>
      <c r="DS208" s="28"/>
      <c r="DT208" s="28"/>
      <c r="DU208" s="28"/>
      <c r="DV208" s="28"/>
      <c r="DW208" s="28"/>
      <c r="DX208" s="28"/>
      <c r="DY208" s="28"/>
      <c r="DZ208" s="28"/>
      <c r="EA208" s="28"/>
      <c r="EB208" s="28"/>
      <c r="EC208" s="28"/>
      <c r="ED208" s="28"/>
      <c r="EE208" s="28"/>
      <c r="EF208" s="28"/>
      <c r="EG208" s="28"/>
      <c r="EH208" s="28"/>
      <c r="EI208" s="28"/>
      <c r="EJ208" s="28"/>
      <c r="EK208" s="28"/>
      <c r="EL208" s="28"/>
      <c r="EM208" s="28"/>
      <c r="EN208" s="28"/>
      <c r="EO208" s="28"/>
      <c r="EP208" s="28"/>
      <c r="EQ208" s="28"/>
      <c r="ER208" s="28"/>
      <c r="ES208" s="28"/>
      <c r="ET208" s="28"/>
      <c r="EU208" s="28"/>
      <c r="EV208" s="28"/>
      <c r="EW208" s="28"/>
      <c r="EX208" s="28"/>
      <c r="EY208" s="28"/>
      <c r="EZ208" s="28"/>
      <c r="FA208" s="28"/>
      <c r="FB208" s="28"/>
      <c r="FC208" s="28"/>
      <c r="FD208" s="28"/>
      <c r="FE208" s="28"/>
      <c r="FF208" s="28"/>
      <c r="FG208" s="28"/>
      <c r="FH208" s="28"/>
      <c r="FI208" s="28"/>
      <c r="FJ208" s="28"/>
      <c r="FK208" s="28"/>
      <c r="FL208" s="28"/>
      <c r="FM208" s="28"/>
      <c r="FN208" s="28"/>
      <c r="FO208" s="28"/>
      <c r="FP208" s="28"/>
      <c r="FQ208" s="28"/>
      <c r="FR208" s="28"/>
      <c r="FS208" s="28"/>
      <c r="FT208" s="28"/>
      <c r="FU208" s="28"/>
      <c r="FV208" s="28"/>
      <c r="FW208" s="28"/>
      <c r="FX208" s="28"/>
      <c r="FY208" s="28"/>
      <c r="FZ208" s="28"/>
      <c r="GA208" s="28"/>
      <c r="GB208" s="28"/>
      <c r="GC208" s="28"/>
      <c r="GD208" s="28"/>
      <c r="GE208" s="28"/>
      <c r="GF208" s="28"/>
      <c r="GG208" s="28"/>
      <c r="GH208" s="28"/>
      <c r="GI208" s="28"/>
      <c r="GJ208" s="28"/>
      <c r="GK208" s="28"/>
      <c r="GL208" s="28"/>
      <c r="GM208" s="28"/>
      <c r="GN208" s="28"/>
      <c r="GO208" s="28"/>
      <c r="GP208" s="28"/>
      <c r="GQ208" s="28"/>
      <c r="GR208" s="28"/>
      <c r="GS208" s="28"/>
      <c r="GT208" s="28"/>
      <c r="GU208" s="28"/>
      <c r="GV208" s="28"/>
      <c r="GW208" s="28"/>
      <c r="GX208" s="28"/>
      <c r="GY208" s="28"/>
      <c r="GZ208" s="28"/>
      <c r="HA208" s="28"/>
      <c r="HB208" s="28"/>
      <c r="HC208" s="28"/>
      <c r="HD208" s="28"/>
      <c r="HE208" s="28"/>
      <c r="HF208" s="28"/>
      <c r="HG208" s="28"/>
      <c r="HH208" s="28"/>
      <c r="HI208" s="28"/>
      <c r="HJ208" s="28"/>
      <c r="HK208" s="28"/>
    </row>
    <row r="209" spans="1:219" ht="15" customHeight="1">
      <c r="A209" s="49">
        <v>2</v>
      </c>
      <c r="B209" s="132" t="str">
        <f>VLOOKUP(Ruimtestaat[[#This Row],[Code]],Locaties[[Code]:[Locatie]],2,FALSE)</f>
        <v>Pauluskerk</v>
      </c>
      <c r="C209" s="132" t="str">
        <f>VLOOKUP(Ruimtestaat[[#This Row],[Code]],Locaties[[#All],[Code]:[Adres]],4,FALSE)</f>
        <v>Westdorplaan 122</v>
      </c>
      <c r="D209" s="132" t="str">
        <f>VLOOKUP(Ruimtestaat[[#This Row],[Code]],Locaties[[#All],[Code]:[Postcode]],5,FALSE)</f>
        <v>8101 BJ</v>
      </c>
      <c r="E209" s="132" t="str">
        <f>VLOOKUP(Ruimtestaat[[#This Row],[Code]],Locaties[#All],6,FALSE)</f>
        <v>Raalte</v>
      </c>
      <c r="F209" s="100"/>
      <c r="G209" s="100" t="s">
        <v>1675</v>
      </c>
      <c r="H209" s="49" t="s">
        <v>1706</v>
      </c>
      <c r="I209" s="140" t="s">
        <v>1755</v>
      </c>
      <c r="J209" s="49">
        <v>15</v>
      </c>
      <c r="K209" s="140" t="str">
        <f>VLOOKUP(Ruimtestaat[[#This Row],[Ruimte code]],Ruimtegroepen[[#All],[Code]:[Ruimte omschrijving]],2,FALSE)</f>
        <v>Keuken/pantry</v>
      </c>
      <c r="L209" s="100" t="s">
        <v>101</v>
      </c>
      <c r="M209" s="345" t="s">
        <v>1642</v>
      </c>
      <c r="N209" s="133">
        <v>7.61</v>
      </c>
      <c r="O209" s="139"/>
      <c r="P209" s="134" t="str">
        <f>VLOOKUP(Ruimtestaat[[#This Row],[Ruimte code]],Ruimtegroepen[],4,FALSE)</f>
        <v>Ve</v>
      </c>
      <c r="Q209" s="100">
        <v>51</v>
      </c>
      <c r="R209" s="100" t="s">
        <v>2</v>
      </c>
      <c r="S209" s="100">
        <f>IF(Q209&gt;0,IF(RIGHT(Ruimtestaat[[#This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09" s="100">
        <f>IF(S209&gt;0,VLOOKUP($J209,Ruimtegroepen[],3,FALSE)*VLOOKUP($L209,Vloersoorten[],3,FALSE)*VLOOKUP($R209,Frequenties[],3,FALSE)*VLOOKUP($A209,Locaties[],3,FALSE),0)</f>
        <v>0</v>
      </c>
      <c r="U209" s="100">
        <f>Ruimtestaat[[#This Row],[Uitvoeringen werkdagen]]*Ruimtestaat[[#This Row],[Oppervlak (netto)]]</f>
        <v>1940.5500000000002</v>
      </c>
      <c r="V209" s="135">
        <f>IF(T209&gt;0,Ruimtestaat[[#This Row],[Prest. (m2 /jaar) werkdagen]]/Ruimtestaat[[#This Row],[Norm (m2/uur) werkdagen]],0)</f>
        <v>0</v>
      </c>
      <c r="W209" s="136">
        <f>Ruimtestaat[[#This Row],[uren / jaar werkdagen]]*Tariefsopbouw!$E$35</f>
        <v>0</v>
      </c>
      <c r="X209" s="100"/>
      <c r="Y209" s="100">
        <f>IF(Ruimtestaat[[#This Row],[Frequentie weekend]]&gt;0,VALUE(LEFT(X209,1))*Q209,0)</f>
        <v>0</v>
      </c>
      <c r="Z209" s="99">
        <f>IF($Y209&gt;0,VLOOKUP($J209,Ruimtegroepen[],3,FALSE)*VLOOKUP($L209,Vloersoorten[],3,FALSE)*VLOOKUP($X209,Frequenties[],3,FALSE)*VLOOKUP(Ruimtestaat[[#This Row],[Code]],Locaties[],3,FALSE),0)</f>
        <v>0</v>
      </c>
      <c r="AA209" s="99">
        <f>Ruimtestaat[[#This Row],[Uitvoeringen weekend]]*Ruimtestaat[[#This Row],[Oppervlak (netto)]]</f>
        <v>0</v>
      </c>
      <c r="AB209" s="99">
        <f>IF(Z209&gt;0,Ruimtestaat[[#This Row],[Prest. (m2 /jaar) weekend]]/Ruimtestaat[[#This Row],[Norm (m2/uur) weekend]],0)</f>
        <v>0</v>
      </c>
      <c r="AC209" s="136">
        <f>Ruimtestaat[[#This Row],[uren / jaar weekend]]*Tariefsopbouw!$D$40</f>
        <v>0</v>
      </c>
      <c r="AD209" s="135">
        <f>Ruimtestaat[[#This Row],[Prest. (m2 /jaar) weekend]]+Ruimtestaat[[#This Row],[Prest. (m2 /jaar) werkdagen]]</f>
        <v>1940.5500000000002</v>
      </c>
      <c r="AE209" s="135">
        <f>Ruimtestaat[[#This Row],[uren / jaar weekend]]+Ruimtestaat[[#This Row],[uren / jaar werkdagen]]</f>
        <v>0</v>
      </c>
      <c r="AF209" s="130">
        <f>Ruimtestaat[[#This Row],[kosten / jaar weekend]]+Ruimtestaat[[#This Row],[kosten / jaar werkdagen]]</f>
        <v>0</v>
      </c>
      <c r="AG209" s="130"/>
      <c r="AH209" s="137" t="str">
        <f>IF(Ruimtestaat[[#This Row],[Frequentie werkdagen]]="","",_xlfn.CONCAT(Ruimtestaat[[#This Row],[Ruimte code]],"-",Ruimtestaat[[#This Row],[Frequentie werkdagen]]," ",Ruimtestaat[[#This Row],[Vloer code]]))</f>
        <v>15-5w S</v>
      </c>
      <c r="AI209" s="142" t="str">
        <f>_xlfn.IFNA(VLOOKUP($AH209,Programma!$F$3:$G$1101,2,0),"")</f>
        <v>_</v>
      </c>
      <c r="AJ209" s="142" t="str">
        <f>_xlfn.IFNA(VLOOKUP($AH209,Programma!$F$3:$H$1101,3,0),"")</f>
        <v>_</v>
      </c>
      <c r="AK209" s="142" t="str">
        <f>_xlfn.IFNA(VLOOKUP($AH209,Programma!$F$3:$I$1101,4,0),"")</f>
        <v>5w</v>
      </c>
      <c r="AL209" s="142" t="str">
        <f>_xlfn.IFNA(VLOOKUP($AH209,Programma!$F$3:$J$1101,5,0),"")</f>
        <v>_</v>
      </c>
      <c r="AM209" s="142" t="str">
        <f>_xlfn.IFNA(VLOOKUP($AH209,Programma!$F$3:$K$1101,6,0),"")</f>
        <v>5w</v>
      </c>
      <c r="AN209" s="142" t="str">
        <f>_xlfn.IFNA(VLOOKUP($AH209,Programma!$F$3:$L$1101,7,0),"")</f>
        <v>_</v>
      </c>
      <c r="AO209" s="142" t="str">
        <f>_xlfn.IFNA(VLOOKUP($AH209,Programma!$F$3:$M$1101,8,0),"")</f>
        <v>_</v>
      </c>
      <c r="AP209" s="142" t="str">
        <f>_xlfn.IFNA(VLOOKUP($AH209,Programma!$F$3:$N$1101,9,0),"")</f>
        <v>_</v>
      </c>
      <c r="AQ209" s="142" t="str">
        <f>_xlfn.IFNA(VLOOKUP($AH209,Programma!$F$3:$O$1101,10,0),"")</f>
        <v>5w</v>
      </c>
      <c r="AR209" s="142" t="str">
        <f>_xlfn.IFNA(VLOOKUP($AH209,Programma!$F$3:$P$1101,11,0),"")</f>
        <v>5w</v>
      </c>
      <c r="AS209" s="142" t="str">
        <f>_xlfn.IFNA(VLOOKUP($AH209,Programma!$F$3:$Q$1101,12,0),"")</f>
        <v>1w</v>
      </c>
      <c r="AT209" s="142" t="str">
        <f>_xlfn.IFNA(VLOOKUP($AH209,Programma!$F$3:$R$1101,13,0),"")</f>
        <v>1w</v>
      </c>
      <c r="AU209" s="142" t="str">
        <f>_xlfn.IFNA(VLOOKUP($AH209,Programma!$F$3:$S$1101,14,0),"")</f>
        <v>1m</v>
      </c>
      <c r="AV209" s="142" t="str">
        <f>_xlfn.IFNA(VLOOKUP($AH209,Programma!$F$3:$T$1101,15,0),"")</f>
        <v>2j</v>
      </c>
      <c r="AW209" s="142" t="str">
        <f>_xlfn.IFNA(VLOOKUP($AH209,Programma!$F$3:$U$1101,16,0),"")</f>
        <v>1j</v>
      </c>
      <c r="AX209" s="142" t="str">
        <f>_xlfn.IFNA(VLOOKUP($AH209,Programma!$F$3:$V$1101,17,0),"")</f>
        <v>_</v>
      </c>
      <c r="AY209" s="142" t="str">
        <f>_xlfn.IFNA(VLOOKUP($AH209,Programma!$F$3:$W$1101,18,0),"")</f>
        <v>_</v>
      </c>
      <c r="AZ209" s="142" t="str">
        <f>_xlfn.IFNA(VLOOKUP($AH209,Programma!$F$3:$X$1101,19,0),"")</f>
        <v>_</v>
      </c>
      <c r="BA209" s="142" t="str">
        <f>_xlfn.IFNA(VLOOKUP($AH209,Programma!$F$3:$Y$1101,20,0),"")</f>
        <v>_</v>
      </c>
      <c r="BB209" s="138"/>
      <c r="BC209" s="137" t="str">
        <f>IF(Ruimtestaat[[#This Row],[Frequentie weekend]]="","",_xlfn.CONCAT(Ruimtestaat[[#This Row],[Ruimte code]],"-",Ruimtestaat[[#This Row],[Frequentie weekend]]," ",Ruimtestaat[[#This Row],[Vloer code]]))</f>
        <v/>
      </c>
      <c r="BD209" s="142" t="str">
        <f>_xlfn.IFNA(VLOOKUP($BC209,Programma!$F$3:$G$1101,2,0),"")</f>
        <v/>
      </c>
      <c r="BE209" s="142" t="str">
        <f>_xlfn.IFNA(VLOOKUP($BC209,Programma!$F$3:$H$1101,3,0),"")</f>
        <v/>
      </c>
      <c r="BF209" s="142" t="str">
        <f>_xlfn.IFNA(VLOOKUP($BC209,Programma!$F$3:$I$1101,4,0),"")</f>
        <v/>
      </c>
      <c r="BG209" s="142" t="str">
        <f>_xlfn.IFNA(VLOOKUP($BC209,Programma!$F$3:$J$1101,5,0),"")</f>
        <v/>
      </c>
      <c r="BH209" s="142" t="str">
        <f>_xlfn.IFNA(VLOOKUP($BC209,Programma!$F$3:$K$1101,6,0),"")</f>
        <v/>
      </c>
      <c r="BI209" s="142" t="str">
        <f>_xlfn.IFNA(VLOOKUP($BC209,Programma!$F$3:$L$1101,7,0),"")</f>
        <v/>
      </c>
      <c r="BJ209" s="142" t="str">
        <f>_xlfn.IFNA(VLOOKUP($BC209,Programma!$F$3:$M$1101,8,0),"")</f>
        <v/>
      </c>
      <c r="BK209" s="142" t="str">
        <f>_xlfn.IFNA(VLOOKUP($BC209,Programma!$F$3:$N$1101,9,0),"")</f>
        <v/>
      </c>
      <c r="BL209" s="142" t="str">
        <f>_xlfn.IFNA(VLOOKUP($BC209,Programma!$F$3:$O$1101,10,0),"")</f>
        <v/>
      </c>
      <c r="BM209" s="142" t="str">
        <f>_xlfn.IFNA(VLOOKUP($BC209,Programma!$F$3:$P$1101,11,0),"")</f>
        <v/>
      </c>
      <c r="BN209" s="142" t="str">
        <f>_xlfn.IFNA(VLOOKUP($BC209,Programma!$F$3:$Q$1101,12,0),"")</f>
        <v/>
      </c>
      <c r="BO209" s="142" t="str">
        <f>_xlfn.IFNA(VLOOKUP($BC209,Programma!$F$3:$R$1101,13,0),"")</f>
        <v/>
      </c>
      <c r="BP209" s="142" t="str">
        <f>_xlfn.IFNA(VLOOKUP($BC209,Programma!$F$3:$S$1101,14,0),"")</f>
        <v/>
      </c>
      <c r="BQ209" s="142" t="str">
        <f>_xlfn.IFNA(VLOOKUP($BC209,Programma!$F$3:$T$1101,15,0),"")</f>
        <v/>
      </c>
      <c r="BR209" s="142" t="str">
        <f>_xlfn.IFNA(VLOOKUP($BC209,Programma!$F$3:$U$1101,16,0),"")</f>
        <v/>
      </c>
      <c r="BS209" s="142" t="str">
        <f>_xlfn.IFNA(VLOOKUP($BC209,Programma!$F$3:$V$1101,17,0),"")</f>
        <v/>
      </c>
      <c r="BT209" s="142" t="str">
        <f>_xlfn.IFNA(VLOOKUP($BC209,Programma!$F$3:$W$1101,18,0),"")</f>
        <v/>
      </c>
      <c r="BU209" s="142" t="str">
        <f>_xlfn.IFNA(VLOOKUP($BC209,Programma!$F$3:$X$1101,19,0),"")</f>
        <v/>
      </c>
      <c r="BV209" s="142" t="str">
        <f>_xlfn.IFNA(VLOOKUP($BC209,Programma!$F$3:$Y$1101,20,0),"")</f>
        <v/>
      </c>
      <c r="BW209" s="28"/>
      <c r="BX209" s="28"/>
      <c r="BY209" s="28"/>
      <c r="BZ209" s="28"/>
      <c r="CA209" s="28"/>
      <c r="CB209" s="28"/>
      <c r="CC209" s="28"/>
      <c r="CD209" s="28"/>
      <c r="CE209" s="28"/>
      <c r="CF209" s="28"/>
      <c r="CG209" s="28"/>
      <c r="CH209" s="28"/>
      <c r="CI209" s="28"/>
      <c r="CJ209" s="28"/>
      <c r="CK209" s="28"/>
      <c r="CL209" s="28"/>
      <c r="CM209" s="28"/>
      <c r="CN209" s="28"/>
      <c r="CO209" s="28"/>
      <c r="CP209" s="28"/>
      <c r="CQ209" s="28"/>
      <c r="CR209" s="28"/>
      <c r="CS209" s="28"/>
      <c r="CT209" s="28"/>
      <c r="CU209" s="28"/>
      <c r="CV209" s="28"/>
      <c r="CW209" s="28"/>
      <c r="CX209" s="28"/>
      <c r="CY209" s="28"/>
      <c r="CZ209" s="28"/>
      <c r="DA209" s="28"/>
      <c r="DB209" s="28"/>
      <c r="DC209" s="28"/>
      <c r="DD209" s="28"/>
      <c r="DE209" s="28"/>
      <c r="DF209" s="28"/>
      <c r="DG209" s="28"/>
      <c r="DH209" s="28"/>
      <c r="DI209" s="28"/>
      <c r="DJ209" s="28"/>
      <c r="DK209" s="28"/>
      <c r="DL209" s="28"/>
      <c r="DM209" s="28"/>
      <c r="DN209" s="28"/>
      <c r="DO209" s="28"/>
      <c r="DP209" s="28"/>
      <c r="DQ209" s="28"/>
      <c r="DR209" s="28"/>
      <c r="DS209" s="28"/>
      <c r="DT209" s="28"/>
      <c r="DU209" s="28"/>
      <c r="DV209" s="28"/>
      <c r="DW209" s="28"/>
      <c r="DX209" s="28"/>
      <c r="DY209" s="28"/>
      <c r="DZ209" s="28"/>
      <c r="EA209" s="28"/>
      <c r="EB209" s="28"/>
      <c r="EC209" s="28"/>
      <c r="ED209" s="28"/>
      <c r="EE209" s="28"/>
      <c r="EF209" s="28"/>
      <c r="EG209" s="28"/>
      <c r="EH209" s="28"/>
      <c r="EI209" s="28"/>
      <c r="EJ209" s="28"/>
      <c r="EK209" s="28"/>
      <c r="EL209" s="28"/>
      <c r="EM209" s="28"/>
      <c r="EN209" s="28"/>
      <c r="EO209" s="28"/>
      <c r="EP209" s="28"/>
      <c r="EQ209" s="28"/>
      <c r="ER209" s="28"/>
      <c r="ES209" s="28"/>
      <c r="ET209" s="28"/>
      <c r="EU209" s="28"/>
      <c r="EV209" s="28"/>
      <c r="EW209" s="28"/>
      <c r="EX209" s="28"/>
      <c r="EY209" s="28"/>
      <c r="EZ209" s="28"/>
      <c r="FA209" s="28"/>
      <c r="FB209" s="28"/>
      <c r="FC209" s="28"/>
      <c r="FD209" s="28"/>
      <c r="FE209" s="28"/>
      <c r="FF209" s="28"/>
      <c r="FG209" s="28"/>
      <c r="FH209" s="28"/>
      <c r="FI209" s="28"/>
      <c r="FJ209" s="28"/>
      <c r="FK209" s="28"/>
      <c r="FL209" s="28"/>
      <c r="FM209" s="28"/>
      <c r="FN209" s="28"/>
      <c r="FO209" s="28"/>
      <c r="FP209" s="28"/>
      <c r="FQ209" s="28"/>
      <c r="FR209" s="28"/>
      <c r="FS209" s="28"/>
      <c r="FT209" s="28"/>
      <c r="FU209" s="28"/>
      <c r="FV209" s="28"/>
      <c r="FW209" s="28"/>
      <c r="FX209" s="28"/>
      <c r="FY209" s="28"/>
      <c r="FZ209" s="28"/>
      <c r="GA209" s="28"/>
      <c r="GB209" s="28"/>
      <c r="GC209" s="28"/>
      <c r="GD209" s="28"/>
      <c r="GE209" s="28"/>
      <c r="GF209" s="28"/>
      <c r="GG209" s="28"/>
      <c r="GH209" s="28"/>
      <c r="GI209" s="28"/>
      <c r="GJ209" s="28"/>
      <c r="GK209" s="28"/>
      <c r="GL209" s="28"/>
      <c r="GM209" s="28"/>
      <c r="GN209" s="28"/>
      <c r="GO209" s="28"/>
      <c r="GP209" s="28"/>
      <c r="GQ209" s="28"/>
      <c r="GR209" s="28"/>
      <c r="GS209" s="28"/>
      <c r="GT209" s="28"/>
      <c r="GU209" s="28"/>
      <c r="GV209" s="28"/>
      <c r="GW209" s="28"/>
      <c r="GX209" s="28"/>
      <c r="GY209" s="28"/>
      <c r="GZ209" s="28"/>
      <c r="HA209" s="28"/>
      <c r="HB209" s="28"/>
      <c r="HC209" s="28"/>
      <c r="HD209" s="28"/>
      <c r="HE209" s="28"/>
      <c r="HF209" s="28"/>
      <c r="HG209" s="28"/>
      <c r="HH209" s="28"/>
      <c r="HI209" s="28"/>
      <c r="HJ209" s="28"/>
      <c r="HK209" s="28"/>
    </row>
    <row r="210" spans="1:219" ht="15" customHeight="1">
      <c r="A210" s="49">
        <v>2</v>
      </c>
      <c r="B210" s="132" t="str">
        <f>VLOOKUP(Ruimtestaat[[#This Row],[Code]],Locaties[[Code]:[Locatie]],2,FALSE)</f>
        <v>Pauluskerk</v>
      </c>
      <c r="C210" s="132" t="str">
        <f>VLOOKUP(Ruimtestaat[[#This Row],[Code]],Locaties[[#All],[Code]:[Adres]],4,FALSE)</f>
        <v>Westdorplaan 122</v>
      </c>
      <c r="D210" s="132" t="str">
        <f>VLOOKUP(Ruimtestaat[[#This Row],[Code]],Locaties[[#All],[Code]:[Postcode]],5,FALSE)</f>
        <v>8101 BJ</v>
      </c>
      <c r="E210" s="132" t="str">
        <f>VLOOKUP(Ruimtestaat[[#This Row],[Code]],Locaties[#All],6,FALSE)</f>
        <v>Raalte</v>
      </c>
      <c r="F210" s="100"/>
      <c r="G210" s="100" t="s">
        <v>1675</v>
      </c>
      <c r="H210" s="49" t="s">
        <v>1707</v>
      </c>
      <c r="I210" s="140" t="s">
        <v>1650</v>
      </c>
      <c r="J210" s="49">
        <v>6</v>
      </c>
      <c r="K210" s="140" t="str">
        <f>VLOOKUP(Ruimtestaat[[#This Row],[Ruimte code]],Ruimtegroepen[[#All],[Code]:[Ruimte omschrijving]],2,FALSE)</f>
        <v>Gangen/hallen</v>
      </c>
      <c r="L210" s="100" t="s">
        <v>101</v>
      </c>
      <c r="M210" s="345" t="s">
        <v>1642</v>
      </c>
      <c r="N210" s="133">
        <v>16</v>
      </c>
      <c r="O210" s="139"/>
      <c r="P210" s="134" t="str">
        <f>VLOOKUP(Ruimtestaat[[#This Row],[Ruimte code]],Ruimtegroepen[],4,FALSE)</f>
        <v>Ve</v>
      </c>
      <c r="Q210" s="100">
        <v>51</v>
      </c>
      <c r="R210" s="100" t="s">
        <v>2</v>
      </c>
      <c r="S210" s="100">
        <f>IF(Q210&gt;0,IF(RIGHT(Ruimtestaat[[#This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10" s="100">
        <f>IF(S210&gt;0,VLOOKUP($J210,Ruimtegroepen[],3,FALSE)*VLOOKUP($L210,Vloersoorten[],3,FALSE)*VLOOKUP($R210,Frequenties[],3,FALSE)*VLOOKUP($A210,Locaties[],3,FALSE),0)</f>
        <v>0</v>
      </c>
      <c r="U210" s="100">
        <f>Ruimtestaat[[#This Row],[Uitvoeringen werkdagen]]*Ruimtestaat[[#This Row],[Oppervlak (netto)]]</f>
        <v>4080</v>
      </c>
      <c r="V210" s="135">
        <f>IF(T210&gt;0,Ruimtestaat[[#This Row],[Prest. (m2 /jaar) werkdagen]]/Ruimtestaat[[#This Row],[Norm (m2/uur) werkdagen]],0)</f>
        <v>0</v>
      </c>
      <c r="W210" s="136">
        <f>Ruimtestaat[[#This Row],[uren / jaar werkdagen]]*Tariefsopbouw!$E$35</f>
        <v>0</v>
      </c>
      <c r="X210" s="100"/>
      <c r="Y210" s="100">
        <f>IF(Ruimtestaat[[#This Row],[Frequentie weekend]]&gt;0,VALUE(LEFT(X210,1))*Q210,0)</f>
        <v>0</v>
      </c>
      <c r="Z210" s="99">
        <f>IF($Y210&gt;0,VLOOKUP($J210,Ruimtegroepen[],3,FALSE)*VLOOKUP($L210,Vloersoorten[],3,FALSE)*VLOOKUP($X210,Frequenties[],3,FALSE)*VLOOKUP(Ruimtestaat[[#This Row],[Code]],Locaties[],3,FALSE),0)</f>
        <v>0</v>
      </c>
      <c r="AA210" s="99">
        <f>Ruimtestaat[[#This Row],[Uitvoeringen weekend]]*Ruimtestaat[[#This Row],[Oppervlak (netto)]]</f>
        <v>0</v>
      </c>
      <c r="AB210" s="99">
        <f>IF(Z210&gt;0,Ruimtestaat[[#This Row],[Prest. (m2 /jaar) weekend]]/Ruimtestaat[[#This Row],[Norm (m2/uur) weekend]],0)</f>
        <v>0</v>
      </c>
      <c r="AC210" s="136">
        <f>Ruimtestaat[[#This Row],[uren / jaar weekend]]*Tariefsopbouw!$D$40</f>
        <v>0</v>
      </c>
      <c r="AD210" s="135">
        <f>Ruimtestaat[[#This Row],[Prest. (m2 /jaar) weekend]]+Ruimtestaat[[#This Row],[Prest. (m2 /jaar) werkdagen]]</f>
        <v>4080</v>
      </c>
      <c r="AE210" s="135">
        <f>Ruimtestaat[[#This Row],[uren / jaar weekend]]+Ruimtestaat[[#This Row],[uren / jaar werkdagen]]</f>
        <v>0</v>
      </c>
      <c r="AF210" s="130">
        <f>Ruimtestaat[[#This Row],[kosten / jaar weekend]]+Ruimtestaat[[#This Row],[kosten / jaar werkdagen]]</f>
        <v>0</v>
      </c>
      <c r="AG210" s="130"/>
      <c r="AH210" s="137" t="str">
        <f>IF(Ruimtestaat[[#This Row],[Frequentie werkdagen]]="","",_xlfn.CONCAT(Ruimtestaat[[#This Row],[Ruimte code]],"-",Ruimtestaat[[#This Row],[Frequentie werkdagen]]," ",Ruimtestaat[[#This Row],[Vloer code]]))</f>
        <v>6-5w S</v>
      </c>
      <c r="AI210" s="142" t="str">
        <f>_xlfn.IFNA(VLOOKUP($AH210,Programma!$F$3:$G$1101,2,0),"")</f>
        <v>_</v>
      </c>
      <c r="AJ210" s="142" t="str">
        <f>_xlfn.IFNA(VLOOKUP($AH210,Programma!$F$3:$H$1101,3,0),"")</f>
        <v>_</v>
      </c>
      <c r="AK210" s="142" t="str">
        <f>_xlfn.IFNA(VLOOKUP($AH210,Programma!$F$3:$I$1101,4,0),"")</f>
        <v>5w</v>
      </c>
      <c r="AL210" s="142" t="str">
        <f>_xlfn.IFNA(VLOOKUP($AH210,Programma!$F$3:$J$1101,5,0),"")</f>
        <v>_</v>
      </c>
      <c r="AM210" s="142" t="str">
        <f>_xlfn.IFNA(VLOOKUP($AH210,Programma!$F$3:$K$1101,6,0),"")</f>
        <v>5w</v>
      </c>
      <c r="AN210" s="142" t="str">
        <f>_xlfn.IFNA(VLOOKUP($AH210,Programma!$F$3:$L$1101,7,0),"")</f>
        <v>_</v>
      </c>
      <c r="AO210" s="142" t="str">
        <f>_xlfn.IFNA(VLOOKUP($AH210,Programma!$F$3:$M$1101,8,0),"")</f>
        <v>_</v>
      </c>
      <c r="AP210" s="142" t="str">
        <f>_xlfn.IFNA(VLOOKUP($AH210,Programma!$F$3:$N$1101,9,0),"")</f>
        <v>_</v>
      </c>
      <c r="AQ210" s="142" t="str">
        <f>_xlfn.IFNA(VLOOKUP($AH210,Programma!$F$3:$O$1101,10,0),"")</f>
        <v>5w</v>
      </c>
      <c r="AR210" s="142" t="str">
        <f>_xlfn.IFNA(VLOOKUP($AH210,Programma!$F$3:$P$1101,11,0),"")</f>
        <v>5w</v>
      </c>
      <c r="AS210" s="142" t="str">
        <f>_xlfn.IFNA(VLOOKUP($AH210,Programma!$F$3:$Q$1101,12,0),"")</f>
        <v>1w</v>
      </c>
      <c r="AT210" s="142" t="str">
        <f>_xlfn.IFNA(VLOOKUP($AH210,Programma!$F$3:$R$1101,13,0),"")</f>
        <v>1w</v>
      </c>
      <c r="AU210" s="142" t="str">
        <f>_xlfn.IFNA(VLOOKUP($AH210,Programma!$F$3:$S$1101,14,0),"")</f>
        <v>1m</v>
      </c>
      <c r="AV210" s="142" t="str">
        <f>_xlfn.IFNA(VLOOKUP($AH210,Programma!$F$3:$T$1101,15,0),"")</f>
        <v>2j</v>
      </c>
      <c r="AW210" s="142" t="str">
        <f>_xlfn.IFNA(VLOOKUP($AH210,Programma!$F$3:$U$1101,16,0),"")</f>
        <v>1j</v>
      </c>
      <c r="AX210" s="142" t="str">
        <f>_xlfn.IFNA(VLOOKUP($AH210,Programma!$F$3:$V$1101,17,0),"")</f>
        <v>_</v>
      </c>
      <c r="AY210" s="142" t="str">
        <f>_xlfn.IFNA(VLOOKUP($AH210,Programma!$F$3:$W$1101,18,0),"")</f>
        <v>_</v>
      </c>
      <c r="AZ210" s="142" t="str">
        <f>_xlfn.IFNA(VLOOKUP($AH210,Programma!$F$3:$X$1101,19,0),"")</f>
        <v>_</v>
      </c>
      <c r="BA210" s="142" t="str">
        <f>_xlfn.IFNA(VLOOKUP($AH210,Programma!$F$3:$Y$1101,20,0),"")</f>
        <v>_</v>
      </c>
      <c r="BB210" s="138"/>
      <c r="BC210" s="137" t="str">
        <f>IF(Ruimtestaat[[#This Row],[Frequentie weekend]]="","",_xlfn.CONCAT(Ruimtestaat[[#This Row],[Ruimte code]],"-",Ruimtestaat[[#This Row],[Frequentie weekend]]," ",Ruimtestaat[[#This Row],[Vloer code]]))</f>
        <v/>
      </c>
      <c r="BD210" s="142" t="str">
        <f>_xlfn.IFNA(VLOOKUP($BC210,Programma!$F$3:$G$1101,2,0),"")</f>
        <v/>
      </c>
      <c r="BE210" s="142" t="str">
        <f>_xlfn.IFNA(VLOOKUP($BC210,Programma!$F$3:$H$1101,3,0),"")</f>
        <v/>
      </c>
      <c r="BF210" s="142" t="str">
        <f>_xlfn.IFNA(VLOOKUP($BC210,Programma!$F$3:$I$1101,4,0),"")</f>
        <v/>
      </c>
      <c r="BG210" s="142" t="str">
        <f>_xlfn.IFNA(VLOOKUP($BC210,Programma!$F$3:$J$1101,5,0),"")</f>
        <v/>
      </c>
      <c r="BH210" s="142" t="str">
        <f>_xlfn.IFNA(VLOOKUP($BC210,Programma!$F$3:$K$1101,6,0),"")</f>
        <v/>
      </c>
      <c r="BI210" s="142" t="str">
        <f>_xlfn.IFNA(VLOOKUP($BC210,Programma!$F$3:$L$1101,7,0),"")</f>
        <v/>
      </c>
      <c r="BJ210" s="142" t="str">
        <f>_xlfn.IFNA(VLOOKUP($BC210,Programma!$F$3:$M$1101,8,0),"")</f>
        <v/>
      </c>
      <c r="BK210" s="142" t="str">
        <f>_xlfn.IFNA(VLOOKUP($BC210,Programma!$F$3:$N$1101,9,0),"")</f>
        <v/>
      </c>
      <c r="BL210" s="142" t="str">
        <f>_xlfn.IFNA(VLOOKUP($BC210,Programma!$F$3:$O$1101,10,0),"")</f>
        <v/>
      </c>
      <c r="BM210" s="142" t="str">
        <f>_xlfn.IFNA(VLOOKUP($BC210,Programma!$F$3:$P$1101,11,0),"")</f>
        <v/>
      </c>
      <c r="BN210" s="142" t="str">
        <f>_xlfn.IFNA(VLOOKUP($BC210,Programma!$F$3:$Q$1101,12,0),"")</f>
        <v/>
      </c>
      <c r="BO210" s="142" t="str">
        <f>_xlfn.IFNA(VLOOKUP($BC210,Programma!$F$3:$R$1101,13,0),"")</f>
        <v/>
      </c>
      <c r="BP210" s="142" t="str">
        <f>_xlfn.IFNA(VLOOKUP($BC210,Programma!$F$3:$S$1101,14,0),"")</f>
        <v/>
      </c>
      <c r="BQ210" s="142" t="str">
        <f>_xlfn.IFNA(VLOOKUP($BC210,Programma!$F$3:$T$1101,15,0),"")</f>
        <v/>
      </c>
      <c r="BR210" s="142" t="str">
        <f>_xlfn.IFNA(VLOOKUP($BC210,Programma!$F$3:$U$1101,16,0),"")</f>
        <v/>
      </c>
      <c r="BS210" s="142" t="str">
        <f>_xlfn.IFNA(VLOOKUP($BC210,Programma!$F$3:$V$1101,17,0),"")</f>
        <v/>
      </c>
      <c r="BT210" s="142" t="str">
        <f>_xlfn.IFNA(VLOOKUP($BC210,Programma!$F$3:$W$1101,18,0),"")</f>
        <v/>
      </c>
      <c r="BU210" s="142" t="str">
        <f>_xlfn.IFNA(VLOOKUP($BC210,Programma!$F$3:$X$1101,19,0),"")</f>
        <v/>
      </c>
      <c r="BV210" s="142" t="str">
        <f>_xlfn.IFNA(VLOOKUP($BC210,Programma!$F$3:$Y$1101,20,0),"")</f>
        <v/>
      </c>
      <c r="BW210" s="28"/>
      <c r="BX210" s="28"/>
      <c r="BY210" s="28"/>
      <c r="BZ210" s="28"/>
      <c r="CA210" s="28"/>
      <c r="CB210" s="28"/>
      <c r="CC210" s="28"/>
      <c r="CD210" s="28"/>
      <c r="CE210" s="28"/>
      <c r="CF210" s="28"/>
      <c r="CG210" s="28"/>
      <c r="CH210" s="28"/>
      <c r="CI210" s="28"/>
      <c r="CJ210" s="28"/>
      <c r="CK210" s="28"/>
      <c r="CL210" s="28"/>
      <c r="CM210" s="28"/>
      <c r="CN210" s="28"/>
      <c r="CO210" s="28"/>
      <c r="CP210" s="28"/>
      <c r="CQ210" s="28"/>
      <c r="CR210" s="28"/>
      <c r="CS210" s="28"/>
      <c r="CT210" s="28"/>
      <c r="CU210" s="28"/>
      <c r="CV210" s="28"/>
      <c r="CW210" s="28"/>
      <c r="CX210" s="28"/>
      <c r="CY210" s="28"/>
      <c r="CZ210" s="28"/>
      <c r="DA210" s="28"/>
      <c r="DB210" s="28"/>
      <c r="DC210" s="28"/>
      <c r="DD210" s="28"/>
      <c r="DE210" s="28"/>
      <c r="DF210" s="28"/>
      <c r="DG210" s="28"/>
      <c r="DH210" s="28"/>
      <c r="DI210" s="28"/>
      <c r="DJ210" s="28"/>
      <c r="DK210" s="28"/>
      <c r="DL210" s="28"/>
      <c r="DM210" s="28"/>
      <c r="DN210" s="28"/>
      <c r="DO210" s="28"/>
      <c r="DP210" s="28"/>
      <c r="DQ210" s="28"/>
      <c r="DR210" s="28"/>
      <c r="DS210" s="28"/>
      <c r="DT210" s="28"/>
      <c r="DU210" s="28"/>
      <c r="DV210" s="28"/>
      <c r="DW210" s="28"/>
      <c r="DX210" s="28"/>
      <c r="DY210" s="28"/>
      <c r="DZ210" s="28"/>
      <c r="EA210" s="28"/>
      <c r="EB210" s="28"/>
      <c r="EC210" s="28"/>
      <c r="ED210" s="28"/>
      <c r="EE210" s="28"/>
      <c r="EF210" s="28"/>
      <c r="EG210" s="28"/>
      <c r="EH210" s="28"/>
      <c r="EI210" s="28"/>
      <c r="EJ210" s="28"/>
      <c r="EK210" s="28"/>
      <c r="EL210" s="28"/>
      <c r="EM210" s="28"/>
      <c r="EN210" s="28"/>
      <c r="EO210" s="28"/>
      <c r="EP210" s="28"/>
      <c r="EQ210" s="28"/>
      <c r="ER210" s="28"/>
      <c r="ES210" s="28"/>
      <c r="ET210" s="28"/>
      <c r="EU210" s="28"/>
      <c r="EV210" s="28"/>
      <c r="EW210" s="28"/>
      <c r="EX210" s="28"/>
      <c r="EY210" s="28"/>
      <c r="EZ210" s="28"/>
      <c r="FA210" s="28"/>
      <c r="FB210" s="28"/>
      <c r="FC210" s="28"/>
      <c r="FD210" s="28"/>
      <c r="FE210" s="28"/>
      <c r="FF210" s="28"/>
      <c r="FG210" s="28"/>
      <c r="FH210" s="28"/>
      <c r="FI210" s="28"/>
      <c r="FJ210" s="28"/>
      <c r="FK210" s="28"/>
      <c r="FL210" s="28"/>
      <c r="FM210" s="28"/>
      <c r="FN210" s="28"/>
      <c r="FO210" s="28"/>
      <c r="FP210" s="28"/>
      <c r="FQ210" s="28"/>
      <c r="FR210" s="28"/>
      <c r="FS210" s="28"/>
      <c r="FT210" s="28"/>
      <c r="FU210" s="28"/>
      <c r="FV210" s="28"/>
      <c r="FW210" s="28"/>
      <c r="FX210" s="28"/>
      <c r="FY210" s="28"/>
      <c r="FZ210" s="28"/>
      <c r="GA210" s="28"/>
      <c r="GB210" s="28"/>
      <c r="GC210" s="28"/>
      <c r="GD210" s="28"/>
      <c r="GE210" s="28"/>
      <c r="GF210" s="28"/>
      <c r="GG210" s="28"/>
      <c r="GH210" s="28"/>
      <c r="GI210" s="28"/>
      <c r="GJ210" s="28"/>
      <c r="GK210" s="28"/>
      <c r="GL210" s="28"/>
      <c r="GM210" s="28"/>
      <c r="GN210" s="28"/>
      <c r="GO210" s="28"/>
      <c r="GP210" s="28"/>
      <c r="GQ210" s="28"/>
      <c r="GR210" s="28"/>
      <c r="GS210" s="28"/>
      <c r="GT210" s="28"/>
      <c r="GU210" s="28"/>
      <c r="GV210" s="28"/>
      <c r="GW210" s="28"/>
      <c r="GX210" s="28"/>
      <c r="GY210" s="28"/>
      <c r="GZ210" s="28"/>
      <c r="HA210" s="28"/>
      <c r="HB210" s="28"/>
      <c r="HC210" s="28"/>
      <c r="HD210" s="28"/>
      <c r="HE210" s="28"/>
      <c r="HF210" s="28"/>
      <c r="HG210" s="28"/>
      <c r="HH210" s="28"/>
      <c r="HI210" s="28"/>
      <c r="HJ210" s="28"/>
      <c r="HK210" s="28"/>
    </row>
    <row r="211" spans="1:219" ht="15" customHeight="1">
      <c r="A211" s="49">
        <v>2</v>
      </c>
      <c r="B211" s="132" t="str">
        <f>VLOOKUP(Ruimtestaat[[#This Row],[Code]],Locaties[[Code]:[Locatie]],2,FALSE)</f>
        <v>Pauluskerk</v>
      </c>
      <c r="C211" s="132" t="str">
        <f>VLOOKUP(Ruimtestaat[[#This Row],[Code]],Locaties[[#All],[Code]:[Adres]],4,FALSE)</f>
        <v>Westdorplaan 122</v>
      </c>
      <c r="D211" s="132" t="str">
        <f>VLOOKUP(Ruimtestaat[[#This Row],[Code]],Locaties[[#All],[Code]:[Postcode]],5,FALSE)</f>
        <v>8101 BJ</v>
      </c>
      <c r="E211" s="132" t="str">
        <f>VLOOKUP(Ruimtestaat[[#This Row],[Code]],Locaties[#All],6,FALSE)</f>
        <v>Raalte</v>
      </c>
      <c r="F211" s="100"/>
      <c r="G211" s="100" t="s">
        <v>1675</v>
      </c>
      <c r="H211" s="49" t="s">
        <v>1708</v>
      </c>
      <c r="I211" s="140" t="s">
        <v>1646</v>
      </c>
      <c r="J211" s="49">
        <v>6</v>
      </c>
      <c r="K211" s="140" t="str">
        <f>VLOOKUP(Ruimtestaat[[#This Row],[Ruimte code]],Ruimtegroepen[[#All],[Code]:[Ruimte omschrijving]],2,FALSE)</f>
        <v>Gangen/hallen</v>
      </c>
      <c r="L211" s="100" t="s">
        <v>101</v>
      </c>
      <c r="M211" s="345" t="s">
        <v>1642</v>
      </c>
      <c r="N211" s="133">
        <v>15.48</v>
      </c>
      <c r="O211" s="139"/>
      <c r="P211" s="134" t="str">
        <f>VLOOKUP(Ruimtestaat[[#This Row],[Ruimte code]],Ruimtegroepen[],4,FALSE)</f>
        <v>Ve</v>
      </c>
      <c r="Q211" s="100">
        <v>51</v>
      </c>
      <c r="R211" s="100" t="s">
        <v>2</v>
      </c>
      <c r="S211" s="100">
        <f>IF(Q211&gt;0,IF(RIGHT(Ruimtestaat[[#This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11" s="100">
        <f>IF(S211&gt;0,VLOOKUP($J211,Ruimtegroepen[],3,FALSE)*VLOOKUP($L211,Vloersoorten[],3,FALSE)*VLOOKUP($R211,Frequenties[],3,FALSE)*VLOOKUP($A211,Locaties[],3,FALSE),0)</f>
        <v>0</v>
      </c>
      <c r="U211" s="100">
        <f>Ruimtestaat[[#This Row],[Uitvoeringen werkdagen]]*Ruimtestaat[[#This Row],[Oppervlak (netto)]]</f>
        <v>3947.4</v>
      </c>
      <c r="V211" s="135">
        <f>IF(T211&gt;0,Ruimtestaat[[#This Row],[Prest. (m2 /jaar) werkdagen]]/Ruimtestaat[[#This Row],[Norm (m2/uur) werkdagen]],0)</f>
        <v>0</v>
      </c>
      <c r="W211" s="136">
        <f>Ruimtestaat[[#This Row],[uren / jaar werkdagen]]*Tariefsopbouw!$E$35</f>
        <v>0</v>
      </c>
      <c r="X211" s="100"/>
      <c r="Y211" s="100">
        <f>IF(Ruimtestaat[[#This Row],[Frequentie weekend]]&gt;0,VALUE(LEFT(X211,1))*Q211,0)</f>
        <v>0</v>
      </c>
      <c r="Z211" s="99">
        <f>IF($Y211&gt;0,VLOOKUP($J211,Ruimtegroepen[],3,FALSE)*VLOOKUP($L211,Vloersoorten[],3,FALSE)*VLOOKUP($X211,Frequenties[],3,FALSE)*VLOOKUP(Ruimtestaat[[#This Row],[Code]],Locaties[],3,FALSE),0)</f>
        <v>0</v>
      </c>
      <c r="AA211" s="99">
        <f>Ruimtestaat[[#This Row],[Uitvoeringen weekend]]*Ruimtestaat[[#This Row],[Oppervlak (netto)]]</f>
        <v>0</v>
      </c>
      <c r="AB211" s="99">
        <f>IF(Z211&gt;0,Ruimtestaat[[#This Row],[Prest. (m2 /jaar) weekend]]/Ruimtestaat[[#This Row],[Norm (m2/uur) weekend]],0)</f>
        <v>0</v>
      </c>
      <c r="AC211" s="136">
        <f>Ruimtestaat[[#This Row],[uren / jaar weekend]]*Tariefsopbouw!$D$40</f>
        <v>0</v>
      </c>
      <c r="AD211" s="135">
        <f>Ruimtestaat[[#This Row],[Prest. (m2 /jaar) weekend]]+Ruimtestaat[[#This Row],[Prest. (m2 /jaar) werkdagen]]</f>
        <v>3947.4</v>
      </c>
      <c r="AE211" s="135">
        <f>Ruimtestaat[[#This Row],[uren / jaar weekend]]+Ruimtestaat[[#This Row],[uren / jaar werkdagen]]</f>
        <v>0</v>
      </c>
      <c r="AF211" s="130">
        <f>Ruimtestaat[[#This Row],[kosten / jaar weekend]]+Ruimtestaat[[#This Row],[kosten / jaar werkdagen]]</f>
        <v>0</v>
      </c>
      <c r="AG211" s="130"/>
      <c r="AH211" s="137" t="str">
        <f>IF(Ruimtestaat[[#This Row],[Frequentie werkdagen]]="","",_xlfn.CONCAT(Ruimtestaat[[#This Row],[Ruimte code]],"-",Ruimtestaat[[#This Row],[Frequentie werkdagen]]," ",Ruimtestaat[[#This Row],[Vloer code]]))</f>
        <v>6-5w S</v>
      </c>
      <c r="AI211" s="142" t="str">
        <f>_xlfn.IFNA(VLOOKUP($AH211,Programma!$F$3:$G$1101,2,0),"")</f>
        <v>_</v>
      </c>
      <c r="AJ211" s="142" t="str">
        <f>_xlfn.IFNA(VLOOKUP($AH211,Programma!$F$3:$H$1101,3,0),"")</f>
        <v>_</v>
      </c>
      <c r="AK211" s="142" t="str">
        <f>_xlfn.IFNA(VLOOKUP($AH211,Programma!$F$3:$I$1101,4,0),"")</f>
        <v>5w</v>
      </c>
      <c r="AL211" s="142" t="str">
        <f>_xlfn.IFNA(VLOOKUP($AH211,Programma!$F$3:$J$1101,5,0),"")</f>
        <v>_</v>
      </c>
      <c r="AM211" s="142" t="str">
        <f>_xlfn.IFNA(VLOOKUP($AH211,Programma!$F$3:$K$1101,6,0),"")</f>
        <v>5w</v>
      </c>
      <c r="AN211" s="142" t="str">
        <f>_xlfn.IFNA(VLOOKUP($AH211,Programma!$F$3:$L$1101,7,0),"")</f>
        <v>_</v>
      </c>
      <c r="AO211" s="142" t="str">
        <f>_xlfn.IFNA(VLOOKUP($AH211,Programma!$F$3:$M$1101,8,0),"")</f>
        <v>_</v>
      </c>
      <c r="AP211" s="142" t="str">
        <f>_xlfn.IFNA(VLOOKUP($AH211,Programma!$F$3:$N$1101,9,0),"")</f>
        <v>_</v>
      </c>
      <c r="AQ211" s="142" t="str">
        <f>_xlfn.IFNA(VLOOKUP($AH211,Programma!$F$3:$O$1101,10,0),"")</f>
        <v>5w</v>
      </c>
      <c r="AR211" s="142" t="str">
        <f>_xlfn.IFNA(VLOOKUP($AH211,Programma!$F$3:$P$1101,11,0),"")</f>
        <v>5w</v>
      </c>
      <c r="AS211" s="142" t="str">
        <f>_xlfn.IFNA(VLOOKUP($AH211,Programma!$F$3:$Q$1101,12,0),"")</f>
        <v>1w</v>
      </c>
      <c r="AT211" s="142" t="str">
        <f>_xlfn.IFNA(VLOOKUP($AH211,Programma!$F$3:$R$1101,13,0),"")</f>
        <v>1w</v>
      </c>
      <c r="AU211" s="142" t="str">
        <f>_xlfn.IFNA(VLOOKUP($AH211,Programma!$F$3:$S$1101,14,0),"")</f>
        <v>1m</v>
      </c>
      <c r="AV211" s="142" t="str">
        <f>_xlfn.IFNA(VLOOKUP($AH211,Programma!$F$3:$T$1101,15,0),"")</f>
        <v>2j</v>
      </c>
      <c r="AW211" s="142" t="str">
        <f>_xlfn.IFNA(VLOOKUP($AH211,Programma!$F$3:$U$1101,16,0),"")</f>
        <v>1j</v>
      </c>
      <c r="AX211" s="142" t="str">
        <f>_xlfn.IFNA(VLOOKUP($AH211,Programma!$F$3:$V$1101,17,0),"")</f>
        <v>_</v>
      </c>
      <c r="AY211" s="142" t="str">
        <f>_xlfn.IFNA(VLOOKUP($AH211,Programma!$F$3:$W$1101,18,0),"")</f>
        <v>_</v>
      </c>
      <c r="AZ211" s="142" t="str">
        <f>_xlfn.IFNA(VLOOKUP($AH211,Programma!$F$3:$X$1101,19,0),"")</f>
        <v>_</v>
      </c>
      <c r="BA211" s="142" t="str">
        <f>_xlfn.IFNA(VLOOKUP($AH211,Programma!$F$3:$Y$1101,20,0),"")</f>
        <v>_</v>
      </c>
      <c r="BB211" s="138"/>
      <c r="BC211" s="137" t="str">
        <f>IF(Ruimtestaat[[#This Row],[Frequentie weekend]]="","",_xlfn.CONCAT(Ruimtestaat[[#This Row],[Ruimte code]],"-",Ruimtestaat[[#This Row],[Frequentie weekend]]," ",Ruimtestaat[[#This Row],[Vloer code]]))</f>
        <v/>
      </c>
      <c r="BD211" s="142" t="str">
        <f>_xlfn.IFNA(VLOOKUP($BC211,Programma!$F$3:$G$1101,2,0),"")</f>
        <v/>
      </c>
      <c r="BE211" s="142" t="str">
        <f>_xlfn.IFNA(VLOOKUP($BC211,Programma!$F$3:$H$1101,3,0),"")</f>
        <v/>
      </c>
      <c r="BF211" s="142" t="str">
        <f>_xlfn.IFNA(VLOOKUP($BC211,Programma!$F$3:$I$1101,4,0),"")</f>
        <v/>
      </c>
      <c r="BG211" s="142" t="str">
        <f>_xlfn.IFNA(VLOOKUP($BC211,Programma!$F$3:$J$1101,5,0),"")</f>
        <v/>
      </c>
      <c r="BH211" s="142" t="str">
        <f>_xlfn.IFNA(VLOOKUP($BC211,Programma!$F$3:$K$1101,6,0),"")</f>
        <v/>
      </c>
      <c r="BI211" s="142" t="str">
        <f>_xlfn.IFNA(VLOOKUP($BC211,Programma!$F$3:$L$1101,7,0),"")</f>
        <v/>
      </c>
      <c r="BJ211" s="142" t="str">
        <f>_xlfn.IFNA(VLOOKUP($BC211,Programma!$F$3:$M$1101,8,0),"")</f>
        <v/>
      </c>
      <c r="BK211" s="142" t="str">
        <f>_xlfn.IFNA(VLOOKUP($BC211,Programma!$F$3:$N$1101,9,0),"")</f>
        <v/>
      </c>
      <c r="BL211" s="142" t="str">
        <f>_xlfn.IFNA(VLOOKUP($BC211,Programma!$F$3:$O$1101,10,0),"")</f>
        <v/>
      </c>
      <c r="BM211" s="142" t="str">
        <f>_xlfn.IFNA(VLOOKUP($BC211,Programma!$F$3:$P$1101,11,0),"")</f>
        <v/>
      </c>
      <c r="BN211" s="142" t="str">
        <f>_xlfn.IFNA(VLOOKUP($BC211,Programma!$F$3:$Q$1101,12,0),"")</f>
        <v/>
      </c>
      <c r="BO211" s="142" t="str">
        <f>_xlfn.IFNA(VLOOKUP($BC211,Programma!$F$3:$R$1101,13,0),"")</f>
        <v/>
      </c>
      <c r="BP211" s="142" t="str">
        <f>_xlfn.IFNA(VLOOKUP($BC211,Programma!$F$3:$S$1101,14,0),"")</f>
        <v/>
      </c>
      <c r="BQ211" s="142" t="str">
        <f>_xlfn.IFNA(VLOOKUP($BC211,Programma!$F$3:$T$1101,15,0),"")</f>
        <v/>
      </c>
      <c r="BR211" s="142" t="str">
        <f>_xlfn.IFNA(VLOOKUP($BC211,Programma!$F$3:$U$1101,16,0),"")</f>
        <v/>
      </c>
      <c r="BS211" s="142" t="str">
        <f>_xlfn.IFNA(VLOOKUP($BC211,Programma!$F$3:$V$1101,17,0),"")</f>
        <v/>
      </c>
      <c r="BT211" s="142" t="str">
        <f>_xlfn.IFNA(VLOOKUP($BC211,Programma!$F$3:$W$1101,18,0),"")</f>
        <v/>
      </c>
      <c r="BU211" s="142" t="str">
        <f>_xlfn.IFNA(VLOOKUP($BC211,Programma!$F$3:$X$1101,19,0),"")</f>
        <v/>
      </c>
      <c r="BV211" s="142" t="str">
        <f>_xlfn.IFNA(VLOOKUP($BC211,Programma!$F$3:$Y$1101,20,0),"")</f>
        <v/>
      </c>
      <c r="BW211" s="28"/>
      <c r="BX211" s="28"/>
      <c r="BY211" s="28"/>
      <c r="BZ211" s="28"/>
      <c r="CA211" s="28"/>
      <c r="CB211" s="28"/>
      <c r="CC211" s="28"/>
      <c r="CD211" s="28"/>
      <c r="CE211" s="28"/>
      <c r="CF211" s="28"/>
      <c r="CG211" s="28"/>
      <c r="CH211" s="28"/>
      <c r="CI211" s="28"/>
      <c r="CJ211" s="28"/>
      <c r="CK211" s="28"/>
      <c r="CL211" s="28"/>
      <c r="CM211" s="28"/>
      <c r="CN211" s="28"/>
      <c r="CO211" s="28"/>
      <c r="CP211" s="28"/>
      <c r="CQ211" s="28"/>
      <c r="CR211" s="28"/>
      <c r="CS211" s="28"/>
      <c r="CT211" s="28"/>
      <c r="CU211" s="28"/>
      <c r="CV211" s="28"/>
      <c r="CW211" s="28"/>
      <c r="CX211" s="28"/>
      <c r="CY211" s="28"/>
      <c r="CZ211" s="28"/>
      <c r="DA211" s="28"/>
      <c r="DB211" s="28"/>
      <c r="DC211" s="28"/>
      <c r="DD211" s="28"/>
      <c r="DE211" s="28"/>
      <c r="DF211" s="28"/>
      <c r="DG211" s="28"/>
      <c r="DH211" s="28"/>
      <c r="DI211" s="28"/>
      <c r="DJ211" s="28"/>
      <c r="DK211" s="28"/>
      <c r="DL211" s="28"/>
      <c r="DM211" s="28"/>
      <c r="DN211" s="28"/>
      <c r="DO211" s="28"/>
      <c r="DP211" s="28"/>
      <c r="DQ211" s="28"/>
      <c r="DR211" s="28"/>
      <c r="DS211" s="28"/>
      <c r="DT211" s="28"/>
      <c r="DU211" s="28"/>
      <c r="DV211" s="28"/>
      <c r="DW211" s="28"/>
      <c r="DX211" s="28"/>
      <c r="DY211" s="28"/>
      <c r="DZ211" s="28"/>
      <c r="EA211" s="28"/>
      <c r="EB211" s="28"/>
      <c r="EC211" s="28"/>
      <c r="ED211" s="28"/>
      <c r="EE211" s="28"/>
      <c r="EF211" s="28"/>
      <c r="EG211" s="28"/>
      <c r="EH211" s="28"/>
      <c r="EI211" s="28"/>
      <c r="EJ211" s="28"/>
      <c r="EK211" s="28"/>
      <c r="EL211" s="28"/>
      <c r="EM211" s="28"/>
      <c r="EN211" s="28"/>
      <c r="EO211" s="28"/>
      <c r="EP211" s="28"/>
      <c r="EQ211" s="28"/>
      <c r="ER211" s="28"/>
      <c r="ES211" s="28"/>
      <c r="ET211" s="28"/>
      <c r="EU211" s="28"/>
      <c r="EV211" s="28"/>
      <c r="EW211" s="28"/>
      <c r="EX211" s="28"/>
      <c r="EY211" s="28"/>
      <c r="EZ211" s="28"/>
      <c r="FA211" s="28"/>
      <c r="FB211" s="28"/>
      <c r="FC211" s="28"/>
      <c r="FD211" s="28"/>
      <c r="FE211" s="28"/>
      <c r="FF211" s="28"/>
      <c r="FG211" s="28"/>
      <c r="FH211" s="28"/>
      <c r="FI211" s="28"/>
      <c r="FJ211" s="28"/>
      <c r="FK211" s="28"/>
      <c r="FL211" s="28"/>
      <c r="FM211" s="28"/>
      <c r="FN211" s="28"/>
      <c r="FO211" s="28"/>
      <c r="FP211" s="28"/>
      <c r="FQ211" s="28"/>
      <c r="FR211" s="28"/>
      <c r="FS211" s="28"/>
      <c r="FT211" s="28"/>
      <c r="FU211" s="28"/>
      <c r="FV211" s="28"/>
      <c r="FW211" s="28"/>
      <c r="FX211" s="28"/>
      <c r="FY211" s="28"/>
      <c r="FZ211" s="28"/>
      <c r="GA211" s="28"/>
      <c r="GB211" s="28"/>
      <c r="GC211" s="28"/>
      <c r="GD211" s="28"/>
      <c r="GE211" s="28"/>
      <c r="GF211" s="28"/>
      <c r="GG211" s="28"/>
      <c r="GH211" s="28"/>
      <c r="GI211" s="28"/>
      <c r="GJ211" s="28"/>
      <c r="GK211" s="28"/>
      <c r="GL211" s="28"/>
      <c r="GM211" s="28"/>
      <c r="GN211" s="28"/>
      <c r="GO211" s="28"/>
      <c r="GP211" s="28"/>
      <c r="GQ211" s="28"/>
      <c r="GR211" s="28"/>
      <c r="GS211" s="28"/>
      <c r="GT211" s="28"/>
      <c r="GU211" s="28"/>
      <c r="GV211" s="28"/>
      <c r="GW211" s="28"/>
      <c r="GX211" s="28"/>
      <c r="GY211" s="28"/>
      <c r="GZ211" s="28"/>
      <c r="HA211" s="28"/>
      <c r="HB211" s="28"/>
      <c r="HC211" s="28"/>
      <c r="HD211" s="28"/>
      <c r="HE211" s="28"/>
      <c r="HF211" s="28"/>
      <c r="HG211" s="28"/>
      <c r="HH211" s="28"/>
      <c r="HI211" s="28"/>
      <c r="HJ211" s="28"/>
      <c r="HK211" s="28"/>
    </row>
    <row r="212" spans="1:219" ht="15" customHeight="1">
      <c r="A212" s="49">
        <v>2</v>
      </c>
      <c r="B212" s="132" t="str">
        <f>VLOOKUP(Ruimtestaat[[#This Row],[Code]],Locaties[[Code]:[Locatie]],2,FALSE)</f>
        <v>Pauluskerk</v>
      </c>
      <c r="C212" s="132" t="str">
        <f>VLOOKUP(Ruimtestaat[[#This Row],[Code]],Locaties[[#All],[Code]:[Adres]],4,FALSE)</f>
        <v>Westdorplaan 122</v>
      </c>
      <c r="D212" s="132" t="str">
        <f>VLOOKUP(Ruimtestaat[[#This Row],[Code]],Locaties[[#All],[Code]:[Postcode]],5,FALSE)</f>
        <v>8101 BJ</v>
      </c>
      <c r="E212" s="132" t="str">
        <f>VLOOKUP(Ruimtestaat[[#This Row],[Code]],Locaties[#All],6,FALSE)</f>
        <v>Raalte</v>
      </c>
      <c r="F212" s="100"/>
      <c r="G212" s="100" t="s">
        <v>1675</v>
      </c>
      <c r="H212" s="49" t="s">
        <v>1709</v>
      </c>
      <c r="I212" s="140" t="s">
        <v>1756</v>
      </c>
      <c r="J212" s="49">
        <v>9</v>
      </c>
      <c r="K212" s="140" t="str">
        <f>VLOOKUP(Ruimtestaat[[#This Row],[Ruimte code]],Ruimtegroepen[[#All],[Code]:[Ruimte omschrijving]],2,FALSE)</f>
        <v>Woonruimte</v>
      </c>
      <c r="L212" s="100" t="s">
        <v>101</v>
      </c>
      <c r="M212" s="345" t="s">
        <v>1642</v>
      </c>
      <c r="N212" s="133">
        <v>59.94</v>
      </c>
      <c r="O212" s="139"/>
      <c r="P212" s="134" t="str">
        <f>VLOOKUP(Ruimtestaat[[#This Row],[Ruimte code]],Ruimtegroepen[],4,FALSE)</f>
        <v>Ve</v>
      </c>
      <c r="Q212" s="100">
        <v>51</v>
      </c>
      <c r="R212" s="100" t="s">
        <v>2</v>
      </c>
      <c r="S212" s="100">
        <f>IF(Q212&gt;0,IF(RIGHT(Ruimtestaat[[#This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12" s="100">
        <f>IF(S212&gt;0,VLOOKUP($J212,Ruimtegroepen[],3,FALSE)*VLOOKUP($L212,Vloersoorten[],3,FALSE)*VLOOKUP($R212,Frequenties[],3,FALSE)*VLOOKUP($A212,Locaties[],3,FALSE),0)</f>
        <v>0</v>
      </c>
      <c r="U212" s="100">
        <f>Ruimtestaat[[#This Row],[Uitvoeringen werkdagen]]*Ruimtestaat[[#This Row],[Oppervlak (netto)]]</f>
        <v>15284.699999999999</v>
      </c>
      <c r="V212" s="135">
        <f>IF(T212&gt;0,Ruimtestaat[[#This Row],[Prest. (m2 /jaar) werkdagen]]/Ruimtestaat[[#This Row],[Norm (m2/uur) werkdagen]],0)</f>
        <v>0</v>
      </c>
      <c r="W212" s="136">
        <f>Ruimtestaat[[#This Row],[uren / jaar werkdagen]]*Tariefsopbouw!$E$35</f>
        <v>0</v>
      </c>
      <c r="X212" s="100"/>
      <c r="Y212" s="100">
        <f>IF(Ruimtestaat[[#This Row],[Frequentie weekend]]&gt;0,VALUE(LEFT(X212,1))*Q212,0)</f>
        <v>0</v>
      </c>
      <c r="Z212" s="99">
        <f>IF($Y212&gt;0,VLOOKUP($J212,Ruimtegroepen[],3,FALSE)*VLOOKUP($L212,Vloersoorten[],3,FALSE)*VLOOKUP($X212,Frequenties[],3,FALSE)*VLOOKUP(Ruimtestaat[[#This Row],[Code]],Locaties[],3,FALSE),0)</f>
        <v>0</v>
      </c>
      <c r="AA212" s="99">
        <f>Ruimtestaat[[#This Row],[Uitvoeringen weekend]]*Ruimtestaat[[#This Row],[Oppervlak (netto)]]</f>
        <v>0</v>
      </c>
      <c r="AB212" s="99">
        <f>IF(Z212&gt;0,Ruimtestaat[[#This Row],[Prest. (m2 /jaar) weekend]]/Ruimtestaat[[#This Row],[Norm (m2/uur) weekend]],0)</f>
        <v>0</v>
      </c>
      <c r="AC212" s="136">
        <f>Ruimtestaat[[#This Row],[uren / jaar weekend]]*Tariefsopbouw!$D$40</f>
        <v>0</v>
      </c>
      <c r="AD212" s="135">
        <f>Ruimtestaat[[#This Row],[Prest. (m2 /jaar) weekend]]+Ruimtestaat[[#This Row],[Prest. (m2 /jaar) werkdagen]]</f>
        <v>15284.699999999999</v>
      </c>
      <c r="AE212" s="135">
        <f>Ruimtestaat[[#This Row],[uren / jaar weekend]]+Ruimtestaat[[#This Row],[uren / jaar werkdagen]]</f>
        <v>0</v>
      </c>
      <c r="AF212" s="130">
        <f>Ruimtestaat[[#This Row],[kosten / jaar weekend]]+Ruimtestaat[[#This Row],[kosten / jaar werkdagen]]</f>
        <v>0</v>
      </c>
      <c r="AG212" s="130"/>
      <c r="AH212" s="137" t="str">
        <f>IF(Ruimtestaat[[#This Row],[Frequentie werkdagen]]="","",_xlfn.CONCAT(Ruimtestaat[[#This Row],[Ruimte code]],"-",Ruimtestaat[[#This Row],[Frequentie werkdagen]]," ",Ruimtestaat[[#This Row],[Vloer code]]))</f>
        <v>9-5w S</v>
      </c>
      <c r="AI212" s="142" t="str">
        <f>_xlfn.IFNA(VLOOKUP($AH212,Programma!$F$3:$G$1101,2,0),"")</f>
        <v>_</v>
      </c>
      <c r="AJ212" s="142" t="str">
        <f>_xlfn.IFNA(VLOOKUP($AH212,Programma!$F$3:$H$1101,3,0),"")</f>
        <v>_</v>
      </c>
      <c r="AK212" s="142" t="str">
        <f>_xlfn.IFNA(VLOOKUP($AH212,Programma!$F$3:$I$1101,4,0),"")</f>
        <v>4w</v>
      </c>
      <c r="AL212" s="142" t="str">
        <f>_xlfn.IFNA(VLOOKUP($AH212,Programma!$F$3:$J$1101,5,0),"")</f>
        <v>1w</v>
      </c>
      <c r="AM212" s="142" t="str">
        <f>_xlfn.IFNA(VLOOKUP($AH212,Programma!$F$3:$K$1101,6,0),"")</f>
        <v>4j</v>
      </c>
      <c r="AN212" s="142" t="str">
        <f>_xlfn.IFNA(VLOOKUP($AH212,Programma!$F$3:$L$1101,7,0),"")</f>
        <v>_</v>
      </c>
      <c r="AO212" s="142" t="str">
        <f>_xlfn.IFNA(VLOOKUP($AH212,Programma!$F$3:$M$1101,8,0),"")</f>
        <v>_</v>
      </c>
      <c r="AP212" s="142" t="str">
        <f>_xlfn.IFNA(VLOOKUP($AH212,Programma!$F$3:$N$1101,9,0),"")</f>
        <v>_</v>
      </c>
      <c r="AQ212" s="142" t="str">
        <f>_xlfn.IFNA(VLOOKUP($AH212,Programma!$F$3:$O$1101,10,0),"")</f>
        <v>5w</v>
      </c>
      <c r="AR212" s="142" t="str">
        <f>_xlfn.IFNA(VLOOKUP($AH212,Programma!$F$3:$P$1101,11,0),"")</f>
        <v>5w</v>
      </c>
      <c r="AS212" s="142" t="str">
        <f>_xlfn.IFNA(VLOOKUP($AH212,Programma!$F$3:$Q$1101,12,0),"")</f>
        <v>1w</v>
      </c>
      <c r="AT212" s="142" t="str">
        <f>_xlfn.IFNA(VLOOKUP($AH212,Programma!$F$3:$R$1101,13,0),"")</f>
        <v>1w</v>
      </c>
      <c r="AU212" s="142" t="str">
        <f>_xlfn.IFNA(VLOOKUP($AH212,Programma!$F$3:$S$1101,14,0),"")</f>
        <v>1m</v>
      </c>
      <c r="AV212" s="142" t="str">
        <f>_xlfn.IFNA(VLOOKUP($AH212,Programma!$F$3:$T$1101,15,0),"")</f>
        <v>2j</v>
      </c>
      <c r="AW212" s="142" t="str">
        <f>_xlfn.IFNA(VLOOKUP($AH212,Programma!$F$3:$U$1101,16,0),"")</f>
        <v>1j</v>
      </c>
      <c r="AX212" s="142" t="str">
        <f>_xlfn.IFNA(VLOOKUP($AH212,Programma!$F$3:$V$1101,17,0),"")</f>
        <v>_</v>
      </c>
      <c r="AY212" s="142" t="str">
        <f>_xlfn.IFNA(VLOOKUP($AH212,Programma!$F$3:$W$1101,18,0),"")</f>
        <v>_</v>
      </c>
      <c r="AZ212" s="142" t="str">
        <f>_xlfn.IFNA(VLOOKUP($AH212,Programma!$F$3:$X$1101,19,0),"")</f>
        <v>_</v>
      </c>
      <c r="BA212" s="142" t="str">
        <f>_xlfn.IFNA(VLOOKUP($AH212,Programma!$F$3:$Y$1101,20,0),"")</f>
        <v>_</v>
      </c>
      <c r="BB212" s="138"/>
      <c r="BC212" s="137" t="str">
        <f>IF(Ruimtestaat[[#This Row],[Frequentie weekend]]="","",_xlfn.CONCAT(Ruimtestaat[[#This Row],[Ruimte code]],"-",Ruimtestaat[[#This Row],[Frequentie weekend]]," ",Ruimtestaat[[#This Row],[Vloer code]]))</f>
        <v/>
      </c>
      <c r="BD212" s="142" t="str">
        <f>_xlfn.IFNA(VLOOKUP($BC212,Programma!$F$3:$G$1101,2,0),"")</f>
        <v/>
      </c>
      <c r="BE212" s="142" t="str">
        <f>_xlfn.IFNA(VLOOKUP($BC212,Programma!$F$3:$H$1101,3,0),"")</f>
        <v/>
      </c>
      <c r="BF212" s="142" t="str">
        <f>_xlfn.IFNA(VLOOKUP($BC212,Programma!$F$3:$I$1101,4,0),"")</f>
        <v/>
      </c>
      <c r="BG212" s="142" t="str">
        <f>_xlfn.IFNA(VLOOKUP($BC212,Programma!$F$3:$J$1101,5,0),"")</f>
        <v/>
      </c>
      <c r="BH212" s="142" t="str">
        <f>_xlfn.IFNA(VLOOKUP($BC212,Programma!$F$3:$K$1101,6,0),"")</f>
        <v/>
      </c>
      <c r="BI212" s="142" t="str">
        <f>_xlfn.IFNA(VLOOKUP($BC212,Programma!$F$3:$L$1101,7,0),"")</f>
        <v/>
      </c>
      <c r="BJ212" s="142" t="str">
        <f>_xlfn.IFNA(VLOOKUP($BC212,Programma!$F$3:$M$1101,8,0),"")</f>
        <v/>
      </c>
      <c r="BK212" s="142" t="str">
        <f>_xlfn.IFNA(VLOOKUP($BC212,Programma!$F$3:$N$1101,9,0),"")</f>
        <v/>
      </c>
      <c r="BL212" s="142" t="str">
        <f>_xlfn.IFNA(VLOOKUP($BC212,Programma!$F$3:$O$1101,10,0),"")</f>
        <v/>
      </c>
      <c r="BM212" s="142" t="str">
        <f>_xlfn.IFNA(VLOOKUP($BC212,Programma!$F$3:$P$1101,11,0),"")</f>
        <v/>
      </c>
      <c r="BN212" s="142" t="str">
        <f>_xlfn.IFNA(VLOOKUP($BC212,Programma!$F$3:$Q$1101,12,0),"")</f>
        <v/>
      </c>
      <c r="BO212" s="142" t="str">
        <f>_xlfn.IFNA(VLOOKUP($BC212,Programma!$F$3:$R$1101,13,0),"")</f>
        <v/>
      </c>
      <c r="BP212" s="142" t="str">
        <f>_xlfn.IFNA(VLOOKUP($BC212,Programma!$F$3:$S$1101,14,0),"")</f>
        <v/>
      </c>
      <c r="BQ212" s="142" t="str">
        <f>_xlfn.IFNA(VLOOKUP($BC212,Programma!$F$3:$T$1101,15,0),"")</f>
        <v/>
      </c>
      <c r="BR212" s="142" t="str">
        <f>_xlfn.IFNA(VLOOKUP($BC212,Programma!$F$3:$U$1101,16,0),"")</f>
        <v/>
      </c>
      <c r="BS212" s="142" t="str">
        <f>_xlfn.IFNA(VLOOKUP($BC212,Programma!$F$3:$V$1101,17,0),"")</f>
        <v/>
      </c>
      <c r="BT212" s="142" t="str">
        <f>_xlfn.IFNA(VLOOKUP($BC212,Programma!$F$3:$W$1101,18,0),"")</f>
        <v/>
      </c>
      <c r="BU212" s="142" t="str">
        <f>_xlfn.IFNA(VLOOKUP($BC212,Programma!$F$3:$X$1101,19,0),"")</f>
        <v/>
      </c>
      <c r="BV212" s="142" t="str">
        <f>_xlfn.IFNA(VLOOKUP($BC212,Programma!$F$3:$Y$1101,20,0),"")</f>
        <v/>
      </c>
      <c r="BW212" s="28"/>
      <c r="BX212" s="28"/>
      <c r="BY212" s="28"/>
      <c r="BZ212" s="28"/>
      <c r="CA212" s="28"/>
      <c r="CB212" s="28"/>
      <c r="CC212" s="28"/>
      <c r="CD212" s="28"/>
      <c r="CE212" s="28"/>
      <c r="CF212" s="28"/>
      <c r="CG212" s="28"/>
      <c r="CH212" s="28"/>
      <c r="CI212" s="28"/>
      <c r="CJ212" s="28"/>
      <c r="CK212" s="28"/>
      <c r="CL212" s="28"/>
      <c r="CM212" s="28"/>
      <c r="CN212" s="28"/>
      <c r="CO212" s="28"/>
      <c r="CP212" s="28"/>
      <c r="CQ212" s="28"/>
      <c r="CR212" s="28"/>
      <c r="CS212" s="28"/>
      <c r="CT212" s="28"/>
      <c r="CU212" s="28"/>
      <c r="CV212" s="28"/>
      <c r="CW212" s="28"/>
      <c r="CX212" s="28"/>
      <c r="CY212" s="28"/>
      <c r="CZ212" s="28"/>
      <c r="DA212" s="28"/>
      <c r="DB212" s="28"/>
      <c r="DC212" s="28"/>
      <c r="DD212" s="28"/>
      <c r="DE212" s="28"/>
      <c r="DF212" s="28"/>
      <c r="DG212" s="28"/>
      <c r="DH212" s="28"/>
      <c r="DI212" s="28"/>
      <c r="DJ212" s="28"/>
      <c r="DK212" s="28"/>
      <c r="DL212" s="28"/>
      <c r="DM212" s="28"/>
      <c r="DN212" s="28"/>
      <c r="DO212" s="28"/>
      <c r="DP212" s="28"/>
      <c r="DQ212" s="28"/>
      <c r="DR212" s="28"/>
      <c r="DS212" s="28"/>
      <c r="DT212" s="28"/>
      <c r="DU212" s="28"/>
      <c r="DV212" s="28"/>
      <c r="DW212" s="28"/>
      <c r="DX212" s="28"/>
      <c r="DY212" s="28"/>
      <c r="DZ212" s="28"/>
      <c r="EA212" s="28"/>
      <c r="EB212" s="28"/>
      <c r="EC212" s="28"/>
      <c r="ED212" s="28"/>
      <c r="EE212" s="28"/>
      <c r="EF212" s="28"/>
      <c r="EG212" s="28"/>
      <c r="EH212" s="28"/>
      <c r="EI212" s="28"/>
      <c r="EJ212" s="28"/>
      <c r="EK212" s="28"/>
      <c r="EL212" s="28"/>
      <c r="EM212" s="28"/>
      <c r="EN212" s="28"/>
      <c r="EO212" s="28"/>
      <c r="EP212" s="28"/>
      <c r="EQ212" s="28"/>
      <c r="ER212" s="28"/>
      <c r="ES212" s="28"/>
      <c r="ET212" s="28"/>
      <c r="EU212" s="28"/>
      <c r="EV212" s="28"/>
      <c r="EW212" s="28"/>
      <c r="EX212" s="28"/>
      <c r="EY212" s="28"/>
      <c r="EZ212" s="28"/>
      <c r="FA212" s="28"/>
      <c r="FB212" s="28"/>
      <c r="FC212" s="28"/>
      <c r="FD212" s="28"/>
      <c r="FE212" s="28"/>
      <c r="FF212" s="28"/>
      <c r="FG212" s="28"/>
      <c r="FH212" s="28"/>
      <c r="FI212" s="28"/>
      <c r="FJ212" s="28"/>
      <c r="FK212" s="28"/>
      <c r="FL212" s="28"/>
      <c r="FM212" s="28"/>
      <c r="FN212" s="28"/>
      <c r="FO212" s="28"/>
      <c r="FP212" s="28"/>
      <c r="FQ212" s="28"/>
      <c r="FR212" s="28"/>
      <c r="FS212" s="28"/>
      <c r="FT212" s="28"/>
      <c r="FU212" s="28"/>
      <c r="FV212" s="28"/>
      <c r="FW212" s="28"/>
      <c r="FX212" s="28"/>
      <c r="FY212" s="28"/>
      <c r="FZ212" s="28"/>
      <c r="GA212" s="28"/>
      <c r="GB212" s="28"/>
      <c r="GC212" s="28"/>
      <c r="GD212" s="28"/>
      <c r="GE212" s="28"/>
      <c r="GF212" s="28"/>
      <c r="GG212" s="28"/>
      <c r="GH212" s="28"/>
      <c r="GI212" s="28"/>
      <c r="GJ212" s="28"/>
      <c r="GK212" s="28"/>
      <c r="GL212" s="28"/>
      <c r="GM212" s="28"/>
      <c r="GN212" s="28"/>
      <c r="GO212" s="28"/>
      <c r="GP212" s="28"/>
      <c r="GQ212" s="28"/>
      <c r="GR212" s="28"/>
      <c r="GS212" s="28"/>
      <c r="GT212" s="28"/>
      <c r="GU212" s="28"/>
      <c r="GV212" s="28"/>
      <c r="GW212" s="28"/>
      <c r="GX212" s="28"/>
      <c r="GY212" s="28"/>
      <c r="GZ212" s="28"/>
      <c r="HA212" s="28"/>
      <c r="HB212" s="28"/>
      <c r="HC212" s="28"/>
      <c r="HD212" s="28"/>
      <c r="HE212" s="28"/>
      <c r="HF212" s="28"/>
      <c r="HG212" s="28"/>
      <c r="HH212" s="28"/>
      <c r="HI212" s="28"/>
      <c r="HJ212" s="28"/>
      <c r="HK212" s="28"/>
    </row>
    <row r="213" spans="1:219" ht="15" customHeight="1">
      <c r="A213" s="49">
        <v>2</v>
      </c>
      <c r="B213" s="132" t="str">
        <f>VLOOKUP(Ruimtestaat[[#This Row],[Code]],Locaties[[Code]:[Locatie]],2,FALSE)</f>
        <v>Pauluskerk</v>
      </c>
      <c r="C213" s="132" t="str">
        <f>VLOOKUP(Ruimtestaat[[#This Row],[Code]],Locaties[[#All],[Code]:[Adres]],4,FALSE)</f>
        <v>Westdorplaan 122</v>
      </c>
      <c r="D213" s="132" t="str">
        <f>VLOOKUP(Ruimtestaat[[#This Row],[Code]],Locaties[[#All],[Code]:[Postcode]],5,FALSE)</f>
        <v>8101 BJ</v>
      </c>
      <c r="E213" s="132" t="str">
        <f>VLOOKUP(Ruimtestaat[[#This Row],[Code]],Locaties[#All],6,FALSE)</f>
        <v>Raalte</v>
      </c>
      <c r="F213" s="100"/>
      <c r="G213" s="100" t="s">
        <v>1675</v>
      </c>
      <c r="H213" s="49" t="s">
        <v>1710</v>
      </c>
      <c r="I213" s="140" t="s">
        <v>1736</v>
      </c>
      <c r="J213" s="49">
        <v>5</v>
      </c>
      <c r="K213" s="140" t="str">
        <f>VLOOKUP(Ruimtestaat[[#This Row],[Ruimte code]],Ruimtegroepen[[#All],[Code]:[Ruimte omschrijving]],2,FALSE)</f>
        <v>Sanitair</v>
      </c>
      <c r="L213" s="100" t="s">
        <v>101</v>
      </c>
      <c r="M213" s="345" t="s">
        <v>1642</v>
      </c>
      <c r="N213" s="133">
        <v>12.07</v>
      </c>
      <c r="O213" s="139"/>
      <c r="P213" s="134" t="str">
        <f>VLOOKUP(Ruimtestaat[[#This Row],[Ruimte code]],Ruimtegroepen[],4,FALSE)</f>
        <v>Sa</v>
      </c>
      <c r="Q213" s="100">
        <v>51</v>
      </c>
      <c r="R213" s="100" t="s">
        <v>2</v>
      </c>
      <c r="S213" s="100">
        <f>IF(Q213&gt;0,IF(RIGHT(Ruimtestaat[[#This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13" s="100">
        <f>IF(S213&gt;0,VLOOKUP($J213,Ruimtegroepen[],3,FALSE)*VLOOKUP($L213,Vloersoorten[],3,FALSE)*VLOOKUP($R213,Frequenties[],3,FALSE)*VLOOKUP($A213,Locaties[],3,FALSE),0)</f>
        <v>0</v>
      </c>
      <c r="U213" s="100">
        <f>Ruimtestaat[[#This Row],[Uitvoeringen werkdagen]]*Ruimtestaat[[#This Row],[Oppervlak (netto)]]</f>
        <v>3077.85</v>
      </c>
      <c r="V213" s="135">
        <f>IF(T213&gt;0,Ruimtestaat[[#This Row],[Prest. (m2 /jaar) werkdagen]]/Ruimtestaat[[#This Row],[Norm (m2/uur) werkdagen]],0)</f>
        <v>0</v>
      </c>
      <c r="W213" s="136">
        <f>Ruimtestaat[[#This Row],[uren / jaar werkdagen]]*Tariefsopbouw!$E$35</f>
        <v>0</v>
      </c>
      <c r="X213" s="100"/>
      <c r="Y213" s="100">
        <f>IF(Ruimtestaat[[#This Row],[Frequentie weekend]]&gt;0,VALUE(LEFT(X213,1))*Q213,0)</f>
        <v>0</v>
      </c>
      <c r="Z213" s="99">
        <f>IF($Y213&gt;0,VLOOKUP($J213,Ruimtegroepen[],3,FALSE)*VLOOKUP($L213,Vloersoorten[],3,FALSE)*VLOOKUP($X213,Frequenties[],3,FALSE)*VLOOKUP(Ruimtestaat[[#This Row],[Code]],Locaties[],3,FALSE),0)</f>
        <v>0</v>
      </c>
      <c r="AA213" s="99">
        <f>Ruimtestaat[[#This Row],[Uitvoeringen weekend]]*Ruimtestaat[[#This Row],[Oppervlak (netto)]]</f>
        <v>0</v>
      </c>
      <c r="AB213" s="99">
        <f>IF(Z213&gt;0,Ruimtestaat[[#This Row],[Prest. (m2 /jaar) weekend]]/Ruimtestaat[[#This Row],[Norm (m2/uur) weekend]],0)</f>
        <v>0</v>
      </c>
      <c r="AC213" s="136">
        <f>Ruimtestaat[[#This Row],[uren / jaar weekend]]*Tariefsopbouw!$D$40</f>
        <v>0</v>
      </c>
      <c r="AD213" s="135">
        <f>Ruimtestaat[[#This Row],[Prest. (m2 /jaar) weekend]]+Ruimtestaat[[#This Row],[Prest. (m2 /jaar) werkdagen]]</f>
        <v>3077.85</v>
      </c>
      <c r="AE213" s="135">
        <f>Ruimtestaat[[#This Row],[uren / jaar weekend]]+Ruimtestaat[[#This Row],[uren / jaar werkdagen]]</f>
        <v>0</v>
      </c>
      <c r="AF213" s="130">
        <f>Ruimtestaat[[#This Row],[kosten / jaar weekend]]+Ruimtestaat[[#This Row],[kosten / jaar werkdagen]]</f>
        <v>0</v>
      </c>
      <c r="AG213" s="130"/>
      <c r="AH213" s="137" t="str">
        <f>IF(Ruimtestaat[[#This Row],[Frequentie werkdagen]]="","",_xlfn.CONCAT(Ruimtestaat[[#This Row],[Ruimte code]],"-",Ruimtestaat[[#This Row],[Frequentie werkdagen]]," ",Ruimtestaat[[#This Row],[Vloer code]]))</f>
        <v>5-5w S</v>
      </c>
      <c r="AI213" s="142" t="str">
        <f>_xlfn.IFNA(VLOOKUP($AH213,Programma!$F$3:$G$1101,2,0),"")</f>
        <v>_</v>
      </c>
      <c r="AJ213" s="142" t="str">
        <f>_xlfn.IFNA(VLOOKUP($AH213,Programma!$F$3:$H$1101,3,0),"")</f>
        <v>_</v>
      </c>
      <c r="AK213" s="142" t="str">
        <f>_xlfn.IFNA(VLOOKUP($AH213,Programma!$F$3:$I$1101,4,0),"")</f>
        <v>_</v>
      </c>
      <c r="AL213" s="142" t="str">
        <f>_xlfn.IFNA(VLOOKUP($AH213,Programma!$F$3:$J$1101,5,0),"")</f>
        <v>4w</v>
      </c>
      <c r="AM213" s="142" t="str">
        <f>_xlfn.IFNA(VLOOKUP($AH213,Programma!$F$3:$K$1101,6,0),"")</f>
        <v>1w</v>
      </c>
      <c r="AN213" s="142" t="str">
        <f>_xlfn.IFNA(VLOOKUP($AH213,Programma!$F$3:$L$1101,7,0),"")</f>
        <v>_</v>
      </c>
      <c r="AO213" s="142" t="str">
        <f>_xlfn.IFNA(VLOOKUP($AH213,Programma!$F$3:$M$1101,8,0),"")</f>
        <v>_</v>
      </c>
      <c r="AP213" s="142" t="str">
        <f>_xlfn.IFNA(VLOOKUP($AH213,Programma!$F$3:$N$1101,9,0),"")</f>
        <v>_</v>
      </c>
      <c r="AQ213" s="142" t="str">
        <f>_xlfn.IFNA(VLOOKUP($AH213,Programma!$F$3:$O$1101,10,0),"")</f>
        <v>_</v>
      </c>
      <c r="AR213" s="142" t="str">
        <f>_xlfn.IFNA(VLOOKUP($AH213,Programma!$F$3:$P$1101,11,0),"")</f>
        <v>_</v>
      </c>
      <c r="AS213" s="142" t="str">
        <f>_xlfn.IFNA(VLOOKUP($AH213,Programma!$F$3:$Q$1101,12,0),"")</f>
        <v>_</v>
      </c>
      <c r="AT213" s="142" t="str">
        <f>_xlfn.IFNA(VLOOKUP($AH213,Programma!$F$3:$R$1101,13,0),"")</f>
        <v>_</v>
      </c>
      <c r="AU213" s="142" t="str">
        <f>_xlfn.IFNA(VLOOKUP($AH213,Programma!$F$3:$S$1101,14,0),"")</f>
        <v>_</v>
      </c>
      <c r="AV213" s="142" t="str">
        <f>_xlfn.IFNA(VLOOKUP($AH213,Programma!$F$3:$T$1101,15,0),"")</f>
        <v>_</v>
      </c>
      <c r="AW213" s="142" t="str">
        <f>_xlfn.IFNA(VLOOKUP($AH213,Programma!$F$3:$U$1101,16,0),"")</f>
        <v>_</v>
      </c>
      <c r="AX213" s="142" t="str">
        <f>_xlfn.IFNA(VLOOKUP($AH213,Programma!$F$3:$V$1101,17,0),"")</f>
        <v>_</v>
      </c>
      <c r="AY213" s="142" t="str">
        <f>_xlfn.IFNA(VLOOKUP($AH213,Programma!$F$3:$W$1101,18,0),"")</f>
        <v>4w</v>
      </c>
      <c r="AZ213" s="142" t="str">
        <f>_xlfn.IFNA(VLOOKUP($AH213,Programma!$F$3:$X$1101,19,0),"")</f>
        <v>1w</v>
      </c>
      <c r="BA213" s="142" t="str">
        <f>_xlfn.IFNA(VLOOKUP($AH213,Programma!$F$3:$Y$1101,20,0),"")</f>
        <v>_</v>
      </c>
      <c r="BB213" s="138"/>
      <c r="BC213" s="137" t="str">
        <f>IF(Ruimtestaat[[#This Row],[Frequentie weekend]]="","",_xlfn.CONCAT(Ruimtestaat[[#This Row],[Ruimte code]],"-",Ruimtestaat[[#This Row],[Frequentie weekend]]," ",Ruimtestaat[[#This Row],[Vloer code]]))</f>
        <v/>
      </c>
      <c r="BD213" s="142" t="str">
        <f>_xlfn.IFNA(VLOOKUP($BC213,Programma!$F$3:$G$1101,2,0),"")</f>
        <v/>
      </c>
      <c r="BE213" s="142" t="str">
        <f>_xlfn.IFNA(VLOOKUP($BC213,Programma!$F$3:$H$1101,3,0),"")</f>
        <v/>
      </c>
      <c r="BF213" s="142" t="str">
        <f>_xlfn.IFNA(VLOOKUP($BC213,Programma!$F$3:$I$1101,4,0),"")</f>
        <v/>
      </c>
      <c r="BG213" s="142" t="str">
        <f>_xlfn.IFNA(VLOOKUP($BC213,Programma!$F$3:$J$1101,5,0),"")</f>
        <v/>
      </c>
      <c r="BH213" s="142" t="str">
        <f>_xlfn.IFNA(VLOOKUP($BC213,Programma!$F$3:$K$1101,6,0),"")</f>
        <v/>
      </c>
      <c r="BI213" s="142" t="str">
        <f>_xlfn.IFNA(VLOOKUP($BC213,Programma!$F$3:$L$1101,7,0),"")</f>
        <v/>
      </c>
      <c r="BJ213" s="142" t="str">
        <f>_xlfn.IFNA(VLOOKUP($BC213,Programma!$F$3:$M$1101,8,0),"")</f>
        <v/>
      </c>
      <c r="BK213" s="142" t="str">
        <f>_xlfn.IFNA(VLOOKUP($BC213,Programma!$F$3:$N$1101,9,0),"")</f>
        <v/>
      </c>
      <c r="BL213" s="142" t="str">
        <f>_xlfn.IFNA(VLOOKUP($BC213,Programma!$F$3:$O$1101,10,0),"")</f>
        <v/>
      </c>
      <c r="BM213" s="142" t="str">
        <f>_xlfn.IFNA(VLOOKUP($BC213,Programma!$F$3:$P$1101,11,0),"")</f>
        <v/>
      </c>
      <c r="BN213" s="142" t="str">
        <f>_xlfn.IFNA(VLOOKUP($BC213,Programma!$F$3:$Q$1101,12,0),"")</f>
        <v/>
      </c>
      <c r="BO213" s="142" t="str">
        <f>_xlfn.IFNA(VLOOKUP($BC213,Programma!$F$3:$R$1101,13,0),"")</f>
        <v/>
      </c>
      <c r="BP213" s="142" t="str">
        <f>_xlfn.IFNA(VLOOKUP($BC213,Programma!$F$3:$S$1101,14,0),"")</f>
        <v/>
      </c>
      <c r="BQ213" s="142" t="str">
        <f>_xlfn.IFNA(VLOOKUP($BC213,Programma!$F$3:$T$1101,15,0),"")</f>
        <v/>
      </c>
      <c r="BR213" s="142" t="str">
        <f>_xlfn.IFNA(VLOOKUP($BC213,Programma!$F$3:$U$1101,16,0),"")</f>
        <v/>
      </c>
      <c r="BS213" s="142" t="str">
        <f>_xlfn.IFNA(VLOOKUP($BC213,Programma!$F$3:$V$1101,17,0),"")</f>
        <v/>
      </c>
      <c r="BT213" s="142" t="str">
        <f>_xlfn.IFNA(VLOOKUP($BC213,Programma!$F$3:$W$1101,18,0),"")</f>
        <v/>
      </c>
      <c r="BU213" s="142" t="str">
        <f>_xlfn.IFNA(VLOOKUP($BC213,Programma!$F$3:$X$1101,19,0),"")</f>
        <v/>
      </c>
      <c r="BV213" s="142" t="str">
        <f>_xlfn.IFNA(VLOOKUP($BC213,Programma!$F$3:$Y$1101,20,0),"")</f>
        <v/>
      </c>
      <c r="BW213" s="28"/>
      <c r="BX213" s="28"/>
      <c r="BY213" s="28"/>
      <c r="BZ213" s="28"/>
      <c r="CA213" s="28"/>
      <c r="CB213" s="28"/>
      <c r="CC213" s="28"/>
      <c r="CD213" s="28"/>
      <c r="CE213" s="28"/>
      <c r="CF213" s="28"/>
      <c r="CG213" s="28"/>
      <c r="CH213" s="28"/>
      <c r="CI213" s="28"/>
      <c r="CJ213" s="28"/>
      <c r="CK213" s="28"/>
      <c r="CL213" s="28"/>
      <c r="CM213" s="28"/>
      <c r="CN213" s="28"/>
      <c r="CO213" s="28"/>
      <c r="CP213" s="28"/>
      <c r="CQ213" s="28"/>
      <c r="CR213" s="28"/>
      <c r="CS213" s="28"/>
      <c r="CT213" s="28"/>
      <c r="CU213" s="28"/>
      <c r="CV213" s="28"/>
      <c r="CW213" s="28"/>
      <c r="CX213" s="28"/>
      <c r="CY213" s="28"/>
      <c r="CZ213" s="28"/>
      <c r="DA213" s="28"/>
      <c r="DB213" s="28"/>
      <c r="DC213" s="28"/>
      <c r="DD213" s="28"/>
      <c r="DE213" s="28"/>
      <c r="DF213" s="28"/>
      <c r="DG213" s="28"/>
      <c r="DH213" s="28"/>
      <c r="DI213" s="28"/>
      <c r="DJ213" s="28"/>
      <c r="DK213" s="28"/>
      <c r="DL213" s="28"/>
      <c r="DM213" s="28"/>
      <c r="DN213" s="28"/>
      <c r="DO213" s="28"/>
      <c r="DP213" s="28"/>
      <c r="DQ213" s="28"/>
      <c r="DR213" s="28"/>
      <c r="DS213" s="28"/>
      <c r="DT213" s="28"/>
      <c r="DU213" s="28"/>
      <c r="DV213" s="28"/>
      <c r="DW213" s="28"/>
      <c r="DX213" s="28"/>
      <c r="DY213" s="28"/>
      <c r="DZ213" s="28"/>
      <c r="EA213" s="28"/>
      <c r="EB213" s="28"/>
      <c r="EC213" s="28"/>
      <c r="ED213" s="28"/>
      <c r="EE213" s="28"/>
      <c r="EF213" s="28"/>
      <c r="EG213" s="28"/>
      <c r="EH213" s="28"/>
      <c r="EI213" s="28"/>
      <c r="EJ213" s="28"/>
      <c r="EK213" s="28"/>
      <c r="EL213" s="28"/>
      <c r="EM213" s="28"/>
      <c r="EN213" s="28"/>
      <c r="EO213" s="28"/>
      <c r="EP213" s="28"/>
      <c r="EQ213" s="28"/>
      <c r="ER213" s="28"/>
      <c r="ES213" s="28"/>
      <c r="ET213" s="28"/>
      <c r="EU213" s="28"/>
      <c r="EV213" s="28"/>
      <c r="EW213" s="28"/>
      <c r="EX213" s="28"/>
      <c r="EY213" s="28"/>
      <c r="EZ213" s="28"/>
      <c r="FA213" s="28"/>
      <c r="FB213" s="28"/>
      <c r="FC213" s="28"/>
      <c r="FD213" s="28"/>
      <c r="FE213" s="28"/>
      <c r="FF213" s="28"/>
      <c r="FG213" s="28"/>
      <c r="FH213" s="28"/>
      <c r="FI213" s="28"/>
      <c r="FJ213" s="28"/>
      <c r="FK213" s="28"/>
      <c r="FL213" s="28"/>
      <c r="FM213" s="28"/>
      <c r="FN213" s="28"/>
      <c r="FO213" s="28"/>
      <c r="FP213" s="28"/>
      <c r="FQ213" s="28"/>
      <c r="FR213" s="28"/>
      <c r="FS213" s="28"/>
      <c r="FT213" s="28"/>
      <c r="FU213" s="28"/>
      <c r="FV213" s="28"/>
      <c r="FW213" s="28"/>
      <c r="FX213" s="28"/>
      <c r="FY213" s="28"/>
      <c r="FZ213" s="28"/>
      <c r="GA213" s="28"/>
      <c r="GB213" s="28"/>
      <c r="GC213" s="28"/>
      <c r="GD213" s="28"/>
      <c r="GE213" s="28"/>
      <c r="GF213" s="28"/>
      <c r="GG213" s="28"/>
      <c r="GH213" s="28"/>
      <c r="GI213" s="28"/>
      <c r="GJ213" s="28"/>
      <c r="GK213" s="28"/>
      <c r="GL213" s="28"/>
      <c r="GM213" s="28"/>
      <c r="GN213" s="28"/>
      <c r="GO213" s="28"/>
      <c r="GP213" s="28"/>
      <c r="GQ213" s="28"/>
      <c r="GR213" s="28"/>
      <c r="GS213" s="28"/>
      <c r="GT213" s="28"/>
      <c r="GU213" s="28"/>
      <c r="GV213" s="28"/>
      <c r="GW213" s="28"/>
      <c r="GX213" s="28"/>
      <c r="GY213" s="28"/>
      <c r="GZ213" s="28"/>
      <c r="HA213" s="28"/>
      <c r="HB213" s="28"/>
      <c r="HC213" s="28"/>
      <c r="HD213" s="28"/>
      <c r="HE213" s="28"/>
      <c r="HF213" s="28"/>
      <c r="HG213" s="28"/>
      <c r="HH213" s="28"/>
      <c r="HI213" s="28"/>
      <c r="HJ213" s="28"/>
      <c r="HK213" s="28"/>
    </row>
    <row r="214" spans="1:219" ht="15" customHeight="1">
      <c r="A214" s="49">
        <v>2</v>
      </c>
      <c r="B214" s="132" t="str">
        <f>VLOOKUP(Ruimtestaat[[#This Row],[Code]],Locaties[[Code]:[Locatie]],2,FALSE)</f>
        <v>Pauluskerk</v>
      </c>
      <c r="C214" s="132" t="str">
        <f>VLOOKUP(Ruimtestaat[[#This Row],[Code]],Locaties[[#All],[Code]:[Adres]],4,FALSE)</f>
        <v>Westdorplaan 122</v>
      </c>
      <c r="D214" s="132" t="str">
        <f>VLOOKUP(Ruimtestaat[[#This Row],[Code]],Locaties[[#All],[Code]:[Postcode]],5,FALSE)</f>
        <v>8101 BJ</v>
      </c>
      <c r="E214" s="132" t="str">
        <f>VLOOKUP(Ruimtestaat[[#This Row],[Code]],Locaties[#All],6,FALSE)</f>
        <v>Raalte</v>
      </c>
      <c r="F214" s="100"/>
      <c r="G214" s="100" t="s">
        <v>1675</v>
      </c>
      <c r="H214" s="49" t="s">
        <v>1711</v>
      </c>
      <c r="I214" s="140" t="s">
        <v>1737</v>
      </c>
      <c r="J214" s="49">
        <v>5</v>
      </c>
      <c r="K214" s="140" t="str">
        <f>VLOOKUP(Ruimtestaat[[#This Row],[Ruimte code]],Ruimtegroepen[[#All],[Code]:[Ruimte omschrijving]],2,FALSE)</f>
        <v>Sanitair</v>
      </c>
      <c r="L214" s="100" t="s">
        <v>101</v>
      </c>
      <c r="M214" s="345" t="s">
        <v>1642</v>
      </c>
      <c r="N214" s="133">
        <v>10.78</v>
      </c>
      <c r="O214" s="139"/>
      <c r="P214" s="134" t="str">
        <f>VLOOKUP(Ruimtestaat[[#This Row],[Ruimte code]],Ruimtegroepen[],4,FALSE)</f>
        <v>Sa</v>
      </c>
      <c r="Q214" s="100">
        <v>51</v>
      </c>
      <c r="R214" s="100" t="s">
        <v>2</v>
      </c>
      <c r="S214" s="100">
        <f>IF(Q214&gt;0,IF(RIGHT(Ruimtestaat[[#This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14" s="100">
        <f>IF(S214&gt;0,VLOOKUP($J214,Ruimtegroepen[],3,FALSE)*VLOOKUP($L214,Vloersoorten[],3,FALSE)*VLOOKUP($R214,Frequenties[],3,FALSE)*VLOOKUP($A214,Locaties[],3,FALSE),0)</f>
        <v>0</v>
      </c>
      <c r="U214" s="100">
        <f>Ruimtestaat[[#This Row],[Uitvoeringen werkdagen]]*Ruimtestaat[[#This Row],[Oppervlak (netto)]]</f>
        <v>2748.8999999999996</v>
      </c>
      <c r="V214" s="135">
        <f>IF(T214&gt;0,Ruimtestaat[[#This Row],[Prest. (m2 /jaar) werkdagen]]/Ruimtestaat[[#This Row],[Norm (m2/uur) werkdagen]],0)</f>
        <v>0</v>
      </c>
      <c r="W214" s="136">
        <f>Ruimtestaat[[#This Row],[uren / jaar werkdagen]]*Tariefsopbouw!$E$35</f>
        <v>0</v>
      </c>
      <c r="X214" s="100"/>
      <c r="Y214" s="100">
        <f>IF(Ruimtestaat[[#This Row],[Frequentie weekend]]&gt;0,VALUE(LEFT(X214,1))*Q214,0)</f>
        <v>0</v>
      </c>
      <c r="Z214" s="99">
        <f>IF($Y214&gt;0,VLOOKUP($J214,Ruimtegroepen[],3,FALSE)*VLOOKUP($L214,Vloersoorten[],3,FALSE)*VLOOKUP($X214,Frequenties[],3,FALSE)*VLOOKUP(Ruimtestaat[[#This Row],[Code]],Locaties[],3,FALSE),0)</f>
        <v>0</v>
      </c>
      <c r="AA214" s="99">
        <f>Ruimtestaat[[#This Row],[Uitvoeringen weekend]]*Ruimtestaat[[#This Row],[Oppervlak (netto)]]</f>
        <v>0</v>
      </c>
      <c r="AB214" s="99">
        <f>IF(Z214&gt;0,Ruimtestaat[[#This Row],[Prest. (m2 /jaar) weekend]]/Ruimtestaat[[#This Row],[Norm (m2/uur) weekend]],0)</f>
        <v>0</v>
      </c>
      <c r="AC214" s="136">
        <f>Ruimtestaat[[#This Row],[uren / jaar weekend]]*Tariefsopbouw!$D$40</f>
        <v>0</v>
      </c>
      <c r="AD214" s="135">
        <f>Ruimtestaat[[#This Row],[Prest. (m2 /jaar) weekend]]+Ruimtestaat[[#This Row],[Prest. (m2 /jaar) werkdagen]]</f>
        <v>2748.8999999999996</v>
      </c>
      <c r="AE214" s="135">
        <f>Ruimtestaat[[#This Row],[uren / jaar weekend]]+Ruimtestaat[[#This Row],[uren / jaar werkdagen]]</f>
        <v>0</v>
      </c>
      <c r="AF214" s="130">
        <f>Ruimtestaat[[#This Row],[kosten / jaar weekend]]+Ruimtestaat[[#This Row],[kosten / jaar werkdagen]]</f>
        <v>0</v>
      </c>
      <c r="AG214" s="130"/>
      <c r="AH214" s="137" t="str">
        <f>IF(Ruimtestaat[[#This Row],[Frequentie werkdagen]]="","",_xlfn.CONCAT(Ruimtestaat[[#This Row],[Ruimte code]],"-",Ruimtestaat[[#This Row],[Frequentie werkdagen]]," ",Ruimtestaat[[#This Row],[Vloer code]]))</f>
        <v>5-5w S</v>
      </c>
      <c r="AI214" s="142" t="str">
        <f>_xlfn.IFNA(VLOOKUP($AH214,Programma!$F$3:$G$1101,2,0),"")</f>
        <v>_</v>
      </c>
      <c r="AJ214" s="142" t="str">
        <f>_xlfn.IFNA(VLOOKUP($AH214,Programma!$F$3:$H$1101,3,0),"")</f>
        <v>_</v>
      </c>
      <c r="AK214" s="142" t="str">
        <f>_xlfn.IFNA(VLOOKUP($AH214,Programma!$F$3:$I$1101,4,0),"")</f>
        <v>_</v>
      </c>
      <c r="AL214" s="142" t="str">
        <f>_xlfn.IFNA(VLOOKUP($AH214,Programma!$F$3:$J$1101,5,0),"")</f>
        <v>4w</v>
      </c>
      <c r="AM214" s="142" t="str">
        <f>_xlfn.IFNA(VLOOKUP($AH214,Programma!$F$3:$K$1101,6,0),"")</f>
        <v>1w</v>
      </c>
      <c r="AN214" s="142" t="str">
        <f>_xlfn.IFNA(VLOOKUP($AH214,Programma!$F$3:$L$1101,7,0),"")</f>
        <v>_</v>
      </c>
      <c r="AO214" s="142" t="str">
        <f>_xlfn.IFNA(VLOOKUP($AH214,Programma!$F$3:$M$1101,8,0),"")</f>
        <v>_</v>
      </c>
      <c r="AP214" s="142" t="str">
        <f>_xlfn.IFNA(VLOOKUP($AH214,Programma!$F$3:$N$1101,9,0),"")</f>
        <v>_</v>
      </c>
      <c r="AQ214" s="142" t="str">
        <f>_xlfn.IFNA(VLOOKUP($AH214,Programma!$F$3:$O$1101,10,0),"")</f>
        <v>_</v>
      </c>
      <c r="AR214" s="142" t="str">
        <f>_xlfn.IFNA(VLOOKUP($AH214,Programma!$F$3:$P$1101,11,0),"")</f>
        <v>_</v>
      </c>
      <c r="AS214" s="142" t="str">
        <f>_xlfn.IFNA(VLOOKUP($AH214,Programma!$F$3:$Q$1101,12,0),"")</f>
        <v>_</v>
      </c>
      <c r="AT214" s="142" t="str">
        <f>_xlfn.IFNA(VLOOKUP($AH214,Programma!$F$3:$R$1101,13,0),"")</f>
        <v>_</v>
      </c>
      <c r="AU214" s="142" t="str">
        <f>_xlfn.IFNA(VLOOKUP($AH214,Programma!$F$3:$S$1101,14,0),"")</f>
        <v>_</v>
      </c>
      <c r="AV214" s="142" t="str">
        <f>_xlfn.IFNA(VLOOKUP($AH214,Programma!$F$3:$T$1101,15,0),"")</f>
        <v>_</v>
      </c>
      <c r="AW214" s="142" t="str">
        <f>_xlfn.IFNA(VLOOKUP($AH214,Programma!$F$3:$U$1101,16,0),"")</f>
        <v>_</v>
      </c>
      <c r="AX214" s="142" t="str">
        <f>_xlfn.IFNA(VLOOKUP($AH214,Programma!$F$3:$V$1101,17,0),"")</f>
        <v>_</v>
      </c>
      <c r="AY214" s="142" t="str">
        <f>_xlfn.IFNA(VLOOKUP($AH214,Programma!$F$3:$W$1101,18,0),"")</f>
        <v>4w</v>
      </c>
      <c r="AZ214" s="142" t="str">
        <f>_xlfn.IFNA(VLOOKUP($AH214,Programma!$F$3:$X$1101,19,0),"")</f>
        <v>1w</v>
      </c>
      <c r="BA214" s="142" t="str">
        <f>_xlfn.IFNA(VLOOKUP($AH214,Programma!$F$3:$Y$1101,20,0),"")</f>
        <v>_</v>
      </c>
      <c r="BB214" s="138"/>
      <c r="BC214" s="137" t="str">
        <f>IF(Ruimtestaat[[#This Row],[Frequentie weekend]]="","",_xlfn.CONCAT(Ruimtestaat[[#This Row],[Ruimte code]],"-",Ruimtestaat[[#This Row],[Frequentie weekend]]," ",Ruimtestaat[[#This Row],[Vloer code]]))</f>
        <v/>
      </c>
      <c r="BD214" s="142" t="str">
        <f>_xlfn.IFNA(VLOOKUP($BC214,Programma!$F$3:$G$1101,2,0),"")</f>
        <v/>
      </c>
      <c r="BE214" s="142" t="str">
        <f>_xlfn.IFNA(VLOOKUP($BC214,Programma!$F$3:$H$1101,3,0),"")</f>
        <v/>
      </c>
      <c r="BF214" s="142" t="str">
        <f>_xlfn.IFNA(VLOOKUP($BC214,Programma!$F$3:$I$1101,4,0),"")</f>
        <v/>
      </c>
      <c r="BG214" s="142" t="str">
        <f>_xlfn.IFNA(VLOOKUP($BC214,Programma!$F$3:$J$1101,5,0),"")</f>
        <v/>
      </c>
      <c r="BH214" s="142" t="str">
        <f>_xlfn.IFNA(VLOOKUP($BC214,Programma!$F$3:$K$1101,6,0),"")</f>
        <v/>
      </c>
      <c r="BI214" s="142" t="str">
        <f>_xlfn.IFNA(VLOOKUP($BC214,Programma!$F$3:$L$1101,7,0),"")</f>
        <v/>
      </c>
      <c r="BJ214" s="142" t="str">
        <f>_xlfn.IFNA(VLOOKUP($BC214,Programma!$F$3:$M$1101,8,0),"")</f>
        <v/>
      </c>
      <c r="BK214" s="142" t="str">
        <f>_xlfn.IFNA(VLOOKUP($BC214,Programma!$F$3:$N$1101,9,0),"")</f>
        <v/>
      </c>
      <c r="BL214" s="142" t="str">
        <f>_xlfn.IFNA(VLOOKUP($BC214,Programma!$F$3:$O$1101,10,0),"")</f>
        <v/>
      </c>
      <c r="BM214" s="142" t="str">
        <f>_xlfn.IFNA(VLOOKUP($BC214,Programma!$F$3:$P$1101,11,0),"")</f>
        <v/>
      </c>
      <c r="BN214" s="142" t="str">
        <f>_xlfn.IFNA(VLOOKUP($BC214,Programma!$F$3:$Q$1101,12,0),"")</f>
        <v/>
      </c>
      <c r="BO214" s="142" t="str">
        <f>_xlfn.IFNA(VLOOKUP($BC214,Programma!$F$3:$R$1101,13,0),"")</f>
        <v/>
      </c>
      <c r="BP214" s="142" t="str">
        <f>_xlfn.IFNA(VLOOKUP($BC214,Programma!$F$3:$S$1101,14,0),"")</f>
        <v/>
      </c>
      <c r="BQ214" s="142" t="str">
        <f>_xlfn.IFNA(VLOOKUP($BC214,Programma!$F$3:$T$1101,15,0),"")</f>
        <v/>
      </c>
      <c r="BR214" s="142" t="str">
        <f>_xlfn.IFNA(VLOOKUP($BC214,Programma!$F$3:$U$1101,16,0),"")</f>
        <v/>
      </c>
      <c r="BS214" s="142" t="str">
        <f>_xlfn.IFNA(VLOOKUP($BC214,Programma!$F$3:$V$1101,17,0),"")</f>
        <v/>
      </c>
      <c r="BT214" s="142" t="str">
        <f>_xlfn.IFNA(VLOOKUP($BC214,Programma!$F$3:$W$1101,18,0),"")</f>
        <v/>
      </c>
      <c r="BU214" s="142" t="str">
        <f>_xlfn.IFNA(VLOOKUP($BC214,Programma!$F$3:$X$1101,19,0),"")</f>
        <v/>
      </c>
      <c r="BV214" s="142" t="str">
        <f>_xlfn.IFNA(VLOOKUP($BC214,Programma!$F$3:$Y$1101,20,0),"")</f>
        <v/>
      </c>
      <c r="BW214" s="28"/>
      <c r="BX214" s="28"/>
      <c r="BY214" s="28"/>
      <c r="BZ214" s="28"/>
      <c r="CA214" s="28"/>
      <c r="CB214" s="28"/>
      <c r="CC214" s="28"/>
      <c r="CD214" s="28"/>
      <c r="CE214" s="28"/>
      <c r="CF214" s="28"/>
      <c r="CG214" s="28"/>
      <c r="CH214" s="28"/>
      <c r="CI214" s="28"/>
      <c r="CJ214" s="28"/>
      <c r="CK214" s="28"/>
      <c r="CL214" s="28"/>
      <c r="CM214" s="28"/>
      <c r="CN214" s="28"/>
      <c r="CO214" s="28"/>
      <c r="CP214" s="28"/>
      <c r="CQ214" s="28"/>
      <c r="CR214" s="28"/>
      <c r="CS214" s="28"/>
      <c r="CT214" s="28"/>
      <c r="CU214" s="28"/>
      <c r="CV214" s="28"/>
      <c r="CW214" s="28"/>
      <c r="CX214" s="28"/>
      <c r="CY214" s="28"/>
      <c r="CZ214" s="28"/>
      <c r="DA214" s="28"/>
      <c r="DB214" s="28"/>
      <c r="DC214" s="28"/>
      <c r="DD214" s="28"/>
      <c r="DE214" s="28"/>
      <c r="DF214" s="28"/>
      <c r="DG214" s="28"/>
      <c r="DH214" s="28"/>
      <c r="DI214" s="28"/>
      <c r="DJ214" s="28"/>
      <c r="DK214" s="28"/>
      <c r="DL214" s="28"/>
      <c r="DM214" s="28"/>
      <c r="DN214" s="28"/>
      <c r="DO214" s="28"/>
      <c r="DP214" s="28"/>
      <c r="DQ214" s="28"/>
      <c r="DR214" s="28"/>
      <c r="DS214" s="28"/>
      <c r="DT214" s="28"/>
      <c r="DU214" s="28"/>
      <c r="DV214" s="28"/>
      <c r="DW214" s="28"/>
      <c r="DX214" s="28"/>
      <c r="DY214" s="28"/>
      <c r="DZ214" s="28"/>
      <c r="EA214" s="28"/>
      <c r="EB214" s="28"/>
      <c r="EC214" s="28"/>
      <c r="ED214" s="28"/>
      <c r="EE214" s="28"/>
      <c r="EF214" s="28"/>
      <c r="EG214" s="28"/>
      <c r="EH214" s="28"/>
      <c r="EI214" s="28"/>
      <c r="EJ214" s="28"/>
      <c r="EK214" s="28"/>
      <c r="EL214" s="28"/>
      <c r="EM214" s="28"/>
      <c r="EN214" s="28"/>
      <c r="EO214" s="28"/>
      <c r="EP214" s="28"/>
      <c r="EQ214" s="28"/>
      <c r="ER214" s="28"/>
      <c r="ES214" s="28"/>
      <c r="ET214" s="28"/>
      <c r="EU214" s="28"/>
      <c r="EV214" s="28"/>
      <c r="EW214" s="28"/>
      <c r="EX214" s="28"/>
      <c r="EY214" s="28"/>
      <c r="EZ214" s="28"/>
      <c r="FA214" s="28"/>
      <c r="FB214" s="28"/>
      <c r="FC214" s="28"/>
      <c r="FD214" s="28"/>
      <c r="FE214" s="28"/>
      <c r="FF214" s="28"/>
      <c r="FG214" s="28"/>
      <c r="FH214" s="28"/>
      <c r="FI214" s="28"/>
      <c r="FJ214" s="28"/>
      <c r="FK214" s="28"/>
      <c r="FL214" s="28"/>
      <c r="FM214" s="28"/>
      <c r="FN214" s="28"/>
      <c r="FO214" s="28"/>
      <c r="FP214" s="28"/>
      <c r="FQ214" s="28"/>
      <c r="FR214" s="28"/>
      <c r="FS214" s="28"/>
      <c r="FT214" s="28"/>
      <c r="FU214" s="28"/>
      <c r="FV214" s="28"/>
      <c r="FW214" s="28"/>
      <c r="FX214" s="28"/>
      <c r="FY214" s="28"/>
      <c r="FZ214" s="28"/>
      <c r="GA214" s="28"/>
      <c r="GB214" s="28"/>
      <c r="GC214" s="28"/>
      <c r="GD214" s="28"/>
      <c r="GE214" s="28"/>
      <c r="GF214" s="28"/>
      <c r="GG214" s="28"/>
      <c r="GH214" s="28"/>
      <c r="GI214" s="28"/>
      <c r="GJ214" s="28"/>
      <c r="GK214" s="28"/>
      <c r="GL214" s="28"/>
      <c r="GM214" s="28"/>
      <c r="GN214" s="28"/>
      <c r="GO214" s="28"/>
      <c r="GP214" s="28"/>
      <c r="GQ214" s="28"/>
      <c r="GR214" s="28"/>
      <c r="GS214" s="28"/>
      <c r="GT214" s="28"/>
      <c r="GU214" s="28"/>
      <c r="GV214" s="28"/>
      <c r="GW214" s="28"/>
      <c r="GX214" s="28"/>
      <c r="GY214" s="28"/>
      <c r="GZ214" s="28"/>
      <c r="HA214" s="28"/>
      <c r="HB214" s="28"/>
      <c r="HC214" s="28"/>
      <c r="HD214" s="28"/>
      <c r="HE214" s="28"/>
      <c r="HF214" s="28"/>
      <c r="HG214" s="28"/>
      <c r="HH214" s="28"/>
      <c r="HI214" s="28"/>
      <c r="HJ214" s="28"/>
      <c r="HK214" s="28"/>
    </row>
    <row r="215" spans="1:219" ht="15" customHeight="1">
      <c r="A215" s="49">
        <v>2</v>
      </c>
      <c r="B215" s="132" t="str">
        <f>VLOOKUP(Ruimtestaat[[#This Row],[Code]],Locaties[[Code]:[Locatie]],2,FALSE)</f>
        <v>Pauluskerk</v>
      </c>
      <c r="C215" s="132" t="str">
        <f>VLOOKUP(Ruimtestaat[[#This Row],[Code]],Locaties[[#All],[Code]:[Adres]],4,FALSE)</f>
        <v>Westdorplaan 122</v>
      </c>
      <c r="D215" s="132" t="str">
        <f>VLOOKUP(Ruimtestaat[[#This Row],[Code]],Locaties[[#All],[Code]:[Postcode]],5,FALSE)</f>
        <v>8101 BJ</v>
      </c>
      <c r="E215" s="132" t="str">
        <f>VLOOKUP(Ruimtestaat[[#This Row],[Code]],Locaties[#All],6,FALSE)</f>
        <v>Raalte</v>
      </c>
      <c r="F215" s="100"/>
      <c r="G215" s="100" t="s">
        <v>1675</v>
      </c>
      <c r="H215" s="49" t="s">
        <v>1712</v>
      </c>
      <c r="I215" s="140" t="s">
        <v>1738</v>
      </c>
      <c r="J215" s="49">
        <v>20</v>
      </c>
      <c r="K215" s="140" t="str">
        <f>VLOOKUP(Ruimtestaat[[#This Row],[Ruimte code]],Ruimtegroepen[[#All],[Code]:[Ruimte omschrijving]],2,FALSE)</f>
        <v>Niet in Onderhoud</v>
      </c>
      <c r="L215" s="100"/>
      <c r="M215" s="345"/>
      <c r="N215" s="133"/>
      <c r="O215" s="139">
        <v>102.49</v>
      </c>
      <c r="P215" s="134">
        <f>VLOOKUP(Ruimtestaat[[#This Row],[Ruimte code]],Ruimtegroepen[],4,FALSE)</f>
        <v>0</v>
      </c>
      <c r="Q215" s="100"/>
      <c r="R215" s="100"/>
      <c r="S215" s="100">
        <f>IF(Q215&gt;0,IF(RIGHT(Ruimtestaat[[#This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15" s="100">
        <f>IF(S215&gt;0,VLOOKUP($J215,Ruimtegroepen[],3,FALSE)*VLOOKUP($L215,Vloersoorten[],3,FALSE)*VLOOKUP($R215,Frequenties[],3,FALSE)*VLOOKUP($A215,Locaties[],3,FALSE),0)</f>
        <v>0</v>
      </c>
      <c r="U215" s="100">
        <f>Ruimtestaat[[#This Row],[Uitvoeringen werkdagen]]*Ruimtestaat[[#This Row],[Oppervlak (netto)]]</f>
        <v>0</v>
      </c>
      <c r="V215" s="135">
        <f>IF(T215&gt;0,Ruimtestaat[[#This Row],[Prest. (m2 /jaar) werkdagen]]/Ruimtestaat[[#This Row],[Norm (m2/uur) werkdagen]],0)</f>
        <v>0</v>
      </c>
      <c r="W215" s="136">
        <f>Ruimtestaat[[#This Row],[uren / jaar werkdagen]]*Tariefsopbouw!$E$35</f>
        <v>0</v>
      </c>
      <c r="X215" s="100"/>
      <c r="Y215" s="100">
        <f>IF(Ruimtestaat[[#This Row],[Frequentie weekend]]&gt;0,VALUE(LEFT(X215,1))*Q215,0)</f>
        <v>0</v>
      </c>
      <c r="Z215" s="99">
        <f>IF($Y215&gt;0,VLOOKUP($J215,Ruimtegroepen[],3,FALSE)*VLOOKUP($L215,Vloersoorten[],3,FALSE)*VLOOKUP($X215,Frequenties[],3,FALSE)*VLOOKUP(Ruimtestaat[[#This Row],[Code]],Locaties[],3,FALSE),0)</f>
        <v>0</v>
      </c>
      <c r="AA215" s="99">
        <f>Ruimtestaat[[#This Row],[Uitvoeringen weekend]]*Ruimtestaat[[#This Row],[Oppervlak (netto)]]</f>
        <v>0</v>
      </c>
      <c r="AB215" s="99">
        <f>IF(Z215&gt;0,Ruimtestaat[[#This Row],[Prest. (m2 /jaar) weekend]]/Ruimtestaat[[#This Row],[Norm (m2/uur) weekend]],0)</f>
        <v>0</v>
      </c>
      <c r="AC215" s="136">
        <f>Ruimtestaat[[#This Row],[uren / jaar weekend]]*Tariefsopbouw!$D$40</f>
        <v>0</v>
      </c>
      <c r="AD215" s="135">
        <f>Ruimtestaat[[#This Row],[Prest. (m2 /jaar) weekend]]+Ruimtestaat[[#This Row],[Prest. (m2 /jaar) werkdagen]]</f>
        <v>0</v>
      </c>
      <c r="AE215" s="135">
        <f>Ruimtestaat[[#This Row],[uren / jaar weekend]]+Ruimtestaat[[#This Row],[uren / jaar werkdagen]]</f>
        <v>0</v>
      </c>
      <c r="AF215" s="130">
        <f>Ruimtestaat[[#This Row],[kosten / jaar weekend]]+Ruimtestaat[[#This Row],[kosten / jaar werkdagen]]</f>
        <v>0</v>
      </c>
      <c r="AG215" s="130"/>
      <c r="AH215" s="137" t="str">
        <f>IF(Ruimtestaat[[#This Row],[Frequentie werkdagen]]="","",_xlfn.CONCAT(Ruimtestaat[[#This Row],[Ruimte code]],"-",Ruimtestaat[[#This Row],[Frequentie werkdagen]]," ",Ruimtestaat[[#This Row],[Vloer code]]))</f>
        <v/>
      </c>
      <c r="AI215" s="142" t="str">
        <f>_xlfn.IFNA(VLOOKUP($AH215,Programma!$F$3:$G$1101,2,0),"")</f>
        <v/>
      </c>
      <c r="AJ215" s="142" t="str">
        <f>_xlfn.IFNA(VLOOKUP($AH215,Programma!$F$3:$H$1101,3,0),"")</f>
        <v/>
      </c>
      <c r="AK215" s="142" t="str">
        <f>_xlfn.IFNA(VLOOKUP($AH215,Programma!$F$3:$I$1101,4,0),"")</f>
        <v/>
      </c>
      <c r="AL215" s="142" t="str">
        <f>_xlfn.IFNA(VLOOKUP($AH215,Programma!$F$3:$J$1101,5,0),"")</f>
        <v/>
      </c>
      <c r="AM215" s="142" t="str">
        <f>_xlfn.IFNA(VLOOKUP($AH215,Programma!$F$3:$K$1101,6,0),"")</f>
        <v/>
      </c>
      <c r="AN215" s="142" t="str">
        <f>_xlfn.IFNA(VLOOKUP($AH215,Programma!$F$3:$L$1101,7,0),"")</f>
        <v/>
      </c>
      <c r="AO215" s="142" t="str">
        <f>_xlfn.IFNA(VLOOKUP($AH215,Programma!$F$3:$M$1101,8,0),"")</f>
        <v/>
      </c>
      <c r="AP215" s="142" t="str">
        <f>_xlfn.IFNA(VLOOKUP($AH215,Programma!$F$3:$N$1101,9,0),"")</f>
        <v/>
      </c>
      <c r="AQ215" s="142" t="str">
        <f>_xlfn.IFNA(VLOOKUP($AH215,Programma!$F$3:$O$1101,10,0),"")</f>
        <v/>
      </c>
      <c r="AR215" s="142" t="str">
        <f>_xlfn.IFNA(VLOOKUP($AH215,Programma!$F$3:$P$1101,11,0),"")</f>
        <v/>
      </c>
      <c r="AS215" s="142" t="str">
        <f>_xlfn.IFNA(VLOOKUP($AH215,Programma!$F$3:$Q$1101,12,0),"")</f>
        <v/>
      </c>
      <c r="AT215" s="142" t="str">
        <f>_xlfn.IFNA(VLOOKUP($AH215,Programma!$F$3:$R$1101,13,0),"")</f>
        <v/>
      </c>
      <c r="AU215" s="142" t="str">
        <f>_xlfn.IFNA(VLOOKUP($AH215,Programma!$F$3:$S$1101,14,0),"")</f>
        <v/>
      </c>
      <c r="AV215" s="142" t="str">
        <f>_xlfn.IFNA(VLOOKUP($AH215,Programma!$F$3:$T$1101,15,0),"")</f>
        <v/>
      </c>
      <c r="AW215" s="142" t="str">
        <f>_xlfn.IFNA(VLOOKUP($AH215,Programma!$F$3:$U$1101,16,0),"")</f>
        <v/>
      </c>
      <c r="AX215" s="142" t="str">
        <f>_xlfn.IFNA(VLOOKUP($AH215,Programma!$F$3:$V$1101,17,0),"")</f>
        <v/>
      </c>
      <c r="AY215" s="142" t="str">
        <f>_xlfn.IFNA(VLOOKUP($AH215,Programma!$F$3:$W$1101,18,0),"")</f>
        <v/>
      </c>
      <c r="AZ215" s="142" t="str">
        <f>_xlfn.IFNA(VLOOKUP($AH215,Programma!$F$3:$X$1101,19,0),"")</f>
        <v/>
      </c>
      <c r="BA215" s="142" t="str">
        <f>_xlfn.IFNA(VLOOKUP($AH215,Programma!$F$3:$Y$1101,20,0),"")</f>
        <v/>
      </c>
      <c r="BB215" s="138"/>
      <c r="BC215" s="137" t="str">
        <f>IF(Ruimtestaat[[#This Row],[Frequentie weekend]]="","",_xlfn.CONCAT(Ruimtestaat[[#This Row],[Ruimte code]],"-",Ruimtestaat[[#This Row],[Frequentie weekend]]," ",Ruimtestaat[[#This Row],[Vloer code]]))</f>
        <v/>
      </c>
      <c r="BD215" s="142" t="str">
        <f>_xlfn.IFNA(VLOOKUP($BC215,Programma!$F$3:$G$1101,2,0),"")</f>
        <v/>
      </c>
      <c r="BE215" s="142" t="str">
        <f>_xlfn.IFNA(VLOOKUP($BC215,Programma!$F$3:$H$1101,3,0),"")</f>
        <v/>
      </c>
      <c r="BF215" s="142" t="str">
        <f>_xlfn.IFNA(VLOOKUP($BC215,Programma!$F$3:$I$1101,4,0),"")</f>
        <v/>
      </c>
      <c r="BG215" s="142" t="str">
        <f>_xlfn.IFNA(VLOOKUP($BC215,Programma!$F$3:$J$1101,5,0),"")</f>
        <v/>
      </c>
      <c r="BH215" s="142" t="str">
        <f>_xlfn.IFNA(VLOOKUP($BC215,Programma!$F$3:$K$1101,6,0),"")</f>
        <v/>
      </c>
      <c r="BI215" s="142" t="str">
        <f>_xlfn.IFNA(VLOOKUP($BC215,Programma!$F$3:$L$1101,7,0),"")</f>
        <v/>
      </c>
      <c r="BJ215" s="142" t="str">
        <f>_xlfn.IFNA(VLOOKUP($BC215,Programma!$F$3:$M$1101,8,0),"")</f>
        <v/>
      </c>
      <c r="BK215" s="142" t="str">
        <f>_xlfn.IFNA(VLOOKUP($BC215,Programma!$F$3:$N$1101,9,0),"")</f>
        <v/>
      </c>
      <c r="BL215" s="142" t="str">
        <f>_xlfn.IFNA(VLOOKUP($BC215,Programma!$F$3:$O$1101,10,0),"")</f>
        <v/>
      </c>
      <c r="BM215" s="142" t="str">
        <f>_xlfn.IFNA(VLOOKUP($BC215,Programma!$F$3:$P$1101,11,0),"")</f>
        <v/>
      </c>
      <c r="BN215" s="142" t="str">
        <f>_xlfn.IFNA(VLOOKUP($BC215,Programma!$F$3:$Q$1101,12,0),"")</f>
        <v/>
      </c>
      <c r="BO215" s="142" t="str">
        <f>_xlfn.IFNA(VLOOKUP($BC215,Programma!$F$3:$R$1101,13,0),"")</f>
        <v/>
      </c>
      <c r="BP215" s="142" t="str">
        <f>_xlfn.IFNA(VLOOKUP($BC215,Programma!$F$3:$S$1101,14,0),"")</f>
        <v/>
      </c>
      <c r="BQ215" s="142" t="str">
        <f>_xlfn.IFNA(VLOOKUP($BC215,Programma!$F$3:$T$1101,15,0),"")</f>
        <v/>
      </c>
      <c r="BR215" s="142" t="str">
        <f>_xlfn.IFNA(VLOOKUP($BC215,Programma!$F$3:$U$1101,16,0),"")</f>
        <v/>
      </c>
      <c r="BS215" s="142" t="str">
        <f>_xlfn.IFNA(VLOOKUP($BC215,Programma!$F$3:$V$1101,17,0),"")</f>
        <v/>
      </c>
      <c r="BT215" s="142" t="str">
        <f>_xlfn.IFNA(VLOOKUP($BC215,Programma!$F$3:$W$1101,18,0),"")</f>
        <v/>
      </c>
      <c r="BU215" s="142" t="str">
        <f>_xlfn.IFNA(VLOOKUP($BC215,Programma!$F$3:$X$1101,19,0),"")</f>
        <v/>
      </c>
      <c r="BV215" s="142" t="str">
        <f>_xlfn.IFNA(VLOOKUP($BC215,Programma!$F$3:$Y$1101,20,0),"")</f>
        <v/>
      </c>
      <c r="BW215" s="28"/>
      <c r="BX215" s="28"/>
      <c r="BY215" s="28"/>
      <c r="BZ215" s="28"/>
      <c r="CA215" s="28"/>
      <c r="CB215" s="28"/>
      <c r="CC215" s="28"/>
      <c r="CD215" s="28"/>
      <c r="CE215" s="28"/>
      <c r="CF215" s="28"/>
      <c r="CG215" s="28"/>
      <c r="CH215" s="28"/>
      <c r="CI215" s="28"/>
      <c r="CJ215" s="28"/>
      <c r="CK215" s="28"/>
      <c r="CL215" s="28"/>
      <c r="CM215" s="28"/>
      <c r="CN215" s="28"/>
      <c r="CO215" s="28"/>
      <c r="CP215" s="28"/>
      <c r="CQ215" s="28"/>
      <c r="CR215" s="28"/>
      <c r="CS215" s="28"/>
      <c r="CT215" s="28"/>
      <c r="CU215" s="28"/>
      <c r="CV215" s="28"/>
      <c r="CW215" s="28"/>
      <c r="CX215" s="28"/>
      <c r="CY215" s="28"/>
      <c r="CZ215" s="28"/>
      <c r="DA215" s="28"/>
      <c r="DB215" s="28"/>
      <c r="DC215" s="28"/>
      <c r="DD215" s="28"/>
      <c r="DE215" s="28"/>
      <c r="DF215" s="28"/>
      <c r="DG215" s="28"/>
      <c r="DH215" s="28"/>
      <c r="DI215" s="28"/>
      <c r="DJ215" s="28"/>
      <c r="DK215" s="28"/>
      <c r="DL215" s="28"/>
      <c r="DM215" s="28"/>
      <c r="DN215" s="28"/>
      <c r="DO215" s="28"/>
      <c r="DP215" s="28"/>
      <c r="DQ215" s="28"/>
      <c r="DR215" s="28"/>
      <c r="DS215" s="28"/>
      <c r="DT215" s="28"/>
      <c r="DU215" s="28"/>
      <c r="DV215" s="28"/>
      <c r="DW215" s="28"/>
      <c r="DX215" s="28"/>
      <c r="DY215" s="28"/>
      <c r="DZ215" s="28"/>
      <c r="EA215" s="28"/>
      <c r="EB215" s="28"/>
      <c r="EC215" s="28"/>
      <c r="ED215" s="28"/>
      <c r="EE215" s="28"/>
      <c r="EF215" s="28"/>
      <c r="EG215" s="28"/>
      <c r="EH215" s="28"/>
      <c r="EI215" s="28"/>
      <c r="EJ215" s="28"/>
      <c r="EK215" s="28"/>
      <c r="EL215" s="28"/>
      <c r="EM215" s="28"/>
      <c r="EN215" s="28"/>
      <c r="EO215" s="28"/>
      <c r="EP215" s="28"/>
      <c r="EQ215" s="28"/>
      <c r="ER215" s="28"/>
      <c r="ES215" s="28"/>
      <c r="ET215" s="28"/>
      <c r="EU215" s="28"/>
      <c r="EV215" s="28"/>
      <c r="EW215" s="28"/>
      <c r="EX215" s="28"/>
      <c r="EY215" s="28"/>
      <c r="EZ215" s="28"/>
      <c r="FA215" s="28"/>
      <c r="FB215" s="28"/>
      <c r="FC215" s="28"/>
      <c r="FD215" s="28"/>
      <c r="FE215" s="28"/>
      <c r="FF215" s="28"/>
      <c r="FG215" s="28"/>
      <c r="FH215" s="28"/>
      <c r="FI215" s="28"/>
      <c r="FJ215" s="28"/>
      <c r="FK215" s="28"/>
      <c r="FL215" s="28"/>
      <c r="FM215" s="28"/>
      <c r="FN215" s="28"/>
      <c r="FO215" s="28"/>
      <c r="FP215" s="28"/>
      <c r="FQ215" s="28"/>
      <c r="FR215" s="28"/>
      <c r="FS215" s="28"/>
      <c r="FT215" s="28"/>
      <c r="FU215" s="28"/>
      <c r="FV215" s="28"/>
      <c r="FW215" s="28"/>
      <c r="FX215" s="28"/>
      <c r="FY215" s="28"/>
      <c r="FZ215" s="28"/>
      <c r="GA215" s="28"/>
      <c r="GB215" s="28"/>
      <c r="GC215" s="28"/>
      <c r="GD215" s="28"/>
      <c r="GE215" s="28"/>
      <c r="GF215" s="28"/>
      <c r="GG215" s="28"/>
      <c r="GH215" s="28"/>
      <c r="GI215" s="28"/>
      <c r="GJ215" s="28"/>
      <c r="GK215" s="28"/>
      <c r="GL215" s="28"/>
      <c r="GM215" s="28"/>
      <c r="GN215" s="28"/>
      <c r="GO215" s="28"/>
      <c r="GP215" s="28"/>
      <c r="GQ215" s="28"/>
      <c r="GR215" s="28"/>
      <c r="GS215" s="28"/>
      <c r="GT215" s="28"/>
      <c r="GU215" s="28"/>
      <c r="GV215" s="28"/>
      <c r="GW215" s="28"/>
      <c r="GX215" s="28"/>
      <c r="GY215" s="28"/>
      <c r="GZ215" s="28"/>
      <c r="HA215" s="28"/>
      <c r="HB215" s="28"/>
      <c r="HC215" s="28"/>
      <c r="HD215" s="28"/>
      <c r="HE215" s="28"/>
      <c r="HF215" s="28"/>
      <c r="HG215" s="28"/>
      <c r="HH215" s="28"/>
      <c r="HI215" s="28"/>
      <c r="HJ215" s="28"/>
      <c r="HK215" s="28"/>
    </row>
    <row r="216" spans="1:219" ht="15" customHeight="1">
      <c r="A216" s="49">
        <v>2</v>
      </c>
      <c r="B216" s="132" t="str">
        <f>VLOOKUP(Ruimtestaat[[#This Row],[Code]],Locaties[[Code]:[Locatie]],2,FALSE)</f>
        <v>Pauluskerk</v>
      </c>
      <c r="C216" s="132" t="str">
        <f>VLOOKUP(Ruimtestaat[[#This Row],[Code]],Locaties[[#All],[Code]:[Adres]],4,FALSE)</f>
        <v>Westdorplaan 122</v>
      </c>
      <c r="D216" s="132" t="str">
        <f>VLOOKUP(Ruimtestaat[[#This Row],[Code]],Locaties[[#All],[Code]:[Postcode]],5,FALSE)</f>
        <v>8101 BJ</v>
      </c>
      <c r="E216" s="132" t="str">
        <f>VLOOKUP(Ruimtestaat[[#This Row],[Code]],Locaties[#All],6,FALSE)</f>
        <v>Raalte</v>
      </c>
      <c r="F216" s="100"/>
      <c r="G216" s="100" t="s">
        <v>1675</v>
      </c>
      <c r="H216" s="49" t="s">
        <v>1713</v>
      </c>
      <c r="I216" s="140" t="s">
        <v>1640</v>
      </c>
      <c r="J216" s="49">
        <v>20</v>
      </c>
      <c r="K216" s="140" t="str">
        <f>VLOOKUP(Ruimtestaat[[#This Row],[Ruimte code]],Ruimtegroepen[[#All],[Code]:[Ruimte omschrijving]],2,FALSE)</f>
        <v>Niet in Onderhoud</v>
      </c>
      <c r="L216" s="100"/>
      <c r="M216" s="345"/>
      <c r="N216" s="133"/>
      <c r="O216" s="139">
        <v>16.98</v>
      </c>
      <c r="P216" s="134">
        <f>VLOOKUP(Ruimtestaat[[#This Row],[Ruimte code]],Ruimtegroepen[],4,FALSE)</f>
        <v>0</v>
      </c>
      <c r="Q216" s="100"/>
      <c r="R216" s="100"/>
      <c r="S216" s="100">
        <f>IF(Q216&gt;0,IF(RIGHT(Ruimtestaat[[#This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16" s="100">
        <f>IF(S216&gt;0,VLOOKUP($J216,Ruimtegroepen[],3,FALSE)*VLOOKUP($L216,Vloersoorten[],3,FALSE)*VLOOKUP($R216,Frequenties[],3,FALSE)*VLOOKUP($A216,Locaties[],3,FALSE),0)</f>
        <v>0</v>
      </c>
      <c r="U216" s="100">
        <f>Ruimtestaat[[#This Row],[Uitvoeringen werkdagen]]*Ruimtestaat[[#This Row],[Oppervlak (netto)]]</f>
        <v>0</v>
      </c>
      <c r="V216" s="135">
        <f>IF(T216&gt;0,Ruimtestaat[[#This Row],[Prest. (m2 /jaar) werkdagen]]/Ruimtestaat[[#This Row],[Norm (m2/uur) werkdagen]],0)</f>
        <v>0</v>
      </c>
      <c r="W216" s="136">
        <f>Ruimtestaat[[#This Row],[uren / jaar werkdagen]]*Tariefsopbouw!$E$35</f>
        <v>0</v>
      </c>
      <c r="X216" s="100"/>
      <c r="Y216" s="100">
        <f>IF(Ruimtestaat[[#This Row],[Frequentie weekend]]&gt;0,VALUE(LEFT(X216,1))*Q216,0)</f>
        <v>0</v>
      </c>
      <c r="Z216" s="99">
        <f>IF($Y216&gt;0,VLOOKUP($J216,Ruimtegroepen[],3,FALSE)*VLOOKUP($L216,Vloersoorten[],3,FALSE)*VLOOKUP($X216,Frequenties[],3,FALSE)*VLOOKUP(Ruimtestaat[[#This Row],[Code]],Locaties[],3,FALSE),0)</f>
        <v>0</v>
      </c>
      <c r="AA216" s="99">
        <f>Ruimtestaat[[#This Row],[Uitvoeringen weekend]]*Ruimtestaat[[#This Row],[Oppervlak (netto)]]</f>
        <v>0</v>
      </c>
      <c r="AB216" s="99">
        <f>IF(Z216&gt;0,Ruimtestaat[[#This Row],[Prest. (m2 /jaar) weekend]]/Ruimtestaat[[#This Row],[Norm (m2/uur) weekend]],0)</f>
        <v>0</v>
      </c>
      <c r="AC216" s="136">
        <f>Ruimtestaat[[#This Row],[uren / jaar weekend]]*Tariefsopbouw!$D$40</f>
        <v>0</v>
      </c>
      <c r="AD216" s="135">
        <f>Ruimtestaat[[#This Row],[Prest. (m2 /jaar) weekend]]+Ruimtestaat[[#This Row],[Prest. (m2 /jaar) werkdagen]]</f>
        <v>0</v>
      </c>
      <c r="AE216" s="135">
        <f>Ruimtestaat[[#This Row],[uren / jaar weekend]]+Ruimtestaat[[#This Row],[uren / jaar werkdagen]]</f>
        <v>0</v>
      </c>
      <c r="AF216" s="130">
        <f>Ruimtestaat[[#This Row],[kosten / jaar weekend]]+Ruimtestaat[[#This Row],[kosten / jaar werkdagen]]</f>
        <v>0</v>
      </c>
      <c r="AG216" s="130"/>
      <c r="AH216" s="137" t="str">
        <f>IF(Ruimtestaat[[#This Row],[Frequentie werkdagen]]="","",_xlfn.CONCAT(Ruimtestaat[[#This Row],[Ruimte code]],"-",Ruimtestaat[[#This Row],[Frequentie werkdagen]]," ",Ruimtestaat[[#This Row],[Vloer code]]))</f>
        <v/>
      </c>
      <c r="AI216" s="142" t="str">
        <f>_xlfn.IFNA(VLOOKUP($AH216,Programma!$F$3:$G$1101,2,0),"")</f>
        <v/>
      </c>
      <c r="AJ216" s="142" t="str">
        <f>_xlfn.IFNA(VLOOKUP($AH216,Programma!$F$3:$H$1101,3,0),"")</f>
        <v/>
      </c>
      <c r="AK216" s="142" t="str">
        <f>_xlfn.IFNA(VLOOKUP($AH216,Programma!$F$3:$I$1101,4,0),"")</f>
        <v/>
      </c>
      <c r="AL216" s="142" t="str">
        <f>_xlfn.IFNA(VLOOKUP($AH216,Programma!$F$3:$J$1101,5,0),"")</f>
        <v/>
      </c>
      <c r="AM216" s="142" t="str">
        <f>_xlfn.IFNA(VLOOKUP($AH216,Programma!$F$3:$K$1101,6,0),"")</f>
        <v/>
      </c>
      <c r="AN216" s="142" t="str">
        <f>_xlfn.IFNA(VLOOKUP($AH216,Programma!$F$3:$L$1101,7,0),"")</f>
        <v/>
      </c>
      <c r="AO216" s="142" t="str">
        <f>_xlfn.IFNA(VLOOKUP($AH216,Programma!$F$3:$M$1101,8,0),"")</f>
        <v/>
      </c>
      <c r="AP216" s="142" t="str">
        <f>_xlfn.IFNA(VLOOKUP($AH216,Programma!$F$3:$N$1101,9,0),"")</f>
        <v/>
      </c>
      <c r="AQ216" s="142" t="str">
        <f>_xlfn.IFNA(VLOOKUP($AH216,Programma!$F$3:$O$1101,10,0),"")</f>
        <v/>
      </c>
      <c r="AR216" s="142" t="str">
        <f>_xlfn.IFNA(VLOOKUP($AH216,Programma!$F$3:$P$1101,11,0),"")</f>
        <v/>
      </c>
      <c r="AS216" s="142" t="str">
        <f>_xlfn.IFNA(VLOOKUP($AH216,Programma!$F$3:$Q$1101,12,0),"")</f>
        <v/>
      </c>
      <c r="AT216" s="142" t="str">
        <f>_xlfn.IFNA(VLOOKUP($AH216,Programma!$F$3:$R$1101,13,0),"")</f>
        <v/>
      </c>
      <c r="AU216" s="142" t="str">
        <f>_xlfn.IFNA(VLOOKUP($AH216,Programma!$F$3:$S$1101,14,0),"")</f>
        <v/>
      </c>
      <c r="AV216" s="142" t="str">
        <f>_xlfn.IFNA(VLOOKUP($AH216,Programma!$F$3:$T$1101,15,0),"")</f>
        <v/>
      </c>
      <c r="AW216" s="142" t="str">
        <f>_xlfn.IFNA(VLOOKUP($AH216,Programma!$F$3:$U$1101,16,0),"")</f>
        <v/>
      </c>
      <c r="AX216" s="142" t="str">
        <f>_xlfn.IFNA(VLOOKUP($AH216,Programma!$F$3:$V$1101,17,0),"")</f>
        <v/>
      </c>
      <c r="AY216" s="142" t="str">
        <f>_xlfn.IFNA(VLOOKUP($AH216,Programma!$F$3:$W$1101,18,0),"")</f>
        <v/>
      </c>
      <c r="AZ216" s="142" t="str">
        <f>_xlfn.IFNA(VLOOKUP($AH216,Programma!$F$3:$X$1101,19,0),"")</f>
        <v/>
      </c>
      <c r="BA216" s="142" t="str">
        <f>_xlfn.IFNA(VLOOKUP($AH216,Programma!$F$3:$Y$1101,20,0),"")</f>
        <v/>
      </c>
      <c r="BB216" s="138"/>
      <c r="BC216" s="137" t="str">
        <f>IF(Ruimtestaat[[#This Row],[Frequentie weekend]]="","",_xlfn.CONCAT(Ruimtestaat[[#This Row],[Ruimte code]],"-",Ruimtestaat[[#This Row],[Frequentie weekend]]," ",Ruimtestaat[[#This Row],[Vloer code]]))</f>
        <v/>
      </c>
      <c r="BD216" s="142" t="str">
        <f>_xlfn.IFNA(VLOOKUP($BC216,Programma!$F$3:$G$1101,2,0),"")</f>
        <v/>
      </c>
      <c r="BE216" s="142" t="str">
        <f>_xlfn.IFNA(VLOOKUP($BC216,Programma!$F$3:$H$1101,3,0),"")</f>
        <v/>
      </c>
      <c r="BF216" s="142" t="str">
        <f>_xlfn.IFNA(VLOOKUP($BC216,Programma!$F$3:$I$1101,4,0),"")</f>
        <v/>
      </c>
      <c r="BG216" s="142" t="str">
        <f>_xlfn.IFNA(VLOOKUP($BC216,Programma!$F$3:$J$1101,5,0),"")</f>
        <v/>
      </c>
      <c r="BH216" s="142" t="str">
        <f>_xlfn.IFNA(VLOOKUP($BC216,Programma!$F$3:$K$1101,6,0),"")</f>
        <v/>
      </c>
      <c r="BI216" s="142" t="str">
        <f>_xlfn.IFNA(VLOOKUP($BC216,Programma!$F$3:$L$1101,7,0),"")</f>
        <v/>
      </c>
      <c r="BJ216" s="142" t="str">
        <f>_xlfn.IFNA(VLOOKUP($BC216,Programma!$F$3:$M$1101,8,0),"")</f>
        <v/>
      </c>
      <c r="BK216" s="142" t="str">
        <f>_xlfn.IFNA(VLOOKUP($BC216,Programma!$F$3:$N$1101,9,0),"")</f>
        <v/>
      </c>
      <c r="BL216" s="142" t="str">
        <f>_xlfn.IFNA(VLOOKUP($BC216,Programma!$F$3:$O$1101,10,0),"")</f>
        <v/>
      </c>
      <c r="BM216" s="142" t="str">
        <f>_xlfn.IFNA(VLOOKUP($BC216,Programma!$F$3:$P$1101,11,0),"")</f>
        <v/>
      </c>
      <c r="BN216" s="142" t="str">
        <f>_xlfn.IFNA(VLOOKUP($BC216,Programma!$F$3:$Q$1101,12,0),"")</f>
        <v/>
      </c>
      <c r="BO216" s="142" t="str">
        <f>_xlfn.IFNA(VLOOKUP($BC216,Programma!$F$3:$R$1101,13,0),"")</f>
        <v/>
      </c>
      <c r="BP216" s="142" t="str">
        <f>_xlfn.IFNA(VLOOKUP($BC216,Programma!$F$3:$S$1101,14,0),"")</f>
        <v/>
      </c>
      <c r="BQ216" s="142" t="str">
        <f>_xlfn.IFNA(VLOOKUP($BC216,Programma!$F$3:$T$1101,15,0),"")</f>
        <v/>
      </c>
      <c r="BR216" s="142" t="str">
        <f>_xlfn.IFNA(VLOOKUP($BC216,Programma!$F$3:$U$1101,16,0),"")</f>
        <v/>
      </c>
      <c r="BS216" s="142" t="str">
        <f>_xlfn.IFNA(VLOOKUP($BC216,Programma!$F$3:$V$1101,17,0),"")</f>
        <v/>
      </c>
      <c r="BT216" s="142" t="str">
        <f>_xlfn.IFNA(VLOOKUP($BC216,Programma!$F$3:$W$1101,18,0),"")</f>
        <v/>
      </c>
      <c r="BU216" s="142" t="str">
        <f>_xlfn.IFNA(VLOOKUP($BC216,Programma!$F$3:$X$1101,19,0),"")</f>
        <v/>
      </c>
      <c r="BV216" s="142" t="str">
        <f>_xlfn.IFNA(VLOOKUP($BC216,Programma!$F$3:$Y$1101,20,0),"")</f>
        <v/>
      </c>
      <c r="BW216" s="28"/>
      <c r="BX216" s="28"/>
      <c r="BY216" s="28"/>
      <c r="BZ216" s="28"/>
      <c r="CA216" s="28"/>
      <c r="CB216" s="28"/>
      <c r="CC216" s="28"/>
      <c r="CD216" s="28"/>
      <c r="CE216" s="28"/>
      <c r="CF216" s="28"/>
      <c r="CG216" s="28"/>
      <c r="CH216" s="28"/>
      <c r="CI216" s="28"/>
      <c r="CJ216" s="28"/>
      <c r="CK216" s="28"/>
      <c r="CL216" s="28"/>
      <c r="CM216" s="28"/>
      <c r="CN216" s="28"/>
      <c r="CO216" s="28"/>
      <c r="CP216" s="28"/>
      <c r="CQ216" s="28"/>
      <c r="CR216" s="28"/>
      <c r="CS216" s="28"/>
      <c r="CT216" s="28"/>
      <c r="CU216" s="28"/>
      <c r="CV216" s="28"/>
      <c r="CW216" s="28"/>
      <c r="CX216" s="28"/>
      <c r="CY216" s="28"/>
      <c r="CZ216" s="28"/>
      <c r="DA216" s="28"/>
      <c r="DB216" s="28"/>
      <c r="DC216" s="28"/>
      <c r="DD216" s="28"/>
      <c r="DE216" s="28"/>
      <c r="DF216" s="28"/>
      <c r="DG216" s="28"/>
      <c r="DH216" s="28"/>
      <c r="DI216" s="28"/>
      <c r="DJ216" s="28"/>
      <c r="DK216" s="28"/>
      <c r="DL216" s="28"/>
      <c r="DM216" s="28"/>
      <c r="DN216" s="28"/>
      <c r="DO216" s="28"/>
      <c r="DP216" s="28"/>
      <c r="DQ216" s="28"/>
      <c r="DR216" s="28"/>
      <c r="DS216" s="28"/>
      <c r="DT216" s="28"/>
      <c r="DU216" s="28"/>
      <c r="DV216" s="28"/>
      <c r="DW216" s="28"/>
      <c r="DX216" s="28"/>
      <c r="DY216" s="28"/>
      <c r="DZ216" s="28"/>
      <c r="EA216" s="28"/>
      <c r="EB216" s="28"/>
      <c r="EC216" s="28"/>
      <c r="ED216" s="28"/>
      <c r="EE216" s="28"/>
      <c r="EF216" s="28"/>
      <c r="EG216" s="28"/>
      <c r="EH216" s="28"/>
      <c r="EI216" s="28"/>
      <c r="EJ216" s="28"/>
      <c r="EK216" s="28"/>
      <c r="EL216" s="28"/>
      <c r="EM216" s="28"/>
      <c r="EN216" s="28"/>
      <c r="EO216" s="28"/>
      <c r="EP216" s="28"/>
      <c r="EQ216" s="28"/>
      <c r="ER216" s="28"/>
      <c r="ES216" s="28"/>
      <c r="ET216" s="28"/>
      <c r="EU216" s="28"/>
      <c r="EV216" s="28"/>
      <c r="EW216" s="28"/>
      <c r="EX216" s="28"/>
      <c r="EY216" s="28"/>
      <c r="EZ216" s="28"/>
      <c r="FA216" s="28"/>
      <c r="FB216" s="28"/>
      <c r="FC216" s="28"/>
      <c r="FD216" s="28"/>
      <c r="FE216" s="28"/>
      <c r="FF216" s="28"/>
      <c r="FG216" s="28"/>
      <c r="FH216" s="28"/>
      <c r="FI216" s="28"/>
      <c r="FJ216" s="28"/>
      <c r="FK216" s="28"/>
      <c r="FL216" s="28"/>
      <c r="FM216" s="28"/>
      <c r="FN216" s="28"/>
      <c r="FO216" s="28"/>
      <c r="FP216" s="28"/>
      <c r="FQ216" s="28"/>
      <c r="FR216" s="28"/>
      <c r="FS216" s="28"/>
      <c r="FT216" s="28"/>
      <c r="FU216" s="28"/>
      <c r="FV216" s="28"/>
      <c r="FW216" s="28"/>
      <c r="FX216" s="28"/>
      <c r="FY216" s="28"/>
      <c r="FZ216" s="28"/>
      <c r="GA216" s="28"/>
      <c r="GB216" s="28"/>
      <c r="GC216" s="28"/>
      <c r="GD216" s="28"/>
      <c r="GE216" s="28"/>
      <c r="GF216" s="28"/>
      <c r="GG216" s="28"/>
      <c r="GH216" s="28"/>
      <c r="GI216" s="28"/>
      <c r="GJ216" s="28"/>
      <c r="GK216" s="28"/>
      <c r="GL216" s="28"/>
      <c r="GM216" s="28"/>
      <c r="GN216" s="28"/>
      <c r="GO216" s="28"/>
      <c r="GP216" s="28"/>
      <c r="GQ216" s="28"/>
      <c r="GR216" s="28"/>
      <c r="GS216" s="28"/>
      <c r="GT216" s="28"/>
      <c r="GU216" s="28"/>
      <c r="GV216" s="28"/>
      <c r="GW216" s="28"/>
      <c r="GX216" s="28"/>
      <c r="GY216" s="28"/>
      <c r="GZ216" s="28"/>
      <c r="HA216" s="28"/>
      <c r="HB216" s="28"/>
      <c r="HC216" s="28"/>
      <c r="HD216" s="28"/>
      <c r="HE216" s="28"/>
      <c r="HF216" s="28"/>
      <c r="HG216" s="28"/>
      <c r="HH216" s="28"/>
      <c r="HI216" s="28"/>
      <c r="HJ216" s="28"/>
      <c r="HK216" s="28"/>
    </row>
    <row r="217" spans="1:219" ht="15" customHeight="1">
      <c r="A217" s="49">
        <v>2</v>
      </c>
      <c r="B217" s="132" t="str">
        <f>VLOOKUP(Ruimtestaat[[#This Row],[Code]],Locaties[[Code]:[Locatie]],2,FALSE)</f>
        <v>Pauluskerk</v>
      </c>
      <c r="C217" s="132" t="str">
        <f>VLOOKUP(Ruimtestaat[[#This Row],[Code]],Locaties[[#All],[Code]:[Adres]],4,FALSE)</f>
        <v>Westdorplaan 122</v>
      </c>
      <c r="D217" s="132" t="str">
        <f>VLOOKUP(Ruimtestaat[[#This Row],[Code]],Locaties[[#All],[Code]:[Postcode]],5,FALSE)</f>
        <v>8101 BJ</v>
      </c>
      <c r="E217" s="132" t="str">
        <f>VLOOKUP(Ruimtestaat[[#This Row],[Code]],Locaties[#All],6,FALSE)</f>
        <v>Raalte</v>
      </c>
      <c r="F217" s="100"/>
      <c r="G217" s="100" t="s">
        <v>1675</v>
      </c>
      <c r="H217" s="49" t="s">
        <v>1714</v>
      </c>
      <c r="I217" s="140" t="s">
        <v>1763</v>
      </c>
      <c r="J217" s="49">
        <v>1</v>
      </c>
      <c r="K217" s="140" t="str">
        <f>VLOOKUP(Ruimtestaat[[#This Row],[Ruimte code]],Ruimtegroepen[[#All],[Code]:[Ruimte omschrijving]],2,FALSE)</f>
        <v>Magazijnen/bergingen</v>
      </c>
      <c r="L217" s="100" t="s">
        <v>102</v>
      </c>
      <c r="M217" s="345" t="s">
        <v>1757</v>
      </c>
      <c r="N217" s="133">
        <v>13.41</v>
      </c>
      <c r="O217" s="139"/>
      <c r="P217" s="134" t="str">
        <f>VLOOKUP(Ruimtestaat[[#This Row],[Ruimte code]],Ruimtegroepen[],4,FALSE)</f>
        <v>Ve</v>
      </c>
      <c r="Q217" s="100">
        <v>51</v>
      </c>
      <c r="R217" s="100" t="s">
        <v>16</v>
      </c>
      <c r="S217" s="100">
        <f>IF(Q217&gt;0,IF(RIGHT(Ruimtestaat[[#This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217" s="100">
        <f>IF(S217&gt;0,VLOOKUP($J217,Ruimtegroepen[],3,FALSE)*VLOOKUP($L217,Vloersoorten[],3,FALSE)*VLOOKUP($R217,Frequenties[],3,FALSE)*VLOOKUP($A217,Locaties[],3,FALSE),0)</f>
        <v>0</v>
      </c>
      <c r="U217" s="100">
        <f>Ruimtestaat[[#This Row],[Uitvoeringen werkdagen]]*Ruimtestaat[[#This Row],[Oppervlak (netto)]]</f>
        <v>160.92000000000002</v>
      </c>
      <c r="V217" s="135">
        <f>IF(T217&gt;0,Ruimtestaat[[#This Row],[Prest. (m2 /jaar) werkdagen]]/Ruimtestaat[[#This Row],[Norm (m2/uur) werkdagen]],0)</f>
        <v>0</v>
      </c>
      <c r="W217" s="136">
        <f>Ruimtestaat[[#This Row],[uren / jaar werkdagen]]*Tariefsopbouw!$E$35</f>
        <v>0</v>
      </c>
      <c r="X217" s="100"/>
      <c r="Y217" s="100">
        <f>IF(Ruimtestaat[[#This Row],[Frequentie weekend]]&gt;0,VALUE(LEFT(X217,1))*Q217,0)</f>
        <v>0</v>
      </c>
      <c r="Z217" s="99">
        <f>IF($Y217&gt;0,VLOOKUP($J217,Ruimtegroepen[],3,FALSE)*VLOOKUP($L217,Vloersoorten[],3,FALSE)*VLOOKUP($X217,Frequenties[],3,FALSE)*VLOOKUP(Ruimtestaat[[#This Row],[Code]],Locaties[],3,FALSE),0)</f>
        <v>0</v>
      </c>
      <c r="AA217" s="99">
        <f>Ruimtestaat[[#This Row],[Uitvoeringen weekend]]*Ruimtestaat[[#This Row],[Oppervlak (netto)]]</f>
        <v>0</v>
      </c>
      <c r="AB217" s="99">
        <f>IF(Z217&gt;0,Ruimtestaat[[#This Row],[Prest. (m2 /jaar) weekend]]/Ruimtestaat[[#This Row],[Norm (m2/uur) weekend]],0)</f>
        <v>0</v>
      </c>
      <c r="AC217" s="136">
        <f>Ruimtestaat[[#This Row],[uren / jaar weekend]]*Tariefsopbouw!$D$40</f>
        <v>0</v>
      </c>
      <c r="AD217" s="135">
        <f>Ruimtestaat[[#This Row],[Prest. (m2 /jaar) weekend]]+Ruimtestaat[[#This Row],[Prest. (m2 /jaar) werkdagen]]</f>
        <v>160.92000000000002</v>
      </c>
      <c r="AE217" s="135">
        <f>Ruimtestaat[[#This Row],[uren / jaar weekend]]+Ruimtestaat[[#This Row],[uren / jaar werkdagen]]</f>
        <v>0</v>
      </c>
      <c r="AF217" s="130">
        <f>Ruimtestaat[[#This Row],[kosten / jaar weekend]]+Ruimtestaat[[#This Row],[kosten / jaar werkdagen]]</f>
        <v>0</v>
      </c>
      <c r="AG217" s="130"/>
      <c r="AH217" s="137" t="str">
        <f>IF(Ruimtestaat[[#This Row],[Frequentie werkdagen]]="","",_xlfn.CONCAT(Ruimtestaat[[#This Row],[Ruimte code]],"-",Ruimtestaat[[#This Row],[Frequentie werkdagen]]," ",Ruimtestaat[[#This Row],[Vloer code]]))</f>
        <v>1-1m P</v>
      </c>
      <c r="AI217" s="142" t="str">
        <f>_xlfn.IFNA(VLOOKUP($AH217,Programma!$F$3:$G$1101,2,0),"")</f>
        <v>_</v>
      </c>
      <c r="AJ217" s="142" t="str">
        <f>_xlfn.IFNA(VLOOKUP($AH217,Programma!$F$3:$H$1101,3,0),"")</f>
        <v>_</v>
      </c>
      <c r="AK217" s="142" t="str">
        <f>_xlfn.IFNA(VLOOKUP($AH217,Programma!$F$3:$I$1101,4,0),"")</f>
        <v>1m</v>
      </c>
      <c r="AL217" s="142" t="str">
        <f>_xlfn.IFNA(VLOOKUP($AH217,Programma!$F$3:$J$1101,5,0),"")</f>
        <v>1m</v>
      </c>
      <c r="AM217" s="142" t="str">
        <f>_xlfn.IFNA(VLOOKUP($AH217,Programma!$F$3:$K$1101,6,0),"")</f>
        <v>1j</v>
      </c>
      <c r="AN217" s="142" t="str">
        <f>_xlfn.IFNA(VLOOKUP($AH217,Programma!$F$3:$L$1101,7,0),"")</f>
        <v>_</v>
      </c>
      <c r="AO217" s="142" t="str">
        <f>_xlfn.IFNA(VLOOKUP($AH217,Programma!$F$3:$M$1101,8,0),"")</f>
        <v>_</v>
      </c>
      <c r="AP217" s="142" t="str">
        <f>_xlfn.IFNA(VLOOKUP($AH217,Programma!$F$3:$N$1101,9,0),"")</f>
        <v>_</v>
      </c>
      <c r="AQ217" s="142" t="str">
        <f>_xlfn.IFNA(VLOOKUP($AH217,Programma!$F$3:$O$1101,10,0),"")</f>
        <v>_</v>
      </c>
      <c r="AR217" s="142" t="str">
        <f>_xlfn.IFNA(VLOOKUP($AH217,Programma!$F$3:$P$1101,11,0),"")</f>
        <v>_</v>
      </c>
      <c r="AS217" s="142" t="str">
        <f>_xlfn.IFNA(VLOOKUP($AH217,Programma!$F$3:$Q$1101,12,0),"")</f>
        <v>_</v>
      </c>
      <c r="AT217" s="142" t="str">
        <f>_xlfn.IFNA(VLOOKUP($AH217,Programma!$F$3:$R$1101,13,0),"")</f>
        <v>_</v>
      </c>
      <c r="AU217" s="142" t="str">
        <f>_xlfn.IFNA(VLOOKUP($AH217,Programma!$F$3:$S$1101,14,0),"")</f>
        <v>1m</v>
      </c>
      <c r="AV217" s="142" t="str">
        <f>_xlfn.IFNA(VLOOKUP($AH217,Programma!$F$3:$T$1101,15,0),"")</f>
        <v>4j</v>
      </c>
      <c r="AW217" s="142" t="str">
        <f>_xlfn.IFNA(VLOOKUP($AH217,Programma!$F$3:$U$1101,16,0),"")</f>
        <v>4j</v>
      </c>
      <c r="AX217" s="142" t="str">
        <f>_xlfn.IFNA(VLOOKUP($AH217,Programma!$F$3:$V$1101,17,0),"")</f>
        <v>_</v>
      </c>
      <c r="AY217" s="142" t="str">
        <f>_xlfn.IFNA(VLOOKUP($AH217,Programma!$F$3:$W$1101,18,0),"")</f>
        <v>_</v>
      </c>
      <c r="AZ217" s="142" t="str">
        <f>_xlfn.IFNA(VLOOKUP($AH217,Programma!$F$3:$X$1101,19,0),"")</f>
        <v>_</v>
      </c>
      <c r="BA217" s="142" t="str">
        <f>_xlfn.IFNA(VLOOKUP($AH217,Programma!$F$3:$Y$1101,20,0),"")</f>
        <v>_</v>
      </c>
      <c r="BB217" s="138"/>
      <c r="BC217" s="137" t="str">
        <f>IF(Ruimtestaat[[#This Row],[Frequentie weekend]]="","",_xlfn.CONCAT(Ruimtestaat[[#This Row],[Ruimte code]],"-",Ruimtestaat[[#This Row],[Frequentie weekend]]," ",Ruimtestaat[[#This Row],[Vloer code]]))</f>
        <v/>
      </c>
      <c r="BD217" s="142" t="str">
        <f>_xlfn.IFNA(VLOOKUP($BC217,Programma!$F$3:$G$1101,2,0),"")</f>
        <v/>
      </c>
      <c r="BE217" s="142" t="str">
        <f>_xlfn.IFNA(VLOOKUP($BC217,Programma!$F$3:$H$1101,3,0),"")</f>
        <v/>
      </c>
      <c r="BF217" s="142" t="str">
        <f>_xlfn.IFNA(VLOOKUP($BC217,Programma!$F$3:$I$1101,4,0),"")</f>
        <v/>
      </c>
      <c r="BG217" s="142" t="str">
        <f>_xlfn.IFNA(VLOOKUP($BC217,Programma!$F$3:$J$1101,5,0),"")</f>
        <v/>
      </c>
      <c r="BH217" s="142" t="str">
        <f>_xlfn.IFNA(VLOOKUP($BC217,Programma!$F$3:$K$1101,6,0),"")</f>
        <v/>
      </c>
      <c r="BI217" s="142" t="str">
        <f>_xlfn.IFNA(VLOOKUP($BC217,Programma!$F$3:$L$1101,7,0),"")</f>
        <v/>
      </c>
      <c r="BJ217" s="142" t="str">
        <f>_xlfn.IFNA(VLOOKUP($BC217,Programma!$F$3:$M$1101,8,0),"")</f>
        <v/>
      </c>
      <c r="BK217" s="142" t="str">
        <f>_xlfn.IFNA(VLOOKUP($BC217,Programma!$F$3:$N$1101,9,0),"")</f>
        <v/>
      </c>
      <c r="BL217" s="142" t="str">
        <f>_xlfn.IFNA(VLOOKUP($BC217,Programma!$F$3:$O$1101,10,0),"")</f>
        <v/>
      </c>
      <c r="BM217" s="142" t="str">
        <f>_xlfn.IFNA(VLOOKUP($BC217,Programma!$F$3:$P$1101,11,0),"")</f>
        <v/>
      </c>
      <c r="BN217" s="142" t="str">
        <f>_xlfn.IFNA(VLOOKUP($BC217,Programma!$F$3:$Q$1101,12,0),"")</f>
        <v/>
      </c>
      <c r="BO217" s="142" t="str">
        <f>_xlfn.IFNA(VLOOKUP($BC217,Programma!$F$3:$R$1101,13,0),"")</f>
        <v/>
      </c>
      <c r="BP217" s="142" t="str">
        <f>_xlfn.IFNA(VLOOKUP($BC217,Programma!$F$3:$S$1101,14,0),"")</f>
        <v/>
      </c>
      <c r="BQ217" s="142" t="str">
        <f>_xlfn.IFNA(VLOOKUP($BC217,Programma!$F$3:$T$1101,15,0),"")</f>
        <v/>
      </c>
      <c r="BR217" s="142" t="str">
        <f>_xlfn.IFNA(VLOOKUP($BC217,Programma!$F$3:$U$1101,16,0),"")</f>
        <v/>
      </c>
      <c r="BS217" s="142" t="str">
        <f>_xlfn.IFNA(VLOOKUP($BC217,Programma!$F$3:$V$1101,17,0),"")</f>
        <v/>
      </c>
      <c r="BT217" s="142" t="str">
        <f>_xlfn.IFNA(VLOOKUP($BC217,Programma!$F$3:$W$1101,18,0),"")</f>
        <v/>
      </c>
      <c r="BU217" s="142" t="str">
        <f>_xlfn.IFNA(VLOOKUP($BC217,Programma!$F$3:$X$1101,19,0),"")</f>
        <v/>
      </c>
      <c r="BV217" s="142" t="str">
        <f>_xlfn.IFNA(VLOOKUP($BC217,Programma!$F$3:$Y$1101,20,0),"")</f>
        <v/>
      </c>
      <c r="BW217" s="28"/>
      <c r="BX217" s="28"/>
      <c r="BY217" s="28"/>
      <c r="BZ217" s="28"/>
      <c r="CA217" s="28"/>
      <c r="CB217" s="28"/>
      <c r="CC217" s="28"/>
      <c r="CD217" s="28"/>
      <c r="CE217" s="28"/>
      <c r="CF217" s="28"/>
      <c r="CG217" s="28"/>
      <c r="CH217" s="28"/>
      <c r="CI217" s="28"/>
      <c r="CJ217" s="28"/>
      <c r="CK217" s="28"/>
      <c r="CL217" s="28"/>
      <c r="CM217" s="28"/>
      <c r="CN217" s="28"/>
      <c r="CO217" s="28"/>
      <c r="CP217" s="28"/>
      <c r="CQ217" s="28"/>
      <c r="CR217" s="28"/>
      <c r="CS217" s="28"/>
      <c r="CT217" s="28"/>
      <c r="CU217" s="28"/>
      <c r="CV217" s="28"/>
      <c r="CW217" s="28"/>
      <c r="CX217" s="28"/>
      <c r="CY217" s="28"/>
      <c r="CZ217" s="28"/>
      <c r="DA217" s="28"/>
      <c r="DB217" s="28"/>
      <c r="DC217" s="28"/>
      <c r="DD217" s="28"/>
      <c r="DE217" s="28"/>
      <c r="DF217" s="28"/>
      <c r="DG217" s="28"/>
      <c r="DH217" s="28"/>
      <c r="DI217" s="28"/>
      <c r="DJ217" s="28"/>
      <c r="DK217" s="28"/>
      <c r="DL217" s="28"/>
      <c r="DM217" s="28"/>
      <c r="DN217" s="28"/>
      <c r="DO217" s="28"/>
      <c r="DP217" s="28"/>
      <c r="DQ217" s="28"/>
      <c r="DR217" s="28"/>
      <c r="DS217" s="28"/>
      <c r="DT217" s="28"/>
      <c r="DU217" s="28"/>
      <c r="DV217" s="28"/>
      <c r="DW217" s="28"/>
      <c r="DX217" s="28"/>
      <c r="DY217" s="28"/>
      <c r="DZ217" s="28"/>
      <c r="EA217" s="28"/>
      <c r="EB217" s="28"/>
      <c r="EC217" s="28"/>
      <c r="ED217" s="28"/>
      <c r="EE217" s="28"/>
      <c r="EF217" s="28"/>
      <c r="EG217" s="28"/>
      <c r="EH217" s="28"/>
      <c r="EI217" s="28"/>
      <c r="EJ217" s="28"/>
      <c r="EK217" s="28"/>
      <c r="EL217" s="28"/>
      <c r="EM217" s="28"/>
      <c r="EN217" s="28"/>
      <c r="EO217" s="28"/>
      <c r="EP217" s="28"/>
      <c r="EQ217" s="28"/>
      <c r="ER217" s="28"/>
      <c r="ES217" s="28"/>
      <c r="ET217" s="28"/>
      <c r="EU217" s="28"/>
      <c r="EV217" s="28"/>
      <c r="EW217" s="28"/>
      <c r="EX217" s="28"/>
      <c r="EY217" s="28"/>
      <c r="EZ217" s="28"/>
      <c r="FA217" s="28"/>
      <c r="FB217" s="28"/>
      <c r="FC217" s="28"/>
      <c r="FD217" s="28"/>
      <c r="FE217" s="28"/>
      <c r="FF217" s="28"/>
      <c r="FG217" s="28"/>
      <c r="FH217" s="28"/>
      <c r="FI217" s="28"/>
      <c r="FJ217" s="28"/>
      <c r="FK217" s="28"/>
      <c r="FL217" s="28"/>
      <c r="FM217" s="28"/>
      <c r="FN217" s="28"/>
      <c r="FO217" s="28"/>
      <c r="FP217" s="28"/>
      <c r="FQ217" s="28"/>
      <c r="FR217" s="28"/>
      <c r="FS217" s="28"/>
      <c r="FT217" s="28"/>
      <c r="FU217" s="28"/>
      <c r="FV217" s="28"/>
      <c r="FW217" s="28"/>
      <c r="FX217" s="28"/>
      <c r="FY217" s="28"/>
      <c r="FZ217" s="28"/>
      <c r="GA217" s="28"/>
      <c r="GB217" s="28"/>
      <c r="GC217" s="28"/>
      <c r="GD217" s="28"/>
      <c r="GE217" s="28"/>
      <c r="GF217" s="28"/>
      <c r="GG217" s="28"/>
      <c r="GH217" s="28"/>
      <c r="GI217" s="28"/>
      <c r="GJ217" s="28"/>
      <c r="GK217" s="28"/>
      <c r="GL217" s="28"/>
      <c r="GM217" s="28"/>
      <c r="GN217" s="28"/>
      <c r="GO217" s="28"/>
      <c r="GP217" s="28"/>
      <c r="GQ217" s="28"/>
      <c r="GR217" s="28"/>
      <c r="GS217" s="28"/>
      <c r="GT217" s="28"/>
      <c r="GU217" s="28"/>
      <c r="GV217" s="28"/>
      <c r="GW217" s="28"/>
      <c r="GX217" s="28"/>
      <c r="GY217" s="28"/>
      <c r="GZ217" s="28"/>
      <c r="HA217" s="28"/>
      <c r="HB217" s="28"/>
      <c r="HC217" s="28"/>
      <c r="HD217" s="28"/>
      <c r="HE217" s="28"/>
      <c r="HF217" s="28"/>
      <c r="HG217" s="28"/>
      <c r="HH217" s="28"/>
      <c r="HI217" s="28"/>
      <c r="HJ217" s="28"/>
      <c r="HK217" s="28"/>
    </row>
    <row r="218" spans="1:219" ht="15" customHeight="1">
      <c r="A218" s="49">
        <v>2</v>
      </c>
      <c r="B218" s="132" t="str">
        <f>VLOOKUP(Ruimtestaat[[#This Row],[Code]],Locaties[[Code]:[Locatie]],2,FALSE)</f>
        <v>Pauluskerk</v>
      </c>
      <c r="C218" s="132" t="str">
        <f>VLOOKUP(Ruimtestaat[[#This Row],[Code]],Locaties[[#All],[Code]:[Adres]],4,FALSE)</f>
        <v>Westdorplaan 122</v>
      </c>
      <c r="D218" s="132" t="str">
        <f>VLOOKUP(Ruimtestaat[[#This Row],[Code]],Locaties[[#All],[Code]:[Postcode]],5,FALSE)</f>
        <v>8101 BJ</v>
      </c>
      <c r="E218" s="132" t="str">
        <f>VLOOKUP(Ruimtestaat[[#This Row],[Code]],Locaties[#All],6,FALSE)</f>
        <v>Raalte</v>
      </c>
      <c r="F218" s="100"/>
      <c r="G218" s="100" t="s">
        <v>1675</v>
      </c>
      <c r="H218" s="49" t="s">
        <v>1715</v>
      </c>
      <c r="I218" s="140" t="s">
        <v>1739</v>
      </c>
      <c r="J218" s="49">
        <v>20</v>
      </c>
      <c r="K218" s="140" t="str">
        <f>VLOOKUP(Ruimtestaat[[#This Row],[Ruimte code]],Ruimtegroepen[[#All],[Code]:[Ruimte omschrijving]],2,FALSE)</f>
        <v>Niet in Onderhoud</v>
      </c>
      <c r="L218" s="100"/>
      <c r="M218" s="345"/>
      <c r="N218" s="133"/>
      <c r="O218" s="139">
        <v>5.15</v>
      </c>
      <c r="P218" s="134">
        <f>VLOOKUP(Ruimtestaat[[#This Row],[Ruimte code]],Ruimtegroepen[],4,FALSE)</f>
        <v>0</v>
      </c>
      <c r="Q218" s="100"/>
      <c r="R218" s="100"/>
      <c r="S218" s="100">
        <f>IF(Q218&gt;0,IF(RIGHT(Ruimtestaat[[#This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18" s="100">
        <f>IF(S218&gt;0,VLOOKUP($J218,Ruimtegroepen[],3,FALSE)*VLOOKUP($L218,Vloersoorten[],3,FALSE)*VLOOKUP($R218,Frequenties[],3,FALSE)*VLOOKUP($A218,Locaties[],3,FALSE),0)</f>
        <v>0</v>
      </c>
      <c r="U218" s="100">
        <f>Ruimtestaat[[#This Row],[Uitvoeringen werkdagen]]*Ruimtestaat[[#This Row],[Oppervlak (netto)]]</f>
        <v>0</v>
      </c>
      <c r="V218" s="135">
        <f>IF(T218&gt;0,Ruimtestaat[[#This Row],[Prest. (m2 /jaar) werkdagen]]/Ruimtestaat[[#This Row],[Norm (m2/uur) werkdagen]],0)</f>
        <v>0</v>
      </c>
      <c r="W218" s="136">
        <f>Ruimtestaat[[#This Row],[uren / jaar werkdagen]]*Tariefsopbouw!$E$35</f>
        <v>0</v>
      </c>
      <c r="X218" s="100"/>
      <c r="Y218" s="100">
        <f>IF(Ruimtestaat[[#This Row],[Frequentie weekend]]&gt;0,VALUE(LEFT(X218,1))*Q218,0)</f>
        <v>0</v>
      </c>
      <c r="Z218" s="99">
        <f>IF($Y218&gt;0,VLOOKUP($J218,Ruimtegroepen[],3,FALSE)*VLOOKUP($L218,Vloersoorten[],3,FALSE)*VLOOKUP($X218,Frequenties[],3,FALSE)*VLOOKUP(Ruimtestaat[[#This Row],[Code]],Locaties[],3,FALSE),0)</f>
        <v>0</v>
      </c>
      <c r="AA218" s="99">
        <f>Ruimtestaat[[#This Row],[Uitvoeringen weekend]]*Ruimtestaat[[#This Row],[Oppervlak (netto)]]</f>
        <v>0</v>
      </c>
      <c r="AB218" s="99">
        <f>IF(Z218&gt;0,Ruimtestaat[[#This Row],[Prest. (m2 /jaar) weekend]]/Ruimtestaat[[#This Row],[Norm (m2/uur) weekend]],0)</f>
        <v>0</v>
      </c>
      <c r="AC218" s="136">
        <f>Ruimtestaat[[#This Row],[uren / jaar weekend]]*Tariefsopbouw!$D$40</f>
        <v>0</v>
      </c>
      <c r="AD218" s="135">
        <f>Ruimtestaat[[#This Row],[Prest. (m2 /jaar) weekend]]+Ruimtestaat[[#This Row],[Prest. (m2 /jaar) werkdagen]]</f>
        <v>0</v>
      </c>
      <c r="AE218" s="135">
        <f>Ruimtestaat[[#This Row],[uren / jaar weekend]]+Ruimtestaat[[#This Row],[uren / jaar werkdagen]]</f>
        <v>0</v>
      </c>
      <c r="AF218" s="130">
        <f>Ruimtestaat[[#This Row],[kosten / jaar weekend]]+Ruimtestaat[[#This Row],[kosten / jaar werkdagen]]</f>
        <v>0</v>
      </c>
      <c r="AG218" s="130"/>
      <c r="AH218" s="137" t="str">
        <f>IF(Ruimtestaat[[#This Row],[Frequentie werkdagen]]="","",_xlfn.CONCAT(Ruimtestaat[[#This Row],[Ruimte code]],"-",Ruimtestaat[[#This Row],[Frequentie werkdagen]]," ",Ruimtestaat[[#This Row],[Vloer code]]))</f>
        <v/>
      </c>
      <c r="AI218" s="142" t="str">
        <f>_xlfn.IFNA(VLOOKUP($AH218,Programma!$F$3:$G$1101,2,0),"")</f>
        <v/>
      </c>
      <c r="AJ218" s="142" t="str">
        <f>_xlfn.IFNA(VLOOKUP($AH218,Programma!$F$3:$H$1101,3,0),"")</f>
        <v/>
      </c>
      <c r="AK218" s="142" t="str">
        <f>_xlfn.IFNA(VLOOKUP($AH218,Programma!$F$3:$I$1101,4,0),"")</f>
        <v/>
      </c>
      <c r="AL218" s="142" t="str">
        <f>_xlfn.IFNA(VLOOKUP($AH218,Programma!$F$3:$J$1101,5,0),"")</f>
        <v/>
      </c>
      <c r="AM218" s="142" t="str">
        <f>_xlfn.IFNA(VLOOKUP($AH218,Programma!$F$3:$K$1101,6,0),"")</f>
        <v/>
      </c>
      <c r="AN218" s="142" t="str">
        <f>_xlfn.IFNA(VLOOKUP($AH218,Programma!$F$3:$L$1101,7,0),"")</f>
        <v/>
      </c>
      <c r="AO218" s="142" t="str">
        <f>_xlfn.IFNA(VLOOKUP($AH218,Programma!$F$3:$M$1101,8,0),"")</f>
        <v/>
      </c>
      <c r="AP218" s="142" t="str">
        <f>_xlfn.IFNA(VLOOKUP($AH218,Programma!$F$3:$N$1101,9,0),"")</f>
        <v/>
      </c>
      <c r="AQ218" s="142" t="str">
        <f>_xlfn.IFNA(VLOOKUP($AH218,Programma!$F$3:$O$1101,10,0),"")</f>
        <v/>
      </c>
      <c r="AR218" s="142" t="str">
        <f>_xlfn.IFNA(VLOOKUP($AH218,Programma!$F$3:$P$1101,11,0),"")</f>
        <v/>
      </c>
      <c r="AS218" s="142" t="str">
        <f>_xlfn.IFNA(VLOOKUP($AH218,Programma!$F$3:$Q$1101,12,0),"")</f>
        <v/>
      </c>
      <c r="AT218" s="142" t="str">
        <f>_xlfn.IFNA(VLOOKUP($AH218,Programma!$F$3:$R$1101,13,0),"")</f>
        <v/>
      </c>
      <c r="AU218" s="142" t="str">
        <f>_xlfn.IFNA(VLOOKUP($AH218,Programma!$F$3:$S$1101,14,0),"")</f>
        <v/>
      </c>
      <c r="AV218" s="142" t="str">
        <f>_xlfn.IFNA(VLOOKUP($AH218,Programma!$F$3:$T$1101,15,0),"")</f>
        <v/>
      </c>
      <c r="AW218" s="142" t="str">
        <f>_xlfn.IFNA(VLOOKUP($AH218,Programma!$F$3:$U$1101,16,0),"")</f>
        <v/>
      </c>
      <c r="AX218" s="142" t="str">
        <f>_xlfn.IFNA(VLOOKUP($AH218,Programma!$F$3:$V$1101,17,0),"")</f>
        <v/>
      </c>
      <c r="AY218" s="142" t="str">
        <f>_xlfn.IFNA(VLOOKUP($AH218,Programma!$F$3:$W$1101,18,0),"")</f>
        <v/>
      </c>
      <c r="AZ218" s="142" t="str">
        <f>_xlfn.IFNA(VLOOKUP($AH218,Programma!$F$3:$X$1101,19,0),"")</f>
        <v/>
      </c>
      <c r="BA218" s="142" t="str">
        <f>_xlfn.IFNA(VLOOKUP($AH218,Programma!$F$3:$Y$1101,20,0),"")</f>
        <v/>
      </c>
      <c r="BB218" s="138"/>
      <c r="BC218" s="137" t="str">
        <f>IF(Ruimtestaat[[#This Row],[Frequentie weekend]]="","",_xlfn.CONCAT(Ruimtestaat[[#This Row],[Ruimte code]],"-",Ruimtestaat[[#This Row],[Frequentie weekend]]," ",Ruimtestaat[[#This Row],[Vloer code]]))</f>
        <v/>
      </c>
      <c r="BD218" s="142" t="str">
        <f>_xlfn.IFNA(VLOOKUP($BC218,Programma!$F$3:$G$1101,2,0),"")</f>
        <v/>
      </c>
      <c r="BE218" s="142" t="str">
        <f>_xlfn.IFNA(VLOOKUP($BC218,Programma!$F$3:$H$1101,3,0),"")</f>
        <v/>
      </c>
      <c r="BF218" s="142" t="str">
        <f>_xlfn.IFNA(VLOOKUP($BC218,Programma!$F$3:$I$1101,4,0),"")</f>
        <v/>
      </c>
      <c r="BG218" s="142" t="str">
        <f>_xlfn.IFNA(VLOOKUP($BC218,Programma!$F$3:$J$1101,5,0),"")</f>
        <v/>
      </c>
      <c r="BH218" s="142" t="str">
        <f>_xlfn.IFNA(VLOOKUP($BC218,Programma!$F$3:$K$1101,6,0),"")</f>
        <v/>
      </c>
      <c r="BI218" s="142" t="str">
        <f>_xlfn.IFNA(VLOOKUP($BC218,Programma!$F$3:$L$1101,7,0),"")</f>
        <v/>
      </c>
      <c r="BJ218" s="142" t="str">
        <f>_xlfn.IFNA(VLOOKUP($BC218,Programma!$F$3:$M$1101,8,0),"")</f>
        <v/>
      </c>
      <c r="BK218" s="142" t="str">
        <f>_xlfn.IFNA(VLOOKUP($BC218,Programma!$F$3:$N$1101,9,0),"")</f>
        <v/>
      </c>
      <c r="BL218" s="142" t="str">
        <f>_xlfn.IFNA(VLOOKUP($BC218,Programma!$F$3:$O$1101,10,0),"")</f>
        <v/>
      </c>
      <c r="BM218" s="142" t="str">
        <f>_xlfn.IFNA(VLOOKUP($BC218,Programma!$F$3:$P$1101,11,0),"")</f>
        <v/>
      </c>
      <c r="BN218" s="142" t="str">
        <f>_xlfn.IFNA(VLOOKUP($BC218,Programma!$F$3:$Q$1101,12,0),"")</f>
        <v/>
      </c>
      <c r="BO218" s="142" t="str">
        <f>_xlfn.IFNA(VLOOKUP($BC218,Programma!$F$3:$R$1101,13,0),"")</f>
        <v/>
      </c>
      <c r="BP218" s="142" t="str">
        <f>_xlfn.IFNA(VLOOKUP($BC218,Programma!$F$3:$S$1101,14,0),"")</f>
        <v/>
      </c>
      <c r="BQ218" s="142" t="str">
        <f>_xlfn.IFNA(VLOOKUP($BC218,Programma!$F$3:$T$1101,15,0),"")</f>
        <v/>
      </c>
      <c r="BR218" s="142" t="str">
        <f>_xlfn.IFNA(VLOOKUP($BC218,Programma!$F$3:$U$1101,16,0),"")</f>
        <v/>
      </c>
      <c r="BS218" s="142" t="str">
        <f>_xlfn.IFNA(VLOOKUP($BC218,Programma!$F$3:$V$1101,17,0),"")</f>
        <v/>
      </c>
      <c r="BT218" s="142" t="str">
        <f>_xlfn.IFNA(VLOOKUP($BC218,Programma!$F$3:$W$1101,18,0),"")</f>
        <v/>
      </c>
      <c r="BU218" s="142" t="str">
        <f>_xlfn.IFNA(VLOOKUP($BC218,Programma!$F$3:$X$1101,19,0),"")</f>
        <v/>
      </c>
      <c r="BV218" s="142" t="str">
        <f>_xlfn.IFNA(VLOOKUP($BC218,Programma!$F$3:$Y$1101,20,0),"")</f>
        <v/>
      </c>
      <c r="BW218" s="28"/>
      <c r="BX218" s="28"/>
      <c r="BY218" s="28"/>
      <c r="BZ218" s="28"/>
      <c r="CA218" s="28"/>
      <c r="CB218" s="28"/>
      <c r="CC218" s="28"/>
      <c r="CD218" s="28"/>
      <c r="CE218" s="28"/>
      <c r="CF218" s="28"/>
      <c r="CG218" s="28"/>
      <c r="CH218" s="28"/>
      <c r="CI218" s="28"/>
      <c r="CJ218" s="28"/>
      <c r="CK218" s="28"/>
      <c r="CL218" s="28"/>
      <c r="CM218" s="28"/>
      <c r="CN218" s="28"/>
      <c r="CO218" s="28"/>
      <c r="CP218" s="28"/>
      <c r="CQ218" s="28"/>
      <c r="CR218" s="28"/>
      <c r="CS218" s="28"/>
      <c r="CT218" s="28"/>
      <c r="CU218" s="28"/>
      <c r="CV218" s="28"/>
      <c r="CW218" s="28"/>
      <c r="CX218" s="28"/>
      <c r="CY218" s="28"/>
      <c r="CZ218" s="28"/>
      <c r="DA218" s="28"/>
      <c r="DB218" s="28"/>
      <c r="DC218" s="28"/>
      <c r="DD218" s="28"/>
      <c r="DE218" s="28"/>
      <c r="DF218" s="28"/>
      <c r="DG218" s="28"/>
      <c r="DH218" s="28"/>
      <c r="DI218" s="28"/>
      <c r="DJ218" s="28"/>
      <c r="DK218" s="28"/>
      <c r="DL218" s="28"/>
      <c r="DM218" s="28"/>
      <c r="DN218" s="28"/>
      <c r="DO218" s="28"/>
      <c r="DP218" s="28"/>
      <c r="DQ218" s="28"/>
      <c r="DR218" s="28"/>
      <c r="DS218" s="28"/>
      <c r="DT218" s="28"/>
      <c r="DU218" s="28"/>
      <c r="DV218" s="28"/>
      <c r="DW218" s="28"/>
      <c r="DX218" s="28"/>
      <c r="DY218" s="28"/>
      <c r="DZ218" s="28"/>
      <c r="EA218" s="28"/>
      <c r="EB218" s="28"/>
      <c r="EC218" s="28"/>
      <c r="ED218" s="28"/>
      <c r="EE218" s="28"/>
      <c r="EF218" s="28"/>
      <c r="EG218" s="28"/>
      <c r="EH218" s="28"/>
      <c r="EI218" s="28"/>
      <c r="EJ218" s="28"/>
      <c r="EK218" s="28"/>
      <c r="EL218" s="28"/>
      <c r="EM218" s="28"/>
      <c r="EN218" s="28"/>
      <c r="EO218" s="28"/>
      <c r="EP218" s="28"/>
      <c r="EQ218" s="28"/>
      <c r="ER218" s="28"/>
      <c r="ES218" s="28"/>
      <c r="ET218" s="28"/>
      <c r="EU218" s="28"/>
      <c r="EV218" s="28"/>
      <c r="EW218" s="28"/>
      <c r="EX218" s="28"/>
      <c r="EY218" s="28"/>
      <c r="EZ218" s="28"/>
      <c r="FA218" s="28"/>
      <c r="FB218" s="28"/>
      <c r="FC218" s="28"/>
      <c r="FD218" s="28"/>
      <c r="FE218" s="28"/>
      <c r="FF218" s="28"/>
      <c r="FG218" s="28"/>
      <c r="FH218" s="28"/>
      <c r="FI218" s="28"/>
      <c r="FJ218" s="28"/>
      <c r="FK218" s="28"/>
      <c r="FL218" s="28"/>
      <c r="FM218" s="28"/>
      <c r="FN218" s="28"/>
      <c r="FO218" s="28"/>
      <c r="FP218" s="28"/>
      <c r="FQ218" s="28"/>
      <c r="FR218" s="28"/>
      <c r="FS218" s="28"/>
      <c r="FT218" s="28"/>
      <c r="FU218" s="28"/>
      <c r="FV218" s="28"/>
      <c r="FW218" s="28"/>
      <c r="FX218" s="28"/>
      <c r="FY218" s="28"/>
      <c r="FZ218" s="28"/>
      <c r="GA218" s="28"/>
      <c r="GB218" s="28"/>
      <c r="GC218" s="28"/>
      <c r="GD218" s="28"/>
      <c r="GE218" s="28"/>
      <c r="GF218" s="28"/>
      <c r="GG218" s="28"/>
      <c r="GH218" s="28"/>
      <c r="GI218" s="28"/>
      <c r="GJ218" s="28"/>
      <c r="GK218" s="28"/>
      <c r="GL218" s="28"/>
      <c r="GM218" s="28"/>
      <c r="GN218" s="28"/>
      <c r="GO218" s="28"/>
      <c r="GP218" s="28"/>
      <c r="GQ218" s="28"/>
      <c r="GR218" s="28"/>
      <c r="GS218" s="28"/>
      <c r="GT218" s="28"/>
      <c r="GU218" s="28"/>
      <c r="GV218" s="28"/>
      <c r="GW218" s="28"/>
      <c r="GX218" s="28"/>
      <c r="GY218" s="28"/>
      <c r="GZ218" s="28"/>
      <c r="HA218" s="28"/>
      <c r="HB218" s="28"/>
      <c r="HC218" s="28"/>
      <c r="HD218" s="28"/>
      <c r="HE218" s="28"/>
      <c r="HF218" s="28"/>
      <c r="HG218" s="28"/>
      <c r="HH218" s="28"/>
      <c r="HI218" s="28"/>
      <c r="HJ218" s="28"/>
      <c r="HK218" s="28"/>
    </row>
    <row r="219" spans="1:219" ht="15" customHeight="1">
      <c r="A219" s="49">
        <v>2</v>
      </c>
      <c r="B219" s="132" t="str">
        <f>VLOOKUP(Ruimtestaat[[#This Row],[Code]],Locaties[[Code]:[Locatie]],2,FALSE)</f>
        <v>Pauluskerk</v>
      </c>
      <c r="C219" s="132" t="str">
        <f>VLOOKUP(Ruimtestaat[[#This Row],[Code]],Locaties[[#All],[Code]:[Adres]],4,FALSE)</f>
        <v>Westdorplaan 122</v>
      </c>
      <c r="D219" s="132" t="str">
        <f>VLOOKUP(Ruimtestaat[[#This Row],[Code]],Locaties[[#All],[Code]:[Postcode]],5,FALSE)</f>
        <v>8101 BJ</v>
      </c>
      <c r="E219" s="132" t="str">
        <f>VLOOKUP(Ruimtestaat[[#This Row],[Code]],Locaties[#All],6,FALSE)</f>
        <v>Raalte</v>
      </c>
      <c r="F219" s="100"/>
      <c r="G219" s="100" t="s">
        <v>1675</v>
      </c>
      <c r="H219" s="49" t="s">
        <v>1716</v>
      </c>
      <c r="I219" s="140" t="s">
        <v>1640</v>
      </c>
      <c r="J219" s="49">
        <v>2</v>
      </c>
      <c r="K219" s="140" t="str">
        <f>VLOOKUP(Ruimtestaat[[#This Row],[Ruimte code]],Ruimtegroepen[[#All],[Code]:[Ruimte omschrijving]],2,FALSE)</f>
        <v>Kantoren</v>
      </c>
      <c r="L219" s="100" t="s">
        <v>99</v>
      </c>
      <c r="M219" s="345" t="s">
        <v>36</v>
      </c>
      <c r="N219" s="133">
        <v>12.24</v>
      </c>
      <c r="O219" s="139"/>
      <c r="P219" s="134" t="str">
        <f>VLOOKUP(Ruimtestaat[[#This Row],[Ruimte code]],Ruimtegroepen[],4,FALSE)</f>
        <v>Bu</v>
      </c>
      <c r="Q219" s="100">
        <v>51</v>
      </c>
      <c r="R219" s="100" t="s">
        <v>17</v>
      </c>
      <c r="S219" s="100">
        <f>IF(Q219&gt;0,IF(RIGHT(Ruimtestaat[[#This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102</v>
      </c>
      <c r="T219" s="100">
        <f>IF(S219&gt;0,VLOOKUP($J219,Ruimtegroepen[],3,FALSE)*VLOOKUP($L219,Vloersoorten[],3,FALSE)*VLOOKUP($R219,Frequenties[],3,FALSE)*VLOOKUP($A219,Locaties[],3,FALSE),0)</f>
        <v>0</v>
      </c>
      <c r="U219" s="100">
        <f>Ruimtestaat[[#This Row],[Uitvoeringen werkdagen]]*Ruimtestaat[[#This Row],[Oppervlak (netto)]]</f>
        <v>1248.48</v>
      </c>
      <c r="V219" s="135">
        <f>IF(T219&gt;0,Ruimtestaat[[#This Row],[Prest. (m2 /jaar) werkdagen]]/Ruimtestaat[[#This Row],[Norm (m2/uur) werkdagen]],0)</f>
        <v>0</v>
      </c>
      <c r="W219" s="136">
        <f>Ruimtestaat[[#This Row],[uren / jaar werkdagen]]*Tariefsopbouw!$E$35</f>
        <v>0</v>
      </c>
      <c r="X219" s="100"/>
      <c r="Y219" s="100">
        <f>IF(Ruimtestaat[[#This Row],[Frequentie weekend]]&gt;0,VALUE(LEFT(X219,1))*Q219,0)</f>
        <v>0</v>
      </c>
      <c r="Z219" s="99">
        <f>IF($Y219&gt;0,VLOOKUP($J219,Ruimtegroepen[],3,FALSE)*VLOOKUP($L219,Vloersoorten[],3,FALSE)*VLOOKUP($X219,Frequenties[],3,FALSE)*VLOOKUP(Ruimtestaat[[#This Row],[Code]],Locaties[],3,FALSE),0)</f>
        <v>0</v>
      </c>
      <c r="AA219" s="99">
        <f>Ruimtestaat[[#This Row],[Uitvoeringen weekend]]*Ruimtestaat[[#This Row],[Oppervlak (netto)]]</f>
        <v>0</v>
      </c>
      <c r="AB219" s="99">
        <f>IF(Z219&gt;0,Ruimtestaat[[#This Row],[Prest. (m2 /jaar) weekend]]/Ruimtestaat[[#This Row],[Norm (m2/uur) weekend]],0)</f>
        <v>0</v>
      </c>
      <c r="AC219" s="136">
        <f>Ruimtestaat[[#This Row],[uren / jaar weekend]]*Tariefsopbouw!$D$40</f>
        <v>0</v>
      </c>
      <c r="AD219" s="135">
        <f>Ruimtestaat[[#This Row],[Prest. (m2 /jaar) weekend]]+Ruimtestaat[[#This Row],[Prest. (m2 /jaar) werkdagen]]</f>
        <v>1248.48</v>
      </c>
      <c r="AE219" s="135">
        <f>Ruimtestaat[[#This Row],[uren / jaar weekend]]+Ruimtestaat[[#This Row],[uren / jaar werkdagen]]</f>
        <v>0</v>
      </c>
      <c r="AF219" s="130">
        <f>Ruimtestaat[[#This Row],[kosten / jaar weekend]]+Ruimtestaat[[#This Row],[kosten / jaar werkdagen]]</f>
        <v>0</v>
      </c>
      <c r="AG219" s="130"/>
      <c r="AH219" s="137" t="str">
        <f>IF(Ruimtestaat[[#This Row],[Frequentie werkdagen]]="","",_xlfn.CONCAT(Ruimtestaat[[#This Row],[Ruimte code]],"-",Ruimtestaat[[#This Row],[Frequentie werkdagen]]," ",Ruimtestaat[[#This Row],[Vloer code]]))</f>
        <v>2-2w T</v>
      </c>
      <c r="AI219" s="142" t="str">
        <f>_xlfn.IFNA(VLOOKUP($AH219,Programma!$F$3:$G$1101,2,0),"")</f>
        <v>1w</v>
      </c>
      <c r="AJ219" s="142" t="str">
        <f>_xlfn.IFNA(VLOOKUP($AH219,Programma!$F$3:$H$1101,3,0),"")</f>
        <v>1w</v>
      </c>
      <c r="AK219" s="142" t="str">
        <f>_xlfn.IFNA(VLOOKUP($AH219,Programma!$F$3:$I$1101,4,0),"")</f>
        <v>_</v>
      </c>
      <c r="AL219" s="142" t="str">
        <f>_xlfn.IFNA(VLOOKUP($AH219,Programma!$F$3:$J$1101,5,0),"")</f>
        <v>_</v>
      </c>
      <c r="AM219" s="142" t="str">
        <f>_xlfn.IFNA(VLOOKUP($AH219,Programma!$F$3:$K$1101,6,0),"")</f>
        <v>_</v>
      </c>
      <c r="AN219" s="142" t="str">
        <f>_xlfn.IFNA(VLOOKUP($AH219,Programma!$F$3:$L$1101,7,0),"")</f>
        <v>_</v>
      </c>
      <c r="AO219" s="142" t="str">
        <f>_xlfn.IFNA(VLOOKUP($AH219,Programma!$F$3:$M$1101,8,0),"")</f>
        <v>_</v>
      </c>
      <c r="AP219" s="142" t="str">
        <f>_xlfn.IFNA(VLOOKUP($AH219,Programma!$F$3:$N$1101,9,0),"")</f>
        <v>_</v>
      </c>
      <c r="AQ219" s="142" t="str">
        <f>_xlfn.IFNA(VLOOKUP($AH219,Programma!$F$3:$O$1101,10,0),"")</f>
        <v>2w</v>
      </c>
      <c r="AR219" s="142" t="str">
        <f>_xlfn.IFNA(VLOOKUP($AH219,Programma!$F$3:$P$1101,11,0),"")</f>
        <v>2w</v>
      </c>
      <c r="AS219" s="142" t="str">
        <f>_xlfn.IFNA(VLOOKUP($AH219,Programma!$F$3:$Q$1101,12,0),"")</f>
        <v>1w</v>
      </c>
      <c r="AT219" s="142" t="str">
        <f>_xlfn.IFNA(VLOOKUP($AH219,Programma!$F$3:$R$1101,13,0),"")</f>
        <v>1w</v>
      </c>
      <c r="AU219" s="142" t="str">
        <f>_xlfn.IFNA(VLOOKUP($AH219,Programma!$F$3:$S$1101,14,0),"")</f>
        <v>1m</v>
      </c>
      <c r="AV219" s="142" t="str">
        <f>_xlfn.IFNA(VLOOKUP($AH219,Programma!$F$3:$T$1101,15,0),"")</f>
        <v>2j</v>
      </c>
      <c r="AW219" s="142" t="str">
        <f>_xlfn.IFNA(VLOOKUP($AH219,Programma!$F$3:$U$1101,16,0),"")</f>
        <v>1j</v>
      </c>
      <c r="AX219" s="142" t="str">
        <f>_xlfn.IFNA(VLOOKUP($AH219,Programma!$F$3:$V$1101,17,0),"")</f>
        <v>_</v>
      </c>
      <c r="AY219" s="142" t="str">
        <f>_xlfn.IFNA(VLOOKUP($AH219,Programma!$F$3:$W$1101,18,0),"")</f>
        <v>_</v>
      </c>
      <c r="AZ219" s="142" t="str">
        <f>_xlfn.IFNA(VLOOKUP($AH219,Programma!$F$3:$X$1101,19,0),"")</f>
        <v>_</v>
      </c>
      <c r="BA219" s="142" t="str">
        <f>_xlfn.IFNA(VLOOKUP($AH219,Programma!$F$3:$Y$1101,20,0),"")</f>
        <v>_</v>
      </c>
      <c r="BB219" s="138"/>
      <c r="BC219" s="137" t="str">
        <f>IF(Ruimtestaat[[#This Row],[Frequentie weekend]]="","",_xlfn.CONCAT(Ruimtestaat[[#This Row],[Ruimte code]],"-",Ruimtestaat[[#This Row],[Frequentie weekend]]," ",Ruimtestaat[[#This Row],[Vloer code]]))</f>
        <v/>
      </c>
      <c r="BD219" s="142" t="str">
        <f>_xlfn.IFNA(VLOOKUP($BC219,Programma!$F$3:$G$1101,2,0),"")</f>
        <v/>
      </c>
      <c r="BE219" s="142" t="str">
        <f>_xlfn.IFNA(VLOOKUP($BC219,Programma!$F$3:$H$1101,3,0),"")</f>
        <v/>
      </c>
      <c r="BF219" s="142" t="str">
        <f>_xlfn.IFNA(VLOOKUP($BC219,Programma!$F$3:$I$1101,4,0),"")</f>
        <v/>
      </c>
      <c r="BG219" s="142" t="str">
        <f>_xlfn.IFNA(VLOOKUP($BC219,Programma!$F$3:$J$1101,5,0),"")</f>
        <v/>
      </c>
      <c r="BH219" s="142" t="str">
        <f>_xlfn.IFNA(VLOOKUP($BC219,Programma!$F$3:$K$1101,6,0),"")</f>
        <v/>
      </c>
      <c r="BI219" s="142" t="str">
        <f>_xlfn.IFNA(VLOOKUP($BC219,Programma!$F$3:$L$1101,7,0),"")</f>
        <v/>
      </c>
      <c r="BJ219" s="142" t="str">
        <f>_xlfn.IFNA(VLOOKUP($BC219,Programma!$F$3:$M$1101,8,0),"")</f>
        <v/>
      </c>
      <c r="BK219" s="142" t="str">
        <f>_xlfn.IFNA(VLOOKUP($BC219,Programma!$F$3:$N$1101,9,0),"")</f>
        <v/>
      </c>
      <c r="BL219" s="142" t="str">
        <f>_xlfn.IFNA(VLOOKUP($BC219,Programma!$F$3:$O$1101,10,0),"")</f>
        <v/>
      </c>
      <c r="BM219" s="142" t="str">
        <f>_xlfn.IFNA(VLOOKUP($BC219,Programma!$F$3:$P$1101,11,0),"")</f>
        <v/>
      </c>
      <c r="BN219" s="142" t="str">
        <f>_xlfn.IFNA(VLOOKUP($BC219,Programma!$F$3:$Q$1101,12,0),"")</f>
        <v/>
      </c>
      <c r="BO219" s="142" t="str">
        <f>_xlfn.IFNA(VLOOKUP($BC219,Programma!$F$3:$R$1101,13,0),"")</f>
        <v/>
      </c>
      <c r="BP219" s="142" t="str">
        <f>_xlfn.IFNA(VLOOKUP($BC219,Programma!$F$3:$S$1101,14,0),"")</f>
        <v/>
      </c>
      <c r="BQ219" s="142" t="str">
        <f>_xlfn.IFNA(VLOOKUP($BC219,Programma!$F$3:$T$1101,15,0),"")</f>
        <v/>
      </c>
      <c r="BR219" s="142" t="str">
        <f>_xlfn.IFNA(VLOOKUP($BC219,Programma!$F$3:$U$1101,16,0),"")</f>
        <v/>
      </c>
      <c r="BS219" s="142" t="str">
        <f>_xlfn.IFNA(VLOOKUP($BC219,Programma!$F$3:$V$1101,17,0),"")</f>
        <v/>
      </c>
      <c r="BT219" s="142" t="str">
        <f>_xlfn.IFNA(VLOOKUP($BC219,Programma!$F$3:$W$1101,18,0),"")</f>
        <v/>
      </c>
      <c r="BU219" s="142" t="str">
        <f>_xlfn.IFNA(VLOOKUP($BC219,Programma!$F$3:$X$1101,19,0),"")</f>
        <v/>
      </c>
      <c r="BV219" s="142" t="str">
        <f>_xlfn.IFNA(VLOOKUP($BC219,Programma!$F$3:$Y$1101,20,0),"")</f>
        <v/>
      </c>
      <c r="BW219" s="28"/>
      <c r="BX219" s="28"/>
      <c r="BY219" s="28"/>
      <c r="BZ219" s="28"/>
      <c r="CA219" s="28"/>
      <c r="CB219" s="28"/>
      <c r="CC219" s="28"/>
      <c r="CD219" s="28"/>
      <c r="CE219" s="28"/>
      <c r="CF219" s="28"/>
      <c r="CG219" s="28"/>
      <c r="CH219" s="28"/>
      <c r="CI219" s="28"/>
      <c r="CJ219" s="28"/>
      <c r="CK219" s="28"/>
      <c r="CL219" s="28"/>
      <c r="CM219" s="28"/>
      <c r="CN219" s="28"/>
      <c r="CO219" s="28"/>
      <c r="CP219" s="28"/>
      <c r="CQ219" s="28"/>
      <c r="CR219" s="28"/>
      <c r="CS219" s="28"/>
      <c r="CT219" s="28"/>
      <c r="CU219" s="28"/>
      <c r="CV219" s="28"/>
      <c r="CW219" s="28"/>
      <c r="CX219" s="28"/>
      <c r="CY219" s="28"/>
      <c r="CZ219" s="28"/>
      <c r="DA219" s="28"/>
      <c r="DB219" s="28"/>
      <c r="DC219" s="28"/>
      <c r="DD219" s="28"/>
      <c r="DE219" s="28"/>
      <c r="DF219" s="28"/>
      <c r="DG219" s="28"/>
      <c r="DH219" s="28"/>
      <c r="DI219" s="28"/>
      <c r="DJ219" s="28"/>
      <c r="DK219" s="28"/>
      <c r="DL219" s="28"/>
      <c r="DM219" s="28"/>
      <c r="DN219" s="28"/>
      <c r="DO219" s="28"/>
      <c r="DP219" s="28"/>
      <c r="DQ219" s="28"/>
      <c r="DR219" s="28"/>
      <c r="DS219" s="28"/>
      <c r="DT219" s="28"/>
      <c r="DU219" s="28"/>
      <c r="DV219" s="28"/>
      <c r="DW219" s="28"/>
      <c r="DX219" s="28"/>
      <c r="DY219" s="28"/>
      <c r="DZ219" s="28"/>
      <c r="EA219" s="28"/>
      <c r="EB219" s="28"/>
      <c r="EC219" s="28"/>
      <c r="ED219" s="28"/>
      <c r="EE219" s="28"/>
      <c r="EF219" s="28"/>
      <c r="EG219" s="28"/>
      <c r="EH219" s="28"/>
      <c r="EI219" s="28"/>
      <c r="EJ219" s="28"/>
      <c r="EK219" s="28"/>
      <c r="EL219" s="28"/>
      <c r="EM219" s="28"/>
      <c r="EN219" s="28"/>
      <c r="EO219" s="28"/>
      <c r="EP219" s="28"/>
      <c r="EQ219" s="28"/>
      <c r="ER219" s="28"/>
      <c r="ES219" s="28"/>
      <c r="ET219" s="28"/>
      <c r="EU219" s="28"/>
      <c r="EV219" s="28"/>
      <c r="EW219" s="28"/>
      <c r="EX219" s="28"/>
      <c r="EY219" s="28"/>
      <c r="EZ219" s="28"/>
      <c r="FA219" s="28"/>
      <c r="FB219" s="28"/>
      <c r="FC219" s="28"/>
      <c r="FD219" s="28"/>
      <c r="FE219" s="28"/>
      <c r="FF219" s="28"/>
      <c r="FG219" s="28"/>
      <c r="FH219" s="28"/>
      <c r="FI219" s="28"/>
      <c r="FJ219" s="28"/>
      <c r="FK219" s="28"/>
      <c r="FL219" s="28"/>
      <c r="FM219" s="28"/>
      <c r="FN219" s="28"/>
      <c r="FO219" s="28"/>
      <c r="FP219" s="28"/>
      <c r="FQ219" s="28"/>
      <c r="FR219" s="28"/>
      <c r="FS219" s="28"/>
      <c r="FT219" s="28"/>
      <c r="FU219" s="28"/>
      <c r="FV219" s="28"/>
      <c r="FW219" s="28"/>
      <c r="FX219" s="28"/>
      <c r="FY219" s="28"/>
      <c r="FZ219" s="28"/>
      <c r="GA219" s="28"/>
      <c r="GB219" s="28"/>
      <c r="GC219" s="28"/>
      <c r="GD219" s="28"/>
      <c r="GE219" s="28"/>
      <c r="GF219" s="28"/>
      <c r="GG219" s="28"/>
      <c r="GH219" s="28"/>
      <c r="GI219" s="28"/>
      <c r="GJ219" s="28"/>
      <c r="GK219" s="28"/>
      <c r="GL219" s="28"/>
      <c r="GM219" s="28"/>
      <c r="GN219" s="28"/>
      <c r="GO219" s="28"/>
      <c r="GP219" s="28"/>
      <c r="GQ219" s="28"/>
      <c r="GR219" s="28"/>
      <c r="GS219" s="28"/>
      <c r="GT219" s="28"/>
      <c r="GU219" s="28"/>
      <c r="GV219" s="28"/>
      <c r="GW219" s="28"/>
      <c r="GX219" s="28"/>
      <c r="GY219" s="28"/>
      <c r="GZ219" s="28"/>
      <c r="HA219" s="28"/>
      <c r="HB219" s="28"/>
      <c r="HC219" s="28"/>
      <c r="HD219" s="28"/>
      <c r="HE219" s="28"/>
      <c r="HF219" s="28"/>
      <c r="HG219" s="28"/>
      <c r="HH219" s="28"/>
      <c r="HI219" s="28"/>
      <c r="HJ219" s="28"/>
      <c r="HK219" s="28"/>
    </row>
    <row r="220" spans="1:219" ht="15" customHeight="1">
      <c r="A220" s="49">
        <v>2</v>
      </c>
      <c r="B220" s="132" t="str">
        <f>VLOOKUP(Ruimtestaat[[#This Row],[Code]],Locaties[[Code]:[Locatie]],2,FALSE)</f>
        <v>Pauluskerk</v>
      </c>
      <c r="C220" s="132" t="str">
        <f>VLOOKUP(Ruimtestaat[[#This Row],[Code]],Locaties[[#All],[Code]:[Adres]],4,FALSE)</f>
        <v>Westdorplaan 122</v>
      </c>
      <c r="D220" s="132" t="str">
        <f>VLOOKUP(Ruimtestaat[[#This Row],[Code]],Locaties[[#All],[Code]:[Postcode]],5,FALSE)</f>
        <v>8101 BJ</v>
      </c>
      <c r="E220" s="132" t="str">
        <f>VLOOKUP(Ruimtestaat[[#This Row],[Code]],Locaties[#All],6,FALSE)</f>
        <v>Raalte</v>
      </c>
      <c r="F220" s="100"/>
      <c r="G220" s="100" t="s">
        <v>1675</v>
      </c>
      <c r="H220" s="49" t="s">
        <v>1717</v>
      </c>
      <c r="I220" s="140" t="s">
        <v>1653</v>
      </c>
      <c r="J220" s="49">
        <v>5</v>
      </c>
      <c r="K220" s="140" t="str">
        <f>VLOOKUP(Ruimtestaat[[#This Row],[Ruimte code]],Ruimtegroepen[[#All],[Code]:[Ruimte omschrijving]],2,FALSE)</f>
        <v>Sanitair</v>
      </c>
      <c r="L220" s="100" t="s">
        <v>101</v>
      </c>
      <c r="M220" s="345" t="s">
        <v>1642</v>
      </c>
      <c r="N220" s="133">
        <v>5.86</v>
      </c>
      <c r="O220" s="139"/>
      <c r="P220" s="134" t="str">
        <f>VLOOKUP(Ruimtestaat[[#This Row],[Ruimte code]],Ruimtegroepen[],4,FALSE)</f>
        <v>Sa</v>
      </c>
      <c r="Q220" s="100">
        <v>51</v>
      </c>
      <c r="R220" s="100" t="s">
        <v>2</v>
      </c>
      <c r="S220" s="100">
        <f>IF(Q220&gt;0,IF(RIGHT(Ruimtestaat[[#This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20" s="100">
        <f>IF(S220&gt;0,VLOOKUP($J220,Ruimtegroepen[],3,FALSE)*VLOOKUP($L220,Vloersoorten[],3,FALSE)*VLOOKUP($R220,Frequenties[],3,FALSE)*VLOOKUP($A220,Locaties[],3,FALSE),0)</f>
        <v>0</v>
      </c>
      <c r="U220" s="100">
        <f>Ruimtestaat[[#This Row],[Uitvoeringen werkdagen]]*Ruimtestaat[[#This Row],[Oppervlak (netto)]]</f>
        <v>1494.3000000000002</v>
      </c>
      <c r="V220" s="135">
        <f>IF(T220&gt;0,Ruimtestaat[[#This Row],[Prest. (m2 /jaar) werkdagen]]/Ruimtestaat[[#This Row],[Norm (m2/uur) werkdagen]],0)</f>
        <v>0</v>
      </c>
      <c r="W220" s="136">
        <f>Ruimtestaat[[#This Row],[uren / jaar werkdagen]]*Tariefsopbouw!$E$35</f>
        <v>0</v>
      </c>
      <c r="X220" s="100"/>
      <c r="Y220" s="100">
        <f>IF(Ruimtestaat[[#This Row],[Frequentie weekend]]&gt;0,VALUE(LEFT(X220,1))*Q220,0)</f>
        <v>0</v>
      </c>
      <c r="Z220" s="99">
        <f>IF($Y220&gt;0,VLOOKUP($J220,Ruimtegroepen[],3,FALSE)*VLOOKUP($L220,Vloersoorten[],3,FALSE)*VLOOKUP($X220,Frequenties[],3,FALSE)*VLOOKUP(Ruimtestaat[[#This Row],[Code]],Locaties[],3,FALSE),0)</f>
        <v>0</v>
      </c>
      <c r="AA220" s="99">
        <f>Ruimtestaat[[#This Row],[Uitvoeringen weekend]]*Ruimtestaat[[#This Row],[Oppervlak (netto)]]</f>
        <v>0</v>
      </c>
      <c r="AB220" s="99">
        <f>IF(Z220&gt;0,Ruimtestaat[[#This Row],[Prest. (m2 /jaar) weekend]]/Ruimtestaat[[#This Row],[Norm (m2/uur) weekend]],0)</f>
        <v>0</v>
      </c>
      <c r="AC220" s="136">
        <f>Ruimtestaat[[#This Row],[uren / jaar weekend]]*Tariefsopbouw!$D$40</f>
        <v>0</v>
      </c>
      <c r="AD220" s="135">
        <f>Ruimtestaat[[#This Row],[Prest. (m2 /jaar) weekend]]+Ruimtestaat[[#This Row],[Prest. (m2 /jaar) werkdagen]]</f>
        <v>1494.3000000000002</v>
      </c>
      <c r="AE220" s="135">
        <f>Ruimtestaat[[#This Row],[uren / jaar weekend]]+Ruimtestaat[[#This Row],[uren / jaar werkdagen]]</f>
        <v>0</v>
      </c>
      <c r="AF220" s="130">
        <f>Ruimtestaat[[#This Row],[kosten / jaar weekend]]+Ruimtestaat[[#This Row],[kosten / jaar werkdagen]]</f>
        <v>0</v>
      </c>
      <c r="AG220" s="130"/>
      <c r="AH220" s="137" t="str">
        <f>IF(Ruimtestaat[[#This Row],[Frequentie werkdagen]]="","",_xlfn.CONCAT(Ruimtestaat[[#This Row],[Ruimte code]],"-",Ruimtestaat[[#This Row],[Frequentie werkdagen]]," ",Ruimtestaat[[#This Row],[Vloer code]]))</f>
        <v>5-5w S</v>
      </c>
      <c r="AI220" s="142" t="str">
        <f>_xlfn.IFNA(VLOOKUP($AH220,Programma!$F$3:$G$1101,2,0),"")</f>
        <v>_</v>
      </c>
      <c r="AJ220" s="142" t="str">
        <f>_xlfn.IFNA(VLOOKUP($AH220,Programma!$F$3:$H$1101,3,0),"")</f>
        <v>_</v>
      </c>
      <c r="AK220" s="142" t="str">
        <f>_xlfn.IFNA(VLOOKUP($AH220,Programma!$F$3:$I$1101,4,0),"")</f>
        <v>_</v>
      </c>
      <c r="AL220" s="142" t="str">
        <f>_xlfn.IFNA(VLOOKUP($AH220,Programma!$F$3:$J$1101,5,0),"")</f>
        <v>4w</v>
      </c>
      <c r="AM220" s="142" t="str">
        <f>_xlfn.IFNA(VLOOKUP($AH220,Programma!$F$3:$K$1101,6,0),"")</f>
        <v>1w</v>
      </c>
      <c r="AN220" s="142" t="str">
        <f>_xlfn.IFNA(VLOOKUP($AH220,Programma!$F$3:$L$1101,7,0),"")</f>
        <v>_</v>
      </c>
      <c r="AO220" s="142" t="str">
        <f>_xlfn.IFNA(VLOOKUP($AH220,Programma!$F$3:$M$1101,8,0),"")</f>
        <v>_</v>
      </c>
      <c r="AP220" s="142" t="str">
        <f>_xlfn.IFNA(VLOOKUP($AH220,Programma!$F$3:$N$1101,9,0),"")</f>
        <v>_</v>
      </c>
      <c r="AQ220" s="142" t="str">
        <f>_xlfn.IFNA(VLOOKUP($AH220,Programma!$F$3:$O$1101,10,0),"")</f>
        <v>_</v>
      </c>
      <c r="AR220" s="142" t="str">
        <f>_xlfn.IFNA(VLOOKUP($AH220,Programma!$F$3:$P$1101,11,0),"")</f>
        <v>_</v>
      </c>
      <c r="AS220" s="142" t="str">
        <f>_xlfn.IFNA(VLOOKUP($AH220,Programma!$F$3:$Q$1101,12,0),"")</f>
        <v>_</v>
      </c>
      <c r="AT220" s="142" t="str">
        <f>_xlfn.IFNA(VLOOKUP($AH220,Programma!$F$3:$R$1101,13,0),"")</f>
        <v>_</v>
      </c>
      <c r="AU220" s="142" t="str">
        <f>_xlfn.IFNA(VLOOKUP($AH220,Programma!$F$3:$S$1101,14,0),"")</f>
        <v>_</v>
      </c>
      <c r="AV220" s="142" t="str">
        <f>_xlfn.IFNA(VLOOKUP($AH220,Programma!$F$3:$T$1101,15,0),"")</f>
        <v>_</v>
      </c>
      <c r="AW220" s="142" t="str">
        <f>_xlfn.IFNA(VLOOKUP($AH220,Programma!$F$3:$U$1101,16,0),"")</f>
        <v>_</v>
      </c>
      <c r="AX220" s="142" t="str">
        <f>_xlfn.IFNA(VLOOKUP($AH220,Programma!$F$3:$V$1101,17,0),"")</f>
        <v>_</v>
      </c>
      <c r="AY220" s="142" t="str">
        <f>_xlfn.IFNA(VLOOKUP($AH220,Programma!$F$3:$W$1101,18,0),"")</f>
        <v>4w</v>
      </c>
      <c r="AZ220" s="142" t="str">
        <f>_xlfn.IFNA(VLOOKUP($AH220,Programma!$F$3:$X$1101,19,0),"")</f>
        <v>1w</v>
      </c>
      <c r="BA220" s="142" t="str">
        <f>_xlfn.IFNA(VLOOKUP($AH220,Programma!$F$3:$Y$1101,20,0),"")</f>
        <v>_</v>
      </c>
      <c r="BB220" s="138"/>
      <c r="BC220" s="137" t="str">
        <f>IF(Ruimtestaat[[#This Row],[Frequentie weekend]]="","",_xlfn.CONCAT(Ruimtestaat[[#This Row],[Ruimte code]],"-",Ruimtestaat[[#This Row],[Frequentie weekend]]," ",Ruimtestaat[[#This Row],[Vloer code]]))</f>
        <v/>
      </c>
      <c r="BD220" s="142" t="str">
        <f>_xlfn.IFNA(VLOOKUP($BC220,Programma!$F$3:$G$1101,2,0),"")</f>
        <v/>
      </c>
      <c r="BE220" s="142" t="str">
        <f>_xlfn.IFNA(VLOOKUP($BC220,Programma!$F$3:$H$1101,3,0),"")</f>
        <v/>
      </c>
      <c r="BF220" s="142" t="str">
        <f>_xlfn.IFNA(VLOOKUP($BC220,Programma!$F$3:$I$1101,4,0),"")</f>
        <v/>
      </c>
      <c r="BG220" s="142" t="str">
        <f>_xlfn.IFNA(VLOOKUP($BC220,Programma!$F$3:$J$1101,5,0),"")</f>
        <v/>
      </c>
      <c r="BH220" s="142" t="str">
        <f>_xlfn.IFNA(VLOOKUP($BC220,Programma!$F$3:$K$1101,6,0),"")</f>
        <v/>
      </c>
      <c r="BI220" s="142" t="str">
        <f>_xlfn.IFNA(VLOOKUP($BC220,Programma!$F$3:$L$1101,7,0),"")</f>
        <v/>
      </c>
      <c r="BJ220" s="142" t="str">
        <f>_xlfn.IFNA(VLOOKUP($BC220,Programma!$F$3:$M$1101,8,0),"")</f>
        <v/>
      </c>
      <c r="BK220" s="142" t="str">
        <f>_xlfn.IFNA(VLOOKUP($BC220,Programma!$F$3:$N$1101,9,0),"")</f>
        <v/>
      </c>
      <c r="BL220" s="142" t="str">
        <f>_xlfn.IFNA(VLOOKUP($BC220,Programma!$F$3:$O$1101,10,0),"")</f>
        <v/>
      </c>
      <c r="BM220" s="142" t="str">
        <f>_xlfn.IFNA(VLOOKUP($BC220,Programma!$F$3:$P$1101,11,0),"")</f>
        <v/>
      </c>
      <c r="BN220" s="142" t="str">
        <f>_xlfn.IFNA(VLOOKUP($BC220,Programma!$F$3:$Q$1101,12,0),"")</f>
        <v/>
      </c>
      <c r="BO220" s="142" t="str">
        <f>_xlfn.IFNA(VLOOKUP($BC220,Programma!$F$3:$R$1101,13,0),"")</f>
        <v/>
      </c>
      <c r="BP220" s="142" t="str">
        <f>_xlfn.IFNA(VLOOKUP($BC220,Programma!$F$3:$S$1101,14,0),"")</f>
        <v/>
      </c>
      <c r="BQ220" s="142" t="str">
        <f>_xlfn.IFNA(VLOOKUP($BC220,Programma!$F$3:$T$1101,15,0),"")</f>
        <v/>
      </c>
      <c r="BR220" s="142" t="str">
        <f>_xlfn.IFNA(VLOOKUP($BC220,Programma!$F$3:$U$1101,16,0),"")</f>
        <v/>
      </c>
      <c r="BS220" s="142" t="str">
        <f>_xlfn.IFNA(VLOOKUP($BC220,Programma!$F$3:$V$1101,17,0),"")</f>
        <v/>
      </c>
      <c r="BT220" s="142" t="str">
        <f>_xlfn.IFNA(VLOOKUP($BC220,Programma!$F$3:$W$1101,18,0),"")</f>
        <v/>
      </c>
      <c r="BU220" s="142" t="str">
        <f>_xlfn.IFNA(VLOOKUP($BC220,Programma!$F$3:$X$1101,19,0),"")</f>
        <v/>
      </c>
      <c r="BV220" s="142" t="str">
        <f>_xlfn.IFNA(VLOOKUP($BC220,Programma!$F$3:$Y$1101,20,0),"")</f>
        <v/>
      </c>
      <c r="BW220" s="28"/>
      <c r="BX220" s="28"/>
      <c r="BY220" s="28"/>
      <c r="BZ220" s="28"/>
      <c r="CA220" s="28"/>
      <c r="CB220" s="28"/>
      <c r="CC220" s="28"/>
      <c r="CD220" s="28"/>
      <c r="CE220" s="28"/>
      <c r="CF220" s="28"/>
      <c r="CG220" s="28"/>
      <c r="CH220" s="28"/>
      <c r="CI220" s="28"/>
      <c r="CJ220" s="28"/>
      <c r="CK220" s="28"/>
      <c r="CL220" s="28"/>
      <c r="CM220" s="28"/>
      <c r="CN220" s="28"/>
      <c r="CO220" s="28"/>
      <c r="CP220" s="28"/>
      <c r="CQ220" s="28"/>
      <c r="CR220" s="28"/>
      <c r="CS220" s="28"/>
      <c r="CT220" s="28"/>
      <c r="CU220" s="28"/>
      <c r="CV220" s="28"/>
      <c r="CW220" s="28"/>
      <c r="CX220" s="28"/>
      <c r="CY220" s="28"/>
      <c r="CZ220" s="28"/>
      <c r="DA220" s="28"/>
      <c r="DB220" s="28"/>
      <c r="DC220" s="28"/>
      <c r="DD220" s="28"/>
      <c r="DE220" s="28"/>
      <c r="DF220" s="28"/>
      <c r="DG220" s="28"/>
      <c r="DH220" s="28"/>
      <c r="DI220" s="28"/>
      <c r="DJ220" s="28"/>
      <c r="DK220" s="28"/>
      <c r="DL220" s="28"/>
      <c r="DM220" s="28"/>
      <c r="DN220" s="28"/>
      <c r="DO220" s="28"/>
      <c r="DP220" s="28"/>
      <c r="DQ220" s="28"/>
      <c r="DR220" s="28"/>
      <c r="DS220" s="28"/>
      <c r="DT220" s="28"/>
      <c r="DU220" s="28"/>
      <c r="DV220" s="28"/>
      <c r="DW220" s="28"/>
      <c r="DX220" s="28"/>
      <c r="DY220" s="28"/>
      <c r="DZ220" s="28"/>
      <c r="EA220" s="28"/>
      <c r="EB220" s="28"/>
      <c r="EC220" s="28"/>
      <c r="ED220" s="28"/>
      <c r="EE220" s="28"/>
      <c r="EF220" s="28"/>
      <c r="EG220" s="28"/>
      <c r="EH220" s="28"/>
      <c r="EI220" s="28"/>
      <c r="EJ220" s="28"/>
      <c r="EK220" s="28"/>
      <c r="EL220" s="28"/>
      <c r="EM220" s="28"/>
      <c r="EN220" s="28"/>
      <c r="EO220" s="28"/>
      <c r="EP220" s="28"/>
      <c r="EQ220" s="28"/>
      <c r="ER220" s="28"/>
      <c r="ES220" s="28"/>
      <c r="ET220" s="28"/>
      <c r="EU220" s="28"/>
      <c r="EV220" s="28"/>
      <c r="EW220" s="28"/>
      <c r="EX220" s="28"/>
      <c r="EY220" s="28"/>
      <c r="EZ220" s="28"/>
      <c r="FA220" s="28"/>
      <c r="FB220" s="28"/>
      <c r="FC220" s="28"/>
      <c r="FD220" s="28"/>
      <c r="FE220" s="28"/>
      <c r="FF220" s="28"/>
      <c r="FG220" s="28"/>
      <c r="FH220" s="28"/>
      <c r="FI220" s="28"/>
      <c r="FJ220" s="28"/>
      <c r="FK220" s="28"/>
      <c r="FL220" s="28"/>
      <c r="FM220" s="28"/>
      <c r="FN220" s="28"/>
      <c r="FO220" s="28"/>
      <c r="FP220" s="28"/>
      <c r="FQ220" s="28"/>
      <c r="FR220" s="28"/>
      <c r="FS220" s="28"/>
      <c r="FT220" s="28"/>
      <c r="FU220" s="28"/>
      <c r="FV220" s="28"/>
      <c r="FW220" s="28"/>
      <c r="FX220" s="28"/>
      <c r="FY220" s="28"/>
      <c r="FZ220" s="28"/>
      <c r="GA220" s="28"/>
      <c r="GB220" s="28"/>
      <c r="GC220" s="28"/>
      <c r="GD220" s="28"/>
      <c r="GE220" s="28"/>
      <c r="GF220" s="28"/>
      <c r="GG220" s="28"/>
      <c r="GH220" s="28"/>
      <c r="GI220" s="28"/>
      <c r="GJ220" s="28"/>
      <c r="GK220" s="28"/>
      <c r="GL220" s="28"/>
      <c r="GM220" s="28"/>
      <c r="GN220" s="28"/>
      <c r="GO220" s="28"/>
      <c r="GP220" s="28"/>
      <c r="GQ220" s="28"/>
      <c r="GR220" s="28"/>
      <c r="GS220" s="28"/>
      <c r="GT220" s="28"/>
      <c r="GU220" s="28"/>
      <c r="GV220" s="28"/>
      <c r="GW220" s="28"/>
      <c r="GX220" s="28"/>
      <c r="GY220" s="28"/>
      <c r="GZ220" s="28"/>
      <c r="HA220" s="28"/>
      <c r="HB220" s="28"/>
      <c r="HC220" s="28"/>
      <c r="HD220" s="28"/>
      <c r="HE220" s="28"/>
      <c r="HF220" s="28"/>
      <c r="HG220" s="28"/>
      <c r="HH220" s="28"/>
      <c r="HI220" s="28"/>
      <c r="HJ220" s="28"/>
      <c r="HK220" s="28"/>
    </row>
    <row r="221" spans="1:219" ht="15" customHeight="1">
      <c r="A221" s="49">
        <v>2</v>
      </c>
      <c r="B221" s="132" t="str">
        <f>VLOOKUP(Ruimtestaat[[#This Row],[Code]],Locaties[[Code]:[Locatie]],2,FALSE)</f>
        <v>Pauluskerk</v>
      </c>
      <c r="C221" s="132" t="str">
        <f>VLOOKUP(Ruimtestaat[[#This Row],[Code]],Locaties[[#All],[Code]:[Adres]],4,FALSE)</f>
        <v>Westdorplaan 122</v>
      </c>
      <c r="D221" s="132" t="str">
        <f>VLOOKUP(Ruimtestaat[[#This Row],[Code]],Locaties[[#All],[Code]:[Postcode]],5,FALSE)</f>
        <v>8101 BJ</v>
      </c>
      <c r="E221" s="132" t="str">
        <f>VLOOKUP(Ruimtestaat[[#This Row],[Code]],Locaties[#All],6,FALSE)</f>
        <v>Raalte</v>
      </c>
      <c r="F221" s="100"/>
      <c r="G221" s="100" t="s">
        <v>1675</v>
      </c>
      <c r="H221" s="49" t="s">
        <v>1718</v>
      </c>
      <c r="I221" s="140" t="s">
        <v>1740</v>
      </c>
      <c r="J221" s="49">
        <v>7</v>
      </c>
      <c r="K221" s="140" t="str">
        <f>VLOOKUP(Ruimtestaat[[#This Row],[Ruimte code]],Ruimtegroepen[[#All],[Code]:[Ruimte omschrijving]],2,FALSE)</f>
        <v>Entree</v>
      </c>
      <c r="L221" s="100" t="s">
        <v>99</v>
      </c>
      <c r="M221" s="345" t="s">
        <v>36</v>
      </c>
      <c r="N221" s="133">
        <v>3.91</v>
      </c>
      <c r="O221" s="139"/>
      <c r="P221" s="134" t="str">
        <f>VLOOKUP(Ruimtestaat[[#This Row],[Ruimte code]],Ruimtegroepen[],4,FALSE)</f>
        <v>Ve</v>
      </c>
      <c r="Q221" s="100">
        <v>51</v>
      </c>
      <c r="R221" s="100" t="s">
        <v>2</v>
      </c>
      <c r="S221" s="100">
        <f>IF(Q221&gt;0,IF(RIGHT(Ruimtestaat[[#This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21" s="100">
        <f>IF(S221&gt;0,VLOOKUP($J221,Ruimtegroepen[],3,FALSE)*VLOOKUP($L221,Vloersoorten[],3,FALSE)*VLOOKUP($R221,Frequenties[],3,FALSE)*VLOOKUP($A221,Locaties[],3,FALSE),0)</f>
        <v>0</v>
      </c>
      <c r="U221" s="100">
        <f>Ruimtestaat[[#This Row],[Uitvoeringen werkdagen]]*Ruimtestaat[[#This Row],[Oppervlak (netto)]]</f>
        <v>997.05000000000007</v>
      </c>
      <c r="V221" s="135">
        <f>IF(T221&gt;0,Ruimtestaat[[#This Row],[Prest. (m2 /jaar) werkdagen]]/Ruimtestaat[[#This Row],[Norm (m2/uur) werkdagen]],0)</f>
        <v>0</v>
      </c>
      <c r="W221" s="136">
        <f>Ruimtestaat[[#This Row],[uren / jaar werkdagen]]*Tariefsopbouw!$E$35</f>
        <v>0</v>
      </c>
      <c r="X221" s="100"/>
      <c r="Y221" s="100">
        <f>IF(Ruimtestaat[[#This Row],[Frequentie weekend]]&gt;0,VALUE(LEFT(X221,1))*Q221,0)</f>
        <v>0</v>
      </c>
      <c r="Z221" s="99">
        <f>IF($Y221&gt;0,VLOOKUP($J221,Ruimtegroepen[],3,FALSE)*VLOOKUP($L221,Vloersoorten[],3,FALSE)*VLOOKUP($X221,Frequenties[],3,FALSE)*VLOOKUP(Ruimtestaat[[#This Row],[Code]],Locaties[],3,FALSE),0)</f>
        <v>0</v>
      </c>
      <c r="AA221" s="99">
        <f>Ruimtestaat[[#This Row],[Uitvoeringen weekend]]*Ruimtestaat[[#This Row],[Oppervlak (netto)]]</f>
        <v>0</v>
      </c>
      <c r="AB221" s="99">
        <f>IF(Z221&gt;0,Ruimtestaat[[#This Row],[Prest. (m2 /jaar) weekend]]/Ruimtestaat[[#This Row],[Norm (m2/uur) weekend]],0)</f>
        <v>0</v>
      </c>
      <c r="AC221" s="136">
        <f>Ruimtestaat[[#This Row],[uren / jaar weekend]]*Tariefsopbouw!$D$40</f>
        <v>0</v>
      </c>
      <c r="AD221" s="135">
        <f>Ruimtestaat[[#This Row],[Prest. (m2 /jaar) weekend]]+Ruimtestaat[[#This Row],[Prest. (m2 /jaar) werkdagen]]</f>
        <v>997.05000000000007</v>
      </c>
      <c r="AE221" s="135">
        <f>Ruimtestaat[[#This Row],[uren / jaar weekend]]+Ruimtestaat[[#This Row],[uren / jaar werkdagen]]</f>
        <v>0</v>
      </c>
      <c r="AF221" s="130">
        <f>Ruimtestaat[[#This Row],[kosten / jaar weekend]]+Ruimtestaat[[#This Row],[kosten / jaar werkdagen]]</f>
        <v>0</v>
      </c>
      <c r="AG221" s="130"/>
      <c r="AH221" s="137" t="str">
        <f>IF(Ruimtestaat[[#This Row],[Frequentie werkdagen]]="","",_xlfn.CONCAT(Ruimtestaat[[#This Row],[Ruimte code]],"-",Ruimtestaat[[#This Row],[Frequentie werkdagen]]," ",Ruimtestaat[[#This Row],[Vloer code]]))</f>
        <v>7-5w T</v>
      </c>
      <c r="AI221" s="142" t="str">
        <f>_xlfn.IFNA(VLOOKUP($AH221,Programma!$F$3:$G$1101,2,0),"")</f>
        <v>_</v>
      </c>
      <c r="AJ221" s="142" t="str">
        <f>_xlfn.IFNA(VLOOKUP($AH221,Programma!$F$3:$H$1101,3,0),"")</f>
        <v>5w</v>
      </c>
      <c r="AK221" s="142" t="str">
        <f>_xlfn.IFNA(VLOOKUP($AH221,Programma!$F$3:$I$1101,4,0),"")</f>
        <v>_</v>
      </c>
      <c r="AL221" s="142" t="str">
        <f>_xlfn.IFNA(VLOOKUP($AH221,Programma!$F$3:$J$1101,5,0),"")</f>
        <v>_</v>
      </c>
      <c r="AM221" s="142" t="str">
        <f>_xlfn.IFNA(VLOOKUP($AH221,Programma!$F$3:$K$1101,6,0),"")</f>
        <v>_</v>
      </c>
      <c r="AN221" s="142" t="str">
        <f>_xlfn.IFNA(VLOOKUP($AH221,Programma!$F$3:$L$1101,7,0),"")</f>
        <v>_</v>
      </c>
      <c r="AO221" s="142" t="str">
        <f>_xlfn.IFNA(VLOOKUP($AH221,Programma!$F$3:$M$1101,8,0),"")</f>
        <v>_</v>
      </c>
      <c r="AP221" s="142" t="str">
        <f>_xlfn.IFNA(VLOOKUP($AH221,Programma!$F$3:$N$1101,9,0),"")</f>
        <v>_</v>
      </c>
      <c r="AQ221" s="142" t="str">
        <f>_xlfn.IFNA(VLOOKUP($AH221,Programma!$F$3:$O$1101,10,0),"")</f>
        <v>5w</v>
      </c>
      <c r="AR221" s="142" t="str">
        <f>_xlfn.IFNA(VLOOKUP($AH221,Programma!$F$3:$P$1101,11,0),"")</f>
        <v>5w</v>
      </c>
      <c r="AS221" s="142" t="str">
        <f>_xlfn.IFNA(VLOOKUP($AH221,Programma!$F$3:$Q$1101,12,0),"")</f>
        <v>1w</v>
      </c>
      <c r="AT221" s="142" t="str">
        <f>_xlfn.IFNA(VLOOKUP($AH221,Programma!$F$3:$R$1101,13,0),"")</f>
        <v>1w</v>
      </c>
      <c r="AU221" s="142" t="str">
        <f>_xlfn.IFNA(VLOOKUP($AH221,Programma!$F$3:$S$1101,14,0),"")</f>
        <v>1m</v>
      </c>
      <c r="AV221" s="142" t="str">
        <f>_xlfn.IFNA(VLOOKUP($AH221,Programma!$F$3:$T$1101,15,0),"")</f>
        <v>2j</v>
      </c>
      <c r="AW221" s="142" t="str">
        <f>_xlfn.IFNA(VLOOKUP($AH221,Programma!$F$3:$U$1101,16,0),"")</f>
        <v>1j</v>
      </c>
      <c r="AX221" s="142" t="str">
        <f>_xlfn.IFNA(VLOOKUP($AH221,Programma!$F$3:$V$1101,17,0),"")</f>
        <v>_</v>
      </c>
      <c r="AY221" s="142" t="str">
        <f>_xlfn.IFNA(VLOOKUP($AH221,Programma!$F$3:$W$1101,18,0),"")</f>
        <v>_</v>
      </c>
      <c r="AZ221" s="142" t="str">
        <f>_xlfn.IFNA(VLOOKUP($AH221,Programma!$F$3:$X$1101,19,0),"")</f>
        <v>_</v>
      </c>
      <c r="BA221" s="142" t="str">
        <f>_xlfn.IFNA(VLOOKUP($AH221,Programma!$F$3:$Y$1101,20,0),"")</f>
        <v>_</v>
      </c>
      <c r="BB221" s="138"/>
      <c r="BC221" s="137" t="str">
        <f>IF(Ruimtestaat[[#This Row],[Frequentie weekend]]="","",_xlfn.CONCAT(Ruimtestaat[[#This Row],[Ruimte code]],"-",Ruimtestaat[[#This Row],[Frequentie weekend]]," ",Ruimtestaat[[#This Row],[Vloer code]]))</f>
        <v/>
      </c>
      <c r="BD221" s="142" t="str">
        <f>_xlfn.IFNA(VLOOKUP($BC221,Programma!$F$3:$G$1101,2,0),"")</f>
        <v/>
      </c>
      <c r="BE221" s="142" t="str">
        <f>_xlfn.IFNA(VLOOKUP($BC221,Programma!$F$3:$H$1101,3,0),"")</f>
        <v/>
      </c>
      <c r="BF221" s="142" t="str">
        <f>_xlfn.IFNA(VLOOKUP($BC221,Programma!$F$3:$I$1101,4,0),"")</f>
        <v/>
      </c>
      <c r="BG221" s="142" t="str">
        <f>_xlfn.IFNA(VLOOKUP($BC221,Programma!$F$3:$J$1101,5,0),"")</f>
        <v/>
      </c>
      <c r="BH221" s="142" t="str">
        <f>_xlfn.IFNA(VLOOKUP($BC221,Programma!$F$3:$K$1101,6,0),"")</f>
        <v/>
      </c>
      <c r="BI221" s="142" t="str">
        <f>_xlfn.IFNA(VLOOKUP($BC221,Programma!$F$3:$L$1101,7,0),"")</f>
        <v/>
      </c>
      <c r="BJ221" s="142" t="str">
        <f>_xlfn.IFNA(VLOOKUP($BC221,Programma!$F$3:$M$1101,8,0),"")</f>
        <v/>
      </c>
      <c r="BK221" s="142" t="str">
        <f>_xlfn.IFNA(VLOOKUP($BC221,Programma!$F$3:$N$1101,9,0),"")</f>
        <v/>
      </c>
      <c r="BL221" s="142" t="str">
        <f>_xlfn.IFNA(VLOOKUP($BC221,Programma!$F$3:$O$1101,10,0),"")</f>
        <v/>
      </c>
      <c r="BM221" s="142" t="str">
        <f>_xlfn.IFNA(VLOOKUP($BC221,Programma!$F$3:$P$1101,11,0),"")</f>
        <v/>
      </c>
      <c r="BN221" s="142" t="str">
        <f>_xlfn.IFNA(VLOOKUP($BC221,Programma!$F$3:$Q$1101,12,0),"")</f>
        <v/>
      </c>
      <c r="BO221" s="142" t="str">
        <f>_xlfn.IFNA(VLOOKUP($BC221,Programma!$F$3:$R$1101,13,0),"")</f>
        <v/>
      </c>
      <c r="BP221" s="142" t="str">
        <f>_xlfn.IFNA(VLOOKUP($BC221,Programma!$F$3:$S$1101,14,0),"")</f>
        <v/>
      </c>
      <c r="BQ221" s="142" t="str">
        <f>_xlfn.IFNA(VLOOKUP($BC221,Programma!$F$3:$T$1101,15,0),"")</f>
        <v/>
      </c>
      <c r="BR221" s="142" t="str">
        <f>_xlfn.IFNA(VLOOKUP($BC221,Programma!$F$3:$U$1101,16,0),"")</f>
        <v/>
      </c>
      <c r="BS221" s="142" t="str">
        <f>_xlfn.IFNA(VLOOKUP($BC221,Programma!$F$3:$V$1101,17,0),"")</f>
        <v/>
      </c>
      <c r="BT221" s="142" t="str">
        <f>_xlfn.IFNA(VLOOKUP($BC221,Programma!$F$3:$W$1101,18,0),"")</f>
        <v/>
      </c>
      <c r="BU221" s="142" t="str">
        <f>_xlfn.IFNA(VLOOKUP($BC221,Programma!$F$3:$X$1101,19,0),"")</f>
        <v/>
      </c>
      <c r="BV221" s="142" t="str">
        <f>_xlfn.IFNA(VLOOKUP($BC221,Programma!$F$3:$Y$1101,20,0),"")</f>
        <v/>
      </c>
      <c r="BW221" s="28"/>
      <c r="BX221" s="28"/>
      <c r="BY221" s="28"/>
      <c r="BZ221" s="28"/>
      <c r="CA221" s="28"/>
      <c r="CB221" s="28"/>
      <c r="CC221" s="28"/>
      <c r="CD221" s="28"/>
      <c r="CE221" s="28"/>
      <c r="CF221" s="28"/>
      <c r="CG221" s="28"/>
      <c r="CH221" s="28"/>
      <c r="CI221" s="28"/>
      <c r="CJ221" s="28"/>
      <c r="CK221" s="28"/>
      <c r="CL221" s="28"/>
      <c r="CM221" s="28"/>
      <c r="CN221" s="28"/>
      <c r="CO221" s="28"/>
      <c r="CP221" s="28"/>
      <c r="CQ221" s="28"/>
      <c r="CR221" s="28"/>
      <c r="CS221" s="28"/>
      <c r="CT221" s="28"/>
      <c r="CU221" s="28"/>
      <c r="CV221" s="28"/>
      <c r="CW221" s="28"/>
      <c r="CX221" s="28"/>
      <c r="CY221" s="28"/>
      <c r="CZ221" s="28"/>
      <c r="DA221" s="28"/>
      <c r="DB221" s="28"/>
      <c r="DC221" s="28"/>
      <c r="DD221" s="28"/>
      <c r="DE221" s="28"/>
      <c r="DF221" s="28"/>
      <c r="DG221" s="28"/>
      <c r="DH221" s="28"/>
      <c r="DI221" s="28"/>
      <c r="DJ221" s="28"/>
      <c r="DK221" s="28"/>
      <c r="DL221" s="28"/>
      <c r="DM221" s="28"/>
      <c r="DN221" s="28"/>
      <c r="DO221" s="28"/>
      <c r="DP221" s="28"/>
      <c r="DQ221" s="28"/>
      <c r="DR221" s="28"/>
      <c r="DS221" s="28"/>
      <c r="DT221" s="28"/>
      <c r="DU221" s="28"/>
      <c r="DV221" s="28"/>
      <c r="DW221" s="28"/>
      <c r="DX221" s="28"/>
      <c r="DY221" s="28"/>
      <c r="DZ221" s="28"/>
      <c r="EA221" s="28"/>
      <c r="EB221" s="28"/>
      <c r="EC221" s="28"/>
      <c r="ED221" s="28"/>
      <c r="EE221" s="28"/>
      <c r="EF221" s="28"/>
      <c r="EG221" s="28"/>
      <c r="EH221" s="28"/>
      <c r="EI221" s="28"/>
      <c r="EJ221" s="28"/>
      <c r="EK221" s="28"/>
      <c r="EL221" s="28"/>
      <c r="EM221" s="28"/>
      <c r="EN221" s="28"/>
      <c r="EO221" s="28"/>
      <c r="EP221" s="28"/>
      <c r="EQ221" s="28"/>
      <c r="ER221" s="28"/>
      <c r="ES221" s="28"/>
      <c r="ET221" s="28"/>
      <c r="EU221" s="28"/>
      <c r="EV221" s="28"/>
      <c r="EW221" s="28"/>
      <c r="EX221" s="28"/>
      <c r="EY221" s="28"/>
      <c r="EZ221" s="28"/>
      <c r="FA221" s="28"/>
      <c r="FB221" s="28"/>
      <c r="FC221" s="28"/>
      <c r="FD221" s="28"/>
      <c r="FE221" s="28"/>
      <c r="FF221" s="28"/>
      <c r="FG221" s="28"/>
      <c r="FH221" s="28"/>
      <c r="FI221" s="28"/>
      <c r="FJ221" s="28"/>
      <c r="FK221" s="28"/>
      <c r="FL221" s="28"/>
      <c r="FM221" s="28"/>
      <c r="FN221" s="28"/>
      <c r="FO221" s="28"/>
      <c r="FP221" s="28"/>
      <c r="FQ221" s="28"/>
      <c r="FR221" s="28"/>
      <c r="FS221" s="28"/>
      <c r="FT221" s="28"/>
      <c r="FU221" s="28"/>
      <c r="FV221" s="28"/>
      <c r="FW221" s="28"/>
      <c r="FX221" s="28"/>
      <c r="FY221" s="28"/>
      <c r="FZ221" s="28"/>
      <c r="GA221" s="28"/>
      <c r="GB221" s="28"/>
      <c r="GC221" s="28"/>
      <c r="GD221" s="28"/>
      <c r="GE221" s="28"/>
      <c r="GF221" s="28"/>
      <c r="GG221" s="28"/>
      <c r="GH221" s="28"/>
      <c r="GI221" s="28"/>
      <c r="GJ221" s="28"/>
      <c r="GK221" s="28"/>
      <c r="GL221" s="28"/>
      <c r="GM221" s="28"/>
      <c r="GN221" s="28"/>
      <c r="GO221" s="28"/>
      <c r="GP221" s="28"/>
      <c r="GQ221" s="28"/>
      <c r="GR221" s="28"/>
      <c r="GS221" s="28"/>
      <c r="GT221" s="28"/>
      <c r="GU221" s="28"/>
      <c r="GV221" s="28"/>
      <c r="GW221" s="28"/>
      <c r="GX221" s="28"/>
      <c r="GY221" s="28"/>
      <c r="GZ221" s="28"/>
      <c r="HA221" s="28"/>
      <c r="HB221" s="28"/>
      <c r="HC221" s="28"/>
      <c r="HD221" s="28"/>
      <c r="HE221" s="28"/>
      <c r="HF221" s="28"/>
      <c r="HG221" s="28"/>
      <c r="HH221" s="28"/>
      <c r="HI221" s="28"/>
      <c r="HJ221" s="28"/>
      <c r="HK221" s="28"/>
    </row>
    <row r="222" spans="1:219" ht="15" customHeight="1">
      <c r="A222" s="49">
        <v>2</v>
      </c>
      <c r="B222" s="132" t="str">
        <f>VLOOKUP(Ruimtestaat[[#This Row],[Code]],Locaties[[Code]:[Locatie]],2,FALSE)</f>
        <v>Pauluskerk</v>
      </c>
      <c r="C222" s="132" t="str">
        <f>VLOOKUP(Ruimtestaat[[#This Row],[Code]],Locaties[[#All],[Code]:[Adres]],4,FALSE)</f>
        <v>Westdorplaan 122</v>
      </c>
      <c r="D222" s="132" t="str">
        <f>VLOOKUP(Ruimtestaat[[#This Row],[Code]],Locaties[[#All],[Code]:[Postcode]],5,FALSE)</f>
        <v>8101 BJ</v>
      </c>
      <c r="E222" s="132" t="str">
        <f>VLOOKUP(Ruimtestaat[[#This Row],[Code]],Locaties[#All],6,FALSE)</f>
        <v>Raalte</v>
      </c>
      <c r="F222" s="100"/>
      <c r="G222" s="100" t="s">
        <v>1675</v>
      </c>
      <c r="H222" s="49" t="s">
        <v>1719</v>
      </c>
      <c r="I222" s="140" t="s">
        <v>1759</v>
      </c>
      <c r="J222" s="49">
        <v>20</v>
      </c>
      <c r="K222" s="140" t="str">
        <f>VLOOKUP(Ruimtestaat[[#This Row],[Ruimte code]],Ruimtegroepen[[#All],[Code]:[Ruimte omschrijving]],2,FALSE)</f>
        <v>Niet in Onderhoud</v>
      </c>
      <c r="L222" s="100"/>
      <c r="M222" s="345"/>
      <c r="N222" s="133"/>
      <c r="O222" s="139">
        <v>18.8</v>
      </c>
      <c r="P222" s="134">
        <f>VLOOKUP(Ruimtestaat[[#This Row],[Ruimte code]],Ruimtegroepen[],4,FALSE)</f>
        <v>0</v>
      </c>
      <c r="Q222" s="100"/>
      <c r="R222" s="100"/>
      <c r="S222" s="100">
        <f>IF(Q222&gt;0,IF(RIGHT(Ruimtestaat[[#This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22" s="100">
        <f>IF(S222&gt;0,VLOOKUP($J222,Ruimtegroepen[],3,FALSE)*VLOOKUP($L222,Vloersoorten[],3,FALSE)*VLOOKUP($R222,Frequenties[],3,FALSE)*VLOOKUP($A222,Locaties[],3,FALSE),0)</f>
        <v>0</v>
      </c>
      <c r="U222" s="100">
        <f>Ruimtestaat[[#This Row],[Uitvoeringen werkdagen]]*Ruimtestaat[[#This Row],[Oppervlak (netto)]]</f>
        <v>0</v>
      </c>
      <c r="V222" s="135">
        <f>IF(T222&gt;0,Ruimtestaat[[#This Row],[Prest. (m2 /jaar) werkdagen]]/Ruimtestaat[[#This Row],[Norm (m2/uur) werkdagen]],0)</f>
        <v>0</v>
      </c>
      <c r="W222" s="136">
        <f>Ruimtestaat[[#This Row],[uren / jaar werkdagen]]*Tariefsopbouw!$E$35</f>
        <v>0</v>
      </c>
      <c r="X222" s="100"/>
      <c r="Y222" s="100">
        <f>IF(Ruimtestaat[[#This Row],[Frequentie weekend]]&gt;0,VALUE(LEFT(X222,1))*Q222,0)</f>
        <v>0</v>
      </c>
      <c r="Z222" s="99">
        <f>IF($Y222&gt;0,VLOOKUP($J222,Ruimtegroepen[],3,FALSE)*VLOOKUP($L222,Vloersoorten[],3,FALSE)*VLOOKUP($X222,Frequenties[],3,FALSE)*VLOOKUP(Ruimtestaat[[#This Row],[Code]],Locaties[],3,FALSE),0)</f>
        <v>0</v>
      </c>
      <c r="AA222" s="99">
        <f>Ruimtestaat[[#This Row],[Uitvoeringen weekend]]*Ruimtestaat[[#This Row],[Oppervlak (netto)]]</f>
        <v>0</v>
      </c>
      <c r="AB222" s="99">
        <f>IF(Z222&gt;0,Ruimtestaat[[#This Row],[Prest. (m2 /jaar) weekend]]/Ruimtestaat[[#This Row],[Norm (m2/uur) weekend]],0)</f>
        <v>0</v>
      </c>
      <c r="AC222" s="136">
        <f>Ruimtestaat[[#This Row],[uren / jaar weekend]]*Tariefsopbouw!$D$40</f>
        <v>0</v>
      </c>
      <c r="AD222" s="135">
        <f>Ruimtestaat[[#This Row],[Prest. (m2 /jaar) weekend]]+Ruimtestaat[[#This Row],[Prest. (m2 /jaar) werkdagen]]</f>
        <v>0</v>
      </c>
      <c r="AE222" s="135">
        <f>Ruimtestaat[[#This Row],[uren / jaar weekend]]+Ruimtestaat[[#This Row],[uren / jaar werkdagen]]</f>
        <v>0</v>
      </c>
      <c r="AF222" s="130">
        <f>Ruimtestaat[[#This Row],[kosten / jaar weekend]]+Ruimtestaat[[#This Row],[kosten / jaar werkdagen]]</f>
        <v>0</v>
      </c>
      <c r="AG222" s="130"/>
      <c r="AH222" s="137" t="str">
        <f>IF(Ruimtestaat[[#This Row],[Frequentie werkdagen]]="","",_xlfn.CONCAT(Ruimtestaat[[#This Row],[Ruimte code]],"-",Ruimtestaat[[#This Row],[Frequentie werkdagen]]," ",Ruimtestaat[[#This Row],[Vloer code]]))</f>
        <v/>
      </c>
      <c r="AI222" s="142" t="str">
        <f>_xlfn.IFNA(VLOOKUP($AH222,Programma!$F$3:$G$1101,2,0),"")</f>
        <v/>
      </c>
      <c r="AJ222" s="142" t="str">
        <f>_xlfn.IFNA(VLOOKUP($AH222,Programma!$F$3:$H$1101,3,0),"")</f>
        <v/>
      </c>
      <c r="AK222" s="142" t="str">
        <f>_xlfn.IFNA(VLOOKUP($AH222,Programma!$F$3:$I$1101,4,0),"")</f>
        <v/>
      </c>
      <c r="AL222" s="142" t="str">
        <f>_xlfn.IFNA(VLOOKUP($AH222,Programma!$F$3:$J$1101,5,0),"")</f>
        <v/>
      </c>
      <c r="AM222" s="142" t="str">
        <f>_xlfn.IFNA(VLOOKUP($AH222,Programma!$F$3:$K$1101,6,0),"")</f>
        <v/>
      </c>
      <c r="AN222" s="142" t="str">
        <f>_xlfn.IFNA(VLOOKUP($AH222,Programma!$F$3:$L$1101,7,0),"")</f>
        <v/>
      </c>
      <c r="AO222" s="142" t="str">
        <f>_xlfn.IFNA(VLOOKUP($AH222,Programma!$F$3:$M$1101,8,0),"")</f>
        <v/>
      </c>
      <c r="AP222" s="142" t="str">
        <f>_xlfn.IFNA(VLOOKUP($AH222,Programma!$F$3:$N$1101,9,0),"")</f>
        <v/>
      </c>
      <c r="AQ222" s="142" t="str">
        <f>_xlfn.IFNA(VLOOKUP($AH222,Programma!$F$3:$O$1101,10,0),"")</f>
        <v/>
      </c>
      <c r="AR222" s="142" t="str">
        <f>_xlfn.IFNA(VLOOKUP($AH222,Programma!$F$3:$P$1101,11,0),"")</f>
        <v/>
      </c>
      <c r="AS222" s="142" t="str">
        <f>_xlfn.IFNA(VLOOKUP($AH222,Programma!$F$3:$Q$1101,12,0),"")</f>
        <v/>
      </c>
      <c r="AT222" s="142" t="str">
        <f>_xlfn.IFNA(VLOOKUP($AH222,Programma!$F$3:$R$1101,13,0),"")</f>
        <v/>
      </c>
      <c r="AU222" s="142" t="str">
        <f>_xlfn.IFNA(VLOOKUP($AH222,Programma!$F$3:$S$1101,14,0),"")</f>
        <v/>
      </c>
      <c r="AV222" s="142" t="str">
        <f>_xlfn.IFNA(VLOOKUP($AH222,Programma!$F$3:$T$1101,15,0),"")</f>
        <v/>
      </c>
      <c r="AW222" s="142" t="str">
        <f>_xlfn.IFNA(VLOOKUP($AH222,Programma!$F$3:$U$1101,16,0),"")</f>
        <v/>
      </c>
      <c r="AX222" s="142" t="str">
        <f>_xlfn.IFNA(VLOOKUP($AH222,Programma!$F$3:$V$1101,17,0),"")</f>
        <v/>
      </c>
      <c r="AY222" s="142" t="str">
        <f>_xlfn.IFNA(VLOOKUP($AH222,Programma!$F$3:$W$1101,18,0),"")</f>
        <v/>
      </c>
      <c r="AZ222" s="142" t="str">
        <f>_xlfn.IFNA(VLOOKUP($AH222,Programma!$F$3:$X$1101,19,0),"")</f>
        <v/>
      </c>
      <c r="BA222" s="142" t="str">
        <f>_xlfn.IFNA(VLOOKUP($AH222,Programma!$F$3:$Y$1101,20,0),"")</f>
        <v/>
      </c>
      <c r="BB222" s="138"/>
      <c r="BC222" s="137" t="str">
        <f>IF(Ruimtestaat[[#This Row],[Frequentie weekend]]="","",_xlfn.CONCAT(Ruimtestaat[[#This Row],[Ruimte code]],"-",Ruimtestaat[[#This Row],[Frequentie weekend]]," ",Ruimtestaat[[#This Row],[Vloer code]]))</f>
        <v/>
      </c>
      <c r="BD222" s="142" t="str">
        <f>_xlfn.IFNA(VLOOKUP($BC222,Programma!$F$3:$G$1101,2,0),"")</f>
        <v/>
      </c>
      <c r="BE222" s="142" t="str">
        <f>_xlfn.IFNA(VLOOKUP($BC222,Programma!$F$3:$H$1101,3,0),"")</f>
        <v/>
      </c>
      <c r="BF222" s="142" t="str">
        <f>_xlfn.IFNA(VLOOKUP($BC222,Programma!$F$3:$I$1101,4,0),"")</f>
        <v/>
      </c>
      <c r="BG222" s="142" t="str">
        <f>_xlfn.IFNA(VLOOKUP($BC222,Programma!$F$3:$J$1101,5,0),"")</f>
        <v/>
      </c>
      <c r="BH222" s="142" t="str">
        <f>_xlfn.IFNA(VLOOKUP($BC222,Programma!$F$3:$K$1101,6,0),"")</f>
        <v/>
      </c>
      <c r="BI222" s="142" t="str">
        <f>_xlfn.IFNA(VLOOKUP($BC222,Programma!$F$3:$L$1101,7,0),"")</f>
        <v/>
      </c>
      <c r="BJ222" s="142" t="str">
        <f>_xlfn.IFNA(VLOOKUP($BC222,Programma!$F$3:$M$1101,8,0),"")</f>
        <v/>
      </c>
      <c r="BK222" s="142" t="str">
        <f>_xlfn.IFNA(VLOOKUP($BC222,Programma!$F$3:$N$1101,9,0),"")</f>
        <v/>
      </c>
      <c r="BL222" s="142" t="str">
        <f>_xlfn.IFNA(VLOOKUP($BC222,Programma!$F$3:$O$1101,10,0),"")</f>
        <v/>
      </c>
      <c r="BM222" s="142" t="str">
        <f>_xlfn.IFNA(VLOOKUP($BC222,Programma!$F$3:$P$1101,11,0),"")</f>
        <v/>
      </c>
      <c r="BN222" s="142" t="str">
        <f>_xlfn.IFNA(VLOOKUP($BC222,Programma!$F$3:$Q$1101,12,0),"")</f>
        <v/>
      </c>
      <c r="BO222" s="142" t="str">
        <f>_xlfn.IFNA(VLOOKUP($BC222,Programma!$F$3:$R$1101,13,0),"")</f>
        <v/>
      </c>
      <c r="BP222" s="142" t="str">
        <f>_xlfn.IFNA(VLOOKUP($BC222,Programma!$F$3:$S$1101,14,0),"")</f>
        <v/>
      </c>
      <c r="BQ222" s="142" t="str">
        <f>_xlfn.IFNA(VLOOKUP($BC222,Programma!$F$3:$T$1101,15,0),"")</f>
        <v/>
      </c>
      <c r="BR222" s="142" t="str">
        <f>_xlfn.IFNA(VLOOKUP($BC222,Programma!$F$3:$U$1101,16,0),"")</f>
        <v/>
      </c>
      <c r="BS222" s="142" t="str">
        <f>_xlfn.IFNA(VLOOKUP($BC222,Programma!$F$3:$V$1101,17,0),"")</f>
        <v/>
      </c>
      <c r="BT222" s="142" t="str">
        <f>_xlfn.IFNA(VLOOKUP($BC222,Programma!$F$3:$W$1101,18,0),"")</f>
        <v/>
      </c>
      <c r="BU222" s="142" t="str">
        <f>_xlfn.IFNA(VLOOKUP($BC222,Programma!$F$3:$X$1101,19,0),"")</f>
        <v/>
      </c>
      <c r="BV222" s="142" t="str">
        <f>_xlfn.IFNA(VLOOKUP($BC222,Programma!$F$3:$Y$1101,20,0),"")</f>
        <v/>
      </c>
      <c r="BW222" s="28"/>
      <c r="BX222" s="28"/>
      <c r="BY222" s="28"/>
      <c r="BZ222" s="28"/>
      <c r="CA222" s="28"/>
      <c r="CB222" s="28"/>
      <c r="CC222" s="28"/>
      <c r="CD222" s="28"/>
      <c r="CE222" s="28"/>
      <c r="CF222" s="28"/>
      <c r="CG222" s="28"/>
      <c r="CH222" s="28"/>
      <c r="CI222" s="28"/>
      <c r="CJ222" s="28"/>
      <c r="CK222" s="28"/>
      <c r="CL222" s="28"/>
      <c r="CM222" s="28"/>
      <c r="CN222" s="28"/>
      <c r="CO222" s="28"/>
      <c r="CP222" s="28"/>
      <c r="CQ222" s="28"/>
      <c r="CR222" s="28"/>
      <c r="CS222" s="28"/>
      <c r="CT222" s="28"/>
      <c r="CU222" s="28"/>
      <c r="CV222" s="28"/>
      <c r="CW222" s="28"/>
      <c r="CX222" s="28"/>
      <c r="CY222" s="28"/>
      <c r="CZ222" s="28"/>
      <c r="DA222" s="28"/>
      <c r="DB222" s="28"/>
      <c r="DC222" s="28"/>
      <c r="DD222" s="28"/>
      <c r="DE222" s="28"/>
      <c r="DF222" s="28"/>
      <c r="DG222" s="28"/>
      <c r="DH222" s="28"/>
      <c r="DI222" s="28"/>
      <c r="DJ222" s="28"/>
      <c r="DK222" s="28"/>
      <c r="DL222" s="28"/>
      <c r="DM222" s="28"/>
      <c r="DN222" s="28"/>
      <c r="DO222" s="28"/>
      <c r="DP222" s="28"/>
      <c r="DQ222" s="28"/>
      <c r="DR222" s="28"/>
      <c r="DS222" s="28"/>
      <c r="DT222" s="28"/>
      <c r="DU222" s="28"/>
      <c r="DV222" s="28"/>
      <c r="DW222" s="28"/>
      <c r="DX222" s="28"/>
      <c r="DY222" s="28"/>
      <c r="DZ222" s="28"/>
      <c r="EA222" s="28"/>
      <c r="EB222" s="28"/>
      <c r="EC222" s="28"/>
      <c r="ED222" s="28"/>
      <c r="EE222" s="28"/>
      <c r="EF222" s="28"/>
      <c r="EG222" s="28"/>
      <c r="EH222" s="28"/>
      <c r="EI222" s="28"/>
      <c r="EJ222" s="28"/>
      <c r="EK222" s="28"/>
      <c r="EL222" s="28"/>
      <c r="EM222" s="28"/>
      <c r="EN222" s="28"/>
      <c r="EO222" s="28"/>
      <c r="EP222" s="28"/>
      <c r="EQ222" s="28"/>
      <c r="ER222" s="28"/>
      <c r="ES222" s="28"/>
      <c r="ET222" s="28"/>
      <c r="EU222" s="28"/>
      <c r="EV222" s="28"/>
      <c r="EW222" s="28"/>
      <c r="EX222" s="28"/>
      <c r="EY222" s="28"/>
      <c r="EZ222" s="28"/>
      <c r="FA222" s="28"/>
      <c r="FB222" s="28"/>
      <c r="FC222" s="28"/>
      <c r="FD222" s="28"/>
      <c r="FE222" s="28"/>
      <c r="FF222" s="28"/>
      <c r="FG222" s="28"/>
      <c r="FH222" s="28"/>
      <c r="FI222" s="28"/>
      <c r="FJ222" s="28"/>
      <c r="FK222" s="28"/>
      <c r="FL222" s="28"/>
      <c r="FM222" s="28"/>
      <c r="FN222" s="28"/>
      <c r="FO222" s="28"/>
      <c r="FP222" s="28"/>
      <c r="FQ222" s="28"/>
      <c r="FR222" s="28"/>
      <c r="FS222" s="28"/>
      <c r="FT222" s="28"/>
      <c r="FU222" s="28"/>
      <c r="FV222" s="28"/>
      <c r="FW222" s="28"/>
      <c r="FX222" s="28"/>
      <c r="FY222" s="28"/>
      <c r="FZ222" s="28"/>
      <c r="GA222" s="28"/>
      <c r="GB222" s="28"/>
      <c r="GC222" s="28"/>
      <c r="GD222" s="28"/>
      <c r="GE222" s="28"/>
      <c r="GF222" s="28"/>
      <c r="GG222" s="28"/>
      <c r="GH222" s="28"/>
      <c r="GI222" s="28"/>
      <c r="GJ222" s="28"/>
      <c r="GK222" s="28"/>
      <c r="GL222" s="28"/>
      <c r="GM222" s="28"/>
      <c r="GN222" s="28"/>
      <c r="GO222" s="28"/>
      <c r="GP222" s="28"/>
      <c r="GQ222" s="28"/>
      <c r="GR222" s="28"/>
      <c r="GS222" s="28"/>
      <c r="GT222" s="28"/>
      <c r="GU222" s="28"/>
      <c r="GV222" s="28"/>
      <c r="GW222" s="28"/>
      <c r="GX222" s="28"/>
      <c r="GY222" s="28"/>
      <c r="GZ222" s="28"/>
      <c r="HA222" s="28"/>
      <c r="HB222" s="28"/>
      <c r="HC222" s="28"/>
      <c r="HD222" s="28"/>
      <c r="HE222" s="28"/>
      <c r="HF222" s="28"/>
      <c r="HG222" s="28"/>
      <c r="HH222" s="28"/>
      <c r="HI222" s="28"/>
      <c r="HJ222" s="28"/>
      <c r="HK222" s="28"/>
    </row>
    <row r="223" spans="1:219" ht="15" customHeight="1">
      <c r="A223" s="49">
        <v>2</v>
      </c>
      <c r="B223" s="132" t="str">
        <f>VLOOKUP(Ruimtestaat[[#This Row],[Code]],Locaties[[Code]:[Locatie]],2,FALSE)</f>
        <v>Pauluskerk</v>
      </c>
      <c r="C223" s="132" t="str">
        <f>VLOOKUP(Ruimtestaat[[#This Row],[Code]],Locaties[[#All],[Code]:[Adres]],4,FALSE)</f>
        <v>Westdorplaan 122</v>
      </c>
      <c r="D223" s="132" t="str">
        <f>VLOOKUP(Ruimtestaat[[#This Row],[Code]],Locaties[[#All],[Code]:[Postcode]],5,FALSE)</f>
        <v>8101 BJ</v>
      </c>
      <c r="E223" s="132" t="str">
        <f>VLOOKUP(Ruimtestaat[[#This Row],[Code]],Locaties[#All],6,FALSE)</f>
        <v>Raalte</v>
      </c>
      <c r="F223" s="100"/>
      <c r="G223" s="100" t="s">
        <v>1675</v>
      </c>
      <c r="H223" s="49" t="s">
        <v>1720</v>
      </c>
      <c r="I223" s="140" t="s">
        <v>1760</v>
      </c>
      <c r="J223" s="49">
        <v>20</v>
      </c>
      <c r="K223" s="140" t="str">
        <f>VLOOKUP(Ruimtestaat[[#This Row],[Ruimte code]],Ruimtegroepen[[#All],[Code]:[Ruimte omschrijving]],2,FALSE)</f>
        <v>Niet in Onderhoud</v>
      </c>
      <c r="L223" s="100"/>
      <c r="M223" s="345"/>
      <c r="N223" s="133"/>
      <c r="O223" s="139">
        <v>7.04</v>
      </c>
      <c r="P223" s="134">
        <f>VLOOKUP(Ruimtestaat[[#This Row],[Ruimte code]],Ruimtegroepen[],4,FALSE)</f>
        <v>0</v>
      </c>
      <c r="Q223" s="100"/>
      <c r="R223" s="100"/>
      <c r="S223" s="100">
        <f>IF(Q223&gt;0,IF(RIGHT(Ruimtestaat[[#This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23" s="100">
        <f>IF(S223&gt;0,VLOOKUP($J223,Ruimtegroepen[],3,FALSE)*VLOOKUP($L223,Vloersoorten[],3,FALSE)*VLOOKUP($R223,Frequenties[],3,FALSE)*VLOOKUP($A223,Locaties[],3,FALSE),0)</f>
        <v>0</v>
      </c>
      <c r="U223" s="100">
        <f>Ruimtestaat[[#This Row],[Uitvoeringen werkdagen]]*Ruimtestaat[[#This Row],[Oppervlak (netto)]]</f>
        <v>0</v>
      </c>
      <c r="V223" s="135">
        <f>IF(T223&gt;0,Ruimtestaat[[#This Row],[Prest. (m2 /jaar) werkdagen]]/Ruimtestaat[[#This Row],[Norm (m2/uur) werkdagen]],0)</f>
        <v>0</v>
      </c>
      <c r="W223" s="136">
        <f>Ruimtestaat[[#This Row],[uren / jaar werkdagen]]*Tariefsopbouw!$E$35</f>
        <v>0</v>
      </c>
      <c r="X223" s="100"/>
      <c r="Y223" s="100">
        <f>IF(Ruimtestaat[[#This Row],[Frequentie weekend]]&gt;0,VALUE(LEFT(X223,1))*Q223,0)</f>
        <v>0</v>
      </c>
      <c r="Z223" s="99">
        <f>IF($Y223&gt;0,VLOOKUP($J223,Ruimtegroepen[],3,FALSE)*VLOOKUP($L223,Vloersoorten[],3,FALSE)*VLOOKUP($X223,Frequenties[],3,FALSE)*VLOOKUP(Ruimtestaat[[#This Row],[Code]],Locaties[],3,FALSE),0)</f>
        <v>0</v>
      </c>
      <c r="AA223" s="99">
        <f>Ruimtestaat[[#This Row],[Uitvoeringen weekend]]*Ruimtestaat[[#This Row],[Oppervlak (netto)]]</f>
        <v>0</v>
      </c>
      <c r="AB223" s="99">
        <f>IF(Z223&gt;0,Ruimtestaat[[#This Row],[Prest. (m2 /jaar) weekend]]/Ruimtestaat[[#This Row],[Norm (m2/uur) weekend]],0)</f>
        <v>0</v>
      </c>
      <c r="AC223" s="136">
        <f>Ruimtestaat[[#This Row],[uren / jaar weekend]]*Tariefsopbouw!$D$40</f>
        <v>0</v>
      </c>
      <c r="AD223" s="135">
        <f>Ruimtestaat[[#This Row],[Prest. (m2 /jaar) weekend]]+Ruimtestaat[[#This Row],[Prest. (m2 /jaar) werkdagen]]</f>
        <v>0</v>
      </c>
      <c r="AE223" s="135">
        <f>Ruimtestaat[[#This Row],[uren / jaar weekend]]+Ruimtestaat[[#This Row],[uren / jaar werkdagen]]</f>
        <v>0</v>
      </c>
      <c r="AF223" s="130">
        <f>Ruimtestaat[[#This Row],[kosten / jaar weekend]]+Ruimtestaat[[#This Row],[kosten / jaar werkdagen]]</f>
        <v>0</v>
      </c>
      <c r="AG223" s="130"/>
      <c r="AH223" s="137" t="str">
        <f>IF(Ruimtestaat[[#This Row],[Frequentie werkdagen]]="","",_xlfn.CONCAT(Ruimtestaat[[#This Row],[Ruimte code]],"-",Ruimtestaat[[#This Row],[Frequentie werkdagen]]," ",Ruimtestaat[[#This Row],[Vloer code]]))</f>
        <v/>
      </c>
      <c r="AI223" s="142" t="str">
        <f>_xlfn.IFNA(VLOOKUP($AH223,Programma!$F$3:$G$1101,2,0),"")</f>
        <v/>
      </c>
      <c r="AJ223" s="142" t="str">
        <f>_xlfn.IFNA(VLOOKUP($AH223,Programma!$F$3:$H$1101,3,0),"")</f>
        <v/>
      </c>
      <c r="AK223" s="142" t="str">
        <f>_xlfn.IFNA(VLOOKUP($AH223,Programma!$F$3:$I$1101,4,0),"")</f>
        <v/>
      </c>
      <c r="AL223" s="142" t="str">
        <f>_xlfn.IFNA(VLOOKUP($AH223,Programma!$F$3:$J$1101,5,0),"")</f>
        <v/>
      </c>
      <c r="AM223" s="142" t="str">
        <f>_xlfn.IFNA(VLOOKUP($AH223,Programma!$F$3:$K$1101,6,0),"")</f>
        <v/>
      </c>
      <c r="AN223" s="142" t="str">
        <f>_xlfn.IFNA(VLOOKUP($AH223,Programma!$F$3:$L$1101,7,0),"")</f>
        <v/>
      </c>
      <c r="AO223" s="142" t="str">
        <f>_xlfn.IFNA(VLOOKUP($AH223,Programma!$F$3:$M$1101,8,0),"")</f>
        <v/>
      </c>
      <c r="AP223" s="142" t="str">
        <f>_xlfn.IFNA(VLOOKUP($AH223,Programma!$F$3:$N$1101,9,0),"")</f>
        <v/>
      </c>
      <c r="AQ223" s="142" t="str">
        <f>_xlfn.IFNA(VLOOKUP($AH223,Programma!$F$3:$O$1101,10,0),"")</f>
        <v/>
      </c>
      <c r="AR223" s="142" t="str">
        <f>_xlfn.IFNA(VLOOKUP($AH223,Programma!$F$3:$P$1101,11,0),"")</f>
        <v/>
      </c>
      <c r="AS223" s="142" t="str">
        <f>_xlfn.IFNA(VLOOKUP($AH223,Programma!$F$3:$Q$1101,12,0),"")</f>
        <v/>
      </c>
      <c r="AT223" s="142" t="str">
        <f>_xlfn.IFNA(VLOOKUP($AH223,Programma!$F$3:$R$1101,13,0),"")</f>
        <v/>
      </c>
      <c r="AU223" s="142" t="str">
        <f>_xlfn.IFNA(VLOOKUP($AH223,Programma!$F$3:$S$1101,14,0),"")</f>
        <v/>
      </c>
      <c r="AV223" s="142" t="str">
        <f>_xlfn.IFNA(VLOOKUP($AH223,Programma!$F$3:$T$1101,15,0),"")</f>
        <v/>
      </c>
      <c r="AW223" s="142" t="str">
        <f>_xlfn.IFNA(VLOOKUP($AH223,Programma!$F$3:$U$1101,16,0),"")</f>
        <v/>
      </c>
      <c r="AX223" s="142" t="str">
        <f>_xlfn.IFNA(VLOOKUP($AH223,Programma!$F$3:$V$1101,17,0),"")</f>
        <v/>
      </c>
      <c r="AY223" s="142" t="str">
        <f>_xlfn.IFNA(VLOOKUP($AH223,Programma!$F$3:$W$1101,18,0),"")</f>
        <v/>
      </c>
      <c r="AZ223" s="142" t="str">
        <f>_xlfn.IFNA(VLOOKUP($AH223,Programma!$F$3:$X$1101,19,0),"")</f>
        <v/>
      </c>
      <c r="BA223" s="142" t="str">
        <f>_xlfn.IFNA(VLOOKUP($AH223,Programma!$F$3:$Y$1101,20,0),"")</f>
        <v/>
      </c>
      <c r="BB223" s="138"/>
      <c r="BC223" s="137" t="str">
        <f>IF(Ruimtestaat[[#This Row],[Frequentie weekend]]="","",_xlfn.CONCAT(Ruimtestaat[[#This Row],[Ruimte code]],"-",Ruimtestaat[[#This Row],[Frequentie weekend]]," ",Ruimtestaat[[#This Row],[Vloer code]]))</f>
        <v/>
      </c>
      <c r="BD223" s="142" t="str">
        <f>_xlfn.IFNA(VLOOKUP($BC223,Programma!$F$3:$G$1101,2,0),"")</f>
        <v/>
      </c>
      <c r="BE223" s="142" t="str">
        <f>_xlfn.IFNA(VLOOKUP($BC223,Programma!$F$3:$H$1101,3,0),"")</f>
        <v/>
      </c>
      <c r="BF223" s="142" t="str">
        <f>_xlfn.IFNA(VLOOKUP($BC223,Programma!$F$3:$I$1101,4,0),"")</f>
        <v/>
      </c>
      <c r="BG223" s="142" t="str">
        <f>_xlfn.IFNA(VLOOKUP($BC223,Programma!$F$3:$J$1101,5,0),"")</f>
        <v/>
      </c>
      <c r="BH223" s="142" t="str">
        <f>_xlfn.IFNA(VLOOKUP($BC223,Programma!$F$3:$K$1101,6,0),"")</f>
        <v/>
      </c>
      <c r="BI223" s="142" t="str">
        <f>_xlfn.IFNA(VLOOKUP($BC223,Programma!$F$3:$L$1101,7,0),"")</f>
        <v/>
      </c>
      <c r="BJ223" s="142" t="str">
        <f>_xlfn.IFNA(VLOOKUP($BC223,Programma!$F$3:$M$1101,8,0),"")</f>
        <v/>
      </c>
      <c r="BK223" s="142" t="str">
        <f>_xlfn.IFNA(VLOOKUP($BC223,Programma!$F$3:$N$1101,9,0),"")</f>
        <v/>
      </c>
      <c r="BL223" s="142" t="str">
        <f>_xlfn.IFNA(VLOOKUP($BC223,Programma!$F$3:$O$1101,10,0),"")</f>
        <v/>
      </c>
      <c r="BM223" s="142" t="str">
        <f>_xlfn.IFNA(VLOOKUP($BC223,Programma!$F$3:$P$1101,11,0),"")</f>
        <v/>
      </c>
      <c r="BN223" s="142" t="str">
        <f>_xlfn.IFNA(VLOOKUP($BC223,Programma!$F$3:$Q$1101,12,0),"")</f>
        <v/>
      </c>
      <c r="BO223" s="142" t="str">
        <f>_xlfn.IFNA(VLOOKUP($BC223,Programma!$F$3:$R$1101,13,0),"")</f>
        <v/>
      </c>
      <c r="BP223" s="142" t="str">
        <f>_xlfn.IFNA(VLOOKUP($BC223,Programma!$F$3:$S$1101,14,0),"")</f>
        <v/>
      </c>
      <c r="BQ223" s="142" t="str">
        <f>_xlfn.IFNA(VLOOKUP($BC223,Programma!$F$3:$T$1101,15,0),"")</f>
        <v/>
      </c>
      <c r="BR223" s="142" t="str">
        <f>_xlfn.IFNA(VLOOKUP($BC223,Programma!$F$3:$U$1101,16,0),"")</f>
        <v/>
      </c>
      <c r="BS223" s="142" t="str">
        <f>_xlfn.IFNA(VLOOKUP($BC223,Programma!$F$3:$V$1101,17,0),"")</f>
        <v/>
      </c>
      <c r="BT223" s="142" t="str">
        <f>_xlfn.IFNA(VLOOKUP($BC223,Programma!$F$3:$W$1101,18,0),"")</f>
        <v/>
      </c>
      <c r="BU223" s="142" t="str">
        <f>_xlfn.IFNA(VLOOKUP($BC223,Programma!$F$3:$X$1101,19,0),"")</f>
        <v/>
      </c>
      <c r="BV223" s="142" t="str">
        <f>_xlfn.IFNA(VLOOKUP($BC223,Programma!$F$3:$Y$1101,20,0),"")</f>
        <v/>
      </c>
      <c r="BW223" s="28"/>
      <c r="BX223" s="28"/>
      <c r="BY223" s="28"/>
      <c r="BZ223" s="28"/>
      <c r="CA223" s="28"/>
      <c r="CB223" s="28"/>
      <c r="CC223" s="28"/>
      <c r="CD223" s="28"/>
      <c r="CE223" s="28"/>
      <c r="CF223" s="28"/>
      <c r="CG223" s="28"/>
      <c r="CH223" s="28"/>
      <c r="CI223" s="28"/>
      <c r="CJ223" s="28"/>
      <c r="CK223" s="28"/>
      <c r="CL223" s="28"/>
      <c r="CM223" s="28"/>
      <c r="CN223" s="28"/>
      <c r="CO223" s="28"/>
      <c r="CP223" s="28"/>
      <c r="CQ223" s="28"/>
      <c r="CR223" s="28"/>
      <c r="CS223" s="28"/>
      <c r="CT223" s="28"/>
      <c r="CU223" s="28"/>
      <c r="CV223" s="28"/>
      <c r="CW223" s="28"/>
      <c r="CX223" s="28"/>
      <c r="CY223" s="28"/>
      <c r="CZ223" s="28"/>
      <c r="DA223" s="28"/>
      <c r="DB223" s="28"/>
      <c r="DC223" s="28"/>
      <c r="DD223" s="28"/>
      <c r="DE223" s="28"/>
      <c r="DF223" s="28"/>
      <c r="DG223" s="28"/>
      <c r="DH223" s="28"/>
      <c r="DI223" s="28"/>
      <c r="DJ223" s="28"/>
      <c r="DK223" s="28"/>
      <c r="DL223" s="28"/>
      <c r="DM223" s="28"/>
      <c r="DN223" s="28"/>
      <c r="DO223" s="28"/>
      <c r="DP223" s="28"/>
      <c r="DQ223" s="28"/>
      <c r="DR223" s="28"/>
      <c r="DS223" s="28"/>
      <c r="DT223" s="28"/>
      <c r="DU223" s="28"/>
      <c r="DV223" s="28"/>
      <c r="DW223" s="28"/>
      <c r="DX223" s="28"/>
      <c r="DY223" s="28"/>
      <c r="DZ223" s="28"/>
      <c r="EA223" s="28"/>
      <c r="EB223" s="28"/>
      <c r="EC223" s="28"/>
      <c r="ED223" s="28"/>
      <c r="EE223" s="28"/>
      <c r="EF223" s="28"/>
      <c r="EG223" s="28"/>
      <c r="EH223" s="28"/>
      <c r="EI223" s="28"/>
      <c r="EJ223" s="28"/>
      <c r="EK223" s="28"/>
      <c r="EL223" s="28"/>
      <c r="EM223" s="28"/>
      <c r="EN223" s="28"/>
      <c r="EO223" s="28"/>
      <c r="EP223" s="28"/>
      <c r="EQ223" s="28"/>
      <c r="ER223" s="28"/>
      <c r="ES223" s="28"/>
      <c r="ET223" s="28"/>
      <c r="EU223" s="28"/>
      <c r="EV223" s="28"/>
      <c r="EW223" s="28"/>
      <c r="EX223" s="28"/>
      <c r="EY223" s="28"/>
      <c r="EZ223" s="28"/>
      <c r="FA223" s="28"/>
      <c r="FB223" s="28"/>
      <c r="FC223" s="28"/>
      <c r="FD223" s="28"/>
      <c r="FE223" s="28"/>
      <c r="FF223" s="28"/>
      <c r="FG223" s="28"/>
      <c r="FH223" s="28"/>
      <c r="FI223" s="28"/>
      <c r="FJ223" s="28"/>
      <c r="FK223" s="28"/>
      <c r="FL223" s="28"/>
      <c r="FM223" s="28"/>
      <c r="FN223" s="28"/>
      <c r="FO223" s="28"/>
      <c r="FP223" s="28"/>
      <c r="FQ223" s="28"/>
      <c r="FR223" s="28"/>
      <c r="FS223" s="28"/>
      <c r="FT223" s="28"/>
      <c r="FU223" s="28"/>
      <c r="FV223" s="28"/>
      <c r="FW223" s="28"/>
      <c r="FX223" s="28"/>
      <c r="FY223" s="28"/>
      <c r="FZ223" s="28"/>
      <c r="GA223" s="28"/>
      <c r="GB223" s="28"/>
      <c r="GC223" s="28"/>
      <c r="GD223" s="28"/>
      <c r="GE223" s="28"/>
      <c r="GF223" s="28"/>
      <c r="GG223" s="28"/>
      <c r="GH223" s="28"/>
      <c r="GI223" s="28"/>
      <c r="GJ223" s="28"/>
      <c r="GK223" s="28"/>
      <c r="GL223" s="28"/>
      <c r="GM223" s="28"/>
      <c r="GN223" s="28"/>
      <c r="GO223" s="28"/>
      <c r="GP223" s="28"/>
      <c r="GQ223" s="28"/>
      <c r="GR223" s="28"/>
      <c r="GS223" s="28"/>
      <c r="GT223" s="28"/>
      <c r="GU223" s="28"/>
      <c r="GV223" s="28"/>
      <c r="GW223" s="28"/>
      <c r="GX223" s="28"/>
      <c r="GY223" s="28"/>
      <c r="GZ223" s="28"/>
      <c r="HA223" s="28"/>
      <c r="HB223" s="28"/>
      <c r="HC223" s="28"/>
      <c r="HD223" s="28"/>
      <c r="HE223" s="28"/>
      <c r="HF223" s="28"/>
      <c r="HG223" s="28"/>
      <c r="HH223" s="28"/>
      <c r="HI223" s="28"/>
      <c r="HJ223" s="28"/>
      <c r="HK223" s="28"/>
    </row>
    <row r="224" spans="1:219" ht="15" customHeight="1">
      <c r="A224" s="49">
        <v>2</v>
      </c>
      <c r="B224" s="132" t="str">
        <f>VLOOKUP(Ruimtestaat[[#This Row],[Code]],Locaties[[Code]:[Locatie]],2,FALSE)</f>
        <v>Pauluskerk</v>
      </c>
      <c r="C224" s="132" t="str">
        <f>VLOOKUP(Ruimtestaat[[#This Row],[Code]],Locaties[[#All],[Code]:[Adres]],4,FALSE)</f>
        <v>Westdorplaan 122</v>
      </c>
      <c r="D224" s="132" t="str">
        <f>VLOOKUP(Ruimtestaat[[#This Row],[Code]],Locaties[[#All],[Code]:[Postcode]],5,FALSE)</f>
        <v>8101 BJ</v>
      </c>
      <c r="E224" s="132" t="str">
        <f>VLOOKUP(Ruimtestaat[[#This Row],[Code]],Locaties[#All],6,FALSE)</f>
        <v>Raalte</v>
      </c>
      <c r="F224" s="100"/>
      <c r="G224" s="100" t="s">
        <v>1675</v>
      </c>
      <c r="I224" s="140" t="s">
        <v>1650</v>
      </c>
      <c r="J224" s="49">
        <v>6</v>
      </c>
      <c r="K224" s="140" t="str">
        <f>VLOOKUP(Ruimtestaat[[#This Row],[Ruimte code]],Ruimtegroepen[[#All],[Code]:[Ruimte omschrijving]],2,FALSE)</f>
        <v>Gangen/hallen</v>
      </c>
      <c r="L224" s="100" t="s">
        <v>99</v>
      </c>
      <c r="M224" s="345" t="s">
        <v>36</v>
      </c>
      <c r="N224" s="133">
        <v>4.5</v>
      </c>
      <c r="O224" s="139"/>
      <c r="P224" s="134" t="str">
        <f>VLOOKUP(Ruimtestaat[[#This Row],[Ruimte code]],Ruimtegroepen[],4,FALSE)</f>
        <v>Ve</v>
      </c>
      <c r="Q224" s="100">
        <v>51</v>
      </c>
      <c r="R224" s="100" t="s">
        <v>2</v>
      </c>
      <c r="S224" s="100">
        <f>IF(Q224&gt;0,IF(RIGHT(Ruimtestaat[[#This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24" s="100">
        <f>IF(S224&gt;0,VLOOKUP($J224,Ruimtegroepen[],3,FALSE)*VLOOKUP($L224,Vloersoorten[],3,FALSE)*VLOOKUP($R224,Frequenties[],3,FALSE)*VLOOKUP($A224,Locaties[],3,FALSE),0)</f>
        <v>0</v>
      </c>
      <c r="U224" s="100">
        <f>Ruimtestaat[[#This Row],[Uitvoeringen werkdagen]]*Ruimtestaat[[#This Row],[Oppervlak (netto)]]</f>
        <v>1147.5</v>
      </c>
      <c r="V224" s="135">
        <f>IF(T224&gt;0,Ruimtestaat[[#This Row],[Prest. (m2 /jaar) werkdagen]]/Ruimtestaat[[#This Row],[Norm (m2/uur) werkdagen]],0)</f>
        <v>0</v>
      </c>
      <c r="W224" s="136">
        <f>Ruimtestaat[[#This Row],[uren / jaar werkdagen]]*Tariefsopbouw!$E$35</f>
        <v>0</v>
      </c>
      <c r="X224" s="100"/>
      <c r="Y224" s="100">
        <f>IF(Ruimtestaat[[#This Row],[Frequentie weekend]]&gt;0,VALUE(LEFT(X224,1))*Q224,0)</f>
        <v>0</v>
      </c>
      <c r="Z224" s="99">
        <f>IF($Y224&gt;0,VLOOKUP($J224,Ruimtegroepen[],3,FALSE)*VLOOKUP($L224,Vloersoorten[],3,FALSE)*VLOOKUP($X224,Frequenties[],3,FALSE)*VLOOKUP(Ruimtestaat[[#This Row],[Code]],Locaties[],3,FALSE),0)</f>
        <v>0</v>
      </c>
      <c r="AA224" s="99">
        <f>Ruimtestaat[[#This Row],[Uitvoeringen weekend]]*Ruimtestaat[[#This Row],[Oppervlak (netto)]]</f>
        <v>0</v>
      </c>
      <c r="AB224" s="99">
        <f>IF(Z224&gt;0,Ruimtestaat[[#This Row],[Prest. (m2 /jaar) weekend]]/Ruimtestaat[[#This Row],[Norm (m2/uur) weekend]],0)</f>
        <v>0</v>
      </c>
      <c r="AC224" s="136">
        <f>Ruimtestaat[[#This Row],[uren / jaar weekend]]*Tariefsopbouw!$D$40</f>
        <v>0</v>
      </c>
      <c r="AD224" s="135">
        <f>Ruimtestaat[[#This Row],[Prest. (m2 /jaar) weekend]]+Ruimtestaat[[#This Row],[Prest. (m2 /jaar) werkdagen]]</f>
        <v>1147.5</v>
      </c>
      <c r="AE224" s="135">
        <f>Ruimtestaat[[#This Row],[uren / jaar weekend]]+Ruimtestaat[[#This Row],[uren / jaar werkdagen]]</f>
        <v>0</v>
      </c>
      <c r="AF224" s="130">
        <f>Ruimtestaat[[#This Row],[kosten / jaar weekend]]+Ruimtestaat[[#This Row],[kosten / jaar werkdagen]]</f>
        <v>0</v>
      </c>
      <c r="AG224" s="130"/>
      <c r="AH224" s="137" t="str">
        <f>IF(Ruimtestaat[[#This Row],[Frequentie werkdagen]]="","",_xlfn.CONCAT(Ruimtestaat[[#This Row],[Ruimte code]],"-",Ruimtestaat[[#This Row],[Frequentie werkdagen]]," ",Ruimtestaat[[#This Row],[Vloer code]]))</f>
        <v>6-5w T</v>
      </c>
      <c r="AI224" s="142" t="str">
        <f>_xlfn.IFNA(VLOOKUP($AH224,Programma!$F$3:$G$1101,2,0),"")</f>
        <v>_</v>
      </c>
      <c r="AJ224" s="142" t="str">
        <f>_xlfn.IFNA(VLOOKUP($AH224,Programma!$F$3:$H$1101,3,0),"")</f>
        <v>5w</v>
      </c>
      <c r="AK224" s="142" t="str">
        <f>_xlfn.IFNA(VLOOKUP($AH224,Programma!$F$3:$I$1101,4,0),"")</f>
        <v>_</v>
      </c>
      <c r="AL224" s="142" t="str">
        <f>_xlfn.IFNA(VLOOKUP($AH224,Programma!$F$3:$J$1101,5,0),"")</f>
        <v>_</v>
      </c>
      <c r="AM224" s="142" t="str">
        <f>_xlfn.IFNA(VLOOKUP($AH224,Programma!$F$3:$K$1101,6,0),"")</f>
        <v>_</v>
      </c>
      <c r="AN224" s="142" t="str">
        <f>_xlfn.IFNA(VLOOKUP($AH224,Programma!$F$3:$L$1101,7,0),"")</f>
        <v>_</v>
      </c>
      <c r="AO224" s="142" t="str">
        <f>_xlfn.IFNA(VLOOKUP($AH224,Programma!$F$3:$M$1101,8,0),"")</f>
        <v>_</v>
      </c>
      <c r="AP224" s="142" t="str">
        <f>_xlfn.IFNA(VLOOKUP($AH224,Programma!$F$3:$N$1101,9,0),"")</f>
        <v>_</v>
      </c>
      <c r="AQ224" s="142" t="str">
        <f>_xlfn.IFNA(VLOOKUP($AH224,Programma!$F$3:$O$1101,10,0),"")</f>
        <v>5w</v>
      </c>
      <c r="AR224" s="142" t="str">
        <f>_xlfn.IFNA(VLOOKUP($AH224,Programma!$F$3:$P$1101,11,0),"")</f>
        <v>5w</v>
      </c>
      <c r="AS224" s="142" t="str">
        <f>_xlfn.IFNA(VLOOKUP($AH224,Programma!$F$3:$Q$1101,12,0),"")</f>
        <v>1w</v>
      </c>
      <c r="AT224" s="142" t="str">
        <f>_xlfn.IFNA(VLOOKUP($AH224,Programma!$F$3:$R$1101,13,0),"")</f>
        <v>1w</v>
      </c>
      <c r="AU224" s="142" t="str">
        <f>_xlfn.IFNA(VLOOKUP($AH224,Programma!$F$3:$S$1101,14,0),"")</f>
        <v>1m</v>
      </c>
      <c r="AV224" s="142" t="str">
        <f>_xlfn.IFNA(VLOOKUP($AH224,Programma!$F$3:$T$1101,15,0),"")</f>
        <v>2j</v>
      </c>
      <c r="AW224" s="142" t="str">
        <f>_xlfn.IFNA(VLOOKUP($AH224,Programma!$F$3:$U$1101,16,0),"")</f>
        <v>1j</v>
      </c>
      <c r="AX224" s="142" t="str">
        <f>_xlfn.IFNA(VLOOKUP($AH224,Programma!$F$3:$V$1101,17,0),"")</f>
        <v>_</v>
      </c>
      <c r="AY224" s="142" t="str">
        <f>_xlfn.IFNA(VLOOKUP($AH224,Programma!$F$3:$W$1101,18,0),"")</f>
        <v>_</v>
      </c>
      <c r="AZ224" s="142" t="str">
        <f>_xlfn.IFNA(VLOOKUP($AH224,Programma!$F$3:$X$1101,19,0),"")</f>
        <v>_</v>
      </c>
      <c r="BA224" s="142" t="str">
        <f>_xlfn.IFNA(VLOOKUP($AH224,Programma!$F$3:$Y$1101,20,0),"")</f>
        <v>_</v>
      </c>
      <c r="BB224" s="138"/>
      <c r="BC224" s="137" t="str">
        <f>IF(Ruimtestaat[[#This Row],[Frequentie weekend]]="","",_xlfn.CONCAT(Ruimtestaat[[#This Row],[Ruimte code]],"-",Ruimtestaat[[#This Row],[Frequentie weekend]]," ",Ruimtestaat[[#This Row],[Vloer code]]))</f>
        <v/>
      </c>
      <c r="BD224" s="142" t="str">
        <f>_xlfn.IFNA(VLOOKUP($BC224,Programma!$F$3:$G$1101,2,0),"")</f>
        <v/>
      </c>
      <c r="BE224" s="142" t="str">
        <f>_xlfn.IFNA(VLOOKUP($BC224,Programma!$F$3:$H$1101,3,0),"")</f>
        <v/>
      </c>
      <c r="BF224" s="142" t="str">
        <f>_xlfn.IFNA(VLOOKUP($BC224,Programma!$F$3:$I$1101,4,0),"")</f>
        <v/>
      </c>
      <c r="BG224" s="142" t="str">
        <f>_xlfn.IFNA(VLOOKUP($BC224,Programma!$F$3:$J$1101,5,0),"")</f>
        <v/>
      </c>
      <c r="BH224" s="142" t="str">
        <f>_xlfn.IFNA(VLOOKUP($BC224,Programma!$F$3:$K$1101,6,0),"")</f>
        <v/>
      </c>
      <c r="BI224" s="142" t="str">
        <f>_xlfn.IFNA(VLOOKUP($BC224,Programma!$F$3:$L$1101,7,0),"")</f>
        <v/>
      </c>
      <c r="BJ224" s="142" t="str">
        <f>_xlfn.IFNA(VLOOKUP($BC224,Programma!$F$3:$M$1101,8,0),"")</f>
        <v/>
      </c>
      <c r="BK224" s="142" t="str">
        <f>_xlfn.IFNA(VLOOKUP($BC224,Programma!$F$3:$N$1101,9,0),"")</f>
        <v/>
      </c>
      <c r="BL224" s="142" t="str">
        <f>_xlfn.IFNA(VLOOKUP($BC224,Programma!$F$3:$O$1101,10,0),"")</f>
        <v/>
      </c>
      <c r="BM224" s="142" t="str">
        <f>_xlfn.IFNA(VLOOKUP($BC224,Programma!$F$3:$P$1101,11,0),"")</f>
        <v/>
      </c>
      <c r="BN224" s="142" t="str">
        <f>_xlfn.IFNA(VLOOKUP($BC224,Programma!$F$3:$Q$1101,12,0),"")</f>
        <v/>
      </c>
      <c r="BO224" s="142" t="str">
        <f>_xlfn.IFNA(VLOOKUP($BC224,Programma!$F$3:$R$1101,13,0),"")</f>
        <v/>
      </c>
      <c r="BP224" s="142" t="str">
        <f>_xlfn.IFNA(VLOOKUP($BC224,Programma!$F$3:$S$1101,14,0),"")</f>
        <v/>
      </c>
      <c r="BQ224" s="142" t="str">
        <f>_xlfn.IFNA(VLOOKUP($BC224,Programma!$F$3:$T$1101,15,0),"")</f>
        <v/>
      </c>
      <c r="BR224" s="142" t="str">
        <f>_xlfn.IFNA(VLOOKUP($BC224,Programma!$F$3:$U$1101,16,0),"")</f>
        <v/>
      </c>
      <c r="BS224" s="142" t="str">
        <f>_xlfn.IFNA(VLOOKUP($BC224,Programma!$F$3:$V$1101,17,0),"")</f>
        <v/>
      </c>
      <c r="BT224" s="142" t="str">
        <f>_xlfn.IFNA(VLOOKUP($BC224,Programma!$F$3:$W$1101,18,0),"")</f>
        <v/>
      </c>
      <c r="BU224" s="142" t="str">
        <f>_xlfn.IFNA(VLOOKUP($BC224,Programma!$F$3:$X$1101,19,0),"")</f>
        <v/>
      </c>
      <c r="BV224" s="142" t="str">
        <f>_xlfn.IFNA(VLOOKUP($BC224,Programma!$F$3:$Y$1101,20,0),"")</f>
        <v/>
      </c>
      <c r="BW224" s="28"/>
      <c r="BX224" s="28"/>
      <c r="BY224" s="28"/>
      <c r="BZ224" s="28"/>
      <c r="CA224" s="28"/>
      <c r="CB224" s="28"/>
      <c r="CC224" s="28"/>
      <c r="CD224" s="28"/>
      <c r="CE224" s="28"/>
      <c r="CF224" s="28"/>
      <c r="CG224" s="28"/>
      <c r="CH224" s="28"/>
      <c r="CI224" s="28"/>
      <c r="CJ224" s="28"/>
      <c r="CK224" s="28"/>
      <c r="CL224" s="28"/>
      <c r="CM224" s="28"/>
      <c r="CN224" s="28"/>
      <c r="CO224" s="28"/>
      <c r="CP224" s="28"/>
      <c r="CQ224" s="28"/>
      <c r="CR224" s="28"/>
      <c r="CS224" s="28"/>
      <c r="CT224" s="28"/>
      <c r="CU224" s="28"/>
      <c r="CV224" s="28"/>
      <c r="CW224" s="28"/>
      <c r="CX224" s="28"/>
      <c r="CY224" s="28"/>
      <c r="CZ224" s="28"/>
      <c r="DA224" s="28"/>
      <c r="DB224" s="28"/>
      <c r="DC224" s="28"/>
      <c r="DD224" s="28"/>
      <c r="DE224" s="28"/>
      <c r="DF224" s="28"/>
      <c r="DG224" s="28"/>
      <c r="DH224" s="28"/>
      <c r="DI224" s="28"/>
      <c r="DJ224" s="28"/>
      <c r="DK224" s="28"/>
      <c r="DL224" s="28"/>
      <c r="DM224" s="28"/>
      <c r="DN224" s="28"/>
      <c r="DO224" s="28"/>
      <c r="DP224" s="28"/>
      <c r="DQ224" s="28"/>
      <c r="DR224" s="28"/>
      <c r="DS224" s="28"/>
      <c r="DT224" s="28"/>
      <c r="DU224" s="28"/>
      <c r="DV224" s="28"/>
      <c r="DW224" s="28"/>
      <c r="DX224" s="28"/>
      <c r="DY224" s="28"/>
      <c r="DZ224" s="28"/>
      <c r="EA224" s="28"/>
      <c r="EB224" s="28"/>
      <c r="EC224" s="28"/>
      <c r="ED224" s="28"/>
      <c r="EE224" s="28"/>
      <c r="EF224" s="28"/>
      <c r="EG224" s="28"/>
      <c r="EH224" s="28"/>
      <c r="EI224" s="28"/>
      <c r="EJ224" s="28"/>
      <c r="EK224" s="28"/>
      <c r="EL224" s="28"/>
      <c r="EM224" s="28"/>
      <c r="EN224" s="28"/>
      <c r="EO224" s="28"/>
      <c r="EP224" s="28"/>
      <c r="EQ224" s="28"/>
      <c r="ER224" s="28"/>
      <c r="ES224" s="28"/>
      <c r="ET224" s="28"/>
      <c r="EU224" s="28"/>
      <c r="EV224" s="28"/>
      <c r="EW224" s="28"/>
      <c r="EX224" s="28"/>
      <c r="EY224" s="28"/>
      <c r="EZ224" s="28"/>
      <c r="FA224" s="28"/>
      <c r="FB224" s="28"/>
      <c r="FC224" s="28"/>
      <c r="FD224" s="28"/>
      <c r="FE224" s="28"/>
      <c r="FF224" s="28"/>
      <c r="FG224" s="28"/>
      <c r="FH224" s="28"/>
      <c r="FI224" s="28"/>
      <c r="FJ224" s="28"/>
      <c r="FK224" s="28"/>
      <c r="FL224" s="28"/>
      <c r="FM224" s="28"/>
      <c r="FN224" s="28"/>
      <c r="FO224" s="28"/>
      <c r="FP224" s="28"/>
      <c r="FQ224" s="28"/>
      <c r="FR224" s="28"/>
      <c r="FS224" s="28"/>
      <c r="FT224" s="28"/>
      <c r="FU224" s="28"/>
      <c r="FV224" s="28"/>
      <c r="FW224" s="28"/>
      <c r="FX224" s="28"/>
      <c r="FY224" s="28"/>
      <c r="FZ224" s="28"/>
      <c r="GA224" s="28"/>
      <c r="GB224" s="28"/>
      <c r="GC224" s="28"/>
      <c r="GD224" s="28"/>
      <c r="GE224" s="28"/>
      <c r="GF224" s="28"/>
      <c r="GG224" s="28"/>
      <c r="GH224" s="28"/>
      <c r="GI224" s="28"/>
      <c r="GJ224" s="28"/>
      <c r="GK224" s="28"/>
      <c r="GL224" s="28"/>
      <c r="GM224" s="28"/>
      <c r="GN224" s="28"/>
      <c r="GO224" s="28"/>
      <c r="GP224" s="28"/>
      <c r="GQ224" s="28"/>
      <c r="GR224" s="28"/>
      <c r="GS224" s="28"/>
      <c r="GT224" s="28"/>
      <c r="GU224" s="28"/>
      <c r="GV224" s="28"/>
      <c r="GW224" s="28"/>
      <c r="GX224" s="28"/>
      <c r="GY224" s="28"/>
      <c r="GZ224" s="28"/>
      <c r="HA224" s="28"/>
      <c r="HB224" s="28"/>
      <c r="HC224" s="28"/>
      <c r="HD224" s="28"/>
      <c r="HE224" s="28"/>
      <c r="HF224" s="28"/>
      <c r="HG224" s="28"/>
      <c r="HH224" s="28"/>
      <c r="HI224" s="28"/>
      <c r="HJ224" s="28"/>
      <c r="HK224" s="28"/>
    </row>
    <row r="225" spans="1:219" ht="15" customHeight="1">
      <c r="A225" s="49">
        <v>2</v>
      </c>
      <c r="B225" s="132" t="str">
        <f>VLOOKUP(Ruimtestaat[[#This Row],[Code]],Locaties[[Code]:[Locatie]],2,FALSE)</f>
        <v>Pauluskerk</v>
      </c>
      <c r="C225" s="132" t="str">
        <f>VLOOKUP(Ruimtestaat[[#This Row],[Code]],Locaties[[#All],[Code]:[Adres]],4,FALSE)</f>
        <v>Westdorplaan 122</v>
      </c>
      <c r="D225" s="132" t="str">
        <f>VLOOKUP(Ruimtestaat[[#This Row],[Code]],Locaties[[#All],[Code]:[Postcode]],5,FALSE)</f>
        <v>8101 BJ</v>
      </c>
      <c r="E225" s="132" t="str">
        <f>VLOOKUP(Ruimtestaat[[#This Row],[Code]],Locaties[#All],6,FALSE)</f>
        <v>Raalte</v>
      </c>
      <c r="F225" s="100"/>
      <c r="G225" s="100" t="s">
        <v>1675</v>
      </c>
      <c r="H225" s="49" t="s">
        <v>1721</v>
      </c>
      <c r="I225" s="140" t="s">
        <v>1741</v>
      </c>
      <c r="J225" s="49">
        <v>7</v>
      </c>
      <c r="K225" s="140" t="str">
        <f>VLOOKUP(Ruimtestaat[[#This Row],[Ruimte code]],Ruimtegroepen[[#All],[Code]:[Ruimte omschrijving]],2,FALSE)</f>
        <v>Entree</v>
      </c>
      <c r="L225" s="100" t="s">
        <v>101</v>
      </c>
      <c r="M225" s="345" t="s">
        <v>1642</v>
      </c>
      <c r="N225" s="133">
        <v>5.62</v>
      </c>
      <c r="O225" s="139"/>
      <c r="P225" s="134" t="str">
        <f>VLOOKUP(Ruimtestaat[[#This Row],[Ruimte code]],Ruimtegroepen[],4,FALSE)</f>
        <v>Ve</v>
      </c>
      <c r="Q225" s="100">
        <v>51</v>
      </c>
      <c r="R225" s="100" t="s">
        <v>2</v>
      </c>
      <c r="S225" s="100">
        <f>IF(Q225&gt;0,IF(RIGHT(Ruimtestaat[[#This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25" s="100">
        <f>IF(S225&gt;0,VLOOKUP($J225,Ruimtegroepen[],3,FALSE)*VLOOKUP($L225,Vloersoorten[],3,FALSE)*VLOOKUP($R225,Frequenties[],3,FALSE)*VLOOKUP($A225,Locaties[],3,FALSE),0)</f>
        <v>0</v>
      </c>
      <c r="U225" s="100">
        <f>Ruimtestaat[[#This Row],[Uitvoeringen werkdagen]]*Ruimtestaat[[#This Row],[Oppervlak (netto)]]</f>
        <v>1433.1000000000001</v>
      </c>
      <c r="V225" s="135">
        <f>IF(T225&gt;0,Ruimtestaat[[#This Row],[Prest. (m2 /jaar) werkdagen]]/Ruimtestaat[[#This Row],[Norm (m2/uur) werkdagen]],0)</f>
        <v>0</v>
      </c>
      <c r="W225" s="136">
        <f>Ruimtestaat[[#This Row],[uren / jaar werkdagen]]*Tariefsopbouw!$E$35</f>
        <v>0</v>
      </c>
      <c r="X225" s="100"/>
      <c r="Y225" s="100">
        <f>IF(Ruimtestaat[[#This Row],[Frequentie weekend]]&gt;0,VALUE(LEFT(X225,1))*Q225,0)</f>
        <v>0</v>
      </c>
      <c r="Z225" s="99">
        <f>IF($Y225&gt;0,VLOOKUP($J225,Ruimtegroepen[],3,FALSE)*VLOOKUP($L225,Vloersoorten[],3,FALSE)*VLOOKUP($X225,Frequenties[],3,FALSE)*VLOOKUP(Ruimtestaat[[#This Row],[Code]],Locaties[],3,FALSE),0)</f>
        <v>0</v>
      </c>
      <c r="AA225" s="99">
        <f>Ruimtestaat[[#This Row],[Uitvoeringen weekend]]*Ruimtestaat[[#This Row],[Oppervlak (netto)]]</f>
        <v>0</v>
      </c>
      <c r="AB225" s="99">
        <f>IF(Z225&gt;0,Ruimtestaat[[#This Row],[Prest. (m2 /jaar) weekend]]/Ruimtestaat[[#This Row],[Norm (m2/uur) weekend]],0)</f>
        <v>0</v>
      </c>
      <c r="AC225" s="136">
        <f>Ruimtestaat[[#This Row],[uren / jaar weekend]]*Tariefsopbouw!$D$40</f>
        <v>0</v>
      </c>
      <c r="AD225" s="135">
        <f>Ruimtestaat[[#This Row],[Prest. (m2 /jaar) weekend]]+Ruimtestaat[[#This Row],[Prest. (m2 /jaar) werkdagen]]</f>
        <v>1433.1000000000001</v>
      </c>
      <c r="AE225" s="135">
        <f>Ruimtestaat[[#This Row],[uren / jaar weekend]]+Ruimtestaat[[#This Row],[uren / jaar werkdagen]]</f>
        <v>0</v>
      </c>
      <c r="AF225" s="130">
        <f>Ruimtestaat[[#This Row],[kosten / jaar weekend]]+Ruimtestaat[[#This Row],[kosten / jaar werkdagen]]</f>
        <v>0</v>
      </c>
      <c r="AG225" s="130"/>
      <c r="AH225" s="137" t="str">
        <f>IF(Ruimtestaat[[#This Row],[Frequentie werkdagen]]="","",_xlfn.CONCAT(Ruimtestaat[[#This Row],[Ruimte code]],"-",Ruimtestaat[[#This Row],[Frequentie werkdagen]]," ",Ruimtestaat[[#This Row],[Vloer code]]))</f>
        <v>7-5w S</v>
      </c>
      <c r="AI225" s="142" t="str">
        <f>_xlfn.IFNA(VLOOKUP($AH225,Programma!$F$3:$G$1101,2,0),"")</f>
        <v>_</v>
      </c>
      <c r="AJ225" s="142" t="str">
        <f>_xlfn.IFNA(VLOOKUP($AH225,Programma!$F$3:$H$1101,3,0),"")</f>
        <v>_</v>
      </c>
      <c r="AK225" s="142" t="str">
        <f>_xlfn.IFNA(VLOOKUP($AH225,Programma!$F$3:$I$1101,4,0),"")</f>
        <v>5w</v>
      </c>
      <c r="AL225" s="142" t="str">
        <f>_xlfn.IFNA(VLOOKUP($AH225,Programma!$F$3:$J$1101,5,0),"")</f>
        <v>_</v>
      </c>
      <c r="AM225" s="142" t="str">
        <f>_xlfn.IFNA(VLOOKUP($AH225,Programma!$F$3:$K$1101,6,0),"")</f>
        <v>5w</v>
      </c>
      <c r="AN225" s="142" t="str">
        <f>_xlfn.IFNA(VLOOKUP($AH225,Programma!$F$3:$L$1101,7,0),"")</f>
        <v>_</v>
      </c>
      <c r="AO225" s="142" t="str">
        <f>_xlfn.IFNA(VLOOKUP($AH225,Programma!$F$3:$M$1101,8,0),"")</f>
        <v>_</v>
      </c>
      <c r="AP225" s="142" t="str">
        <f>_xlfn.IFNA(VLOOKUP($AH225,Programma!$F$3:$N$1101,9,0),"")</f>
        <v>_</v>
      </c>
      <c r="AQ225" s="142" t="str">
        <f>_xlfn.IFNA(VLOOKUP($AH225,Programma!$F$3:$O$1101,10,0),"")</f>
        <v>5w</v>
      </c>
      <c r="AR225" s="142" t="str">
        <f>_xlfn.IFNA(VLOOKUP($AH225,Programma!$F$3:$P$1101,11,0),"")</f>
        <v>5w</v>
      </c>
      <c r="AS225" s="142" t="str">
        <f>_xlfn.IFNA(VLOOKUP($AH225,Programma!$F$3:$Q$1101,12,0),"")</f>
        <v>1w</v>
      </c>
      <c r="AT225" s="142" t="str">
        <f>_xlfn.IFNA(VLOOKUP($AH225,Programma!$F$3:$R$1101,13,0),"")</f>
        <v>1w</v>
      </c>
      <c r="AU225" s="142" t="str">
        <f>_xlfn.IFNA(VLOOKUP($AH225,Programma!$F$3:$S$1101,14,0),"")</f>
        <v>1m</v>
      </c>
      <c r="AV225" s="142" t="str">
        <f>_xlfn.IFNA(VLOOKUP($AH225,Programma!$F$3:$T$1101,15,0),"")</f>
        <v>2j</v>
      </c>
      <c r="AW225" s="142" t="str">
        <f>_xlfn.IFNA(VLOOKUP($AH225,Programma!$F$3:$U$1101,16,0),"")</f>
        <v>1j</v>
      </c>
      <c r="AX225" s="142" t="str">
        <f>_xlfn.IFNA(VLOOKUP($AH225,Programma!$F$3:$V$1101,17,0),"")</f>
        <v>_</v>
      </c>
      <c r="AY225" s="142" t="str">
        <f>_xlfn.IFNA(VLOOKUP($AH225,Programma!$F$3:$W$1101,18,0),"")</f>
        <v>_</v>
      </c>
      <c r="AZ225" s="142" t="str">
        <f>_xlfn.IFNA(VLOOKUP($AH225,Programma!$F$3:$X$1101,19,0),"")</f>
        <v>_</v>
      </c>
      <c r="BA225" s="142" t="str">
        <f>_xlfn.IFNA(VLOOKUP($AH225,Programma!$F$3:$Y$1101,20,0),"")</f>
        <v>_</v>
      </c>
      <c r="BB225" s="138"/>
      <c r="BC225" s="137" t="str">
        <f>IF(Ruimtestaat[[#This Row],[Frequentie weekend]]="","",_xlfn.CONCAT(Ruimtestaat[[#This Row],[Ruimte code]],"-",Ruimtestaat[[#This Row],[Frequentie weekend]]," ",Ruimtestaat[[#This Row],[Vloer code]]))</f>
        <v/>
      </c>
      <c r="BD225" s="142" t="str">
        <f>_xlfn.IFNA(VLOOKUP($BC225,Programma!$F$3:$G$1101,2,0),"")</f>
        <v/>
      </c>
      <c r="BE225" s="142" t="str">
        <f>_xlfn.IFNA(VLOOKUP($BC225,Programma!$F$3:$H$1101,3,0),"")</f>
        <v/>
      </c>
      <c r="BF225" s="142" t="str">
        <f>_xlfn.IFNA(VLOOKUP($BC225,Programma!$F$3:$I$1101,4,0),"")</f>
        <v/>
      </c>
      <c r="BG225" s="142" t="str">
        <f>_xlfn.IFNA(VLOOKUP($BC225,Programma!$F$3:$J$1101,5,0),"")</f>
        <v/>
      </c>
      <c r="BH225" s="142" t="str">
        <f>_xlfn.IFNA(VLOOKUP($BC225,Programma!$F$3:$K$1101,6,0),"")</f>
        <v/>
      </c>
      <c r="BI225" s="142" t="str">
        <f>_xlfn.IFNA(VLOOKUP($BC225,Programma!$F$3:$L$1101,7,0),"")</f>
        <v/>
      </c>
      <c r="BJ225" s="142" t="str">
        <f>_xlfn.IFNA(VLOOKUP($BC225,Programma!$F$3:$M$1101,8,0),"")</f>
        <v/>
      </c>
      <c r="BK225" s="142" t="str">
        <f>_xlfn.IFNA(VLOOKUP($BC225,Programma!$F$3:$N$1101,9,0),"")</f>
        <v/>
      </c>
      <c r="BL225" s="142" t="str">
        <f>_xlfn.IFNA(VLOOKUP($BC225,Programma!$F$3:$O$1101,10,0),"")</f>
        <v/>
      </c>
      <c r="BM225" s="142" t="str">
        <f>_xlfn.IFNA(VLOOKUP($BC225,Programma!$F$3:$P$1101,11,0),"")</f>
        <v/>
      </c>
      <c r="BN225" s="142" t="str">
        <f>_xlfn.IFNA(VLOOKUP($BC225,Programma!$F$3:$Q$1101,12,0),"")</f>
        <v/>
      </c>
      <c r="BO225" s="142" t="str">
        <f>_xlfn.IFNA(VLOOKUP($BC225,Programma!$F$3:$R$1101,13,0),"")</f>
        <v/>
      </c>
      <c r="BP225" s="142" t="str">
        <f>_xlfn.IFNA(VLOOKUP($BC225,Programma!$F$3:$S$1101,14,0),"")</f>
        <v/>
      </c>
      <c r="BQ225" s="142" t="str">
        <f>_xlfn.IFNA(VLOOKUP($BC225,Programma!$F$3:$T$1101,15,0),"")</f>
        <v/>
      </c>
      <c r="BR225" s="142" t="str">
        <f>_xlfn.IFNA(VLOOKUP($BC225,Programma!$F$3:$U$1101,16,0),"")</f>
        <v/>
      </c>
      <c r="BS225" s="142" t="str">
        <f>_xlfn.IFNA(VLOOKUP($BC225,Programma!$F$3:$V$1101,17,0),"")</f>
        <v/>
      </c>
      <c r="BT225" s="142" t="str">
        <f>_xlfn.IFNA(VLOOKUP($BC225,Programma!$F$3:$W$1101,18,0),"")</f>
        <v/>
      </c>
      <c r="BU225" s="142" t="str">
        <f>_xlfn.IFNA(VLOOKUP($BC225,Programma!$F$3:$X$1101,19,0),"")</f>
        <v/>
      </c>
      <c r="BV225" s="142" t="str">
        <f>_xlfn.IFNA(VLOOKUP($BC225,Programma!$F$3:$Y$1101,20,0),"")</f>
        <v/>
      </c>
      <c r="BW225" s="28"/>
      <c r="BX225" s="28"/>
      <c r="BY225" s="28"/>
      <c r="BZ225" s="28"/>
      <c r="CA225" s="28"/>
      <c r="CB225" s="28"/>
      <c r="CC225" s="28"/>
      <c r="CD225" s="28"/>
      <c r="CE225" s="28"/>
      <c r="CF225" s="28"/>
      <c r="CG225" s="28"/>
      <c r="CH225" s="28"/>
      <c r="CI225" s="28"/>
      <c r="CJ225" s="28"/>
      <c r="CK225" s="28"/>
      <c r="CL225" s="28"/>
      <c r="CM225" s="28"/>
      <c r="CN225" s="28"/>
      <c r="CO225" s="28"/>
      <c r="CP225" s="28"/>
      <c r="CQ225" s="28"/>
      <c r="CR225" s="28"/>
      <c r="CS225" s="28"/>
      <c r="CT225" s="28"/>
      <c r="CU225" s="28"/>
      <c r="CV225" s="28"/>
      <c r="CW225" s="28"/>
      <c r="CX225" s="28"/>
      <c r="CY225" s="28"/>
      <c r="CZ225" s="28"/>
      <c r="DA225" s="28"/>
      <c r="DB225" s="28"/>
      <c r="DC225" s="28"/>
      <c r="DD225" s="28"/>
      <c r="DE225" s="28"/>
      <c r="DF225" s="28"/>
      <c r="DG225" s="28"/>
      <c r="DH225" s="28"/>
      <c r="DI225" s="28"/>
      <c r="DJ225" s="28"/>
      <c r="DK225" s="28"/>
      <c r="DL225" s="28"/>
      <c r="DM225" s="28"/>
      <c r="DN225" s="28"/>
      <c r="DO225" s="28"/>
      <c r="DP225" s="28"/>
      <c r="DQ225" s="28"/>
      <c r="DR225" s="28"/>
      <c r="DS225" s="28"/>
      <c r="DT225" s="28"/>
      <c r="DU225" s="28"/>
      <c r="DV225" s="28"/>
      <c r="DW225" s="28"/>
      <c r="DX225" s="28"/>
      <c r="DY225" s="28"/>
      <c r="DZ225" s="28"/>
      <c r="EA225" s="28"/>
      <c r="EB225" s="28"/>
      <c r="EC225" s="28"/>
      <c r="ED225" s="28"/>
      <c r="EE225" s="28"/>
      <c r="EF225" s="28"/>
      <c r="EG225" s="28"/>
      <c r="EH225" s="28"/>
      <c r="EI225" s="28"/>
      <c r="EJ225" s="28"/>
      <c r="EK225" s="28"/>
      <c r="EL225" s="28"/>
      <c r="EM225" s="28"/>
      <c r="EN225" s="28"/>
      <c r="EO225" s="28"/>
      <c r="EP225" s="28"/>
      <c r="EQ225" s="28"/>
      <c r="ER225" s="28"/>
      <c r="ES225" s="28"/>
      <c r="ET225" s="28"/>
      <c r="EU225" s="28"/>
      <c r="EV225" s="28"/>
      <c r="EW225" s="28"/>
      <c r="EX225" s="28"/>
      <c r="EY225" s="28"/>
      <c r="EZ225" s="28"/>
      <c r="FA225" s="28"/>
      <c r="FB225" s="28"/>
      <c r="FC225" s="28"/>
      <c r="FD225" s="28"/>
      <c r="FE225" s="28"/>
      <c r="FF225" s="28"/>
      <c r="FG225" s="28"/>
      <c r="FH225" s="28"/>
      <c r="FI225" s="28"/>
      <c r="FJ225" s="28"/>
      <c r="FK225" s="28"/>
      <c r="FL225" s="28"/>
      <c r="FM225" s="28"/>
      <c r="FN225" s="28"/>
      <c r="FO225" s="28"/>
      <c r="FP225" s="28"/>
      <c r="FQ225" s="28"/>
      <c r="FR225" s="28"/>
      <c r="FS225" s="28"/>
      <c r="FT225" s="28"/>
      <c r="FU225" s="28"/>
      <c r="FV225" s="28"/>
      <c r="FW225" s="28"/>
      <c r="FX225" s="28"/>
      <c r="FY225" s="28"/>
      <c r="FZ225" s="28"/>
      <c r="GA225" s="28"/>
      <c r="GB225" s="28"/>
      <c r="GC225" s="28"/>
      <c r="GD225" s="28"/>
      <c r="GE225" s="28"/>
      <c r="GF225" s="28"/>
      <c r="GG225" s="28"/>
      <c r="GH225" s="28"/>
      <c r="GI225" s="28"/>
      <c r="GJ225" s="28"/>
      <c r="GK225" s="28"/>
      <c r="GL225" s="28"/>
      <c r="GM225" s="28"/>
      <c r="GN225" s="28"/>
      <c r="GO225" s="28"/>
      <c r="GP225" s="28"/>
      <c r="GQ225" s="28"/>
      <c r="GR225" s="28"/>
      <c r="GS225" s="28"/>
      <c r="GT225" s="28"/>
      <c r="GU225" s="28"/>
      <c r="GV225" s="28"/>
      <c r="GW225" s="28"/>
      <c r="GX225" s="28"/>
      <c r="GY225" s="28"/>
      <c r="GZ225" s="28"/>
      <c r="HA225" s="28"/>
      <c r="HB225" s="28"/>
      <c r="HC225" s="28"/>
      <c r="HD225" s="28"/>
      <c r="HE225" s="28"/>
      <c r="HF225" s="28"/>
      <c r="HG225" s="28"/>
      <c r="HH225" s="28"/>
      <c r="HI225" s="28"/>
      <c r="HJ225" s="28"/>
      <c r="HK225" s="28"/>
    </row>
    <row r="226" spans="1:219" ht="15" customHeight="1">
      <c r="A226" s="49">
        <v>2</v>
      </c>
      <c r="B226" s="132" t="str">
        <f>VLOOKUP(Ruimtestaat[[#This Row],[Code]],Locaties[[Code]:[Locatie]],2,FALSE)</f>
        <v>Pauluskerk</v>
      </c>
      <c r="C226" s="132" t="str">
        <f>VLOOKUP(Ruimtestaat[[#This Row],[Code]],Locaties[[#All],[Code]:[Adres]],4,FALSE)</f>
        <v>Westdorplaan 122</v>
      </c>
      <c r="D226" s="132" t="str">
        <f>VLOOKUP(Ruimtestaat[[#This Row],[Code]],Locaties[[#All],[Code]:[Postcode]],5,FALSE)</f>
        <v>8101 BJ</v>
      </c>
      <c r="E226" s="132" t="str">
        <f>VLOOKUP(Ruimtestaat[[#This Row],[Code]],Locaties[#All],6,FALSE)</f>
        <v>Raalte</v>
      </c>
      <c r="F226" s="100"/>
      <c r="G226" s="100" t="s">
        <v>1675</v>
      </c>
      <c r="H226" s="49" t="s">
        <v>1722</v>
      </c>
      <c r="I226" s="140" t="s">
        <v>1735</v>
      </c>
      <c r="J226" s="49">
        <v>11</v>
      </c>
      <c r="K226" s="140" t="str">
        <f>VLOOKUP(Ruimtestaat[[#This Row],[Ruimte code]],Ruimtegroepen[[#All],[Code]:[Ruimte omschrijving]],2,FALSE)</f>
        <v>Garderobes</v>
      </c>
      <c r="L226" s="100" t="s">
        <v>101</v>
      </c>
      <c r="M226" s="345" t="s">
        <v>1642</v>
      </c>
      <c r="N226" s="133">
        <v>1.03</v>
      </c>
      <c r="O226" s="139"/>
      <c r="P226" s="134" t="str">
        <f>VLOOKUP(Ruimtestaat[[#This Row],[Ruimte code]],Ruimtegroepen[],4,FALSE)</f>
        <v>Ve</v>
      </c>
      <c r="Q226" s="100">
        <v>51</v>
      </c>
      <c r="R226" s="100" t="s">
        <v>2</v>
      </c>
      <c r="S226" s="100">
        <f>IF(Q226&gt;0,IF(RIGHT(Ruimtestaat[[#This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26" s="100">
        <f>IF(S226&gt;0,VLOOKUP($J226,Ruimtegroepen[],3,FALSE)*VLOOKUP($L226,Vloersoorten[],3,FALSE)*VLOOKUP($R226,Frequenties[],3,FALSE)*VLOOKUP($A226,Locaties[],3,FALSE),0)</f>
        <v>0</v>
      </c>
      <c r="U226" s="100">
        <f>Ruimtestaat[[#This Row],[Uitvoeringen werkdagen]]*Ruimtestaat[[#This Row],[Oppervlak (netto)]]</f>
        <v>262.65000000000003</v>
      </c>
      <c r="V226" s="135">
        <f>IF(T226&gt;0,Ruimtestaat[[#This Row],[Prest. (m2 /jaar) werkdagen]]/Ruimtestaat[[#This Row],[Norm (m2/uur) werkdagen]],0)</f>
        <v>0</v>
      </c>
      <c r="W226" s="136">
        <f>Ruimtestaat[[#This Row],[uren / jaar werkdagen]]*Tariefsopbouw!$E$35</f>
        <v>0</v>
      </c>
      <c r="X226" s="100"/>
      <c r="Y226" s="100">
        <f>IF(Ruimtestaat[[#This Row],[Frequentie weekend]]&gt;0,VALUE(LEFT(X226,1))*Q226,0)</f>
        <v>0</v>
      </c>
      <c r="Z226" s="99">
        <f>IF($Y226&gt;0,VLOOKUP($J226,Ruimtegroepen[],3,FALSE)*VLOOKUP($L226,Vloersoorten[],3,FALSE)*VLOOKUP($X226,Frequenties[],3,FALSE)*VLOOKUP(Ruimtestaat[[#This Row],[Code]],Locaties[],3,FALSE),0)</f>
        <v>0</v>
      </c>
      <c r="AA226" s="99">
        <f>Ruimtestaat[[#This Row],[Uitvoeringen weekend]]*Ruimtestaat[[#This Row],[Oppervlak (netto)]]</f>
        <v>0</v>
      </c>
      <c r="AB226" s="99">
        <f>IF(Z226&gt;0,Ruimtestaat[[#This Row],[Prest. (m2 /jaar) weekend]]/Ruimtestaat[[#This Row],[Norm (m2/uur) weekend]],0)</f>
        <v>0</v>
      </c>
      <c r="AC226" s="136">
        <f>Ruimtestaat[[#This Row],[uren / jaar weekend]]*Tariefsopbouw!$D$40</f>
        <v>0</v>
      </c>
      <c r="AD226" s="135">
        <f>Ruimtestaat[[#This Row],[Prest. (m2 /jaar) weekend]]+Ruimtestaat[[#This Row],[Prest. (m2 /jaar) werkdagen]]</f>
        <v>262.65000000000003</v>
      </c>
      <c r="AE226" s="135">
        <f>Ruimtestaat[[#This Row],[uren / jaar weekend]]+Ruimtestaat[[#This Row],[uren / jaar werkdagen]]</f>
        <v>0</v>
      </c>
      <c r="AF226" s="130">
        <f>Ruimtestaat[[#This Row],[kosten / jaar weekend]]+Ruimtestaat[[#This Row],[kosten / jaar werkdagen]]</f>
        <v>0</v>
      </c>
      <c r="AG226" s="130"/>
      <c r="AH226" s="137" t="str">
        <f>IF(Ruimtestaat[[#This Row],[Frequentie werkdagen]]="","",_xlfn.CONCAT(Ruimtestaat[[#This Row],[Ruimte code]],"-",Ruimtestaat[[#This Row],[Frequentie werkdagen]]," ",Ruimtestaat[[#This Row],[Vloer code]]))</f>
        <v>11-5w S</v>
      </c>
      <c r="AI226" s="142" t="str">
        <f>_xlfn.IFNA(VLOOKUP($AH226,Programma!$F$3:$G$1101,2,0),"")</f>
        <v>_</v>
      </c>
      <c r="AJ226" s="142" t="str">
        <f>_xlfn.IFNA(VLOOKUP($AH226,Programma!$F$3:$H$1101,3,0),"")</f>
        <v>_</v>
      </c>
      <c r="AK226" s="142" t="str">
        <f>_xlfn.IFNA(VLOOKUP($AH226,Programma!$F$3:$I$1101,4,0),"")</f>
        <v>4w</v>
      </c>
      <c r="AL226" s="142" t="str">
        <f>_xlfn.IFNA(VLOOKUP($AH226,Programma!$F$3:$J$1101,5,0),"")</f>
        <v>1w</v>
      </c>
      <c r="AM226" s="142" t="str">
        <f>_xlfn.IFNA(VLOOKUP($AH226,Programma!$F$3:$K$1101,6,0),"")</f>
        <v>4j</v>
      </c>
      <c r="AN226" s="142" t="str">
        <f>_xlfn.IFNA(VLOOKUP($AH226,Programma!$F$3:$L$1101,7,0),"")</f>
        <v>_</v>
      </c>
      <c r="AO226" s="142" t="str">
        <f>_xlfn.IFNA(VLOOKUP($AH226,Programma!$F$3:$M$1101,8,0),"")</f>
        <v>_</v>
      </c>
      <c r="AP226" s="142" t="str">
        <f>_xlfn.IFNA(VLOOKUP($AH226,Programma!$F$3:$N$1101,9,0),"")</f>
        <v>_</v>
      </c>
      <c r="AQ226" s="142" t="str">
        <f>_xlfn.IFNA(VLOOKUP($AH226,Programma!$F$3:$O$1101,10,0),"")</f>
        <v>5w</v>
      </c>
      <c r="AR226" s="142" t="str">
        <f>_xlfn.IFNA(VLOOKUP($AH226,Programma!$F$3:$P$1101,11,0),"")</f>
        <v>5w</v>
      </c>
      <c r="AS226" s="142" t="str">
        <f>_xlfn.IFNA(VLOOKUP($AH226,Programma!$F$3:$Q$1101,12,0),"")</f>
        <v>1w</v>
      </c>
      <c r="AT226" s="142" t="str">
        <f>_xlfn.IFNA(VLOOKUP($AH226,Programma!$F$3:$R$1101,13,0),"")</f>
        <v>1w</v>
      </c>
      <c r="AU226" s="142" t="str">
        <f>_xlfn.IFNA(VLOOKUP($AH226,Programma!$F$3:$S$1101,14,0),"")</f>
        <v>1m</v>
      </c>
      <c r="AV226" s="142" t="str">
        <f>_xlfn.IFNA(VLOOKUP($AH226,Programma!$F$3:$T$1101,15,0),"")</f>
        <v>2j</v>
      </c>
      <c r="AW226" s="142" t="str">
        <f>_xlfn.IFNA(VLOOKUP($AH226,Programma!$F$3:$U$1101,16,0),"")</f>
        <v>1j</v>
      </c>
      <c r="AX226" s="142" t="str">
        <f>_xlfn.IFNA(VLOOKUP($AH226,Programma!$F$3:$V$1101,17,0),"")</f>
        <v>_</v>
      </c>
      <c r="AY226" s="142" t="str">
        <f>_xlfn.IFNA(VLOOKUP($AH226,Programma!$F$3:$W$1101,18,0),"")</f>
        <v>_</v>
      </c>
      <c r="AZ226" s="142" t="str">
        <f>_xlfn.IFNA(VLOOKUP($AH226,Programma!$F$3:$X$1101,19,0),"")</f>
        <v>_</v>
      </c>
      <c r="BA226" s="142" t="str">
        <f>_xlfn.IFNA(VLOOKUP($AH226,Programma!$F$3:$Y$1101,20,0),"")</f>
        <v>_</v>
      </c>
      <c r="BB226" s="138"/>
      <c r="BC226" s="137" t="str">
        <f>IF(Ruimtestaat[[#This Row],[Frequentie weekend]]="","",_xlfn.CONCAT(Ruimtestaat[[#This Row],[Ruimte code]],"-",Ruimtestaat[[#This Row],[Frequentie weekend]]," ",Ruimtestaat[[#This Row],[Vloer code]]))</f>
        <v/>
      </c>
      <c r="BD226" s="142" t="str">
        <f>_xlfn.IFNA(VLOOKUP($BC226,Programma!$F$3:$G$1101,2,0),"")</f>
        <v/>
      </c>
      <c r="BE226" s="142" t="str">
        <f>_xlfn.IFNA(VLOOKUP($BC226,Programma!$F$3:$H$1101,3,0),"")</f>
        <v/>
      </c>
      <c r="BF226" s="142" t="str">
        <f>_xlfn.IFNA(VLOOKUP($BC226,Programma!$F$3:$I$1101,4,0),"")</f>
        <v/>
      </c>
      <c r="BG226" s="142" t="str">
        <f>_xlfn.IFNA(VLOOKUP($BC226,Programma!$F$3:$J$1101,5,0),"")</f>
        <v/>
      </c>
      <c r="BH226" s="142" t="str">
        <f>_xlfn.IFNA(VLOOKUP($BC226,Programma!$F$3:$K$1101,6,0),"")</f>
        <v/>
      </c>
      <c r="BI226" s="142" t="str">
        <f>_xlfn.IFNA(VLOOKUP($BC226,Programma!$F$3:$L$1101,7,0),"")</f>
        <v/>
      </c>
      <c r="BJ226" s="142" t="str">
        <f>_xlfn.IFNA(VLOOKUP($BC226,Programma!$F$3:$M$1101,8,0),"")</f>
        <v/>
      </c>
      <c r="BK226" s="142" t="str">
        <f>_xlfn.IFNA(VLOOKUP($BC226,Programma!$F$3:$N$1101,9,0),"")</f>
        <v/>
      </c>
      <c r="BL226" s="142" t="str">
        <f>_xlfn.IFNA(VLOOKUP($BC226,Programma!$F$3:$O$1101,10,0),"")</f>
        <v/>
      </c>
      <c r="BM226" s="142" t="str">
        <f>_xlfn.IFNA(VLOOKUP($BC226,Programma!$F$3:$P$1101,11,0),"")</f>
        <v/>
      </c>
      <c r="BN226" s="142" t="str">
        <f>_xlfn.IFNA(VLOOKUP($BC226,Programma!$F$3:$Q$1101,12,0),"")</f>
        <v/>
      </c>
      <c r="BO226" s="142" t="str">
        <f>_xlfn.IFNA(VLOOKUP($BC226,Programma!$F$3:$R$1101,13,0),"")</f>
        <v/>
      </c>
      <c r="BP226" s="142" t="str">
        <f>_xlfn.IFNA(VLOOKUP($BC226,Programma!$F$3:$S$1101,14,0),"")</f>
        <v/>
      </c>
      <c r="BQ226" s="142" t="str">
        <f>_xlfn.IFNA(VLOOKUP($BC226,Programma!$F$3:$T$1101,15,0),"")</f>
        <v/>
      </c>
      <c r="BR226" s="142" t="str">
        <f>_xlfn.IFNA(VLOOKUP($BC226,Programma!$F$3:$U$1101,16,0),"")</f>
        <v/>
      </c>
      <c r="BS226" s="142" t="str">
        <f>_xlfn.IFNA(VLOOKUP($BC226,Programma!$F$3:$V$1101,17,0),"")</f>
        <v/>
      </c>
      <c r="BT226" s="142" t="str">
        <f>_xlfn.IFNA(VLOOKUP($BC226,Programma!$F$3:$W$1101,18,0),"")</f>
        <v/>
      </c>
      <c r="BU226" s="142" t="str">
        <f>_xlfn.IFNA(VLOOKUP($BC226,Programma!$F$3:$X$1101,19,0),"")</f>
        <v/>
      </c>
      <c r="BV226" s="142" t="str">
        <f>_xlfn.IFNA(VLOOKUP($BC226,Programma!$F$3:$Y$1101,20,0),"")</f>
        <v/>
      </c>
      <c r="BW226" s="28"/>
      <c r="BX226" s="28"/>
      <c r="BY226" s="28"/>
      <c r="BZ226" s="28"/>
      <c r="CA226" s="28"/>
      <c r="CB226" s="28"/>
      <c r="CC226" s="28"/>
      <c r="CD226" s="28"/>
      <c r="CE226" s="28"/>
      <c r="CF226" s="28"/>
      <c r="CG226" s="28"/>
      <c r="CH226" s="28"/>
      <c r="CI226" s="28"/>
      <c r="CJ226" s="28"/>
      <c r="CK226" s="28"/>
      <c r="CL226" s="28"/>
      <c r="CM226" s="28"/>
      <c r="CN226" s="28"/>
      <c r="CO226" s="28"/>
      <c r="CP226" s="28"/>
      <c r="CQ226" s="28"/>
      <c r="CR226" s="28"/>
      <c r="CS226" s="28"/>
      <c r="CT226" s="28"/>
      <c r="CU226" s="28"/>
      <c r="CV226" s="28"/>
      <c r="CW226" s="28"/>
      <c r="CX226" s="28"/>
      <c r="CY226" s="28"/>
      <c r="CZ226" s="28"/>
      <c r="DA226" s="28"/>
      <c r="DB226" s="28"/>
      <c r="DC226" s="28"/>
      <c r="DD226" s="28"/>
      <c r="DE226" s="28"/>
      <c r="DF226" s="28"/>
      <c r="DG226" s="28"/>
      <c r="DH226" s="28"/>
      <c r="DI226" s="28"/>
      <c r="DJ226" s="28"/>
      <c r="DK226" s="28"/>
      <c r="DL226" s="28"/>
      <c r="DM226" s="28"/>
      <c r="DN226" s="28"/>
      <c r="DO226" s="28"/>
      <c r="DP226" s="28"/>
      <c r="DQ226" s="28"/>
      <c r="DR226" s="28"/>
      <c r="DS226" s="28"/>
      <c r="DT226" s="28"/>
      <c r="DU226" s="28"/>
      <c r="DV226" s="28"/>
      <c r="DW226" s="28"/>
      <c r="DX226" s="28"/>
      <c r="DY226" s="28"/>
      <c r="DZ226" s="28"/>
      <c r="EA226" s="28"/>
      <c r="EB226" s="28"/>
      <c r="EC226" s="28"/>
      <c r="ED226" s="28"/>
      <c r="EE226" s="28"/>
      <c r="EF226" s="28"/>
      <c r="EG226" s="28"/>
      <c r="EH226" s="28"/>
      <c r="EI226" s="28"/>
      <c r="EJ226" s="28"/>
      <c r="EK226" s="28"/>
      <c r="EL226" s="28"/>
      <c r="EM226" s="28"/>
      <c r="EN226" s="28"/>
      <c r="EO226" s="28"/>
      <c r="EP226" s="28"/>
      <c r="EQ226" s="28"/>
      <c r="ER226" s="28"/>
      <c r="ES226" s="28"/>
      <c r="ET226" s="28"/>
      <c r="EU226" s="28"/>
      <c r="EV226" s="28"/>
      <c r="EW226" s="28"/>
      <c r="EX226" s="28"/>
      <c r="EY226" s="28"/>
      <c r="EZ226" s="28"/>
      <c r="FA226" s="28"/>
      <c r="FB226" s="28"/>
      <c r="FC226" s="28"/>
      <c r="FD226" s="28"/>
      <c r="FE226" s="28"/>
      <c r="FF226" s="28"/>
      <c r="FG226" s="28"/>
      <c r="FH226" s="28"/>
      <c r="FI226" s="28"/>
      <c r="FJ226" s="28"/>
      <c r="FK226" s="28"/>
      <c r="FL226" s="28"/>
      <c r="FM226" s="28"/>
      <c r="FN226" s="28"/>
      <c r="FO226" s="28"/>
      <c r="FP226" s="28"/>
      <c r="FQ226" s="28"/>
      <c r="FR226" s="28"/>
      <c r="FS226" s="28"/>
      <c r="FT226" s="28"/>
      <c r="FU226" s="28"/>
      <c r="FV226" s="28"/>
      <c r="FW226" s="28"/>
      <c r="FX226" s="28"/>
      <c r="FY226" s="28"/>
      <c r="FZ226" s="28"/>
      <c r="GA226" s="28"/>
      <c r="GB226" s="28"/>
      <c r="GC226" s="28"/>
      <c r="GD226" s="28"/>
      <c r="GE226" s="28"/>
      <c r="GF226" s="28"/>
      <c r="GG226" s="28"/>
      <c r="GH226" s="28"/>
      <c r="GI226" s="28"/>
      <c r="GJ226" s="28"/>
      <c r="GK226" s="28"/>
      <c r="GL226" s="28"/>
      <c r="GM226" s="28"/>
      <c r="GN226" s="28"/>
      <c r="GO226" s="28"/>
      <c r="GP226" s="28"/>
      <c r="GQ226" s="28"/>
      <c r="GR226" s="28"/>
      <c r="GS226" s="28"/>
      <c r="GT226" s="28"/>
      <c r="GU226" s="28"/>
      <c r="GV226" s="28"/>
      <c r="GW226" s="28"/>
      <c r="GX226" s="28"/>
      <c r="GY226" s="28"/>
      <c r="GZ226" s="28"/>
      <c r="HA226" s="28"/>
      <c r="HB226" s="28"/>
      <c r="HC226" s="28"/>
      <c r="HD226" s="28"/>
      <c r="HE226" s="28"/>
      <c r="HF226" s="28"/>
      <c r="HG226" s="28"/>
      <c r="HH226" s="28"/>
      <c r="HI226" s="28"/>
      <c r="HJ226" s="28"/>
      <c r="HK226" s="28"/>
    </row>
    <row r="227" spans="1:219" ht="15" customHeight="1">
      <c r="A227" s="49">
        <v>2</v>
      </c>
      <c r="B227" s="132" t="str">
        <f>VLOOKUP(Ruimtestaat[[#This Row],[Code]],Locaties[[Code]:[Locatie]],2,FALSE)</f>
        <v>Pauluskerk</v>
      </c>
      <c r="C227" s="132" t="str">
        <f>VLOOKUP(Ruimtestaat[[#This Row],[Code]],Locaties[[#All],[Code]:[Adres]],4,FALSE)</f>
        <v>Westdorplaan 122</v>
      </c>
      <c r="D227" s="132" t="str">
        <f>VLOOKUP(Ruimtestaat[[#This Row],[Code]],Locaties[[#All],[Code]:[Postcode]],5,FALSE)</f>
        <v>8101 BJ</v>
      </c>
      <c r="E227" s="132" t="str">
        <f>VLOOKUP(Ruimtestaat[[#This Row],[Code]],Locaties[#All],6,FALSE)</f>
        <v>Raalte</v>
      </c>
      <c r="F227" s="100"/>
      <c r="G227" s="100" t="s">
        <v>1675</v>
      </c>
      <c r="H227" s="49" t="s">
        <v>1723</v>
      </c>
      <c r="I227" s="140" t="s">
        <v>1742</v>
      </c>
      <c r="J227" s="49">
        <v>5</v>
      </c>
      <c r="K227" s="140" t="str">
        <f>VLOOKUP(Ruimtestaat[[#This Row],[Ruimte code]],Ruimtegroepen[[#All],[Code]:[Ruimte omschrijving]],2,FALSE)</f>
        <v>Sanitair</v>
      </c>
      <c r="L227" s="100" t="s">
        <v>102</v>
      </c>
      <c r="M227" s="345" t="s">
        <v>1757</v>
      </c>
      <c r="N227" s="133">
        <v>1</v>
      </c>
      <c r="O227" s="139"/>
      <c r="P227" s="134" t="str">
        <f>VLOOKUP(Ruimtestaat[[#This Row],[Ruimte code]],Ruimtegroepen[],4,FALSE)</f>
        <v>Sa</v>
      </c>
      <c r="Q227" s="100">
        <v>51</v>
      </c>
      <c r="R227" s="100" t="s">
        <v>2</v>
      </c>
      <c r="S227" s="100">
        <f>IF(Q227&gt;0,IF(RIGHT(Ruimtestaat[[#This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27" s="100">
        <f>IF(S227&gt;0,VLOOKUP($J227,Ruimtegroepen[],3,FALSE)*VLOOKUP($L227,Vloersoorten[],3,FALSE)*VLOOKUP($R227,Frequenties[],3,FALSE)*VLOOKUP($A227,Locaties[],3,FALSE),0)</f>
        <v>0</v>
      </c>
      <c r="U227" s="100">
        <f>Ruimtestaat[[#This Row],[Uitvoeringen werkdagen]]*Ruimtestaat[[#This Row],[Oppervlak (netto)]]</f>
        <v>255</v>
      </c>
      <c r="V227" s="135">
        <f>IF(T227&gt;0,Ruimtestaat[[#This Row],[Prest. (m2 /jaar) werkdagen]]/Ruimtestaat[[#This Row],[Norm (m2/uur) werkdagen]],0)</f>
        <v>0</v>
      </c>
      <c r="W227" s="136">
        <f>Ruimtestaat[[#This Row],[uren / jaar werkdagen]]*Tariefsopbouw!$E$35</f>
        <v>0</v>
      </c>
      <c r="X227" s="100"/>
      <c r="Y227" s="100">
        <f>IF(Ruimtestaat[[#This Row],[Frequentie weekend]]&gt;0,VALUE(LEFT(X227,1))*Q227,0)</f>
        <v>0</v>
      </c>
      <c r="Z227" s="99">
        <f>IF($Y227&gt;0,VLOOKUP($J227,Ruimtegroepen[],3,FALSE)*VLOOKUP($L227,Vloersoorten[],3,FALSE)*VLOOKUP($X227,Frequenties[],3,FALSE)*VLOOKUP(Ruimtestaat[[#This Row],[Code]],Locaties[],3,FALSE),0)</f>
        <v>0</v>
      </c>
      <c r="AA227" s="99">
        <f>Ruimtestaat[[#This Row],[Uitvoeringen weekend]]*Ruimtestaat[[#This Row],[Oppervlak (netto)]]</f>
        <v>0</v>
      </c>
      <c r="AB227" s="99">
        <f>IF(Z227&gt;0,Ruimtestaat[[#This Row],[Prest. (m2 /jaar) weekend]]/Ruimtestaat[[#This Row],[Norm (m2/uur) weekend]],0)</f>
        <v>0</v>
      </c>
      <c r="AC227" s="136">
        <f>Ruimtestaat[[#This Row],[uren / jaar weekend]]*Tariefsopbouw!$D$40</f>
        <v>0</v>
      </c>
      <c r="AD227" s="135">
        <f>Ruimtestaat[[#This Row],[Prest. (m2 /jaar) weekend]]+Ruimtestaat[[#This Row],[Prest. (m2 /jaar) werkdagen]]</f>
        <v>255</v>
      </c>
      <c r="AE227" s="135">
        <f>Ruimtestaat[[#This Row],[uren / jaar weekend]]+Ruimtestaat[[#This Row],[uren / jaar werkdagen]]</f>
        <v>0</v>
      </c>
      <c r="AF227" s="130">
        <f>Ruimtestaat[[#This Row],[kosten / jaar weekend]]+Ruimtestaat[[#This Row],[kosten / jaar werkdagen]]</f>
        <v>0</v>
      </c>
      <c r="AG227" s="130"/>
      <c r="AH227" s="137" t="str">
        <f>IF(Ruimtestaat[[#This Row],[Frequentie werkdagen]]="","",_xlfn.CONCAT(Ruimtestaat[[#This Row],[Ruimte code]],"-",Ruimtestaat[[#This Row],[Frequentie werkdagen]]," ",Ruimtestaat[[#This Row],[Vloer code]]))</f>
        <v>5-5w P</v>
      </c>
      <c r="AI227" s="142" t="str">
        <f>_xlfn.IFNA(VLOOKUP($AH227,Programma!$F$3:$G$1101,2,0),"")</f>
        <v>_</v>
      </c>
      <c r="AJ227" s="142" t="str">
        <f>_xlfn.IFNA(VLOOKUP($AH227,Programma!$F$3:$H$1101,3,0),"")</f>
        <v>_</v>
      </c>
      <c r="AK227" s="142" t="str">
        <f>_xlfn.IFNA(VLOOKUP($AH227,Programma!$F$3:$I$1101,4,0),"")</f>
        <v>_</v>
      </c>
      <c r="AL227" s="142" t="str">
        <f>_xlfn.IFNA(VLOOKUP($AH227,Programma!$F$3:$J$1101,5,0),"")</f>
        <v>4w</v>
      </c>
      <c r="AM227" s="142" t="str">
        <f>_xlfn.IFNA(VLOOKUP($AH227,Programma!$F$3:$K$1101,6,0),"")</f>
        <v>1w</v>
      </c>
      <c r="AN227" s="142" t="str">
        <f>_xlfn.IFNA(VLOOKUP($AH227,Programma!$F$3:$L$1101,7,0),"")</f>
        <v>_</v>
      </c>
      <c r="AO227" s="142" t="str">
        <f>_xlfn.IFNA(VLOOKUP($AH227,Programma!$F$3:$M$1101,8,0),"")</f>
        <v>_</v>
      </c>
      <c r="AP227" s="142" t="str">
        <f>_xlfn.IFNA(VLOOKUP($AH227,Programma!$F$3:$N$1101,9,0),"")</f>
        <v>_</v>
      </c>
      <c r="AQ227" s="142" t="str">
        <f>_xlfn.IFNA(VLOOKUP($AH227,Programma!$F$3:$O$1101,10,0),"")</f>
        <v>_</v>
      </c>
      <c r="AR227" s="142" t="str">
        <f>_xlfn.IFNA(VLOOKUP($AH227,Programma!$F$3:$P$1101,11,0),"")</f>
        <v>_</v>
      </c>
      <c r="AS227" s="142" t="str">
        <f>_xlfn.IFNA(VLOOKUP($AH227,Programma!$F$3:$Q$1101,12,0),"")</f>
        <v>_</v>
      </c>
      <c r="AT227" s="142" t="str">
        <f>_xlfn.IFNA(VLOOKUP($AH227,Programma!$F$3:$R$1101,13,0),"")</f>
        <v>_</v>
      </c>
      <c r="AU227" s="142" t="str">
        <f>_xlfn.IFNA(VLOOKUP($AH227,Programma!$F$3:$S$1101,14,0),"")</f>
        <v>_</v>
      </c>
      <c r="AV227" s="142" t="str">
        <f>_xlfn.IFNA(VLOOKUP($AH227,Programma!$F$3:$T$1101,15,0),"")</f>
        <v>_</v>
      </c>
      <c r="AW227" s="142" t="str">
        <f>_xlfn.IFNA(VLOOKUP($AH227,Programma!$F$3:$U$1101,16,0),"")</f>
        <v>_</v>
      </c>
      <c r="AX227" s="142" t="str">
        <f>_xlfn.IFNA(VLOOKUP($AH227,Programma!$F$3:$V$1101,17,0),"")</f>
        <v>_</v>
      </c>
      <c r="AY227" s="142" t="str">
        <f>_xlfn.IFNA(VLOOKUP($AH227,Programma!$F$3:$W$1101,18,0),"")</f>
        <v>4w</v>
      </c>
      <c r="AZ227" s="142" t="str">
        <f>_xlfn.IFNA(VLOOKUP($AH227,Programma!$F$3:$X$1101,19,0),"")</f>
        <v>1w</v>
      </c>
      <c r="BA227" s="142" t="str">
        <f>_xlfn.IFNA(VLOOKUP($AH227,Programma!$F$3:$Y$1101,20,0),"")</f>
        <v>_</v>
      </c>
      <c r="BB227" s="138"/>
      <c r="BC227" s="137" t="str">
        <f>IF(Ruimtestaat[[#This Row],[Frequentie weekend]]="","",_xlfn.CONCAT(Ruimtestaat[[#This Row],[Ruimte code]],"-",Ruimtestaat[[#This Row],[Frequentie weekend]]," ",Ruimtestaat[[#This Row],[Vloer code]]))</f>
        <v/>
      </c>
      <c r="BD227" s="142" t="str">
        <f>_xlfn.IFNA(VLOOKUP($BC227,Programma!$F$3:$G$1101,2,0),"")</f>
        <v/>
      </c>
      <c r="BE227" s="142" t="str">
        <f>_xlfn.IFNA(VLOOKUP($BC227,Programma!$F$3:$H$1101,3,0),"")</f>
        <v/>
      </c>
      <c r="BF227" s="142" t="str">
        <f>_xlfn.IFNA(VLOOKUP($BC227,Programma!$F$3:$I$1101,4,0),"")</f>
        <v/>
      </c>
      <c r="BG227" s="142" t="str">
        <f>_xlfn.IFNA(VLOOKUP($BC227,Programma!$F$3:$J$1101,5,0),"")</f>
        <v/>
      </c>
      <c r="BH227" s="142" t="str">
        <f>_xlfn.IFNA(VLOOKUP($BC227,Programma!$F$3:$K$1101,6,0),"")</f>
        <v/>
      </c>
      <c r="BI227" s="142" t="str">
        <f>_xlfn.IFNA(VLOOKUP($BC227,Programma!$F$3:$L$1101,7,0),"")</f>
        <v/>
      </c>
      <c r="BJ227" s="142" t="str">
        <f>_xlfn.IFNA(VLOOKUP($BC227,Programma!$F$3:$M$1101,8,0),"")</f>
        <v/>
      </c>
      <c r="BK227" s="142" t="str">
        <f>_xlfn.IFNA(VLOOKUP($BC227,Programma!$F$3:$N$1101,9,0),"")</f>
        <v/>
      </c>
      <c r="BL227" s="142" t="str">
        <f>_xlfn.IFNA(VLOOKUP($BC227,Programma!$F$3:$O$1101,10,0),"")</f>
        <v/>
      </c>
      <c r="BM227" s="142" t="str">
        <f>_xlfn.IFNA(VLOOKUP($BC227,Programma!$F$3:$P$1101,11,0),"")</f>
        <v/>
      </c>
      <c r="BN227" s="142" t="str">
        <f>_xlfn.IFNA(VLOOKUP($BC227,Programma!$F$3:$Q$1101,12,0),"")</f>
        <v/>
      </c>
      <c r="BO227" s="142" t="str">
        <f>_xlfn.IFNA(VLOOKUP($BC227,Programma!$F$3:$R$1101,13,0),"")</f>
        <v/>
      </c>
      <c r="BP227" s="142" t="str">
        <f>_xlfn.IFNA(VLOOKUP($BC227,Programma!$F$3:$S$1101,14,0),"")</f>
        <v/>
      </c>
      <c r="BQ227" s="142" t="str">
        <f>_xlfn.IFNA(VLOOKUP($BC227,Programma!$F$3:$T$1101,15,0),"")</f>
        <v/>
      </c>
      <c r="BR227" s="142" t="str">
        <f>_xlfn.IFNA(VLOOKUP($BC227,Programma!$F$3:$U$1101,16,0),"")</f>
        <v/>
      </c>
      <c r="BS227" s="142" t="str">
        <f>_xlfn.IFNA(VLOOKUP($BC227,Programma!$F$3:$V$1101,17,0),"")</f>
        <v/>
      </c>
      <c r="BT227" s="142" t="str">
        <f>_xlfn.IFNA(VLOOKUP($BC227,Programma!$F$3:$W$1101,18,0),"")</f>
        <v/>
      </c>
      <c r="BU227" s="142" t="str">
        <f>_xlfn.IFNA(VLOOKUP($BC227,Programma!$F$3:$X$1101,19,0),"")</f>
        <v/>
      </c>
      <c r="BV227" s="142" t="str">
        <f>_xlfn.IFNA(VLOOKUP($BC227,Programma!$F$3:$Y$1101,20,0),"")</f>
        <v/>
      </c>
      <c r="BW227" s="28"/>
      <c r="BX227" s="28"/>
      <c r="BY227" s="28"/>
      <c r="BZ227" s="28"/>
      <c r="CA227" s="28"/>
      <c r="CB227" s="28"/>
      <c r="CC227" s="28"/>
      <c r="CD227" s="28"/>
      <c r="CE227" s="28"/>
      <c r="CF227" s="28"/>
      <c r="CG227" s="28"/>
      <c r="CH227" s="28"/>
      <c r="CI227" s="28"/>
      <c r="CJ227" s="28"/>
      <c r="CK227" s="28"/>
      <c r="CL227" s="28"/>
      <c r="CM227" s="28"/>
      <c r="CN227" s="28"/>
      <c r="CO227" s="28"/>
      <c r="CP227" s="28"/>
      <c r="CQ227" s="28"/>
      <c r="CR227" s="28"/>
      <c r="CS227" s="28"/>
      <c r="CT227" s="28"/>
      <c r="CU227" s="28"/>
      <c r="CV227" s="28"/>
      <c r="CW227" s="28"/>
      <c r="CX227" s="28"/>
      <c r="CY227" s="28"/>
      <c r="CZ227" s="28"/>
      <c r="DA227" s="28"/>
      <c r="DB227" s="28"/>
      <c r="DC227" s="28"/>
      <c r="DD227" s="28"/>
      <c r="DE227" s="28"/>
      <c r="DF227" s="28"/>
      <c r="DG227" s="28"/>
      <c r="DH227" s="28"/>
      <c r="DI227" s="28"/>
      <c r="DJ227" s="28"/>
      <c r="DK227" s="28"/>
      <c r="DL227" s="28"/>
      <c r="DM227" s="28"/>
      <c r="DN227" s="28"/>
      <c r="DO227" s="28"/>
      <c r="DP227" s="28"/>
      <c r="DQ227" s="28"/>
      <c r="DR227" s="28"/>
      <c r="DS227" s="28"/>
      <c r="DT227" s="28"/>
      <c r="DU227" s="28"/>
      <c r="DV227" s="28"/>
      <c r="DW227" s="28"/>
      <c r="DX227" s="28"/>
      <c r="DY227" s="28"/>
      <c r="DZ227" s="28"/>
      <c r="EA227" s="28"/>
      <c r="EB227" s="28"/>
      <c r="EC227" s="28"/>
      <c r="ED227" s="28"/>
      <c r="EE227" s="28"/>
      <c r="EF227" s="28"/>
      <c r="EG227" s="28"/>
      <c r="EH227" s="28"/>
      <c r="EI227" s="28"/>
      <c r="EJ227" s="28"/>
      <c r="EK227" s="28"/>
      <c r="EL227" s="28"/>
      <c r="EM227" s="28"/>
      <c r="EN227" s="28"/>
      <c r="EO227" s="28"/>
      <c r="EP227" s="28"/>
      <c r="EQ227" s="28"/>
      <c r="ER227" s="28"/>
      <c r="ES227" s="28"/>
      <c r="ET227" s="28"/>
      <c r="EU227" s="28"/>
      <c r="EV227" s="28"/>
      <c r="EW227" s="28"/>
      <c r="EX227" s="28"/>
      <c r="EY227" s="28"/>
      <c r="EZ227" s="28"/>
      <c r="FA227" s="28"/>
      <c r="FB227" s="28"/>
      <c r="FC227" s="28"/>
      <c r="FD227" s="28"/>
      <c r="FE227" s="28"/>
      <c r="FF227" s="28"/>
      <c r="FG227" s="28"/>
      <c r="FH227" s="28"/>
      <c r="FI227" s="28"/>
      <c r="FJ227" s="28"/>
      <c r="FK227" s="28"/>
      <c r="FL227" s="28"/>
      <c r="FM227" s="28"/>
      <c r="FN227" s="28"/>
      <c r="FO227" s="28"/>
      <c r="FP227" s="28"/>
      <c r="FQ227" s="28"/>
      <c r="FR227" s="28"/>
      <c r="FS227" s="28"/>
      <c r="FT227" s="28"/>
      <c r="FU227" s="28"/>
      <c r="FV227" s="28"/>
      <c r="FW227" s="28"/>
      <c r="FX227" s="28"/>
      <c r="FY227" s="28"/>
      <c r="FZ227" s="28"/>
      <c r="GA227" s="28"/>
      <c r="GB227" s="28"/>
      <c r="GC227" s="28"/>
      <c r="GD227" s="28"/>
      <c r="GE227" s="28"/>
      <c r="GF227" s="28"/>
      <c r="GG227" s="28"/>
      <c r="GH227" s="28"/>
      <c r="GI227" s="28"/>
      <c r="GJ227" s="28"/>
      <c r="GK227" s="28"/>
      <c r="GL227" s="28"/>
      <c r="GM227" s="28"/>
      <c r="GN227" s="28"/>
      <c r="GO227" s="28"/>
      <c r="GP227" s="28"/>
      <c r="GQ227" s="28"/>
      <c r="GR227" s="28"/>
      <c r="GS227" s="28"/>
      <c r="GT227" s="28"/>
      <c r="GU227" s="28"/>
      <c r="GV227" s="28"/>
      <c r="GW227" s="28"/>
      <c r="GX227" s="28"/>
      <c r="GY227" s="28"/>
      <c r="GZ227" s="28"/>
      <c r="HA227" s="28"/>
      <c r="HB227" s="28"/>
      <c r="HC227" s="28"/>
      <c r="HD227" s="28"/>
      <c r="HE227" s="28"/>
      <c r="HF227" s="28"/>
      <c r="HG227" s="28"/>
      <c r="HH227" s="28"/>
      <c r="HI227" s="28"/>
      <c r="HJ227" s="28"/>
      <c r="HK227" s="28"/>
    </row>
    <row r="228" spans="1:219" ht="15" customHeight="1">
      <c r="A228" s="49">
        <v>2</v>
      </c>
      <c r="B228" s="132" t="str">
        <f>VLOOKUP(Ruimtestaat[[#This Row],[Code]],Locaties[[Code]:[Locatie]],2,FALSE)</f>
        <v>Pauluskerk</v>
      </c>
      <c r="C228" s="132" t="str">
        <f>VLOOKUP(Ruimtestaat[[#This Row],[Code]],Locaties[[#All],[Code]:[Adres]],4,FALSE)</f>
        <v>Westdorplaan 122</v>
      </c>
      <c r="D228" s="132" t="str">
        <f>VLOOKUP(Ruimtestaat[[#This Row],[Code]],Locaties[[#All],[Code]:[Postcode]],5,FALSE)</f>
        <v>8101 BJ</v>
      </c>
      <c r="E228" s="132" t="str">
        <f>VLOOKUP(Ruimtestaat[[#This Row],[Code]],Locaties[#All],6,FALSE)</f>
        <v>Raalte</v>
      </c>
      <c r="F228" s="100"/>
      <c r="G228" s="100" t="s">
        <v>1675</v>
      </c>
      <c r="H228" s="49" t="s">
        <v>1724</v>
      </c>
      <c r="I228" s="140" t="s">
        <v>1645</v>
      </c>
      <c r="J228" s="49">
        <v>15</v>
      </c>
      <c r="K228" s="140" t="str">
        <f>VLOOKUP(Ruimtestaat[[#This Row],[Ruimte code]],Ruimtegroepen[[#All],[Code]:[Ruimte omschrijving]],2,FALSE)</f>
        <v>Keuken/pantry</v>
      </c>
      <c r="L228" s="100" t="s">
        <v>102</v>
      </c>
      <c r="M228" s="345" t="s">
        <v>1757</v>
      </c>
      <c r="N228" s="133">
        <v>10.58</v>
      </c>
      <c r="O228" s="139"/>
      <c r="P228" s="134" t="str">
        <f>VLOOKUP(Ruimtestaat[[#This Row],[Ruimte code]],Ruimtegroepen[],4,FALSE)</f>
        <v>Ve</v>
      </c>
      <c r="Q228" s="100">
        <v>51</v>
      </c>
      <c r="R228" s="100" t="s">
        <v>2</v>
      </c>
      <c r="S228" s="100">
        <f>IF(Q228&gt;0,IF(RIGHT(Ruimtestaat[[#This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28" s="100">
        <f>IF(S228&gt;0,VLOOKUP($J228,Ruimtegroepen[],3,FALSE)*VLOOKUP($L228,Vloersoorten[],3,FALSE)*VLOOKUP($R228,Frequenties[],3,FALSE)*VLOOKUP($A228,Locaties[],3,FALSE),0)</f>
        <v>0</v>
      </c>
      <c r="U228" s="100">
        <f>Ruimtestaat[[#This Row],[Uitvoeringen werkdagen]]*Ruimtestaat[[#This Row],[Oppervlak (netto)]]</f>
        <v>2697.9</v>
      </c>
      <c r="V228" s="135">
        <f>IF(T228&gt;0,Ruimtestaat[[#This Row],[Prest. (m2 /jaar) werkdagen]]/Ruimtestaat[[#This Row],[Norm (m2/uur) werkdagen]],0)</f>
        <v>0</v>
      </c>
      <c r="W228" s="136">
        <f>Ruimtestaat[[#This Row],[uren / jaar werkdagen]]*Tariefsopbouw!$E$35</f>
        <v>0</v>
      </c>
      <c r="X228" s="100"/>
      <c r="Y228" s="100">
        <f>IF(Ruimtestaat[[#This Row],[Frequentie weekend]]&gt;0,VALUE(LEFT(X228,1))*Q228,0)</f>
        <v>0</v>
      </c>
      <c r="Z228" s="99">
        <f>IF($Y228&gt;0,VLOOKUP($J228,Ruimtegroepen[],3,FALSE)*VLOOKUP($L228,Vloersoorten[],3,FALSE)*VLOOKUP($X228,Frequenties[],3,FALSE)*VLOOKUP(Ruimtestaat[[#This Row],[Code]],Locaties[],3,FALSE),0)</f>
        <v>0</v>
      </c>
      <c r="AA228" s="99">
        <f>Ruimtestaat[[#This Row],[Uitvoeringen weekend]]*Ruimtestaat[[#This Row],[Oppervlak (netto)]]</f>
        <v>0</v>
      </c>
      <c r="AB228" s="99">
        <f>IF(Z228&gt;0,Ruimtestaat[[#This Row],[Prest. (m2 /jaar) weekend]]/Ruimtestaat[[#This Row],[Norm (m2/uur) weekend]],0)</f>
        <v>0</v>
      </c>
      <c r="AC228" s="136">
        <f>Ruimtestaat[[#This Row],[uren / jaar weekend]]*Tariefsopbouw!$D$40</f>
        <v>0</v>
      </c>
      <c r="AD228" s="135">
        <f>Ruimtestaat[[#This Row],[Prest. (m2 /jaar) weekend]]+Ruimtestaat[[#This Row],[Prest. (m2 /jaar) werkdagen]]</f>
        <v>2697.9</v>
      </c>
      <c r="AE228" s="135">
        <f>Ruimtestaat[[#This Row],[uren / jaar weekend]]+Ruimtestaat[[#This Row],[uren / jaar werkdagen]]</f>
        <v>0</v>
      </c>
      <c r="AF228" s="130">
        <f>Ruimtestaat[[#This Row],[kosten / jaar weekend]]+Ruimtestaat[[#This Row],[kosten / jaar werkdagen]]</f>
        <v>0</v>
      </c>
      <c r="AG228" s="130"/>
      <c r="AH228" s="137" t="str">
        <f>IF(Ruimtestaat[[#This Row],[Frequentie werkdagen]]="","",_xlfn.CONCAT(Ruimtestaat[[#This Row],[Ruimte code]],"-",Ruimtestaat[[#This Row],[Frequentie werkdagen]]," ",Ruimtestaat[[#This Row],[Vloer code]]))</f>
        <v>15-5w P</v>
      </c>
      <c r="AI228" s="142" t="str">
        <f>_xlfn.IFNA(VLOOKUP($AH228,Programma!$F$3:$G$1101,2,0),"")</f>
        <v>_</v>
      </c>
      <c r="AJ228" s="142" t="str">
        <f>_xlfn.IFNA(VLOOKUP($AH228,Programma!$F$3:$H$1101,3,0),"")</f>
        <v>_</v>
      </c>
      <c r="AK228" s="142" t="str">
        <f>_xlfn.IFNA(VLOOKUP($AH228,Programma!$F$3:$I$1101,4,0),"")</f>
        <v>5w</v>
      </c>
      <c r="AL228" s="142" t="str">
        <f>_xlfn.IFNA(VLOOKUP($AH228,Programma!$F$3:$J$1101,5,0),"")</f>
        <v>_</v>
      </c>
      <c r="AM228" s="142" t="str">
        <f>_xlfn.IFNA(VLOOKUP($AH228,Programma!$F$3:$K$1101,6,0),"")</f>
        <v>5w</v>
      </c>
      <c r="AN228" s="142" t="str">
        <f>_xlfn.IFNA(VLOOKUP($AH228,Programma!$F$3:$L$1101,7,0),"")</f>
        <v>_</v>
      </c>
      <c r="AO228" s="142" t="str">
        <f>_xlfn.IFNA(VLOOKUP($AH228,Programma!$F$3:$M$1101,8,0),"")</f>
        <v>_</v>
      </c>
      <c r="AP228" s="142" t="str">
        <f>_xlfn.IFNA(VLOOKUP($AH228,Programma!$F$3:$N$1101,9,0),"")</f>
        <v>_</v>
      </c>
      <c r="AQ228" s="142" t="str">
        <f>_xlfn.IFNA(VLOOKUP($AH228,Programma!$F$3:$O$1101,10,0),"")</f>
        <v>5w</v>
      </c>
      <c r="AR228" s="142" t="str">
        <f>_xlfn.IFNA(VLOOKUP($AH228,Programma!$F$3:$P$1101,11,0),"")</f>
        <v>5w</v>
      </c>
      <c r="AS228" s="142" t="str">
        <f>_xlfn.IFNA(VLOOKUP($AH228,Programma!$F$3:$Q$1101,12,0),"")</f>
        <v>1w</v>
      </c>
      <c r="AT228" s="142" t="str">
        <f>_xlfn.IFNA(VLOOKUP($AH228,Programma!$F$3:$R$1101,13,0),"")</f>
        <v>1w</v>
      </c>
      <c r="AU228" s="142" t="str">
        <f>_xlfn.IFNA(VLOOKUP($AH228,Programma!$F$3:$S$1101,14,0),"")</f>
        <v>1m</v>
      </c>
      <c r="AV228" s="142" t="str">
        <f>_xlfn.IFNA(VLOOKUP($AH228,Programma!$F$3:$T$1101,15,0),"")</f>
        <v>2j</v>
      </c>
      <c r="AW228" s="142" t="str">
        <f>_xlfn.IFNA(VLOOKUP($AH228,Programma!$F$3:$U$1101,16,0),"")</f>
        <v>1j</v>
      </c>
      <c r="AX228" s="142" t="str">
        <f>_xlfn.IFNA(VLOOKUP($AH228,Programma!$F$3:$V$1101,17,0),"")</f>
        <v>_</v>
      </c>
      <c r="AY228" s="142" t="str">
        <f>_xlfn.IFNA(VLOOKUP($AH228,Programma!$F$3:$W$1101,18,0),"")</f>
        <v>_</v>
      </c>
      <c r="AZ228" s="142" t="str">
        <f>_xlfn.IFNA(VLOOKUP($AH228,Programma!$F$3:$X$1101,19,0),"")</f>
        <v>_</v>
      </c>
      <c r="BA228" s="142" t="str">
        <f>_xlfn.IFNA(VLOOKUP($AH228,Programma!$F$3:$Y$1101,20,0),"")</f>
        <v>_</v>
      </c>
      <c r="BB228" s="138"/>
      <c r="BC228" s="137" t="str">
        <f>IF(Ruimtestaat[[#This Row],[Frequentie weekend]]="","",_xlfn.CONCAT(Ruimtestaat[[#This Row],[Ruimte code]],"-",Ruimtestaat[[#This Row],[Frequentie weekend]]," ",Ruimtestaat[[#This Row],[Vloer code]]))</f>
        <v/>
      </c>
      <c r="BD228" s="142" t="str">
        <f>_xlfn.IFNA(VLOOKUP($BC228,Programma!$F$3:$G$1101,2,0),"")</f>
        <v/>
      </c>
      <c r="BE228" s="142" t="str">
        <f>_xlfn.IFNA(VLOOKUP($BC228,Programma!$F$3:$H$1101,3,0),"")</f>
        <v/>
      </c>
      <c r="BF228" s="142" t="str">
        <f>_xlfn.IFNA(VLOOKUP($BC228,Programma!$F$3:$I$1101,4,0),"")</f>
        <v/>
      </c>
      <c r="BG228" s="142" t="str">
        <f>_xlfn.IFNA(VLOOKUP($BC228,Programma!$F$3:$J$1101,5,0),"")</f>
        <v/>
      </c>
      <c r="BH228" s="142" t="str">
        <f>_xlfn.IFNA(VLOOKUP($BC228,Programma!$F$3:$K$1101,6,0),"")</f>
        <v/>
      </c>
      <c r="BI228" s="142" t="str">
        <f>_xlfn.IFNA(VLOOKUP($BC228,Programma!$F$3:$L$1101,7,0),"")</f>
        <v/>
      </c>
      <c r="BJ228" s="142" t="str">
        <f>_xlfn.IFNA(VLOOKUP($BC228,Programma!$F$3:$M$1101,8,0),"")</f>
        <v/>
      </c>
      <c r="BK228" s="142" t="str">
        <f>_xlfn.IFNA(VLOOKUP($BC228,Programma!$F$3:$N$1101,9,0),"")</f>
        <v/>
      </c>
      <c r="BL228" s="142" t="str">
        <f>_xlfn.IFNA(VLOOKUP($BC228,Programma!$F$3:$O$1101,10,0),"")</f>
        <v/>
      </c>
      <c r="BM228" s="142" t="str">
        <f>_xlfn.IFNA(VLOOKUP($BC228,Programma!$F$3:$P$1101,11,0),"")</f>
        <v/>
      </c>
      <c r="BN228" s="142" t="str">
        <f>_xlfn.IFNA(VLOOKUP($BC228,Programma!$F$3:$Q$1101,12,0),"")</f>
        <v/>
      </c>
      <c r="BO228" s="142" t="str">
        <f>_xlfn.IFNA(VLOOKUP($BC228,Programma!$F$3:$R$1101,13,0),"")</f>
        <v/>
      </c>
      <c r="BP228" s="142" t="str">
        <f>_xlfn.IFNA(VLOOKUP($BC228,Programma!$F$3:$S$1101,14,0),"")</f>
        <v/>
      </c>
      <c r="BQ228" s="142" t="str">
        <f>_xlfn.IFNA(VLOOKUP($BC228,Programma!$F$3:$T$1101,15,0),"")</f>
        <v/>
      </c>
      <c r="BR228" s="142" t="str">
        <f>_xlfn.IFNA(VLOOKUP($BC228,Programma!$F$3:$U$1101,16,0),"")</f>
        <v/>
      </c>
      <c r="BS228" s="142" t="str">
        <f>_xlfn.IFNA(VLOOKUP($BC228,Programma!$F$3:$V$1101,17,0),"")</f>
        <v/>
      </c>
      <c r="BT228" s="142" t="str">
        <f>_xlfn.IFNA(VLOOKUP($BC228,Programma!$F$3:$W$1101,18,0),"")</f>
        <v/>
      </c>
      <c r="BU228" s="142" t="str">
        <f>_xlfn.IFNA(VLOOKUP($BC228,Programma!$F$3:$X$1101,19,0),"")</f>
        <v/>
      </c>
      <c r="BV228" s="142" t="str">
        <f>_xlfn.IFNA(VLOOKUP($BC228,Programma!$F$3:$Y$1101,20,0),"")</f>
        <v/>
      </c>
      <c r="BW228" s="28"/>
      <c r="BX228" s="28"/>
      <c r="BY228" s="28"/>
      <c r="BZ228" s="28"/>
      <c r="CA228" s="28"/>
      <c r="CB228" s="28"/>
      <c r="CC228" s="28"/>
      <c r="CD228" s="28"/>
      <c r="CE228" s="28"/>
      <c r="CF228" s="28"/>
      <c r="CG228" s="28"/>
      <c r="CH228" s="28"/>
      <c r="CI228" s="28"/>
      <c r="CJ228" s="28"/>
      <c r="CK228" s="28"/>
      <c r="CL228" s="28"/>
      <c r="CM228" s="28"/>
      <c r="CN228" s="28"/>
      <c r="CO228" s="28"/>
      <c r="CP228" s="28"/>
      <c r="CQ228" s="28"/>
      <c r="CR228" s="28"/>
      <c r="CS228" s="28"/>
      <c r="CT228" s="28"/>
      <c r="CU228" s="28"/>
      <c r="CV228" s="28"/>
      <c r="CW228" s="28"/>
      <c r="CX228" s="28"/>
      <c r="CY228" s="28"/>
      <c r="CZ228" s="28"/>
      <c r="DA228" s="28"/>
      <c r="DB228" s="28"/>
      <c r="DC228" s="28"/>
      <c r="DD228" s="28"/>
      <c r="DE228" s="28"/>
      <c r="DF228" s="28"/>
      <c r="DG228" s="28"/>
      <c r="DH228" s="28"/>
      <c r="DI228" s="28"/>
      <c r="DJ228" s="28"/>
      <c r="DK228" s="28"/>
      <c r="DL228" s="28"/>
      <c r="DM228" s="28"/>
      <c r="DN228" s="28"/>
      <c r="DO228" s="28"/>
      <c r="DP228" s="28"/>
      <c r="DQ228" s="28"/>
      <c r="DR228" s="28"/>
      <c r="DS228" s="28"/>
      <c r="DT228" s="28"/>
      <c r="DU228" s="28"/>
      <c r="DV228" s="28"/>
      <c r="DW228" s="28"/>
      <c r="DX228" s="28"/>
      <c r="DY228" s="28"/>
      <c r="DZ228" s="28"/>
      <c r="EA228" s="28"/>
      <c r="EB228" s="28"/>
      <c r="EC228" s="28"/>
      <c r="ED228" s="28"/>
      <c r="EE228" s="28"/>
      <c r="EF228" s="28"/>
      <c r="EG228" s="28"/>
      <c r="EH228" s="28"/>
      <c r="EI228" s="28"/>
      <c r="EJ228" s="28"/>
      <c r="EK228" s="28"/>
      <c r="EL228" s="28"/>
      <c r="EM228" s="28"/>
      <c r="EN228" s="28"/>
      <c r="EO228" s="28"/>
      <c r="EP228" s="28"/>
      <c r="EQ228" s="28"/>
      <c r="ER228" s="28"/>
      <c r="ES228" s="28"/>
      <c r="ET228" s="28"/>
      <c r="EU228" s="28"/>
      <c r="EV228" s="28"/>
      <c r="EW228" s="28"/>
      <c r="EX228" s="28"/>
      <c r="EY228" s="28"/>
      <c r="EZ228" s="28"/>
      <c r="FA228" s="28"/>
      <c r="FB228" s="28"/>
      <c r="FC228" s="28"/>
      <c r="FD228" s="28"/>
      <c r="FE228" s="28"/>
      <c r="FF228" s="28"/>
      <c r="FG228" s="28"/>
      <c r="FH228" s="28"/>
      <c r="FI228" s="28"/>
      <c r="FJ228" s="28"/>
      <c r="FK228" s="28"/>
      <c r="FL228" s="28"/>
      <c r="FM228" s="28"/>
      <c r="FN228" s="28"/>
      <c r="FO228" s="28"/>
      <c r="FP228" s="28"/>
      <c r="FQ228" s="28"/>
      <c r="FR228" s="28"/>
      <c r="FS228" s="28"/>
      <c r="FT228" s="28"/>
      <c r="FU228" s="28"/>
      <c r="FV228" s="28"/>
      <c r="FW228" s="28"/>
      <c r="FX228" s="28"/>
      <c r="FY228" s="28"/>
      <c r="FZ228" s="28"/>
      <c r="GA228" s="28"/>
      <c r="GB228" s="28"/>
      <c r="GC228" s="28"/>
      <c r="GD228" s="28"/>
      <c r="GE228" s="28"/>
      <c r="GF228" s="28"/>
      <c r="GG228" s="28"/>
      <c r="GH228" s="28"/>
      <c r="GI228" s="28"/>
      <c r="GJ228" s="28"/>
      <c r="GK228" s="28"/>
      <c r="GL228" s="28"/>
      <c r="GM228" s="28"/>
      <c r="GN228" s="28"/>
      <c r="GO228" s="28"/>
      <c r="GP228" s="28"/>
      <c r="GQ228" s="28"/>
      <c r="GR228" s="28"/>
      <c r="GS228" s="28"/>
      <c r="GT228" s="28"/>
      <c r="GU228" s="28"/>
      <c r="GV228" s="28"/>
      <c r="GW228" s="28"/>
      <c r="GX228" s="28"/>
      <c r="GY228" s="28"/>
      <c r="GZ228" s="28"/>
      <c r="HA228" s="28"/>
      <c r="HB228" s="28"/>
      <c r="HC228" s="28"/>
      <c r="HD228" s="28"/>
      <c r="HE228" s="28"/>
      <c r="HF228" s="28"/>
      <c r="HG228" s="28"/>
      <c r="HH228" s="28"/>
      <c r="HI228" s="28"/>
      <c r="HJ228" s="28"/>
      <c r="HK228" s="28"/>
    </row>
    <row r="229" spans="1:219" ht="15" customHeight="1">
      <c r="A229" s="49">
        <v>2</v>
      </c>
      <c r="B229" s="132" t="str">
        <f>VLOOKUP(Ruimtestaat[[#This Row],[Code]],Locaties[[Code]:[Locatie]],2,FALSE)</f>
        <v>Pauluskerk</v>
      </c>
      <c r="C229" s="132" t="str">
        <f>VLOOKUP(Ruimtestaat[[#This Row],[Code]],Locaties[[#All],[Code]:[Adres]],4,FALSE)</f>
        <v>Westdorplaan 122</v>
      </c>
      <c r="D229" s="132" t="str">
        <f>VLOOKUP(Ruimtestaat[[#This Row],[Code]],Locaties[[#All],[Code]:[Postcode]],5,FALSE)</f>
        <v>8101 BJ</v>
      </c>
      <c r="E229" s="132" t="str">
        <f>VLOOKUP(Ruimtestaat[[#This Row],[Code]],Locaties[#All],6,FALSE)</f>
        <v>Raalte</v>
      </c>
      <c r="F229" s="100"/>
      <c r="G229" s="100" t="s">
        <v>1675</v>
      </c>
      <c r="H229" s="49" t="s">
        <v>1725</v>
      </c>
      <c r="I229" s="140" t="s">
        <v>1650</v>
      </c>
      <c r="J229" s="49">
        <v>6</v>
      </c>
      <c r="K229" s="140" t="str">
        <f>VLOOKUP(Ruimtestaat[[#This Row],[Ruimte code]],Ruimtegroepen[[#All],[Code]:[Ruimte omschrijving]],2,FALSE)</f>
        <v>Gangen/hallen</v>
      </c>
      <c r="L229" s="100" t="s">
        <v>102</v>
      </c>
      <c r="M229" s="345" t="s">
        <v>1757</v>
      </c>
      <c r="N229" s="133">
        <v>7.71</v>
      </c>
      <c r="O229" s="139"/>
      <c r="P229" s="134" t="str">
        <f>VLOOKUP(Ruimtestaat[[#This Row],[Ruimte code]],Ruimtegroepen[],4,FALSE)</f>
        <v>Ve</v>
      </c>
      <c r="Q229" s="100">
        <v>51</v>
      </c>
      <c r="R229" s="100" t="s">
        <v>2</v>
      </c>
      <c r="S229" s="100">
        <f>IF(Q229&gt;0,IF(RIGHT(Ruimtestaat[[#This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29" s="100">
        <f>IF(S229&gt;0,VLOOKUP($J229,Ruimtegroepen[],3,FALSE)*VLOOKUP($L229,Vloersoorten[],3,FALSE)*VLOOKUP($R229,Frequenties[],3,FALSE)*VLOOKUP($A229,Locaties[],3,FALSE),0)</f>
        <v>0</v>
      </c>
      <c r="U229" s="100">
        <f>Ruimtestaat[[#This Row],[Uitvoeringen werkdagen]]*Ruimtestaat[[#This Row],[Oppervlak (netto)]]</f>
        <v>1966.05</v>
      </c>
      <c r="V229" s="135">
        <f>IF(T229&gt;0,Ruimtestaat[[#This Row],[Prest. (m2 /jaar) werkdagen]]/Ruimtestaat[[#This Row],[Norm (m2/uur) werkdagen]],0)</f>
        <v>0</v>
      </c>
      <c r="W229" s="136">
        <f>Ruimtestaat[[#This Row],[uren / jaar werkdagen]]*Tariefsopbouw!$E$35</f>
        <v>0</v>
      </c>
      <c r="X229" s="100"/>
      <c r="Y229" s="100">
        <f>IF(Ruimtestaat[[#This Row],[Frequentie weekend]]&gt;0,VALUE(LEFT(X229,1))*Q229,0)</f>
        <v>0</v>
      </c>
      <c r="Z229" s="99">
        <f>IF($Y229&gt;0,VLOOKUP($J229,Ruimtegroepen[],3,FALSE)*VLOOKUP($L229,Vloersoorten[],3,FALSE)*VLOOKUP($X229,Frequenties[],3,FALSE)*VLOOKUP(Ruimtestaat[[#This Row],[Code]],Locaties[],3,FALSE),0)</f>
        <v>0</v>
      </c>
      <c r="AA229" s="99">
        <f>Ruimtestaat[[#This Row],[Uitvoeringen weekend]]*Ruimtestaat[[#This Row],[Oppervlak (netto)]]</f>
        <v>0</v>
      </c>
      <c r="AB229" s="99">
        <f>IF(Z229&gt;0,Ruimtestaat[[#This Row],[Prest. (m2 /jaar) weekend]]/Ruimtestaat[[#This Row],[Norm (m2/uur) weekend]],0)</f>
        <v>0</v>
      </c>
      <c r="AC229" s="136">
        <f>Ruimtestaat[[#This Row],[uren / jaar weekend]]*Tariefsopbouw!$D$40</f>
        <v>0</v>
      </c>
      <c r="AD229" s="135">
        <f>Ruimtestaat[[#This Row],[Prest. (m2 /jaar) weekend]]+Ruimtestaat[[#This Row],[Prest. (m2 /jaar) werkdagen]]</f>
        <v>1966.05</v>
      </c>
      <c r="AE229" s="135">
        <f>Ruimtestaat[[#This Row],[uren / jaar weekend]]+Ruimtestaat[[#This Row],[uren / jaar werkdagen]]</f>
        <v>0</v>
      </c>
      <c r="AF229" s="130">
        <f>Ruimtestaat[[#This Row],[kosten / jaar weekend]]+Ruimtestaat[[#This Row],[kosten / jaar werkdagen]]</f>
        <v>0</v>
      </c>
      <c r="AG229" s="130"/>
      <c r="AH229" s="137" t="str">
        <f>IF(Ruimtestaat[[#This Row],[Frequentie werkdagen]]="","",_xlfn.CONCAT(Ruimtestaat[[#This Row],[Ruimte code]],"-",Ruimtestaat[[#This Row],[Frequentie werkdagen]]," ",Ruimtestaat[[#This Row],[Vloer code]]))</f>
        <v>6-5w P</v>
      </c>
      <c r="AI229" s="142" t="str">
        <f>_xlfn.IFNA(VLOOKUP($AH229,Programma!$F$3:$G$1101,2,0),"")</f>
        <v>_</v>
      </c>
      <c r="AJ229" s="142" t="str">
        <f>_xlfn.IFNA(VLOOKUP($AH229,Programma!$F$3:$H$1101,3,0),"")</f>
        <v>_</v>
      </c>
      <c r="AK229" s="142" t="str">
        <f>_xlfn.IFNA(VLOOKUP($AH229,Programma!$F$3:$I$1101,4,0),"")</f>
        <v>5w</v>
      </c>
      <c r="AL229" s="142" t="str">
        <f>_xlfn.IFNA(VLOOKUP($AH229,Programma!$F$3:$J$1101,5,0),"")</f>
        <v>_</v>
      </c>
      <c r="AM229" s="142" t="str">
        <f>_xlfn.IFNA(VLOOKUP($AH229,Programma!$F$3:$K$1101,6,0),"")</f>
        <v>5w</v>
      </c>
      <c r="AN229" s="142" t="str">
        <f>_xlfn.IFNA(VLOOKUP($AH229,Programma!$F$3:$L$1101,7,0),"")</f>
        <v>_</v>
      </c>
      <c r="AO229" s="142" t="str">
        <f>_xlfn.IFNA(VLOOKUP($AH229,Programma!$F$3:$M$1101,8,0),"")</f>
        <v>_</v>
      </c>
      <c r="AP229" s="142" t="str">
        <f>_xlfn.IFNA(VLOOKUP($AH229,Programma!$F$3:$N$1101,9,0),"")</f>
        <v>_</v>
      </c>
      <c r="AQ229" s="142" t="str">
        <f>_xlfn.IFNA(VLOOKUP($AH229,Programma!$F$3:$O$1101,10,0),"")</f>
        <v>5w</v>
      </c>
      <c r="AR229" s="142" t="str">
        <f>_xlfn.IFNA(VLOOKUP($AH229,Programma!$F$3:$P$1101,11,0),"")</f>
        <v>5w</v>
      </c>
      <c r="AS229" s="142" t="str">
        <f>_xlfn.IFNA(VLOOKUP($AH229,Programma!$F$3:$Q$1101,12,0),"")</f>
        <v>1w</v>
      </c>
      <c r="AT229" s="142" t="str">
        <f>_xlfn.IFNA(VLOOKUP($AH229,Programma!$F$3:$R$1101,13,0),"")</f>
        <v>1w</v>
      </c>
      <c r="AU229" s="142" t="str">
        <f>_xlfn.IFNA(VLOOKUP($AH229,Programma!$F$3:$S$1101,14,0),"")</f>
        <v>1m</v>
      </c>
      <c r="AV229" s="142" t="str">
        <f>_xlfn.IFNA(VLOOKUP($AH229,Programma!$F$3:$T$1101,15,0),"")</f>
        <v>2j</v>
      </c>
      <c r="AW229" s="142" t="str">
        <f>_xlfn.IFNA(VLOOKUP($AH229,Programma!$F$3:$U$1101,16,0),"")</f>
        <v>1j</v>
      </c>
      <c r="AX229" s="142" t="str">
        <f>_xlfn.IFNA(VLOOKUP($AH229,Programma!$F$3:$V$1101,17,0),"")</f>
        <v>_</v>
      </c>
      <c r="AY229" s="142" t="str">
        <f>_xlfn.IFNA(VLOOKUP($AH229,Programma!$F$3:$W$1101,18,0),"")</f>
        <v>_</v>
      </c>
      <c r="AZ229" s="142" t="str">
        <f>_xlfn.IFNA(VLOOKUP($AH229,Programma!$F$3:$X$1101,19,0),"")</f>
        <v>_</v>
      </c>
      <c r="BA229" s="142" t="str">
        <f>_xlfn.IFNA(VLOOKUP($AH229,Programma!$F$3:$Y$1101,20,0),"")</f>
        <v>_</v>
      </c>
      <c r="BB229" s="138"/>
      <c r="BC229" s="137" t="str">
        <f>IF(Ruimtestaat[[#This Row],[Frequentie weekend]]="","",_xlfn.CONCAT(Ruimtestaat[[#This Row],[Ruimte code]],"-",Ruimtestaat[[#This Row],[Frequentie weekend]]," ",Ruimtestaat[[#This Row],[Vloer code]]))</f>
        <v/>
      </c>
      <c r="BD229" s="142" t="str">
        <f>_xlfn.IFNA(VLOOKUP($BC229,Programma!$F$3:$G$1101,2,0),"")</f>
        <v/>
      </c>
      <c r="BE229" s="142" t="str">
        <f>_xlfn.IFNA(VLOOKUP($BC229,Programma!$F$3:$H$1101,3,0),"")</f>
        <v/>
      </c>
      <c r="BF229" s="142" t="str">
        <f>_xlfn.IFNA(VLOOKUP($BC229,Programma!$F$3:$I$1101,4,0),"")</f>
        <v/>
      </c>
      <c r="BG229" s="142" t="str">
        <f>_xlfn.IFNA(VLOOKUP($BC229,Programma!$F$3:$J$1101,5,0),"")</f>
        <v/>
      </c>
      <c r="BH229" s="142" t="str">
        <f>_xlfn.IFNA(VLOOKUP($BC229,Programma!$F$3:$K$1101,6,0),"")</f>
        <v/>
      </c>
      <c r="BI229" s="142" t="str">
        <f>_xlfn.IFNA(VLOOKUP($BC229,Programma!$F$3:$L$1101,7,0),"")</f>
        <v/>
      </c>
      <c r="BJ229" s="142" t="str">
        <f>_xlfn.IFNA(VLOOKUP($BC229,Programma!$F$3:$M$1101,8,0),"")</f>
        <v/>
      </c>
      <c r="BK229" s="142" t="str">
        <f>_xlfn.IFNA(VLOOKUP($BC229,Programma!$F$3:$N$1101,9,0),"")</f>
        <v/>
      </c>
      <c r="BL229" s="142" t="str">
        <f>_xlfn.IFNA(VLOOKUP($BC229,Programma!$F$3:$O$1101,10,0),"")</f>
        <v/>
      </c>
      <c r="BM229" s="142" t="str">
        <f>_xlfn.IFNA(VLOOKUP($BC229,Programma!$F$3:$P$1101,11,0),"")</f>
        <v/>
      </c>
      <c r="BN229" s="142" t="str">
        <f>_xlfn.IFNA(VLOOKUP($BC229,Programma!$F$3:$Q$1101,12,0),"")</f>
        <v/>
      </c>
      <c r="BO229" s="142" t="str">
        <f>_xlfn.IFNA(VLOOKUP($BC229,Programma!$F$3:$R$1101,13,0),"")</f>
        <v/>
      </c>
      <c r="BP229" s="142" t="str">
        <f>_xlfn.IFNA(VLOOKUP($BC229,Programma!$F$3:$S$1101,14,0),"")</f>
        <v/>
      </c>
      <c r="BQ229" s="142" t="str">
        <f>_xlfn.IFNA(VLOOKUP($BC229,Programma!$F$3:$T$1101,15,0),"")</f>
        <v/>
      </c>
      <c r="BR229" s="142" t="str">
        <f>_xlfn.IFNA(VLOOKUP($BC229,Programma!$F$3:$U$1101,16,0),"")</f>
        <v/>
      </c>
      <c r="BS229" s="142" t="str">
        <f>_xlfn.IFNA(VLOOKUP($BC229,Programma!$F$3:$V$1101,17,0),"")</f>
        <v/>
      </c>
      <c r="BT229" s="142" t="str">
        <f>_xlfn.IFNA(VLOOKUP($BC229,Programma!$F$3:$W$1101,18,0),"")</f>
        <v/>
      </c>
      <c r="BU229" s="142" t="str">
        <f>_xlfn.IFNA(VLOOKUP($BC229,Programma!$F$3:$X$1101,19,0),"")</f>
        <v/>
      </c>
      <c r="BV229" s="142" t="str">
        <f>_xlfn.IFNA(VLOOKUP($BC229,Programma!$F$3:$Y$1101,20,0),"")</f>
        <v/>
      </c>
      <c r="BW229" s="28"/>
      <c r="BX229" s="28"/>
      <c r="BY229" s="28"/>
      <c r="BZ229" s="28"/>
      <c r="CA229" s="28"/>
      <c r="CB229" s="28"/>
      <c r="CC229" s="28"/>
      <c r="CD229" s="28"/>
      <c r="CE229" s="28"/>
      <c r="CF229" s="28"/>
      <c r="CG229" s="28"/>
      <c r="CH229" s="28"/>
      <c r="CI229" s="28"/>
      <c r="CJ229" s="28"/>
      <c r="CK229" s="28"/>
      <c r="CL229" s="28"/>
      <c r="CM229" s="28"/>
      <c r="CN229" s="28"/>
      <c r="CO229" s="28"/>
      <c r="CP229" s="28"/>
      <c r="CQ229" s="28"/>
      <c r="CR229" s="28"/>
      <c r="CS229" s="28"/>
      <c r="CT229" s="28"/>
      <c r="CU229" s="28"/>
      <c r="CV229" s="28"/>
      <c r="CW229" s="28"/>
      <c r="CX229" s="28"/>
      <c r="CY229" s="28"/>
      <c r="CZ229" s="28"/>
      <c r="DA229" s="28"/>
      <c r="DB229" s="28"/>
      <c r="DC229" s="28"/>
      <c r="DD229" s="28"/>
      <c r="DE229" s="28"/>
      <c r="DF229" s="28"/>
      <c r="DG229" s="28"/>
      <c r="DH229" s="28"/>
      <c r="DI229" s="28"/>
      <c r="DJ229" s="28"/>
      <c r="DK229" s="28"/>
      <c r="DL229" s="28"/>
      <c r="DM229" s="28"/>
      <c r="DN229" s="28"/>
      <c r="DO229" s="28"/>
      <c r="DP229" s="28"/>
      <c r="DQ229" s="28"/>
      <c r="DR229" s="28"/>
      <c r="DS229" s="28"/>
      <c r="DT229" s="28"/>
      <c r="DU229" s="28"/>
      <c r="DV229" s="28"/>
      <c r="DW229" s="28"/>
      <c r="DX229" s="28"/>
      <c r="DY229" s="28"/>
      <c r="DZ229" s="28"/>
      <c r="EA229" s="28"/>
      <c r="EB229" s="28"/>
      <c r="EC229" s="28"/>
      <c r="ED229" s="28"/>
      <c r="EE229" s="28"/>
      <c r="EF229" s="28"/>
      <c r="EG229" s="28"/>
      <c r="EH229" s="28"/>
      <c r="EI229" s="28"/>
      <c r="EJ229" s="28"/>
      <c r="EK229" s="28"/>
      <c r="EL229" s="28"/>
      <c r="EM229" s="28"/>
      <c r="EN229" s="28"/>
      <c r="EO229" s="28"/>
      <c r="EP229" s="28"/>
      <c r="EQ229" s="28"/>
      <c r="ER229" s="28"/>
      <c r="ES229" s="28"/>
      <c r="ET229" s="28"/>
      <c r="EU229" s="28"/>
      <c r="EV229" s="28"/>
      <c r="EW229" s="28"/>
      <c r="EX229" s="28"/>
      <c r="EY229" s="28"/>
      <c r="EZ229" s="28"/>
      <c r="FA229" s="28"/>
      <c r="FB229" s="28"/>
      <c r="FC229" s="28"/>
      <c r="FD229" s="28"/>
      <c r="FE229" s="28"/>
      <c r="FF229" s="28"/>
      <c r="FG229" s="28"/>
      <c r="FH229" s="28"/>
      <c r="FI229" s="28"/>
      <c r="FJ229" s="28"/>
      <c r="FK229" s="28"/>
      <c r="FL229" s="28"/>
      <c r="FM229" s="28"/>
      <c r="FN229" s="28"/>
      <c r="FO229" s="28"/>
      <c r="FP229" s="28"/>
      <c r="FQ229" s="28"/>
      <c r="FR229" s="28"/>
      <c r="FS229" s="28"/>
      <c r="FT229" s="28"/>
      <c r="FU229" s="28"/>
      <c r="FV229" s="28"/>
      <c r="FW229" s="28"/>
      <c r="FX229" s="28"/>
      <c r="FY229" s="28"/>
      <c r="FZ229" s="28"/>
      <c r="GA229" s="28"/>
      <c r="GB229" s="28"/>
      <c r="GC229" s="28"/>
      <c r="GD229" s="28"/>
      <c r="GE229" s="28"/>
      <c r="GF229" s="28"/>
      <c r="GG229" s="28"/>
      <c r="GH229" s="28"/>
      <c r="GI229" s="28"/>
      <c r="GJ229" s="28"/>
      <c r="GK229" s="28"/>
      <c r="GL229" s="28"/>
      <c r="GM229" s="28"/>
      <c r="GN229" s="28"/>
      <c r="GO229" s="28"/>
      <c r="GP229" s="28"/>
      <c r="GQ229" s="28"/>
      <c r="GR229" s="28"/>
      <c r="GS229" s="28"/>
      <c r="GT229" s="28"/>
      <c r="GU229" s="28"/>
      <c r="GV229" s="28"/>
      <c r="GW229" s="28"/>
      <c r="GX229" s="28"/>
      <c r="GY229" s="28"/>
      <c r="GZ229" s="28"/>
      <c r="HA229" s="28"/>
      <c r="HB229" s="28"/>
      <c r="HC229" s="28"/>
      <c r="HD229" s="28"/>
      <c r="HE229" s="28"/>
      <c r="HF229" s="28"/>
      <c r="HG229" s="28"/>
      <c r="HH229" s="28"/>
      <c r="HI229" s="28"/>
      <c r="HJ229" s="28"/>
      <c r="HK229" s="28"/>
    </row>
    <row r="230" spans="1:219" ht="15" customHeight="1">
      <c r="A230" s="49">
        <v>2</v>
      </c>
      <c r="B230" s="132" t="str">
        <f>VLOOKUP(Ruimtestaat[[#This Row],[Code]],Locaties[[Code]:[Locatie]],2,FALSE)</f>
        <v>Pauluskerk</v>
      </c>
      <c r="C230" s="132" t="str">
        <f>VLOOKUP(Ruimtestaat[[#This Row],[Code]],Locaties[[#All],[Code]:[Adres]],4,FALSE)</f>
        <v>Westdorplaan 122</v>
      </c>
      <c r="D230" s="132" t="str">
        <f>VLOOKUP(Ruimtestaat[[#This Row],[Code]],Locaties[[#All],[Code]:[Postcode]],5,FALSE)</f>
        <v>8101 BJ</v>
      </c>
      <c r="E230" s="132" t="str">
        <f>VLOOKUP(Ruimtestaat[[#This Row],[Code]],Locaties[#All],6,FALSE)</f>
        <v>Raalte</v>
      </c>
      <c r="F230" s="100"/>
      <c r="G230" s="100" t="s">
        <v>1675</v>
      </c>
      <c r="I230" s="140" t="s">
        <v>1758</v>
      </c>
      <c r="J230" s="49">
        <v>10</v>
      </c>
      <c r="K230" s="140" t="str">
        <f>VLOOKUP(Ruimtestaat[[#This Row],[Ruimte code]],Ruimtegroepen[[#All],[Code]:[Ruimte omschrijving]],2,FALSE)</f>
        <v>Trappenhuizen/lift</v>
      </c>
      <c r="L230" s="100" t="s">
        <v>99</v>
      </c>
      <c r="M230" s="345" t="s">
        <v>36</v>
      </c>
      <c r="N230" s="133">
        <v>5.62</v>
      </c>
      <c r="O230" s="139"/>
      <c r="P230" s="134" t="str">
        <f>VLOOKUP(Ruimtestaat[[#This Row],[Ruimte code]],Ruimtegroepen[],4,FALSE)</f>
        <v>Ve</v>
      </c>
      <c r="Q230" s="100">
        <v>51</v>
      </c>
      <c r="R230" s="100" t="s">
        <v>16</v>
      </c>
      <c r="S230" s="100">
        <f>IF(Q230&gt;0,IF(RIGHT(Ruimtestaat[[#This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230" s="100">
        <f>IF(S230&gt;0,VLOOKUP($J230,Ruimtegroepen[],3,FALSE)*VLOOKUP($L230,Vloersoorten[],3,FALSE)*VLOOKUP($R230,Frequenties[],3,FALSE)*VLOOKUP($A230,Locaties[],3,FALSE),0)</f>
        <v>0</v>
      </c>
      <c r="U230" s="100">
        <f>Ruimtestaat[[#This Row],[Uitvoeringen werkdagen]]*Ruimtestaat[[#This Row],[Oppervlak (netto)]]</f>
        <v>67.44</v>
      </c>
      <c r="V230" s="135">
        <f>IF(T230&gt;0,Ruimtestaat[[#This Row],[Prest. (m2 /jaar) werkdagen]]/Ruimtestaat[[#This Row],[Norm (m2/uur) werkdagen]],0)</f>
        <v>0</v>
      </c>
      <c r="W230" s="136">
        <f>Ruimtestaat[[#This Row],[uren / jaar werkdagen]]*Tariefsopbouw!$E$35</f>
        <v>0</v>
      </c>
      <c r="X230" s="100"/>
      <c r="Y230" s="100">
        <f>IF(Ruimtestaat[[#This Row],[Frequentie weekend]]&gt;0,VALUE(LEFT(X230,1))*Q230,0)</f>
        <v>0</v>
      </c>
      <c r="Z230" s="99">
        <f>IF($Y230&gt;0,VLOOKUP($J230,Ruimtegroepen[],3,FALSE)*VLOOKUP($L230,Vloersoorten[],3,FALSE)*VLOOKUP($X230,Frequenties[],3,FALSE)*VLOOKUP(Ruimtestaat[[#This Row],[Code]],Locaties[],3,FALSE),0)</f>
        <v>0</v>
      </c>
      <c r="AA230" s="99">
        <f>Ruimtestaat[[#This Row],[Uitvoeringen weekend]]*Ruimtestaat[[#This Row],[Oppervlak (netto)]]</f>
        <v>0</v>
      </c>
      <c r="AB230" s="99">
        <f>IF(Z230&gt;0,Ruimtestaat[[#This Row],[Prest. (m2 /jaar) weekend]]/Ruimtestaat[[#This Row],[Norm (m2/uur) weekend]],0)</f>
        <v>0</v>
      </c>
      <c r="AC230" s="136">
        <f>Ruimtestaat[[#This Row],[uren / jaar weekend]]*Tariefsopbouw!$D$40</f>
        <v>0</v>
      </c>
      <c r="AD230" s="135">
        <f>Ruimtestaat[[#This Row],[Prest. (m2 /jaar) weekend]]+Ruimtestaat[[#This Row],[Prest. (m2 /jaar) werkdagen]]</f>
        <v>67.44</v>
      </c>
      <c r="AE230" s="135">
        <f>Ruimtestaat[[#This Row],[uren / jaar weekend]]+Ruimtestaat[[#This Row],[uren / jaar werkdagen]]</f>
        <v>0</v>
      </c>
      <c r="AF230" s="130">
        <f>Ruimtestaat[[#This Row],[kosten / jaar weekend]]+Ruimtestaat[[#This Row],[kosten / jaar werkdagen]]</f>
        <v>0</v>
      </c>
      <c r="AG230" s="130"/>
      <c r="AH230" s="137" t="str">
        <f>IF(Ruimtestaat[[#This Row],[Frequentie werkdagen]]="","",_xlfn.CONCAT(Ruimtestaat[[#This Row],[Ruimte code]],"-",Ruimtestaat[[#This Row],[Frequentie werkdagen]]," ",Ruimtestaat[[#This Row],[Vloer code]]))</f>
        <v>10-1m T</v>
      </c>
      <c r="AI230" s="142" t="str">
        <f>_xlfn.IFNA(VLOOKUP($AH230,Programma!$F$3:$G$1101,2,0),"")</f>
        <v>_</v>
      </c>
      <c r="AJ230" s="142" t="str">
        <f>_xlfn.IFNA(VLOOKUP($AH230,Programma!$F$3:$H$1101,3,0),"")</f>
        <v>1m</v>
      </c>
      <c r="AK230" s="142" t="str">
        <f>_xlfn.IFNA(VLOOKUP($AH230,Programma!$F$3:$I$1101,4,0),"")</f>
        <v>_</v>
      </c>
      <c r="AL230" s="142" t="str">
        <f>_xlfn.IFNA(VLOOKUP($AH230,Programma!$F$3:$J$1101,5,0),"")</f>
        <v>_</v>
      </c>
      <c r="AM230" s="142" t="str">
        <f>_xlfn.IFNA(VLOOKUP($AH230,Programma!$F$3:$K$1101,6,0),"")</f>
        <v>_</v>
      </c>
      <c r="AN230" s="142" t="str">
        <f>_xlfn.IFNA(VLOOKUP($AH230,Programma!$F$3:$L$1101,7,0),"")</f>
        <v>_</v>
      </c>
      <c r="AO230" s="142" t="str">
        <f>_xlfn.IFNA(VLOOKUP($AH230,Programma!$F$3:$M$1101,8,0),"")</f>
        <v>_</v>
      </c>
      <c r="AP230" s="142" t="str">
        <f>_xlfn.IFNA(VLOOKUP($AH230,Programma!$F$3:$N$1101,9,0),"")</f>
        <v>_</v>
      </c>
      <c r="AQ230" s="142" t="str">
        <f>_xlfn.IFNA(VLOOKUP($AH230,Programma!$F$3:$O$1101,10,0),"")</f>
        <v>1m</v>
      </c>
      <c r="AR230" s="142" t="str">
        <f>_xlfn.IFNA(VLOOKUP($AH230,Programma!$F$3:$P$1101,11,0),"")</f>
        <v>1m</v>
      </c>
      <c r="AS230" s="142" t="str">
        <f>_xlfn.IFNA(VLOOKUP($AH230,Programma!$F$3:$Q$1101,12,0),"")</f>
        <v>1m</v>
      </c>
      <c r="AT230" s="142" t="str">
        <f>_xlfn.IFNA(VLOOKUP($AH230,Programma!$F$3:$R$1101,13,0),"")</f>
        <v>1m</v>
      </c>
      <c r="AU230" s="142" t="str">
        <f>_xlfn.IFNA(VLOOKUP($AH230,Programma!$F$3:$S$1101,14,0),"")</f>
        <v>1m</v>
      </c>
      <c r="AV230" s="142" t="str">
        <f>_xlfn.IFNA(VLOOKUP($AH230,Programma!$F$3:$T$1101,15,0),"")</f>
        <v>2j</v>
      </c>
      <c r="AW230" s="142" t="str">
        <f>_xlfn.IFNA(VLOOKUP($AH230,Programma!$F$3:$U$1101,16,0),"")</f>
        <v>1j</v>
      </c>
      <c r="AX230" s="142" t="str">
        <f>_xlfn.IFNA(VLOOKUP($AH230,Programma!$F$3:$V$1101,17,0),"")</f>
        <v>_</v>
      </c>
      <c r="AY230" s="142" t="str">
        <f>_xlfn.IFNA(VLOOKUP($AH230,Programma!$F$3:$W$1101,18,0),"")</f>
        <v>_</v>
      </c>
      <c r="AZ230" s="142" t="str">
        <f>_xlfn.IFNA(VLOOKUP($AH230,Programma!$F$3:$X$1101,19,0),"")</f>
        <v>_</v>
      </c>
      <c r="BA230" s="142" t="str">
        <f>_xlfn.IFNA(VLOOKUP($AH230,Programma!$F$3:$Y$1101,20,0),"")</f>
        <v>_</v>
      </c>
      <c r="BB230" s="138"/>
      <c r="BC230" s="137" t="str">
        <f>IF(Ruimtestaat[[#This Row],[Frequentie weekend]]="","",_xlfn.CONCAT(Ruimtestaat[[#This Row],[Ruimte code]],"-",Ruimtestaat[[#This Row],[Frequentie weekend]]," ",Ruimtestaat[[#This Row],[Vloer code]]))</f>
        <v/>
      </c>
      <c r="BD230" s="142" t="str">
        <f>_xlfn.IFNA(VLOOKUP($BC230,Programma!$F$3:$G$1101,2,0),"")</f>
        <v/>
      </c>
      <c r="BE230" s="142" t="str">
        <f>_xlfn.IFNA(VLOOKUP($BC230,Programma!$F$3:$H$1101,3,0),"")</f>
        <v/>
      </c>
      <c r="BF230" s="142" t="str">
        <f>_xlfn.IFNA(VLOOKUP($BC230,Programma!$F$3:$I$1101,4,0),"")</f>
        <v/>
      </c>
      <c r="BG230" s="142" t="str">
        <f>_xlfn.IFNA(VLOOKUP($BC230,Programma!$F$3:$J$1101,5,0),"")</f>
        <v/>
      </c>
      <c r="BH230" s="142" t="str">
        <f>_xlfn.IFNA(VLOOKUP($BC230,Programma!$F$3:$K$1101,6,0),"")</f>
        <v/>
      </c>
      <c r="BI230" s="142" t="str">
        <f>_xlfn.IFNA(VLOOKUP($BC230,Programma!$F$3:$L$1101,7,0),"")</f>
        <v/>
      </c>
      <c r="BJ230" s="142" t="str">
        <f>_xlfn.IFNA(VLOOKUP($BC230,Programma!$F$3:$M$1101,8,0),"")</f>
        <v/>
      </c>
      <c r="BK230" s="142" t="str">
        <f>_xlfn.IFNA(VLOOKUP($BC230,Programma!$F$3:$N$1101,9,0),"")</f>
        <v/>
      </c>
      <c r="BL230" s="142" t="str">
        <f>_xlfn.IFNA(VLOOKUP($BC230,Programma!$F$3:$O$1101,10,0),"")</f>
        <v/>
      </c>
      <c r="BM230" s="142" t="str">
        <f>_xlfn.IFNA(VLOOKUP($BC230,Programma!$F$3:$P$1101,11,0),"")</f>
        <v/>
      </c>
      <c r="BN230" s="142" t="str">
        <f>_xlfn.IFNA(VLOOKUP($BC230,Programma!$F$3:$Q$1101,12,0),"")</f>
        <v/>
      </c>
      <c r="BO230" s="142" t="str">
        <f>_xlfn.IFNA(VLOOKUP($BC230,Programma!$F$3:$R$1101,13,0),"")</f>
        <v/>
      </c>
      <c r="BP230" s="142" t="str">
        <f>_xlfn.IFNA(VLOOKUP($BC230,Programma!$F$3:$S$1101,14,0),"")</f>
        <v/>
      </c>
      <c r="BQ230" s="142" t="str">
        <f>_xlfn.IFNA(VLOOKUP($BC230,Programma!$F$3:$T$1101,15,0),"")</f>
        <v/>
      </c>
      <c r="BR230" s="142" t="str">
        <f>_xlfn.IFNA(VLOOKUP($BC230,Programma!$F$3:$U$1101,16,0),"")</f>
        <v/>
      </c>
      <c r="BS230" s="142" t="str">
        <f>_xlfn.IFNA(VLOOKUP($BC230,Programma!$F$3:$V$1101,17,0),"")</f>
        <v/>
      </c>
      <c r="BT230" s="142" t="str">
        <f>_xlfn.IFNA(VLOOKUP($BC230,Programma!$F$3:$W$1101,18,0),"")</f>
        <v/>
      </c>
      <c r="BU230" s="142" t="str">
        <f>_xlfn.IFNA(VLOOKUP($BC230,Programma!$F$3:$X$1101,19,0),"")</f>
        <v/>
      </c>
      <c r="BV230" s="142" t="str">
        <f>_xlfn.IFNA(VLOOKUP($BC230,Programma!$F$3:$Y$1101,20,0),"")</f>
        <v/>
      </c>
      <c r="BW230" s="28"/>
      <c r="BX230" s="28"/>
      <c r="BY230" s="28"/>
      <c r="BZ230" s="28"/>
      <c r="CA230" s="28"/>
      <c r="CB230" s="28"/>
      <c r="CC230" s="28"/>
      <c r="CD230" s="28"/>
      <c r="CE230" s="28"/>
      <c r="CF230" s="28"/>
      <c r="CG230" s="28"/>
      <c r="CH230" s="28"/>
      <c r="CI230" s="28"/>
      <c r="CJ230" s="28"/>
      <c r="CK230" s="28"/>
      <c r="CL230" s="28"/>
      <c r="CM230" s="28"/>
      <c r="CN230" s="28"/>
      <c r="CO230" s="28"/>
      <c r="CP230" s="28"/>
      <c r="CQ230" s="28"/>
      <c r="CR230" s="28"/>
      <c r="CS230" s="28"/>
      <c r="CT230" s="28"/>
      <c r="CU230" s="28"/>
      <c r="CV230" s="28"/>
      <c r="CW230" s="28"/>
      <c r="CX230" s="28"/>
      <c r="CY230" s="28"/>
      <c r="CZ230" s="28"/>
      <c r="DA230" s="28"/>
      <c r="DB230" s="28"/>
      <c r="DC230" s="28"/>
      <c r="DD230" s="28"/>
      <c r="DE230" s="28"/>
      <c r="DF230" s="28"/>
      <c r="DG230" s="28"/>
      <c r="DH230" s="28"/>
      <c r="DI230" s="28"/>
      <c r="DJ230" s="28"/>
      <c r="DK230" s="28"/>
      <c r="DL230" s="28"/>
      <c r="DM230" s="28"/>
      <c r="DN230" s="28"/>
      <c r="DO230" s="28"/>
      <c r="DP230" s="28"/>
      <c r="DQ230" s="28"/>
      <c r="DR230" s="28"/>
      <c r="DS230" s="28"/>
      <c r="DT230" s="28"/>
      <c r="DU230" s="28"/>
      <c r="DV230" s="28"/>
      <c r="DW230" s="28"/>
      <c r="DX230" s="28"/>
      <c r="DY230" s="28"/>
      <c r="DZ230" s="28"/>
      <c r="EA230" s="28"/>
      <c r="EB230" s="28"/>
      <c r="EC230" s="28"/>
      <c r="ED230" s="28"/>
      <c r="EE230" s="28"/>
      <c r="EF230" s="28"/>
      <c r="EG230" s="28"/>
      <c r="EH230" s="28"/>
      <c r="EI230" s="28"/>
      <c r="EJ230" s="28"/>
      <c r="EK230" s="28"/>
      <c r="EL230" s="28"/>
      <c r="EM230" s="28"/>
      <c r="EN230" s="28"/>
      <c r="EO230" s="28"/>
      <c r="EP230" s="28"/>
      <c r="EQ230" s="28"/>
      <c r="ER230" s="28"/>
      <c r="ES230" s="28"/>
      <c r="ET230" s="28"/>
      <c r="EU230" s="28"/>
      <c r="EV230" s="28"/>
      <c r="EW230" s="28"/>
      <c r="EX230" s="28"/>
      <c r="EY230" s="28"/>
      <c r="EZ230" s="28"/>
      <c r="FA230" s="28"/>
      <c r="FB230" s="28"/>
      <c r="FC230" s="28"/>
      <c r="FD230" s="28"/>
      <c r="FE230" s="28"/>
      <c r="FF230" s="28"/>
      <c r="FG230" s="28"/>
      <c r="FH230" s="28"/>
      <c r="FI230" s="28"/>
      <c r="FJ230" s="28"/>
      <c r="FK230" s="28"/>
      <c r="FL230" s="28"/>
      <c r="FM230" s="28"/>
      <c r="FN230" s="28"/>
      <c r="FO230" s="28"/>
      <c r="FP230" s="28"/>
      <c r="FQ230" s="28"/>
      <c r="FR230" s="28"/>
      <c r="FS230" s="28"/>
      <c r="FT230" s="28"/>
      <c r="FU230" s="28"/>
      <c r="FV230" s="28"/>
      <c r="FW230" s="28"/>
      <c r="FX230" s="28"/>
      <c r="FY230" s="28"/>
      <c r="FZ230" s="28"/>
      <c r="GA230" s="28"/>
      <c r="GB230" s="28"/>
      <c r="GC230" s="28"/>
      <c r="GD230" s="28"/>
      <c r="GE230" s="28"/>
      <c r="GF230" s="28"/>
      <c r="GG230" s="28"/>
      <c r="GH230" s="28"/>
      <c r="GI230" s="28"/>
      <c r="GJ230" s="28"/>
      <c r="GK230" s="28"/>
      <c r="GL230" s="28"/>
      <c r="GM230" s="28"/>
      <c r="GN230" s="28"/>
      <c r="GO230" s="28"/>
      <c r="GP230" s="28"/>
      <c r="GQ230" s="28"/>
      <c r="GR230" s="28"/>
      <c r="GS230" s="28"/>
      <c r="GT230" s="28"/>
      <c r="GU230" s="28"/>
      <c r="GV230" s="28"/>
      <c r="GW230" s="28"/>
      <c r="GX230" s="28"/>
      <c r="GY230" s="28"/>
      <c r="GZ230" s="28"/>
      <c r="HA230" s="28"/>
      <c r="HB230" s="28"/>
      <c r="HC230" s="28"/>
      <c r="HD230" s="28"/>
      <c r="HE230" s="28"/>
      <c r="HF230" s="28"/>
      <c r="HG230" s="28"/>
      <c r="HH230" s="28"/>
      <c r="HI230" s="28"/>
      <c r="HJ230" s="28"/>
      <c r="HK230" s="28"/>
    </row>
    <row r="231" spans="1:219" ht="15" customHeight="1">
      <c r="A231" s="49">
        <v>2</v>
      </c>
      <c r="B231" s="132" t="str">
        <f>VLOOKUP(Ruimtestaat[[#This Row],[Code]],Locaties[[Code]:[Locatie]],2,FALSE)</f>
        <v>Pauluskerk</v>
      </c>
      <c r="C231" s="132" t="str">
        <f>VLOOKUP(Ruimtestaat[[#This Row],[Code]],Locaties[[#All],[Code]:[Adres]],4,FALSE)</f>
        <v>Westdorplaan 122</v>
      </c>
      <c r="D231" s="132" t="str">
        <f>VLOOKUP(Ruimtestaat[[#This Row],[Code]],Locaties[[#All],[Code]:[Postcode]],5,FALSE)</f>
        <v>8101 BJ</v>
      </c>
      <c r="E231" s="132" t="str">
        <f>VLOOKUP(Ruimtestaat[[#This Row],[Code]],Locaties[#All],6,FALSE)</f>
        <v>Raalte</v>
      </c>
      <c r="F231" s="100"/>
      <c r="G231" s="100" t="s">
        <v>1675</v>
      </c>
      <c r="H231" s="49" t="s">
        <v>1726</v>
      </c>
      <c r="I231" s="140" t="s">
        <v>1761</v>
      </c>
      <c r="J231" s="49">
        <v>20</v>
      </c>
      <c r="K231" s="140" t="str">
        <f>VLOOKUP(Ruimtestaat[[#This Row],[Ruimte code]],Ruimtegroepen[[#All],[Code]:[Ruimte omschrijving]],2,FALSE)</f>
        <v>Niet in Onderhoud</v>
      </c>
      <c r="L231" s="100"/>
      <c r="M231" s="345"/>
      <c r="N231" s="133"/>
      <c r="O231" s="139">
        <v>25.16</v>
      </c>
      <c r="P231" s="134">
        <f>VLOOKUP(Ruimtestaat[[#This Row],[Ruimte code]],Ruimtegroepen[],4,FALSE)</f>
        <v>0</v>
      </c>
      <c r="Q231" s="100"/>
      <c r="R231" s="100"/>
      <c r="S231" s="100">
        <f>IF(Q231&gt;0,IF(RIGHT(Ruimtestaat[[#This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31" s="100">
        <f>IF(S231&gt;0,VLOOKUP($J231,Ruimtegroepen[],3,FALSE)*VLOOKUP($L231,Vloersoorten[],3,FALSE)*VLOOKUP($R231,Frequenties[],3,FALSE)*VLOOKUP($A231,Locaties[],3,FALSE),0)</f>
        <v>0</v>
      </c>
      <c r="U231" s="100">
        <f>Ruimtestaat[[#This Row],[Uitvoeringen werkdagen]]*Ruimtestaat[[#This Row],[Oppervlak (netto)]]</f>
        <v>0</v>
      </c>
      <c r="V231" s="135">
        <f>IF(T231&gt;0,Ruimtestaat[[#This Row],[Prest. (m2 /jaar) werkdagen]]/Ruimtestaat[[#This Row],[Norm (m2/uur) werkdagen]],0)</f>
        <v>0</v>
      </c>
      <c r="W231" s="136">
        <f>Ruimtestaat[[#This Row],[uren / jaar werkdagen]]*Tariefsopbouw!$E$35</f>
        <v>0</v>
      </c>
      <c r="X231" s="100"/>
      <c r="Y231" s="100">
        <f>IF(Ruimtestaat[[#This Row],[Frequentie weekend]]&gt;0,VALUE(LEFT(X231,1))*Q231,0)</f>
        <v>0</v>
      </c>
      <c r="Z231" s="99">
        <f>IF($Y231&gt;0,VLOOKUP($J231,Ruimtegroepen[],3,FALSE)*VLOOKUP($L231,Vloersoorten[],3,FALSE)*VLOOKUP($X231,Frequenties[],3,FALSE)*VLOOKUP(Ruimtestaat[[#This Row],[Code]],Locaties[],3,FALSE),0)</f>
        <v>0</v>
      </c>
      <c r="AA231" s="99">
        <f>Ruimtestaat[[#This Row],[Uitvoeringen weekend]]*Ruimtestaat[[#This Row],[Oppervlak (netto)]]</f>
        <v>0</v>
      </c>
      <c r="AB231" s="99">
        <f>IF(Z231&gt;0,Ruimtestaat[[#This Row],[Prest. (m2 /jaar) weekend]]/Ruimtestaat[[#This Row],[Norm (m2/uur) weekend]],0)</f>
        <v>0</v>
      </c>
      <c r="AC231" s="136">
        <f>Ruimtestaat[[#This Row],[uren / jaar weekend]]*Tariefsopbouw!$D$40</f>
        <v>0</v>
      </c>
      <c r="AD231" s="135">
        <f>Ruimtestaat[[#This Row],[Prest. (m2 /jaar) weekend]]+Ruimtestaat[[#This Row],[Prest. (m2 /jaar) werkdagen]]</f>
        <v>0</v>
      </c>
      <c r="AE231" s="135">
        <f>Ruimtestaat[[#This Row],[uren / jaar weekend]]+Ruimtestaat[[#This Row],[uren / jaar werkdagen]]</f>
        <v>0</v>
      </c>
      <c r="AF231" s="130">
        <f>Ruimtestaat[[#This Row],[kosten / jaar weekend]]+Ruimtestaat[[#This Row],[kosten / jaar werkdagen]]</f>
        <v>0</v>
      </c>
      <c r="AG231" s="130"/>
      <c r="AH231" s="137" t="str">
        <f>IF(Ruimtestaat[[#This Row],[Frequentie werkdagen]]="","",_xlfn.CONCAT(Ruimtestaat[[#This Row],[Ruimte code]],"-",Ruimtestaat[[#This Row],[Frequentie werkdagen]]," ",Ruimtestaat[[#This Row],[Vloer code]]))</f>
        <v/>
      </c>
      <c r="AI231" s="142" t="str">
        <f>_xlfn.IFNA(VLOOKUP($AH231,Programma!$F$3:$G$1101,2,0),"")</f>
        <v/>
      </c>
      <c r="AJ231" s="142" t="str">
        <f>_xlfn.IFNA(VLOOKUP($AH231,Programma!$F$3:$H$1101,3,0),"")</f>
        <v/>
      </c>
      <c r="AK231" s="142" t="str">
        <f>_xlfn.IFNA(VLOOKUP($AH231,Programma!$F$3:$I$1101,4,0),"")</f>
        <v/>
      </c>
      <c r="AL231" s="142" t="str">
        <f>_xlfn.IFNA(VLOOKUP($AH231,Programma!$F$3:$J$1101,5,0),"")</f>
        <v/>
      </c>
      <c r="AM231" s="142" t="str">
        <f>_xlfn.IFNA(VLOOKUP($AH231,Programma!$F$3:$K$1101,6,0),"")</f>
        <v/>
      </c>
      <c r="AN231" s="142" t="str">
        <f>_xlfn.IFNA(VLOOKUP($AH231,Programma!$F$3:$L$1101,7,0),"")</f>
        <v/>
      </c>
      <c r="AO231" s="142" t="str">
        <f>_xlfn.IFNA(VLOOKUP($AH231,Programma!$F$3:$M$1101,8,0),"")</f>
        <v/>
      </c>
      <c r="AP231" s="142" t="str">
        <f>_xlfn.IFNA(VLOOKUP($AH231,Programma!$F$3:$N$1101,9,0),"")</f>
        <v/>
      </c>
      <c r="AQ231" s="142" t="str">
        <f>_xlfn.IFNA(VLOOKUP($AH231,Programma!$F$3:$O$1101,10,0),"")</f>
        <v/>
      </c>
      <c r="AR231" s="142" t="str">
        <f>_xlfn.IFNA(VLOOKUP($AH231,Programma!$F$3:$P$1101,11,0),"")</f>
        <v/>
      </c>
      <c r="AS231" s="142" t="str">
        <f>_xlfn.IFNA(VLOOKUP($AH231,Programma!$F$3:$Q$1101,12,0),"")</f>
        <v/>
      </c>
      <c r="AT231" s="142" t="str">
        <f>_xlfn.IFNA(VLOOKUP($AH231,Programma!$F$3:$R$1101,13,0),"")</f>
        <v/>
      </c>
      <c r="AU231" s="142" t="str">
        <f>_xlfn.IFNA(VLOOKUP($AH231,Programma!$F$3:$S$1101,14,0),"")</f>
        <v/>
      </c>
      <c r="AV231" s="142" t="str">
        <f>_xlfn.IFNA(VLOOKUP($AH231,Programma!$F$3:$T$1101,15,0),"")</f>
        <v/>
      </c>
      <c r="AW231" s="142" t="str">
        <f>_xlfn.IFNA(VLOOKUP($AH231,Programma!$F$3:$U$1101,16,0),"")</f>
        <v/>
      </c>
      <c r="AX231" s="142" t="str">
        <f>_xlfn.IFNA(VLOOKUP($AH231,Programma!$F$3:$V$1101,17,0),"")</f>
        <v/>
      </c>
      <c r="AY231" s="142" t="str">
        <f>_xlfn.IFNA(VLOOKUP($AH231,Programma!$F$3:$W$1101,18,0),"")</f>
        <v/>
      </c>
      <c r="AZ231" s="142" t="str">
        <f>_xlfn.IFNA(VLOOKUP($AH231,Programma!$F$3:$X$1101,19,0),"")</f>
        <v/>
      </c>
      <c r="BA231" s="142" t="str">
        <f>_xlfn.IFNA(VLOOKUP($AH231,Programma!$F$3:$Y$1101,20,0),"")</f>
        <v/>
      </c>
      <c r="BB231" s="138"/>
      <c r="BC231" s="137" t="str">
        <f>IF(Ruimtestaat[[#This Row],[Frequentie weekend]]="","",_xlfn.CONCAT(Ruimtestaat[[#This Row],[Ruimte code]],"-",Ruimtestaat[[#This Row],[Frequentie weekend]]," ",Ruimtestaat[[#This Row],[Vloer code]]))</f>
        <v/>
      </c>
      <c r="BD231" s="142" t="str">
        <f>_xlfn.IFNA(VLOOKUP($BC231,Programma!$F$3:$G$1101,2,0),"")</f>
        <v/>
      </c>
      <c r="BE231" s="142" t="str">
        <f>_xlfn.IFNA(VLOOKUP($BC231,Programma!$F$3:$H$1101,3,0),"")</f>
        <v/>
      </c>
      <c r="BF231" s="142" t="str">
        <f>_xlfn.IFNA(VLOOKUP($BC231,Programma!$F$3:$I$1101,4,0),"")</f>
        <v/>
      </c>
      <c r="BG231" s="142" t="str">
        <f>_xlfn.IFNA(VLOOKUP($BC231,Programma!$F$3:$J$1101,5,0),"")</f>
        <v/>
      </c>
      <c r="BH231" s="142" t="str">
        <f>_xlfn.IFNA(VLOOKUP($BC231,Programma!$F$3:$K$1101,6,0),"")</f>
        <v/>
      </c>
      <c r="BI231" s="142" t="str">
        <f>_xlfn.IFNA(VLOOKUP($BC231,Programma!$F$3:$L$1101,7,0),"")</f>
        <v/>
      </c>
      <c r="BJ231" s="142" t="str">
        <f>_xlfn.IFNA(VLOOKUP($BC231,Programma!$F$3:$M$1101,8,0),"")</f>
        <v/>
      </c>
      <c r="BK231" s="142" t="str">
        <f>_xlfn.IFNA(VLOOKUP($BC231,Programma!$F$3:$N$1101,9,0),"")</f>
        <v/>
      </c>
      <c r="BL231" s="142" t="str">
        <f>_xlfn.IFNA(VLOOKUP($BC231,Programma!$F$3:$O$1101,10,0),"")</f>
        <v/>
      </c>
      <c r="BM231" s="142" t="str">
        <f>_xlfn.IFNA(VLOOKUP($BC231,Programma!$F$3:$P$1101,11,0),"")</f>
        <v/>
      </c>
      <c r="BN231" s="142" t="str">
        <f>_xlfn.IFNA(VLOOKUP($BC231,Programma!$F$3:$Q$1101,12,0),"")</f>
        <v/>
      </c>
      <c r="BO231" s="142" t="str">
        <f>_xlfn.IFNA(VLOOKUP($BC231,Programma!$F$3:$R$1101,13,0),"")</f>
        <v/>
      </c>
      <c r="BP231" s="142" t="str">
        <f>_xlfn.IFNA(VLOOKUP($BC231,Programma!$F$3:$S$1101,14,0),"")</f>
        <v/>
      </c>
      <c r="BQ231" s="142" t="str">
        <f>_xlfn.IFNA(VLOOKUP($BC231,Programma!$F$3:$T$1101,15,0),"")</f>
        <v/>
      </c>
      <c r="BR231" s="142" t="str">
        <f>_xlfn.IFNA(VLOOKUP($BC231,Programma!$F$3:$U$1101,16,0),"")</f>
        <v/>
      </c>
      <c r="BS231" s="142" t="str">
        <f>_xlfn.IFNA(VLOOKUP($BC231,Programma!$F$3:$V$1101,17,0),"")</f>
        <v/>
      </c>
      <c r="BT231" s="142" t="str">
        <f>_xlfn.IFNA(VLOOKUP($BC231,Programma!$F$3:$W$1101,18,0),"")</f>
        <v/>
      </c>
      <c r="BU231" s="142" t="str">
        <f>_xlfn.IFNA(VLOOKUP($BC231,Programma!$F$3:$X$1101,19,0),"")</f>
        <v/>
      </c>
      <c r="BV231" s="142" t="str">
        <f>_xlfn.IFNA(VLOOKUP($BC231,Programma!$F$3:$Y$1101,20,0),"")</f>
        <v/>
      </c>
      <c r="BW231" s="28"/>
      <c r="BX231" s="28"/>
      <c r="BY231" s="28"/>
      <c r="BZ231" s="28"/>
      <c r="CA231" s="28"/>
      <c r="CB231" s="28"/>
      <c r="CC231" s="28"/>
      <c r="CD231" s="28"/>
      <c r="CE231" s="28"/>
      <c r="CF231" s="28"/>
      <c r="CG231" s="28"/>
      <c r="CH231" s="28"/>
      <c r="CI231" s="28"/>
      <c r="CJ231" s="28"/>
      <c r="CK231" s="28"/>
      <c r="CL231" s="28"/>
      <c r="CM231" s="28"/>
      <c r="CN231" s="28"/>
      <c r="CO231" s="28"/>
      <c r="CP231" s="28"/>
      <c r="CQ231" s="28"/>
      <c r="CR231" s="28"/>
      <c r="CS231" s="28"/>
      <c r="CT231" s="28"/>
      <c r="CU231" s="28"/>
      <c r="CV231" s="28"/>
      <c r="CW231" s="28"/>
      <c r="CX231" s="28"/>
      <c r="CY231" s="28"/>
      <c r="CZ231" s="28"/>
      <c r="DA231" s="28"/>
      <c r="DB231" s="28"/>
      <c r="DC231" s="28"/>
      <c r="DD231" s="28"/>
      <c r="DE231" s="28"/>
      <c r="DF231" s="28"/>
      <c r="DG231" s="28"/>
      <c r="DH231" s="28"/>
      <c r="DI231" s="28"/>
      <c r="DJ231" s="28"/>
      <c r="DK231" s="28"/>
      <c r="DL231" s="28"/>
      <c r="DM231" s="28"/>
      <c r="DN231" s="28"/>
      <c r="DO231" s="28"/>
      <c r="DP231" s="28"/>
      <c r="DQ231" s="28"/>
      <c r="DR231" s="28"/>
      <c r="DS231" s="28"/>
      <c r="DT231" s="28"/>
      <c r="DU231" s="28"/>
      <c r="DV231" s="28"/>
      <c r="DW231" s="28"/>
      <c r="DX231" s="28"/>
      <c r="DY231" s="28"/>
      <c r="DZ231" s="28"/>
      <c r="EA231" s="28"/>
      <c r="EB231" s="28"/>
      <c r="EC231" s="28"/>
      <c r="ED231" s="28"/>
      <c r="EE231" s="28"/>
      <c r="EF231" s="28"/>
      <c r="EG231" s="28"/>
      <c r="EH231" s="28"/>
      <c r="EI231" s="28"/>
      <c r="EJ231" s="28"/>
      <c r="EK231" s="28"/>
      <c r="EL231" s="28"/>
      <c r="EM231" s="28"/>
      <c r="EN231" s="28"/>
      <c r="EO231" s="28"/>
      <c r="EP231" s="28"/>
      <c r="EQ231" s="28"/>
      <c r="ER231" s="28"/>
      <c r="ES231" s="28"/>
      <c r="ET231" s="28"/>
      <c r="EU231" s="28"/>
      <c r="EV231" s="28"/>
      <c r="EW231" s="28"/>
      <c r="EX231" s="28"/>
      <c r="EY231" s="28"/>
      <c r="EZ231" s="28"/>
      <c r="FA231" s="28"/>
      <c r="FB231" s="28"/>
      <c r="FC231" s="28"/>
      <c r="FD231" s="28"/>
      <c r="FE231" s="28"/>
      <c r="FF231" s="28"/>
      <c r="FG231" s="28"/>
      <c r="FH231" s="28"/>
      <c r="FI231" s="28"/>
      <c r="FJ231" s="28"/>
      <c r="FK231" s="28"/>
      <c r="FL231" s="28"/>
      <c r="FM231" s="28"/>
      <c r="FN231" s="28"/>
      <c r="FO231" s="28"/>
      <c r="FP231" s="28"/>
      <c r="FQ231" s="28"/>
      <c r="FR231" s="28"/>
      <c r="FS231" s="28"/>
      <c r="FT231" s="28"/>
      <c r="FU231" s="28"/>
      <c r="FV231" s="28"/>
      <c r="FW231" s="28"/>
      <c r="FX231" s="28"/>
      <c r="FY231" s="28"/>
      <c r="FZ231" s="28"/>
      <c r="GA231" s="28"/>
      <c r="GB231" s="28"/>
      <c r="GC231" s="28"/>
      <c r="GD231" s="28"/>
      <c r="GE231" s="28"/>
      <c r="GF231" s="28"/>
      <c r="GG231" s="28"/>
      <c r="GH231" s="28"/>
      <c r="GI231" s="28"/>
      <c r="GJ231" s="28"/>
      <c r="GK231" s="28"/>
      <c r="GL231" s="28"/>
      <c r="GM231" s="28"/>
      <c r="GN231" s="28"/>
      <c r="GO231" s="28"/>
      <c r="GP231" s="28"/>
      <c r="GQ231" s="28"/>
      <c r="GR231" s="28"/>
      <c r="GS231" s="28"/>
      <c r="GT231" s="28"/>
      <c r="GU231" s="28"/>
      <c r="GV231" s="28"/>
      <c r="GW231" s="28"/>
      <c r="GX231" s="28"/>
      <c r="GY231" s="28"/>
      <c r="GZ231" s="28"/>
      <c r="HA231" s="28"/>
      <c r="HB231" s="28"/>
      <c r="HC231" s="28"/>
      <c r="HD231" s="28"/>
      <c r="HE231" s="28"/>
      <c r="HF231" s="28"/>
      <c r="HG231" s="28"/>
      <c r="HH231" s="28"/>
      <c r="HI231" s="28"/>
      <c r="HJ231" s="28"/>
      <c r="HK231" s="28"/>
    </row>
    <row r="232" spans="1:219" ht="15" customHeight="1">
      <c r="A232" s="49">
        <v>2</v>
      </c>
      <c r="B232" s="132" t="str">
        <f>VLOOKUP(Ruimtestaat[[#This Row],[Code]],Locaties[[Code]:[Locatie]],2,FALSE)</f>
        <v>Pauluskerk</v>
      </c>
      <c r="C232" s="132" t="str">
        <f>VLOOKUP(Ruimtestaat[[#This Row],[Code]],Locaties[[#All],[Code]:[Adres]],4,FALSE)</f>
        <v>Westdorplaan 122</v>
      </c>
      <c r="D232" s="132" t="str">
        <f>VLOOKUP(Ruimtestaat[[#This Row],[Code]],Locaties[[#All],[Code]:[Postcode]],5,FALSE)</f>
        <v>8101 BJ</v>
      </c>
      <c r="E232" s="132" t="str">
        <f>VLOOKUP(Ruimtestaat[[#This Row],[Code]],Locaties[#All],6,FALSE)</f>
        <v>Raalte</v>
      </c>
      <c r="F232" s="100"/>
      <c r="G232" s="100" t="s">
        <v>1675</v>
      </c>
      <c r="H232" s="49" t="s">
        <v>1727</v>
      </c>
      <c r="I232" s="140" t="s">
        <v>1759</v>
      </c>
      <c r="J232" s="49">
        <v>20</v>
      </c>
      <c r="K232" s="140" t="str">
        <f>VLOOKUP(Ruimtestaat[[#This Row],[Ruimte code]],Ruimtegroepen[[#All],[Code]:[Ruimte omschrijving]],2,FALSE)</f>
        <v>Niet in Onderhoud</v>
      </c>
      <c r="L232" s="100"/>
      <c r="M232" s="345"/>
      <c r="N232" s="133"/>
      <c r="O232" s="139">
        <v>14.81</v>
      </c>
      <c r="P232" s="134">
        <f>VLOOKUP(Ruimtestaat[[#This Row],[Ruimte code]],Ruimtegroepen[],4,FALSE)</f>
        <v>0</v>
      </c>
      <c r="Q232" s="100"/>
      <c r="R232" s="100"/>
      <c r="S232" s="100">
        <f>IF(Q232&gt;0,IF(RIGHT(Ruimtestaat[[#This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32" s="100">
        <f>IF(S232&gt;0,VLOOKUP($J232,Ruimtegroepen[],3,FALSE)*VLOOKUP($L232,Vloersoorten[],3,FALSE)*VLOOKUP($R232,Frequenties[],3,FALSE)*VLOOKUP($A232,Locaties[],3,FALSE),0)</f>
        <v>0</v>
      </c>
      <c r="U232" s="100">
        <f>Ruimtestaat[[#This Row],[Uitvoeringen werkdagen]]*Ruimtestaat[[#This Row],[Oppervlak (netto)]]</f>
        <v>0</v>
      </c>
      <c r="V232" s="135">
        <f>IF(T232&gt;0,Ruimtestaat[[#This Row],[Prest. (m2 /jaar) werkdagen]]/Ruimtestaat[[#This Row],[Norm (m2/uur) werkdagen]],0)</f>
        <v>0</v>
      </c>
      <c r="W232" s="136">
        <f>Ruimtestaat[[#This Row],[uren / jaar werkdagen]]*Tariefsopbouw!$E$35</f>
        <v>0</v>
      </c>
      <c r="X232" s="100"/>
      <c r="Y232" s="100">
        <f>IF(Ruimtestaat[[#This Row],[Frequentie weekend]]&gt;0,VALUE(LEFT(X232,1))*Q232,0)</f>
        <v>0</v>
      </c>
      <c r="Z232" s="99">
        <f>IF($Y232&gt;0,VLOOKUP($J232,Ruimtegroepen[],3,FALSE)*VLOOKUP($L232,Vloersoorten[],3,FALSE)*VLOOKUP($X232,Frequenties[],3,FALSE)*VLOOKUP(Ruimtestaat[[#This Row],[Code]],Locaties[],3,FALSE),0)</f>
        <v>0</v>
      </c>
      <c r="AA232" s="99">
        <f>Ruimtestaat[[#This Row],[Uitvoeringen weekend]]*Ruimtestaat[[#This Row],[Oppervlak (netto)]]</f>
        <v>0</v>
      </c>
      <c r="AB232" s="99">
        <f>IF(Z232&gt;0,Ruimtestaat[[#This Row],[Prest. (m2 /jaar) weekend]]/Ruimtestaat[[#This Row],[Norm (m2/uur) weekend]],0)</f>
        <v>0</v>
      </c>
      <c r="AC232" s="136">
        <f>Ruimtestaat[[#This Row],[uren / jaar weekend]]*Tariefsopbouw!$D$40</f>
        <v>0</v>
      </c>
      <c r="AD232" s="135">
        <f>Ruimtestaat[[#This Row],[Prest. (m2 /jaar) weekend]]+Ruimtestaat[[#This Row],[Prest. (m2 /jaar) werkdagen]]</f>
        <v>0</v>
      </c>
      <c r="AE232" s="135">
        <f>Ruimtestaat[[#This Row],[uren / jaar weekend]]+Ruimtestaat[[#This Row],[uren / jaar werkdagen]]</f>
        <v>0</v>
      </c>
      <c r="AF232" s="130">
        <f>Ruimtestaat[[#This Row],[kosten / jaar weekend]]+Ruimtestaat[[#This Row],[kosten / jaar werkdagen]]</f>
        <v>0</v>
      </c>
      <c r="AG232" s="130"/>
      <c r="AH232" s="137" t="str">
        <f>IF(Ruimtestaat[[#This Row],[Frequentie werkdagen]]="","",_xlfn.CONCAT(Ruimtestaat[[#This Row],[Ruimte code]],"-",Ruimtestaat[[#This Row],[Frequentie werkdagen]]," ",Ruimtestaat[[#This Row],[Vloer code]]))</f>
        <v/>
      </c>
      <c r="AI232" s="142" t="str">
        <f>_xlfn.IFNA(VLOOKUP($AH232,Programma!$F$3:$G$1101,2,0),"")</f>
        <v/>
      </c>
      <c r="AJ232" s="142" t="str">
        <f>_xlfn.IFNA(VLOOKUP($AH232,Programma!$F$3:$H$1101,3,0),"")</f>
        <v/>
      </c>
      <c r="AK232" s="142" t="str">
        <f>_xlfn.IFNA(VLOOKUP($AH232,Programma!$F$3:$I$1101,4,0),"")</f>
        <v/>
      </c>
      <c r="AL232" s="142" t="str">
        <f>_xlfn.IFNA(VLOOKUP($AH232,Programma!$F$3:$J$1101,5,0),"")</f>
        <v/>
      </c>
      <c r="AM232" s="142" t="str">
        <f>_xlfn.IFNA(VLOOKUP($AH232,Programma!$F$3:$K$1101,6,0),"")</f>
        <v/>
      </c>
      <c r="AN232" s="142" t="str">
        <f>_xlfn.IFNA(VLOOKUP($AH232,Programma!$F$3:$L$1101,7,0),"")</f>
        <v/>
      </c>
      <c r="AO232" s="142" t="str">
        <f>_xlfn.IFNA(VLOOKUP($AH232,Programma!$F$3:$M$1101,8,0),"")</f>
        <v/>
      </c>
      <c r="AP232" s="142" t="str">
        <f>_xlfn.IFNA(VLOOKUP($AH232,Programma!$F$3:$N$1101,9,0),"")</f>
        <v/>
      </c>
      <c r="AQ232" s="142" t="str">
        <f>_xlfn.IFNA(VLOOKUP($AH232,Programma!$F$3:$O$1101,10,0),"")</f>
        <v/>
      </c>
      <c r="AR232" s="142" t="str">
        <f>_xlfn.IFNA(VLOOKUP($AH232,Programma!$F$3:$P$1101,11,0),"")</f>
        <v/>
      </c>
      <c r="AS232" s="142" t="str">
        <f>_xlfn.IFNA(VLOOKUP($AH232,Programma!$F$3:$Q$1101,12,0),"")</f>
        <v/>
      </c>
      <c r="AT232" s="142" t="str">
        <f>_xlfn.IFNA(VLOOKUP($AH232,Programma!$F$3:$R$1101,13,0),"")</f>
        <v/>
      </c>
      <c r="AU232" s="142" t="str">
        <f>_xlfn.IFNA(VLOOKUP($AH232,Programma!$F$3:$S$1101,14,0),"")</f>
        <v/>
      </c>
      <c r="AV232" s="142" t="str">
        <f>_xlfn.IFNA(VLOOKUP($AH232,Programma!$F$3:$T$1101,15,0),"")</f>
        <v/>
      </c>
      <c r="AW232" s="142" t="str">
        <f>_xlfn.IFNA(VLOOKUP($AH232,Programma!$F$3:$U$1101,16,0),"")</f>
        <v/>
      </c>
      <c r="AX232" s="142" t="str">
        <f>_xlfn.IFNA(VLOOKUP($AH232,Programma!$F$3:$V$1101,17,0),"")</f>
        <v/>
      </c>
      <c r="AY232" s="142" t="str">
        <f>_xlfn.IFNA(VLOOKUP($AH232,Programma!$F$3:$W$1101,18,0),"")</f>
        <v/>
      </c>
      <c r="AZ232" s="142" t="str">
        <f>_xlfn.IFNA(VLOOKUP($AH232,Programma!$F$3:$X$1101,19,0),"")</f>
        <v/>
      </c>
      <c r="BA232" s="142" t="str">
        <f>_xlfn.IFNA(VLOOKUP($AH232,Programma!$F$3:$Y$1101,20,0),"")</f>
        <v/>
      </c>
      <c r="BB232" s="138"/>
      <c r="BC232" s="137" t="str">
        <f>IF(Ruimtestaat[[#This Row],[Frequentie weekend]]="","",_xlfn.CONCAT(Ruimtestaat[[#This Row],[Ruimte code]],"-",Ruimtestaat[[#This Row],[Frequentie weekend]]," ",Ruimtestaat[[#This Row],[Vloer code]]))</f>
        <v/>
      </c>
      <c r="BD232" s="142" t="str">
        <f>_xlfn.IFNA(VLOOKUP($BC232,Programma!$F$3:$G$1101,2,0),"")</f>
        <v/>
      </c>
      <c r="BE232" s="142" t="str">
        <f>_xlfn.IFNA(VLOOKUP($BC232,Programma!$F$3:$H$1101,3,0),"")</f>
        <v/>
      </c>
      <c r="BF232" s="142" t="str">
        <f>_xlfn.IFNA(VLOOKUP($BC232,Programma!$F$3:$I$1101,4,0),"")</f>
        <v/>
      </c>
      <c r="BG232" s="142" t="str">
        <f>_xlfn.IFNA(VLOOKUP($BC232,Programma!$F$3:$J$1101,5,0),"")</f>
        <v/>
      </c>
      <c r="BH232" s="142" t="str">
        <f>_xlfn.IFNA(VLOOKUP($BC232,Programma!$F$3:$K$1101,6,0),"")</f>
        <v/>
      </c>
      <c r="BI232" s="142" t="str">
        <f>_xlfn.IFNA(VLOOKUP($BC232,Programma!$F$3:$L$1101,7,0),"")</f>
        <v/>
      </c>
      <c r="BJ232" s="142" t="str">
        <f>_xlfn.IFNA(VLOOKUP($BC232,Programma!$F$3:$M$1101,8,0),"")</f>
        <v/>
      </c>
      <c r="BK232" s="142" t="str">
        <f>_xlfn.IFNA(VLOOKUP($BC232,Programma!$F$3:$N$1101,9,0),"")</f>
        <v/>
      </c>
      <c r="BL232" s="142" t="str">
        <f>_xlfn.IFNA(VLOOKUP($BC232,Programma!$F$3:$O$1101,10,0),"")</f>
        <v/>
      </c>
      <c r="BM232" s="142" t="str">
        <f>_xlfn.IFNA(VLOOKUP($BC232,Programma!$F$3:$P$1101,11,0),"")</f>
        <v/>
      </c>
      <c r="BN232" s="142" t="str">
        <f>_xlfn.IFNA(VLOOKUP($BC232,Programma!$F$3:$Q$1101,12,0),"")</f>
        <v/>
      </c>
      <c r="BO232" s="142" t="str">
        <f>_xlfn.IFNA(VLOOKUP($BC232,Programma!$F$3:$R$1101,13,0),"")</f>
        <v/>
      </c>
      <c r="BP232" s="142" t="str">
        <f>_xlfn.IFNA(VLOOKUP($BC232,Programma!$F$3:$S$1101,14,0),"")</f>
        <v/>
      </c>
      <c r="BQ232" s="142" t="str">
        <f>_xlfn.IFNA(VLOOKUP($BC232,Programma!$F$3:$T$1101,15,0),"")</f>
        <v/>
      </c>
      <c r="BR232" s="142" t="str">
        <f>_xlfn.IFNA(VLOOKUP($BC232,Programma!$F$3:$U$1101,16,0),"")</f>
        <v/>
      </c>
      <c r="BS232" s="142" t="str">
        <f>_xlfn.IFNA(VLOOKUP($BC232,Programma!$F$3:$V$1101,17,0),"")</f>
        <v/>
      </c>
      <c r="BT232" s="142" t="str">
        <f>_xlfn.IFNA(VLOOKUP($BC232,Programma!$F$3:$W$1101,18,0),"")</f>
        <v/>
      </c>
      <c r="BU232" s="142" t="str">
        <f>_xlfn.IFNA(VLOOKUP($BC232,Programma!$F$3:$X$1101,19,0),"")</f>
        <v/>
      </c>
      <c r="BV232" s="142" t="str">
        <f>_xlfn.IFNA(VLOOKUP($BC232,Programma!$F$3:$Y$1101,20,0),"")</f>
        <v/>
      </c>
      <c r="BW232" s="28"/>
      <c r="BX232" s="28"/>
      <c r="BY232" s="28"/>
      <c r="BZ232" s="28"/>
      <c r="CA232" s="28"/>
      <c r="CB232" s="28"/>
      <c r="CC232" s="28"/>
      <c r="CD232" s="28"/>
      <c r="CE232" s="28"/>
      <c r="CF232" s="28"/>
      <c r="CG232" s="28"/>
      <c r="CH232" s="28"/>
      <c r="CI232" s="28"/>
      <c r="CJ232" s="28"/>
      <c r="CK232" s="28"/>
      <c r="CL232" s="28"/>
      <c r="CM232" s="28"/>
      <c r="CN232" s="28"/>
      <c r="CO232" s="28"/>
      <c r="CP232" s="28"/>
      <c r="CQ232" s="28"/>
      <c r="CR232" s="28"/>
      <c r="CS232" s="28"/>
      <c r="CT232" s="28"/>
      <c r="CU232" s="28"/>
      <c r="CV232" s="28"/>
      <c r="CW232" s="28"/>
      <c r="CX232" s="28"/>
      <c r="CY232" s="28"/>
      <c r="CZ232" s="28"/>
      <c r="DA232" s="28"/>
      <c r="DB232" s="28"/>
      <c r="DC232" s="28"/>
      <c r="DD232" s="28"/>
      <c r="DE232" s="28"/>
      <c r="DF232" s="28"/>
      <c r="DG232" s="28"/>
      <c r="DH232" s="28"/>
      <c r="DI232" s="28"/>
      <c r="DJ232" s="28"/>
      <c r="DK232" s="28"/>
      <c r="DL232" s="28"/>
      <c r="DM232" s="28"/>
      <c r="DN232" s="28"/>
      <c r="DO232" s="28"/>
      <c r="DP232" s="28"/>
      <c r="DQ232" s="28"/>
      <c r="DR232" s="28"/>
      <c r="DS232" s="28"/>
      <c r="DT232" s="28"/>
      <c r="DU232" s="28"/>
      <c r="DV232" s="28"/>
      <c r="DW232" s="28"/>
      <c r="DX232" s="28"/>
      <c r="DY232" s="28"/>
      <c r="DZ232" s="28"/>
      <c r="EA232" s="28"/>
      <c r="EB232" s="28"/>
      <c r="EC232" s="28"/>
      <c r="ED232" s="28"/>
      <c r="EE232" s="28"/>
      <c r="EF232" s="28"/>
      <c r="EG232" s="28"/>
      <c r="EH232" s="28"/>
      <c r="EI232" s="28"/>
      <c r="EJ232" s="28"/>
      <c r="EK232" s="28"/>
      <c r="EL232" s="28"/>
      <c r="EM232" s="28"/>
      <c r="EN232" s="28"/>
      <c r="EO232" s="28"/>
      <c r="EP232" s="28"/>
      <c r="EQ232" s="28"/>
      <c r="ER232" s="28"/>
      <c r="ES232" s="28"/>
      <c r="ET232" s="28"/>
      <c r="EU232" s="28"/>
      <c r="EV232" s="28"/>
      <c r="EW232" s="28"/>
      <c r="EX232" s="28"/>
      <c r="EY232" s="28"/>
      <c r="EZ232" s="28"/>
      <c r="FA232" s="28"/>
      <c r="FB232" s="28"/>
      <c r="FC232" s="28"/>
      <c r="FD232" s="28"/>
      <c r="FE232" s="28"/>
      <c r="FF232" s="28"/>
      <c r="FG232" s="28"/>
      <c r="FH232" s="28"/>
      <c r="FI232" s="28"/>
      <c r="FJ232" s="28"/>
      <c r="FK232" s="28"/>
      <c r="FL232" s="28"/>
      <c r="FM232" s="28"/>
      <c r="FN232" s="28"/>
      <c r="FO232" s="28"/>
      <c r="FP232" s="28"/>
      <c r="FQ232" s="28"/>
      <c r="FR232" s="28"/>
      <c r="FS232" s="28"/>
      <c r="FT232" s="28"/>
      <c r="FU232" s="28"/>
      <c r="FV232" s="28"/>
      <c r="FW232" s="28"/>
      <c r="FX232" s="28"/>
      <c r="FY232" s="28"/>
      <c r="FZ232" s="28"/>
      <c r="GA232" s="28"/>
      <c r="GB232" s="28"/>
      <c r="GC232" s="28"/>
      <c r="GD232" s="28"/>
      <c r="GE232" s="28"/>
      <c r="GF232" s="28"/>
      <c r="GG232" s="28"/>
      <c r="GH232" s="28"/>
      <c r="GI232" s="28"/>
      <c r="GJ232" s="28"/>
      <c r="GK232" s="28"/>
      <c r="GL232" s="28"/>
      <c r="GM232" s="28"/>
      <c r="GN232" s="28"/>
      <c r="GO232" s="28"/>
      <c r="GP232" s="28"/>
      <c r="GQ232" s="28"/>
      <c r="GR232" s="28"/>
      <c r="GS232" s="28"/>
      <c r="GT232" s="28"/>
      <c r="GU232" s="28"/>
      <c r="GV232" s="28"/>
      <c r="GW232" s="28"/>
      <c r="GX232" s="28"/>
      <c r="GY232" s="28"/>
      <c r="GZ232" s="28"/>
      <c r="HA232" s="28"/>
      <c r="HB232" s="28"/>
      <c r="HC232" s="28"/>
      <c r="HD232" s="28"/>
      <c r="HE232" s="28"/>
      <c r="HF232" s="28"/>
      <c r="HG232" s="28"/>
      <c r="HH232" s="28"/>
      <c r="HI232" s="28"/>
      <c r="HJ232" s="28"/>
      <c r="HK232" s="28"/>
    </row>
    <row r="233" spans="1:219" ht="15" customHeight="1">
      <c r="A233" s="49">
        <v>2</v>
      </c>
      <c r="B233" s="132" t="str">
        <f>VLOOKUP(Ruimtestaat[[#This Row],[Code]],Locaties[[Code]:[Locatie]],2,FALSE)</f>
        <v>Pauluskerk</v>
      </c>
      <c r="C233" s="132" t="str">
        <f>VLOOKUP(Ruimtestaat[[#This Row],[Code]],Locaties[[#All],[Code]:[Adres]],4,FALSE)</f>
        <v>Westdorplaan 122</v>
      </c>
      <c r="D233" s="132" t="str">
        <f>VLOOKUP(Ruimtestaat[[#This Row],[Code]],Locaties[[#All],[Code]:[Postcode]],5,FALSE)</f>
        <v>8101 BJ</v>
      </c>
      <c r="E233" s="132" t="str">
        <f>VLOOKUP(Ruimtestaat[[#This Row],[Code]],Locaties[#All],6,FALSE)</f>
        <v>Raalte</v>
      </c>
      <c r="F233" s="100"/>
      <c r="G233" s="100" t="s">
        <v>1675</v>
      </c>
      <c r="H233" s="49" t="s">
        <v>1728</v>
      </c>
      <c r="I233" s="140" t="s">
        <v>1743</v>
      </c>
      <c r="J233" s="49">
        <v>20</v>
      </c>
      <c r="K233" s="140" t="str">
        <f>VLOOKUP(Ruimtestaat[[#This Row],[Ruimte code]],Ruimtegroepen[[#All],[Code]:[Ruimte omschrijving]],2,FALSE)</f>
        <v>Niet in Onderhoud</v>
      </c>
      <c r="L233" s="100" t="s">
        <v>101</v>
      </c>
      <c r="M233" s="345" t="s">
        <v>1667</v>
      </c>
      <c r="N233" s="133"/>
      <c r="O233" s="139">
        <v>0.3</v>
      </c>
      <c r="Q233" s="100"/>
      <c r="R233" s="100"/>
      <c r="S233" s="100">
        <f>IF(Q233&gt;0,IF(RIGHT(Ruimtestaat[[#This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33" s="100">
        <f>IF(S233&gt;0,VLOOKUP($J233,Ruimtegroepen[],3,FALSE)*VLOOKUP($L233,Vloersoorten[],3,FALSE)*VLOOKUP($R233,Frequenties[],3,FALSE)*VLOOKUP($A233,Locaties[],3,FALSE),0)</f>
        <v>0</v>
      </c>
      <c r="U233" s="100">
        <f>Ruimtestaat[[#This Row],[Uitvoeringen werkdagen]]*Ruimtestaat[[#This Row],[Oppervlak (netto)]]</f>
        <v>0</v>
      </c>
      <c r="V233" s="135">
        <f>IF(T233&gt;0,Ruimtestaat[[#This Row],[Prest. (m2 /jaar) werkdagen]]/Ruimtestaat[[#This Row],[Norm (m2/uur) werkdagen]],0)</f>
        <v>0</v>
      </c>
      <c r="W233" s="136">
        <f>Ruimtestaat[[#This Row],[uren / jaar werkdagen]]*Tariefsopbouw!$E$35</f>
        <v>0</v>
      </c>
      <c r="X233" s="100"/>
      <c r="Y233" s="100">
        <f>IF(Ruimtestaat[[#This Row],[Frequentie weekend]]&gt;0,VALUE(LEFT(X233,1))*Q233,0)</f>
        <v>0</v>
      </c>
      <c r="Z233" s="99">
        <f>IF($Y233&gt;0,VLOOKUP($J233,Ruimtegroepen[],3,FALSE)*VLOOKUP($L233,Vloersoorten[],3,FALSE)*VLOOKUP($X233,Frequenties[],3,FALSE)*VLOOKUP(Ruimtestaat[[#This Row],[Code]],Locaties[],3,FALSE),0)</f>
        <v>0</v>
      </c>
      <c r="AA233" s="99">
        <f>Ruimtestaat[[#This Row],[Uitvoeringen weekend]]*Ruimtestaat[[#This Row],[Oppervlak (netto)]]</f>
        <v>0</v>
      </c>
      <c r="AB233" s="99">
        <f>IF(Z233&gt;0,Ruimtestaat[[#This Row],[Prest. (m2 /jaar) weekend]]/Ruimtestaat[[#This Row],[Norm (m2/uur) weekend]],0)</f>
        <v>0</v>
      </c>
      <c r="AC233" s="136">
        <f>Ruimtestaat[[#This Row],[uren / jaar weekend]]*Tariefsopbouw!$D$40</f>
        <v>0</v>
      </c>
      <c r="AD233" s="135">
        <f>Ruimtestaat[[#This Row],[Prest. (m2 /jaar) weekend]]+Ruimtestaat[[#This Row],[Prest. (m2 /jaar) werkdagen]]</f>
        <v>0</v>
      </c>
      <c r="AE233" s="135">
        <f>Ruimtestaat[[#This Row],[uren / jaar weekend]]+Ruimtestaat[[#This Row],[uren / jaar werkdagen]]</f>
        <v>0</v>
      </c>
      <c r="AF233" s="130">
        <f>Ruimtestaat[[#This Row],[kosten / jaar weekend]]+Ruimtestaat[[#This Row],[kosten / jaar werkdagen]]</f>
        <v>0</v>
      </c>
      <c r="AG233" s="130"/>
      <c r="AH233" s="137" t="str">
        <f>IF(Ruimtestaat[[#This Row],[Frequentie werkdagen]]="","",_xlfn.CONCAT(Ruimtestaat[[#This Row],[Ruimte code]],"-",Ruimtestaat[[#This Row],[Frequentie werkdagen]]," ",Ruimtestaat[[#This Row],[Vloer code]]))</f>
        <v/>
      </c>
      <c r="AI233" s="142" t="str">
        <f>_xlfn.IFNA(VLOOKUP($AH233,Programma!$F$3:$G$1101,2,0),"")</f>
        <v/>
      </c>
      <c r="AJ233" s="142" t="str">
        <f>_xlfn.IFNA(VLOOKUP($AH233,Programma!$F$3:$H$1101,3,0),"")</f>
        <v/>
      </c>
      <c r="AK233" s="142" t="str">
        <f>_xlfn.IFNA(VLOOKUP($AH233,Programma!$F$3:$I$1101,4,0),"")</f>
        <v/>
      </c>
      <c r="AL233" s="142" t="str">
        <f>_xlfn.IFNA(VLOOKUP($AH233,Programma!$F$3:$J$1101,5,0),"")</f>
        <v/>
      </c>
      <c r="AM233" s="142" t="str">
        <f>_xlfn.IFNA(VLOOKUP($AH233,Programma!$F$3:$K$1101,6,0),"")</f>
        <v/>
      </c>
      <c r="AN233" s="142" t="str">
        <f>_xlfn.IFNA(VLOOKUP($AH233,Programma!$F$3:$L$1101,7,0),"")</f>
        <v/>
      </c>
      <c r="AO233" s="142" t="str">
        <f>_xlfn.IFNA(VLOOKUP($AH233,Programma!$F$3:$M$1101,8,0),"")</f>
        <v/>
      </c>
      <c r="AP233" s="142" t="str">
        <f>_xlfn.IFNA(VLOOKUP($AH233,Programma!$F$3:$N$1101,9,0),"")</f>
        <v/>
      </c>
      <c r="AQ233" s="142" t="str">
        <f>_xlfn.IFNA(VLOOKUP($AH233,Programma!$F$3:$O$1101,10,0),"")</f>
        <v/>
      </c>
      <c r="AR233" s="142" t="str">
        <f>_xlfn.IFNA(VLOOKUP($AH233,Programma!$F$3:$P$1101,11,0),"")</f>
        <v/>
      </c>
      <c r="AS233" s="142" t="str">
        <f>_xlfn.IFNA(VLOOKUP($AH233,Programma!$F$3:$Q$1101,12,0),"")</f>
        <v/>
      </c>
      <c r="AT233" s="142" t="str">
        <f>_xlfn.IFNA(VLOOKUP($AH233,Programma!$F$3:$R$1101,13,0),"")</f>
        <v/>
      </c>
      <c r="AU233" s="142" t="str">
        <f>_xlfn.IFNA(VLOOKUP($AH233,Programma!$F$3:$S$1101,14,0),"")</f>
        <v/>
      </c>
      <c r="AV233" s="142" t="str">
        <f>_xlfn.IFNA(VLOOKUP($AH233,Programma!$F$3:$T$1101,15,0),"")</f>
        <v/>
      </c>
      <c r="AW233" s="142" t="str">
        <f>_xlfn.IFNA(VLOOKUP($AH233,Programma!$F$3:$U$1101,16,0),"")</f>
        <v/>
      </c>
      <c r="AX233" s="142" t="str">
        <f>_xlfn.IFNA(VLOOKUP($AH233,Programma!$F$3:$V$1101,17,0),"")</f>
        <v/>
      </c>
      <c r="AY233" s="142" t="str">
        <f>_xlfn.IFNA(VLOOKUP($AH233,Programma!$F$3:$W$1101,18,0),"")</f>
        <v/>
      </c>
      <c r="AZ233" s="142" t="str">
        <f>_xlfn.IFNA(VLOOKUP($AH233,Programma!$F$3:$X$1101,19,0),"")</f>
        <v/>
      </c>
      <c r="BA233" s="142" t="str">
        <f>_xlfn.IFNA(VLOOKUP($AH233,Programma!$F$3:$Y$1101,20,0),"")</f>
        <v/>
      </c>
      <c r="BB233" s="138"/>
      <c r="BC233" s="137" t="str">
        <f>IF(Ruimtestaat[[#This Row],[Frequentie weekend]]="","",_xlfn.CONCAT(Ruimtestaat[[#This Row],[Ruimte code]],"-",Ruimtestaat[[#This Row],[Frequentie weekend]]," ",Ruimtestaat[[#This Row],[Vloer code]]))</f>
        <v/>
      </c>
      <c r="BD233" s="142" t="str">
        <f>_xlfn.IFNA(VLOOKUP($BC233,Programma!$F$3:$G$1101,2,0),"")</f>
        <v/>
      </c>
      <c r="BE233" s="142" t="str">
        <f>_xlfn.IFNA(VLOOKUP($BC233,Programma!$F$3:$H$1101,3,0),"")</f>
        <v/>
      </c>
      <c r="BF233" s="142" t="str">
        <f>_xlfn.IFNA(VLOOKUP($BC233,Programma!$F$3:$I$1101,4,0),"")</f>
        <v/>
      </c>
      <c r="BG233" s="142" t="str">
        <f>_xlfn.IFNA(VLOOKUP($BC233,Programma!$F$3:$J$1101,5,0),"")</f>
        <v/>
      </c>
      <c r="BH233" s="142" t="str">
        <f>_xlfn.IFNA(VLOOKUP($BC233,Programma!$F$3:$K$1101,6,0),"")</f>
        <v/>
      </c>
      <c r="BI233" s="142" t="str">
        <f>_xlfn.IFNA(VLOOKUP($BC233,Programma!$F$3:$L$1101,7,0),"")</f>
        <v/>
      </c>
      <c r="BJ233" s="142" t="str">
        <f>_xlfn.IFNA(VLOOKUP($BC233,Programma!$F$3:$M$1101,8,0),"")</f>
        <v/>
      </c>
      <c r="BK233" s="142" t="str">
        <f>_xlfn.IFNA(VLOOKUP($BC233,Programma!$F$3:$N$1101,9,0),"")</f>
        <v/>
      </c>
      <c r="BL233" s="142" t="str">
        <f>_xlfn.IFNA(VLOOKUP($BC233,Programma!$F$3:$O$1101,10,0),"")</f>
        <v/>
      </c>
      <c r="BM233" s="142" t="str">
        <f>_xlfn.IFNA(VLOOKUP($BC233,Programma!$F$3:$P$1101,11,0),"")</f>
        <v/>
      </c>
      <c r="BN233" s="142" t="str">
        <f>_xlfn.IFNA(VLOOKUP($BC233,Programma!$F$3:$Q$1101,12,0),"")</f>
        <v/>
      </c>
      <c r="BO233" s="142" t="str">
        <f>_xlfn.IFNA(VLOOKUP($BC233,Programma!$F$3:$R$1101,13,0),"")</f>
        <v/>
      </c>
      <c r="BP233" s="142" t="str">
        <f>_xlfn.IFNA(VLOOKUP($BC233,Programma!$F$3:$S$1101,14,0),"")</f>
        <v/>
      </c>
      <c r="BQ233" s="142" t="str">
        <f>_xlfn.IFNA(VLOOKUP($BC233,Programma!$F$3:$T$1101,15,0),"")</f>
        <v/>
      </c>
      <c r="BR233" s="142" t="str">
        <f>_xlfn.IFNA(VLOOKUP($BC233,Programma!$F$3:$U$1101,16,0),"")</f>
        <v/>
      </c>
      <c r="BS233" s="142" t="str">
        <f>_xlfn.IFNA(VLOOKUP($BC233,Programma!$F$3:$V$1101,17,0),"")</f>
        <v/>
      </c>
      <c r="BT233" s="142" t="str">
        <f>_xlfn.IFNA(VLOOKUP($BC233,Programma!$F$3:$W$1101,18,0),"")</f>
        <v/>
      </c>
      <c r="BU233" s="142" t="str">
        <f>_xlfn.IFNA(VLOOKUP($BC233,Programma!$F$3:$X$1101,19,0),"")</f>
        <v/>
      </c>
      <c r="BV233" s="142" t="str">
        <f>_xlfn.IFNA(VLOOKUP($BC233,Programma!$F$3:$Y$1101,20,0),"")</f>
        <v/>
      </c>
      <c r="BW233" s="28"/>
      <c r="BX233" s="28"/>
      <c r="BY233" s="28"/>
      <c r="BZ233" s="28"/>
      <c r="CA233" s="28"/>
      <c r="CB233" s="28"/>
      <c r="CC233" s="28"/>
      <c r="CD233" s="28"/>
      <c r="CE233" s="28"/>
      <c r="CF233" s="28"/>
      <c r="CG233" s="28"/>
      <c r="CH233" s="28"/>
      <c r="CI233" s="28"/>
      <c r="CJ233" s="28"/>
      <c r="CK233" s="28"/>
      <c r="CL233" s="28"/>
      <c r="CM233" s="28"/>
      <c r="CN233" s="28"/>
      <c r="CO233" s="28"/>
      <c r="CP233" s="28"/>
      <c r="CQ233" s="28"/>
      <c r="CR233" s="28"/>
      <c r="CS233" s="28"/>
      <c r="CT233" s="28"/>
      <c r="CU233" s="28"/>
      <c r="CV233" s="28"/>
      <c r="CW233" s="28"/>
      <c r="CX233" s="28"/>
      <c r="CY233" s="28"/>
      <c r="CZ233" s="28"/>
      <c r="DA233" s="28"/>
      <c r="DB233" s="28"/>
      <c r="DC233" s="28"/>
      <c r="DD233" s="28"/>
      <c r="DE233" s="28"/>
      <c r="DF233" s="28"/>
      <c r="DG233" s="28"/>
      <c r="DH233" s="28"/>
      <c r="DI233" s="28"/>
      <c r="DJ233" s="28"/>
      <c r="DK233" s="28"/>
      <c r="DL233" s="28"/>
      <c r="DM233" s="28"/>
      <c r="DN233" s="28"/>
      <c r="DO233" s="28"/>
      <c r="DP233" s="28"/>
      <c r="DQ233" s="28"/>
      <c r="DR233" s="28"/>
      <c r="DS233" s="28"/>
      <c r="DT233" s="28"/>
      <c r="DU233" s="28"/>
      <c r="DV233" s="28"/>
      <c r="DW233" s="28"/>
      <c r="DX233" s="28"/>
      <c r="DY233" s="28"/>
      <c r="DZ233" s="28"/>
      <c r="EA233" s="28"/>
      <c r="EB233" s="28"/>
      <c r="EC233" s="28"/>
      <c r="ED233" s="28"/>
      <c r="EE233" s="28"/>
      <c r="EF233" s="28"/>
      <c r="EG233" s="28"/>
      <c r="EH233" s="28"/>
      <c r="EI233" s="28"/>
      <c r="EJ233" s="28"/>
      <c r="EK233" s="28"/>
      <c r="EL233" s="28"/>
      <c r="EM233" s="28"/>
      <c r="EN233" s="28"/>
      <c r="EO233" s="28"/>
      <c r="EP233" s="28"/>
      <c r="EQ233" s="28"/>
      <c r="ER233" s="28"/>
      <c r="ES233" s="28"/>
      <c r="ET233" s="28"/>
      <c r="EU233" s="28"/>
      <c r="EV233" s="28"/>
      <c r="EW233" s="28"/>
      <c r="EX233" s="28"/>
      <c r="EY233" s="28"/>
      <c r="EZ233" s="28"/>
      <c r="FA233" s="28"/>
      <c r="FB233" s="28"/>
      <c r="FC233" s="28"/>
      <c r="FD233" s="28"/>
      <c r="FE233" s="28"/>
      <c r="FF233" s="28"/>
      <c r="FG233" s="28"/>
      <c r="FH233" s="28"/>
      <c r="FI233" s="28"/>
      <c r="FJ233" s="28"/>
      <c r="FK233" s="28"/>
      <c r="FL233" s="28"/>
      <c r="FM233" s="28"/>
      <c r="FN233" s="28"/>
      <c r="FO233" s="28"/>
      <c r="FP233" s="28"/>
      <c r="FQ233" s="28"/>
      <c r="FR233" s="28"/>
      <c r="FS233" s="28"/>
      <c r="FT233" s="28"/>
      <c r="FU233" s="28"/>
      <c r="FV233" s="28"/>
      <c r="FW233" s="28"/>
      <c r="FX233" s="28"/>
      <c r="FY233" s="28"/>
      <c r="FZ233" s="28"/>
      <c r="GA233" s="28"/>
      <c r="GB233" s="28"/>
      <c r="GC233" s="28"/>
      <c r="GD233" s="28"/>
      <c r="GE233" s="28"/>
      <c r="GF233" s="28"/>
      <c r="GG233" s="28"/>
      <c r="GH233" s="28"/>
      <c r="GI233" s="28"/>
      <c r="GJ233" s="28"/>
      <c r="GK233" s="28"/>
      <c r="GL233" s="28"/>
      <c r="GM233" s="28"/>
      <c r="GN233" s="28"/>
      <c r="GO233" s="28"/>
      <c r="GP233" s="28"/>
      <c r="GQ233" s="28"/>
      <c r="GR233" s="28"/>
      <c r="GS233" s="28"/>
      <c r="GT233" s="28"/>
      <c r="GU233" s="28"/>
      <c r="GV233" s="28"/>
      <c r="GW233" s="28"/>
      <c r="GX233" s="28"/>
      <c r="GY233" s="28"/>
      <c r="GZ233" s="28"/>
      <c r="HA233" s="28"/>
      <c r="HB233" s="28"/>
      <c r="HC233" s="28"/>
      <c r="HD233" s="28"/>
      <c r="HE233" s="28"/>
      <c r="HF233" s="28"/>
      <c r="HG233" s="28"/>
      <c r="HH233" s="28"/>
      <c r="HI233" s="28"/>
      <c r="HJ233" s="28"/>
      <c r="HK233" s="28"/>
    </row>
    <row r="234" spans="1:219" ht="15" customHeight="1">
      <c r="A234" s="49">
        <v>2</v>
      </c>
      <c r="B234" s="132" t="str">
        <f>VLOOKUP(Ruimtestaat[[#This Row],[Code]],Locaties[[Code]:[Locatie]],2,FALSE)</f>
        <v>Pauluskerk</v>
      </c>
      <c r="C234" s="132" t="str">
        <f>VLOOKUP(Ruimtestaat[[#This Row],[Code]],Locaties[[#All],[Code]:[Adres]],4,FALSE)</f>
        <v>Westdorplaan 122</v>
      </c>
      <c r="D234" s="132" t="str">
        <f>VLOOKUP(Ruimtestaat[[#This Row],[Code]],Locaties[[#All],[Code]:[Postcode]],5,FALSE)</f>
        <v>8101 BJ</v>
      </c>
      <c r="E234" s="132" t="str">
        <f>VLOOKUP(Ruimtestaat[[#This Row],[Code]],Locaties[#All],6,FALSE)</f>
        <v>Raalte</v>
      </c>
      <c r="F234" s="100"/>
      <c r="G234" s="100" t="s">
        <v>1675</v>
      </c>
      <c r="H234" s="49" t="s">
        <v>1729</v>
      </c>
      <c r="I234" s="140" t="s">
        <v>1744</v>
      </c>
      <c r="J234" s="49">
        <v>20</v>
      </c>
      <c r="K234" s="140" t="str">
        <f>VLOOKUP(Ruimtestaat[[#This Row],[Ruimte code]],Ruimtegroepen[[#All],[Code]:[Ruimte omschrijving]],2,FALSE)</f>
        <v>Niet in Onderhoud</v>
      </c>
      <c r="L234" s="100"/>
      <c r="M234" s="345"/>
      <c r="N234" s="133"/>
      <c r="O234" s="139">
        <v>20.8</v>
      </c>
      <c r="P234" s="134">
        <f>VLOOKUP(Ruimtestaat[[#This Row],[Ruimte code]],Ruimtegroepen[],4,FALSE)</f>
        <v>0</v>
      </c>
      <c r="Q234" s="100"/>
      <c r="R234" s="100"/>
      <c r="S234" s="100">
        <f>IF(Q234&gt;0,IF(RIGHT(Ruimtestaat[[#This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34" s="100">
        <f>IF(S234&gt;0,VLOOKUP($J234,Ruimtegroepen[],3,FALSE)*VLOOKUP($L234,Vloersoorten[],3,FALSE)*VLOOKUP($R234,Frequenties[],3,FALSE)*VLOOKUP($A234,Locaties[],3,FALSE),0)</f>
        <v>0</v>
      </c>
      <c r="U234" s="100">
        <f>Ruimtestaat[[#This Row],[Uitvoeringen werkdagen]]*Ruimtestaat[[#This Row],[Oppervlak (netto)]]</f>
        <v>0</v>
      </c>
      <c r="V234" s="135">
        <f>IF(T234&gt;0,Ruimtestaat[[#This Row],[Prest. (m2 /jaar) werkdagen]]/Ruimtestaat[[#This Row],[Norm (m2/uur) werkdagen]],0)</f>
        <v>0</v>
      </c>
      <c r="W234" s="136">
        <f>Ruimtestaat[[#This Row],[uren / jaar werkdagen]]*Tariefsopbouw!$E$35</f>
        <v>0</v>
      </c>
      <c r="X234" s="100"/>
      <c r="Y234" s="100">
        <f>IF(Ruimtestaat[[#This Row],[Frequentie weekend]]&gt;0,VALUE(LEFT(X234,1))*Q234,0)</f>
        <v>0</v>
      </c>
      <c r="Z234" s="99">
        <f>IF($Y234&gt;0,VLOOKUP($J234,Ruimtegroepen[],3,FALSE)*VLOOKUP($L234,Vloersoorten[],3,FALSE)*VLOOKUP($X234,Frequenties[],3,FALSE)*VLOOKUP(Ruimtestaat[[#This Row],[Code]],Locaties[],3,FALSE),0)</f>
        <v>0</v>
      </c>
      <c r="AA234" s="99">
        <f>Ruimtestaat[[#This Row],[Uitvoeringen weekend]]*Ruimtestaat[[#This Row],[Oppervlak (netto)]]</f>
        <v>0</v>
      </c>
      <c r="AB234" s="99">
        <f>IF(Z234&gt;0,Ruimtestaat[[#This Row],[Prest. (m2 /jaar) weekend]]/Ruimtestaat[[#This Row],[Norm (m2/uur) weekend]],0)</f>
        <v>0</v>
      </c>
      <c r="AC234" s="136">
        <f>Ruimtestaat[[#This Row],[uren / jaar weekend]]*Tariefsopbouw!$D$40</f>
        <v>0</v>
      </c>
      <c r="AD234" s="135">
        <f>Ruimtestaat[[#This Row],[Prest. (m2 /jaar) weekend]]+Ruimtestaat[[#This Row],[Prest. (m2 /jaar) werkdagen]]</f>
        <v>0</v>
      </c>
      <c r="AE234" s="135">
        <f>Ruimtestaat[[#This Row],[uren / jaar weekend]]+Ruimtestaat[[#This Row],[uren / jaar werkdagen]]</f>
        <v>0</v>
      </c>
      <c r="AF234" s="130">
        <f>Ruimtestaat[[#This Row],[kosten / jaar weekend]]+Ruimtestaat[[#This Row],[kosten / jaar werkdagen]]</f>
        <v>0</v>
      </c>
      <c r="AG234" s="130"/>
      <c r="AH234" s="137" t="str">
        <f>IF(Ruimtestaat[[#This Row],[Frequentie werkdagen]]="","",_xlfn.CONCAT(Ruimtestaat[[#This Row],[Ruimte code]],"-",Ruimtestaat[[#This Row],[Frequentie werkdagen]]," ",Ruimtestaat[[#This Row],[Vloer code]]))</f>
        <v/>
      </c>
      <c r="AI234" s="142" t="str">
        <f>_xlfn.IFNA(VLOOKUP($AH234,Programma!$F$3:$G$1101,2,0),"")</f>
        <v/>
      </c>
      <c r="AJ234" s="142" t="str">
        <f>_xlfn.IFNA(VLOOKUP($AH234,Programma!$F$3:$H$1101,3,0),"")</f>
        <v/>
      </c>
      <c r="AK234" s="142" t="str">
        <f>_xlfn.IFNA(VLOOKUP($AH234,Programma!$F$3:$I$1101,4,0),"")</f>
        <v/>
      </c>
      <c r="AL234" s="142" t="str">
        <f>_xlfn.IFNA(VLOOKUP($AH234,Programma!$F$3:$J$1101,5,0),"")</f>
        <v/>
      </c>
      <c r="AM234" s="142" t="str">
        <f>_xlfn.IFNA(VLOOKUP($AH234,Programma!$F$3:$K$1101,6,0),"")</f>
        <v/>
      </c>
      <c r="AN234" s="142" t="str">
        <f>_xlfn.IFNA(VLOOKUP($AH234,Programma!$F$3:$L$1101,7,0),"")</f>
        <v/>
      </c>
      <c r="AO234" s="142" t="str">
        <f>_xlfn.IFNA(VLOOKUP($AH234,Programma!$F$3:$M$1101,8,0),"")</f>
        <v/>
      </c>
      <c r="AP234" s="142" t="str">
        <f>_xlfn.IFNA(VLOOKUP($AH234,Programma!$F$3:$N$1101,9,0),"")</f>
        <v/>
      </c>
      <c r="AQ234" s="142" t="str">
        <f>_xlfn.IFNA(VLOOKUP($AH234,Programma!$F$3:$O$1101,10,0),"")</f>
        <v/>
      </c>
      <c r="AR234" s="142" t="str">
        <f>_xlfn.IFNA(VLOOKUP($AH234,Programma!$F$3:$P$1101,11,0),"")</f>
        <v/>
      </c>
      <c r="AS234" s="142" t="str">
        <f>_xlfn.IFNA(VLOOKUP($AH234,Programma!$F$3:$Q$1101,12,0),"")</f>
        <v/>
      </c>
      <c r="AT234" s="142" t="str">
        <f>_xlfn.IFNA(VLOOKUP($AH234,Programma!$F$3:$R$1101,13,0),"")</f>
        <v/>
      </c>
      <c r="AU234" s="142" t="str">
        <f>_xlfn.IFNA(VLOOKUP($AH234,Programma!$F$3:$S$1101,14,0),"")</f>
        <v/>
      </c>
      <c r="AV234" s="142" t="str">
        <f>_xlfn.IFNA(VLOOKUP($AH234,Programma!$F$3:$T$1101,15,0),"")</f>
        <v/>
      </c>
      <c r="AW234" s="142" t="str">
        <f>_xlfn.IFNA(VLOOKUP($AH234,Programma!$F$3:$U$1101,16,0),"")</f>
        <v/>
      </c>
      <c r="AX234" s="142" t="str">
        <f>_xlfn.IFNA(VLOOKUP($AH234,Programma!$F$3:$V$1101,17,0),"")</f>
        <v/>
      </c>
      <c r="AY234" s="142" t="str">
        <f>_xlfn.IFNA(VLOOKUP($AH234,Programma!$F$3:$W$1101,18,0),"")</f>
        <v/>
      </c>
      <c r="AZ234" s="142" t="str">
        <f>_xlfn.IFNA(VLOOKUP($AH234,Programma!$F$3:$X$1101,19,0),"")</f>
        <v/>
      </c>
      <c r="BA234" s="142" t="str">
        <f>_xlfn.IFNA(VLOOKUP($AH234,Programma!$F$3:$Y$1101,20,0),"")</f>
        <v/>
      </c>
      <c r="BB234" s="138"/>
      <c r="BC234" s="137" t="str">
        <f>IF(Ruimtestaat[[#This Row],[Frequentie weekend]]="","",_xlfn.CONCAT(Ruimtestaat[[#This Row],[Ruimte code]],"-",Ruimtestaat[[#This Row],[Frequentie weekend]]," ",Ruimtestaat[[#This Row],[Vloer code]]))</f>
        <v/>
      </c>
      <c r="BD234" s="142" t="str">
        <f>_xlfn.IFNA(VLOOKUP($BC234,Programma!$F$3:$G$1101,2,0),"")</f>
        <v/>
      </c>
      <c r="BE234" s="142" t="str">
        <f>_xlfn.IFNA(VLOOKUP($BC234,Programma!$F$3:$H$1101,3,0),"")</f>
        <v/>
      </c>
      <c r="BF234" s="142" t="str">
        <f>_xlfn.IFNA(VLOOKUP($BC234,Programma!$F$3:$I$1101,4,0),"")</f>
        <v/>
      </c>
      <c r="BG234" s="142" t="str">
        <f>_xlfn.IFNA(VLOOKUP($BC234,Programma!$F$3:$J$1101,5,0),"")</f>
        <v/>
      </c>
      <c r="BH234" s="142" t="str">
        <f>_xlfn.IFNA(VLOOKUP($BC234,Programma!$F$3:$K$1101,6,0),"")</f>
        <v/>
      </c>
      <c r="BI234" s="142" t="str">
        <f>_xlfn.IFNA(VLOOKUP($BC234,Programma!$F$3:$L$1101,7,0),"")</f>
        <v/>
      </c>
      <c r="BJ234" s="142" t="str">
        <f>_xlfn.IFNA(VLOOKUP($BC234,Programma!$F$3:$M$1101,8,0),"")</f>
        <v/>
      </c>
      <c r="BK234" s="142" t="str">
        <f>_xlfn.IFNA(VLOOKUP($BC234,Programma!$F$3:$N$1101,9,0),"")</f>
        <v/>
      </c>
      <c r="BL234" s="142" t="str">
        <f>_xlfn.IFNA(VLOOKUP($BC234,Programma!$F$3:$O$1101,10,0),"")</f>
        <v/>
      </c>
      <c r="BM234" s="142" t="str">
        <f>_xlfn.IFNA(VLOOKUP($BC234,Programma!$F$3:$P$1101,11,0),"")</f>
        <v/>
      </c>
      <c r="BN234" s="142" t="str">
        <f>_xlfn.IFNA(VLOOKUP($BC234,Programma!$F$3:$Q$1101,12,0),"")</f>
        <v/>
      </c>
      <c r="BO234" s="142" t="str">
        <f>_xlfn.IFNA(VLOOKUP($BC234,Programma!$F$3:$R$1101,13,0),"")</f>
        <v/>
      </c>
      <c r="BP234" s="142" t="str">
        <f>_xlfn.IFNA(VLOOKUP($BC234,Programma!$F$3:$S$1101,14,0),"")</f>
        <v/>
      </c>
      <c r="BQ234" s="142" t="str">
        <f>_xlfn.IFNA(VLOOKUP($BC234,Programma!$F$3:$T$1101,15,0),"")</f>
        <v/>
      </c>
      <c r="BR234" s="142" t="str">
        <f>_xlfn.IFNA(VLOOKUP($BC234,Programma!$F$3:$U$1101,16,0),"")</f>
        <v/>
      </c>
      <c r="BS234" s="142" t="str">
        <f>_xlfn.IFNA(VLOOKUP($BC234,Programma!$F$3:$V$1101,17,0),"")</f>
        <v/>
      </c>
      <c r="BT234" s="142" t="str">
        <f>_xlfn.IFNA(VLOOKUP($BC234,Programma!$F$3:$W$1101,18,0),"")</f>
        <v/>
      </c>
      <c r="BU234" s="142" t="str">
        <f>_xlfn.IFNA(VLOOKUP($BC234,Programma!$F$3:$X$1101,19,0),"")</f>
        <v/>
      </c>
      <c r="BV234" s="142" t="str">
        <f>_xlfn.IFNA(VLOOKUP($BC234,Programma!$F$3:$Y$1101,20,0),"")</f>
        <v/>
      </c>
      <c r="BW234" s="28"/>
      <c r="BX234" s="28"/>
      <c r="BY234" s="28"/>
      <c r="BZ234" s="28"/>
      <c r="CA234" s="28"/>
      <c r="CB234" s="28"/>
      <c r="CC234" s="28"/>
      <c r="CD234" s="28"/>
      <c r="CE234" s="28"/>
      <c r="CF234" s="28"/>
      <c r="CG234" s="28"/>
      <c r="CH234" s="28"/>
      <c r="CI234" s="28"/>
      <c r="CJ234" s="28"/>
      <c r="CK234" s="28"/>
      <c r="CL234" s="28"/>
      <c r="CM234" s="28"/>
      <c r="CN234" s="28"/>
      <c r="CO234" s="28"/>
      <c r="CP234" s="28"/>
      <c r="CQ234" s="28"/>
      <c r="CR234" s="28"/>
      <c r="CS234" s="28"/>
      <c r="CT234" s="28"/>
      <c r="CU234" s="28"/>
      <c r="CV234" s="28"/>
      <c r="CW234" s="28"/>
      <c r="CX234" s="28"/>
      <c r="CY234" s="28"/>
      <c r="CZ234" s="28"/>
      <c r="DA234" s="28"/>
      <c r="DB234" s="28"/>
      <c r="DC234" s="28"/>
      <c r="DD234" s="28"/>
      <c r="DE234" s="28"/>
      <c r="DF234" s="28"/>
      <c r="DG234" s="28"/>
      <c r="DH234" s="28"/>
      <c r="DI234" s="28"/>
      <c r="DJ234" s="28"/>
      <c r="DK234" s="28"/>
      <c r="DL234" s="28"/>
      <c r="DM234" s="28"/>
      <c r="DN234" s="28"/>
      <c r="DO234" s="28"/>
      <c r="DP234" s="28"/>
      <c r="DQ234" s="28"/>
      <c r="DR234" s="28"/>
      <c r="DS234" s="28"/>
      <c r="DT234" s="28"/>
      <c r="DU234" s="28"/>
      <c r="DV234" s="28"/>
      <c r="DW234" s="28"/>
      <c r="DX234" s="28"/>
      <c r="DY234" s="28"/>
      <c r="DZ234" s="28"/>
      <c r="EA234" s="28"/>
      <c r="EB234" s="28"/>
      <c r="EC234" s="28"/>
      <c r="ED234" s="28"/>
      <c r="EE234" s="28"/>
      <c r="EF234" s="28"/>
      <c r="EG234" s="28"/>
      <c r="EH234" s="28"/>
      <c r="EI234" s="28"/>
      <c r="EJ234" s="28"/>
      <c r="EK234" s="28"/>
      <c r="EL234" s="28"/>
      <c r="EM234" s="28"/>
      <c r="EN234" s="28"/>
      <c r="EO234" s="28"/>
      <c r="EP234" s="28"/>
      <c r="EQ234" s="28"/>
      <c r="ER234" s="28"/>
      <c r="ES234" s="28"/>
      <c r="ET234" s="28"/>
      <c r="EU234" s="28"/>
      <c r="EV234" s="28"/>
      <c r="EW234" s="28"/>
      <c r="EX234" s="28"/>
      <c r="EY234" s="28"/>
      <c r="EZ234" s="28"/>
      <c r="FA234" s="28"/>
      <c r="FB234" s="28"/>
      <c r="FC234" s="28"/>
      <c r="FD234" s="28"/>
      <c r="FE234" s="28"/>
      <c r="FF234" s="28"/>
      <c r="FG234" s="28"/>
      <c r="FH234" s="28"/>
      <c r="FI234" s="28"/>
      <c r="FJ234" s="28"/>
      <c r="FK234" s="28"/>
      <c r="FL234" s="28"/>
      <c r="FM234" s="28"/>
      <c r="FN234" s="28"/>
      <c r="FO234" s="28"/>
      <c r="FP234" s="28"/>
      <c r="FQ234" s="28"/>
      <c r="FR234" s="28"/>
      <c r="FS234" s="28"/>
      <c r="FT234" s="28"/>
      <c r="FU234" s="28"/>
      <c r="FV234" s="28"/>
      <c r="FW234" s="28"/>
      <c r="FX234" s="28"/>
      <c r="FY234" s="28"/>
      <c r="FZ234" s="28"/>
      <c r="GA234" s="28"/>
      <c r="GB234" s="28"/>
      <c r="GC234" s="28"/>
      <c r="GD234" s="28"/>
      <c r="GE234" s="28"/>
      <c r="GF234" s="28"/>
      <c r="GG234" s="28"/>
      <c r="GH234" s="28"/>
      <c r="GI234" s="28"/>
      <c r="GJ234" s="28"/>
      <c r="GK234" s="28"/>
      <c r="GL234" s="28"/>
      <c r="GM234" s="28"/>
      <c r="GN234" s="28"/>
      <c r="GO234" s="28"/>
      <c r="GP234" s="28"/>
      <c r="GQ234" s="28"/>
      <c r="GR234" s="28"/>
      <c r="GS234" s="28"/>
      <c r="GT234" s="28"/>
      <c r="GU234" s="28"/>
      <c r="GV234" s="28"/>
      <c r="GW234" s="28"/>
      <c r="GX234" s="28"/>
      <c r="GY234" s="28"/>
      <c r="GZ234" s="28"/>
      <c r="HA234" s="28"/>
      <c r="HB234" s="28"/>
      <c r="HC234" s="28"/>
      <c r="HD234" s="28"/>
      <c r="HE234" s="28"/>
      <c r="HF234" s="28"/>
      <c r="HG234" s="28"/>
      <c r="HH234" s="28"/>
      <c r="HI234" s="28"/>
      <c r="HJ234" s="28"/>
      <c r="HK234" s="28"/>
    </row>
    <row r="235" spans="1:219" ht="15" customHeight="1">
      <c r="A235" s="49">
        <v>2</v>
      </c>
      <c r="B235" s="132" t="str">
        <f>VLOOKUP(Ruimtestaat[[#This Row],[Code]],Locaties[[Code]:[Locatie]],2,FALSE)</f>
        <v>Pauluskerk</v>
      </c>
      <c r="C235" s="132" t="str">
        <f>VLOOKUP(Ruimtestaat[[#This Row],[Code]],Locaties[[#All],[Code]:[Adres]],4,FALSE)</f>
        <v>Westdorplaan 122</v>
      </c>
      <c r="D235" s="132" t="str">
        <f>VLOOKUP(Ruimtestaat[[#This Row],[Code]],Locaties[[#All],[Code]:[Postcode]],5,FALSE)</f>
        <v>8101 BJ</v>
      </c>
      <c r="E235" s="132" t="str">
        <f>VLOOKUP(Ruimtestaat[[#This Row],[Code]],Locaties[#All],6,FALSE)</f>
        <v>Raalte</v>
      </c>
      <c r="F235" s="140"/>
      <c r="G235" s="100" t="s">
        <v>1675</v>
      </c>
      <c r="H235" s="49" t="s">
        <v>1730</v>
      </c>
      <c r="I235" s="140" t="s">
        <v>1745</v>
      </c>
      <c r="J235" s="49">
        <v>20</v>
      </c>
      <c r="K235" s="140" t="str">
        <f>VLOOKUP(Ruimtestaat[[#This Row],[Ruimte code]],Ruimtegroepen[[#All],[Code]:[Ruimte omschrijving]],2,FALSE)</f>
        <v>Niet in Onderhoud</v>
      </c>
      <c r="L235" s="100"/>
      <c r="M235" s="345"/>
      <c r="N235" s="133"/>
      <c r="O235" s="139">
        <v>142.93</v>
      </c>
      <c r="P235" s="134">
        <f>VLOOKUP(Ruimtestaat[[#This Row],[Ruimte code]],Ruimtegroepen[],4,FALSE)</f>
        <v>0</v>
      </c>
      <c r="Q235" s="100"/>
      <c r="R235" s="100"/>
      <c r="S235" s="100">
        <f>IF(Q235&gt;0,IF(RIGHT(Ruimtestaat[[#This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35" s="100">
        <f>IF(S235&gt;0,VLOOKUP($J235,Ruimtegroepen[],3,FALSE)*VLOOKUP($L235,Vloersoorten[],3,FALSE)*VLOOKUP($R235,Frequenties[],3,FALSE)*VLOOKUP($A235,Locaties[],3,FALSE),0)</f>
        <v>0</v>
      </c>
      <c r="U235" s="100">
        <f>Ruimtestaat[[#This Row],[Uitvoeringen werkdagen]]*Ruimtestaat[[#This Row],[Oppervlak (netto)]]</f>
        <v>0</v>
      </c>
      <c r="V235" s="135">
        <f>IF(T235&gt;0,Ruimtestaat[[#This Row],[Prest. (m2 /jaar) werkdagen]]/Ruimtestaat[[#This Row],[Norm (m2/uur) werkdagen]],0)</f>
        <v>0</v>
      </c>
      <c r="W235" s="136">
        <f>Ruimtestaat[[#This Row],[uren / jaar werkdagen]]*Tariefsopbouw!$E$35</f>
        <v>0</v>
      </c>
      <c r="X235" s="100"/>
      <c r="Y235" s="100">
        <f>IF(Ruimtestaat[[#This Row],[Frequentie weekend]]&gt;0,VALUE(LEFT(X235,1))*Q235,0)</f>
        <v>0</v>
      </c>
      <c r="Z235" s="99">
        <f>IF($Y235&gt;0,VLOOKUP($J235,Ruimtegroepen[],3,FALSE)*VLOOKUP($L235,Vloersoorten[],3,FALSE)*VLOOKUP($X235,Frequenties[],3,FALSE)*VLOOKUP(Ruimtestaat[[#This Row],[Code]],Locaties[],3,FALSE),0)</f>
        <v>0</v>
      </c>
      <c r="AA235" s="99">
        <f>Ruimtestaat[[#This Row],[Uitvoeringen weekend]]*Ruimtestaat[[#This Row],[Oppervlak (netto)]]</f>
        <v>0</v>
      </c>
      <c r="AB235" s="99">
        <f>IF(Z235&gt;0,Ruimtestaat[[#This Row],[Prest. (m2 /jaar) weekend]]/Ruimtestaat[[#This Row],[Norm (m2/uur) weekend]],0)</f>
        <v>0</v>
      </c>
      <c r="AC235" s="136">
        <f>Ruimtestaat[[#This Row],[uren / jaar weekend]]*Tariefsopbouw!$D$40</f>
        <v>0</v>
      </c>
      <c r="AD235" s="135">
        <f>Ruimtestaat[[#This Row],[Prest. (m2 /jaar) weekend]]+Ruimtestaat[[#This Row],[Prest. (m2 /jaar) werkdagen]]</f>
        <v>0</v>
      </c>
      <c r="AE235" s="135">
        <f>Ruimtestaat[[#This Row],[uren / jaar weekend]]+Ruimtestaat[[#This Row],[uren / jaar werkdagen]]</f>
        <v>0</v>
      </c>
      <c r="AF235" s="130">
        <f>Ruimtestaat[[#This Row],[kosten / jaar weekend]]+Ruimtestaat[[#This Row],[kosten / jaar werkdagen]]</f>
        <v>0</v>
      </c>
      <c r="AG235" s="130"/>
      <c r="AH235" s="137" t="str">
        <f>IF(Ruimtestaat[[#This Row],[Frequentie werkdagen]]="","",_xlfn.CONCAT(Ruimtestaat[[#This Row],[Ruimte code]],"-",Ruimtestaat[[#This Row],[Frequentie werkdagen]]," ",Ruimtestaat[[#This Row],[Vloer code]]))</f>
        <v/>
      </c>
      <c r="AI235" s="142" t="str">
        <f>_xlfn.IFNA(VLOOKUP($AH235,Programma!$F$3:$G$1101,2,0),"")</f>
        <v/>
      </c>
      <c r="AJ235" s="142" t="str">
        <f>_xlfn.IFNA(VLOOKUP($AH235,Programma!$F$3:$H$1101,3,0),"")</f>
        <v/>
      </c>
      <c r="AK235" s="142" t="str">
        <f>_xlfn.IFNA(VLOOKUP($AH235,Programma!$F$3:$I$1101,4,0),"")</f>
        <v/>
      </c>
      <c r="AL235" s="142" t="str">
        <f>_xlfn.IFNA(VLOOKUP($AH235,Programma!$F$3:$J$1101,5,0),"")</f>
        <v/>
      </c>
      <c r="AM235" s="142" t="str">
        <f>_xlfn.IFNA(VLOOKUP($AH235,Programma!$F$3:$K$1101,6,0),"")</f>
        <v/>
      </c>
      <c r="AN235" s="142" t="str">
        <f>_xlfn.IFNA(VLOOKUP($AH235,Programma!$F$3:$L$1101,7,0),"")</f>
        <v/>
      </c>
      <c r="AO235" s="142" t="str">
        <f>_xlfn.IFNA(VLOOKUP($AH235,Programma!$F$3:$M$1101,8,0),"")</f>
        <v/>
      </c>
      <c r="AP235" s="142" t="str">
        <f>_xlfn.IFNA(VLOOKUP($AH235,Programma!$F$3:$N$1101,9,0),"")</f>
        <v/>
      </c>
      <c r="AQ235" s="142" t="str">
        <f>_xlfn.IFNA(VLOOKUP($AH235,Programma!$F$3:$O$1101,10,0),"")</f>
        <v/>
      </c>
      <c r="AR235" s="142" t="str">
        <f>_xlfn.IFNA(VLOOKUP($AH235,Programma!$F$3:$P$1101,11,0),"")</f>
        <v/>
      </c>
      <c r="AS235" s="142" t="str">
        <f>_xlfn.IFNA(VLOOKUP($AH235,Programma!$F$3:$Q$1101,12,0),"")</f>
        <v/>
      </c>
      <c r="AT235" s="142" t="str">
        <f>_xlfn.IFNA(VLOOKUP($AH235,Programma!$F$3:$R$1101,13,0),"")</f>
        <v/>
      </c>
      <c r="AU235" s="142" t="str">
        <f>_xlfn.IFNA(VLOOKUP($AH235,Programma!$F$3:$S$1101,14,0),"")</f>
        <v/>
      </c>
      <c r="AV235" s="142" t="str">
        <f>_xlfn.IFNA(VLOOKUP($AH235,Programma!$F$3:$T$1101,15,0),"")</f>
        <v/>
      </c>
      <c r="AW235" s="142" t="str">
        <f>_xlfn.IFNA(VLOOKUP($AH235,Programma!$F$3:$U$1101,16,0),"")</f>
        <v/>
      </c>
      <c r="AX235" s="142" t="str">
        <f>_xlfn.IFNA(VLOOKUP($AH235,Programma!$F$3:$V$1101,17,0),"")</f>
        <v/>
      </c>
      <c r="AY235" s="142" t="str">
        <f>_xlfn.IFNA(VLOOKUP($AH235,Programma!$F$3:$W$1101,18,0),"")</f>
        <v/>
      </c>
      <c r="AZ235" s="142" t="str">
        <f>_xlfn.IFNA(VLOOKUP($AH235,Programma!$F$3:$X$1101,19,0),"")</f>
        <v/>
      </c>
      <c r="BA235" s="142" t="str">
        <f>_xlfn.IFNA(VLOOKUP($AH235,Programma!$F$3:$Y$1101,20,0),"")</f>
        <v/>
      </c>
      <c r="BB235" s="138"/>
      <c r="BC235" s="137" t="str">
        <f>IF(Ruimtestaat[[#This Row],[Frequentie weekend]]="","",_xlfn.CONCAT(Ruimtestaat[[#This Row],[Ruimte code]],"-",Ruimtestaat[[#This Row],[Frequentie weekend]]," ",Ruimtestaat[[#This Row],[Vloer code]]))</f>
        <v/>
      </c>
      <c r="BD235" s="142" t="str">
        <f>_xlfn.IFNA(VLOOKUP($BC235,Programma!$F$3:$G$1101,2,0),"")</f>
        <v/>
      </c>
      <c r="BE235" s="142" t="str">
        <f>_xlfn.IFNA(VLOOKUP($BC235,Programma!$F$3:$H$1101,3,0),"")</f>
        <v/>
      </c>
      <c r="BF235" s="142" t="str">
        <f>_xlfn.IFNA(VLOOKUP($BC235,Programma!$F$3:$I$1101,4,0),"")</f>
        <v/>
      </c>
      <c r="BG235" s="142" t="str">
        <f>_xlfn.IFNA(VLOOKUP($BC235,Programma!$F$3:$J$1101,5,0),"")</f>
        <v/>
      </c>
      <c r="BH235" s="142" t="str">
        <f>_xlfn.IFNA(VLOOKUP($BC235,Programma!$F$3:$K$1101,6,0),"")</f>
        <v/>
      </c>
      <c r="BI235" s="142" t="str">
        <f>_xlfn.IFNA(VLOOKUP($BC235,Programma!$F$3:$L$1101,7,0),"")</f>
        <v/>
      </c>
      <c r="BJ235" s="142" t="str">
        <f>_xlfn.IFNA(VLOOKUP($BC235,Programma!$F$3:$M$1101,8,0),"")</f>
        <v/>
      </c>
      <c r="BK235" s="142" t="str">
        <f>_xlfn.IFNA(VLOOKUP($BC235,Programma!$F$3:$N$1101,9,0),"")</f>
        <v/>
      </c>
      <c r="BL235" s="142" t="str">
        <f>_xlfn.IFNA(VLOOKUP($BC235,Programma!$F$3:$O$1101,10,0),"")</f>
        <v/>
      </c>
      <c r="BM235" s="142" t="str">
        <f>_xlfn.IFNA(VLOOKUP($BC235,Programma!$F$3:$P$1101,11,0),"")</f>
        <v/>
      </c>
      <c r="BN235" s="142" t="str">
        <f>_xlfn.IFNA(VLOOKUP($BC235,Programma!$F$3:$Q$1101,12,0),"")</f>
        <v/>
      </c>
      <c r="BO235" s="142" t="str">
        <f>_xlfn.IFNA(VLOOKUP($BC235,Programma!$F$3:$R$1101,13,0),"")</f>
        <v/>
      </c>
      <c r="BP235" s="142" t="str">
        <f>_xlfn.IFNA(VLOOKUP($BC235,Programma!$F$3:$S$1101,14,0),"")</f>
        <v/>
      </c>
      <c r="BQ235" s="142" t="str">
        <f>_xlfn.IFNA(VLOOKUP($BC235,Programma!$F$3:$T$1101,15,0),"")</f>
        <v/>
      </c>
      <c r="BR235" s="142" t="str">
        <f>_xlfn.IFNA(VLOOKUP($BC235,Programma!$F$3:$U$1101,16,0),"")</f>
        <v/>
      </c>
      <c r="BS235" s="142" t="str">
        <f>_xlfn.IFNA(VLOOKUP($BC235,Programma!$F$3:$V$1101,17,0),"")</f>
        <v/>
      </c>
      <c r="BT235" s="142" t="str">
        <f>_xlfn.IFNA(VLOOKUP($BC235,Programma!$F$3:$W$1101,18,0),"")</f>
        <v/>
      </c>
      <c r="BU235" s="142" t="str">
        <f>_xlfn.IFNA(VLOOKUP($BC235,Programma!$F$3:$X$1101,19,0),"")</f>
        <v/>
      </c>
      <c r="BV235" s="142" t="str">
        <f>_xlfn.IFNA(VLOOKUP($BC235,Programma!$F$3:$Y$1101,20,0),"")</f>
        <v/>
      </c>
      <c r="BW235" s="28"/>
      <c r="BX235" s="28"/>
      <c r="BY235" s="28"/>
      <c r="BZ235" s="28"/>
      <c r="CA235" s="28"/>
      <c r="CB235" s="28"/>
      <c r="CC235" s="28"/>
      <c r="CD235" s="28"/>
      <c r="CE235" s="28"/>
      <c r="CF235" s="28"/>
      <c r="CG235" s="28"/>
      <c r="CH235" s="28"/>
      <c r="CI235" s="28"/>
      <c r="CJ235" s="28"/>
      <c r="CK235" s="28"/>
      <c r="CL235" s="28"/>
      <c r="CM235" s="28"/>
      <c r="CN235" s="28"/>
      <c r="CO235" s="28"/>
      <c r="CP235" s="28"/>
      <c r="CQ235" s="28"/>
      <c r="CR235" s="28"/>
      <c r="CS235" s="28"/>
      <c r="CT235" s="28"/>
      <c r="CU235" s="28"/>
      <c r="CV235" s="28"/>
      <c r="CW235" s="28"/>
      <c r="CX235" s="28"/>
      <c r="CY235" s="28"/>
      <c r="CZ235" s="28"/>
      <c r="DA235" s="28"/>
      <c r="DB235" s="28"/>
      <c r="DC235" s="28"/>
      <c r="DD235" s="28"/>
      <c r="DE235" s="28"/>
      <c r="DF235" s="28"/>
      <c r="DG235" s="28"/>
      <c r="DH235" s="28"/>
      <c r="DI235" s="28"/>
      <c r="DJ235" s="28"/>
      <c r="DK235" s="28"/>
      <c r="DL235" s="28"/>
      <c r="DM235" s="28"/>
      <c r="DN235" s="28"/>
      <c r="DO235" s="28"/>
      <c r="DP235" s="28"/>
      <c r="DQ235" s="28"/>
      <c r="DR235" s="28"/>
      <c r="DS235" s="28"/>
      <c r="DT235" s="28"/>
      <c r="DU235" s="28"/>
      <c r="DV235" s="28"/>
      <c r="DW235" s="28"/>
      <c r="DX235" s="28"/>
      <c r="DY235" s="28"/>
      <c r="DZ235" s="28"/>
      <c r="EA235" s="28"/>
      <c r="EB235" s="28"/>
      <c r="EC235" s="28"/>
      <c r="ED235" s="28"/>
      <c r="EE235" s="28"/>
      <c r="EF235" s="28"/>
      <c r="EG235" s="28"/>
      <c r="EH235" s="28"/>
      <c r="EI235" s="28"/>
      <c r="EJ235" s="28"/>
      <c r="EK235" s="28"/>
      <c r="EL235" s="28"/>
      <c r="EM235" s="28"/>
      <c r="EN235" s="28"/>
      <c r="EO235" s="28"/>
      <c r="EP235" s="28"/>
      <c r="EQ235" s="28"/>
      <c r="ER235" s="28"/>
      <c r="ES235" s="28"/>
      <c r="ET235" s="28"/>
      <c r="EU235" s="28"/>
      <c r="EV235" s="28"/>
      <c r="EW235" s="28"/>
      <c r="EX235" s="28"/>
      <c r="EY235" s="28"/>
      <c r="EZ235" s="28"/>
      <c r="FA235" s="28"/>
      <c r="FB235" s="28"/>
      <c r="FC235" s="28"/>
      <c r="FD235" s="28"/>
      <c r="FE235" s="28"/>
      <c r="FF235" s="28"/>
      <c r="FG235" s="28"/>
      <c r="FH235" s="28"/>
      <c r="FI235" s="28"/>
      <c r="FJ235" s="28"/>
      <c r="FK235" s="28"/>
      <c r="FL235" s="28"/>
      <c r="FM235" s="28"/>
      <c r="FN235" s="28"/>
      <c r="FO235" s="28"/>
      <c r="FP235" s="28"/>
      <c r="FQ235" s="28"/>
      <c r="FR235" s="28"/>
      <c r="FS235" s="28"/>
      <c r="FT235" s="28"/>
      <c r="FU235" s="28"/>
      <c r="FV235" s="28"/>
      <c r="FW235" s="28"/>
      <c r="FX235" s="28"/>
      <c r="FY235" s="28"/>
      <c r="FZ235" s="28"/>
      <c r="GA235" s="28"/>
      <c r="GB235" s="28"/>
      <c r="GC235" s="28"/>
      <c r="GD235" s="28"/>
      <c r="GE235" s="28"/>
      <c r="GF235" s="28"/>
      <c r="GG235" s="28"/>
      <c r="GH235" s="28"/>
      <c r="GI235" s="28"/>
      <c r="GJ235" s="28"/>
      <c r="GK235" s="28"/>
      <c r="GL235" s="28"/>
      <c r="GM235" s="28"/>
      <c r="GN235" s="28"/>
      <c r="GO235" s="28"/>
      <c r="GP235" s="28"/>
      <c r="GQ235" s="28"/>
      <c r="GR235" s="28"/>
      <c r="GS235" s="28"/>
      <c r="GT235" s="28"/>
      <c r="GU235" s="28"/>
      <c r="GV235" s="28"/>
      <c r="GW235" s="28"/>
      <c r="GX235" s="28"/>
      <c r="GY235" s="28"/>
      <c r="GZ235" s="28"/>
      <c r="HA235" s="28"/>
      <c r="HB235" s="28"/>
      <c r="HC235" s="28"/>
      <c r="HD235" s="28"/>
      <c r="HE235" s="28"/>
      <c r="HF235" s="28"/>
      <c r="HG235" s="28"/>
      <c r="HH235" s="28"/>
      <c r="HI235" s="28"/>
      <c r="HJ235" s="28"/>
      <c r="HK235" s="28"/>
    </row>
    <row r="236" spans="1:219" ht="15" customHeight="1">
      <c r="A236" s="49">
        <v>2</v>
      </c>
      <c r="B236" s="132" t="str">
        <f>VLOOKUP(Ruimtestaat[[#This Row],[Code]],Locaties[[Code]:[Locatie]],2,FALSE)</f>
        <v>Pauluskerk</v>
      </c>
      <c r="C236" s="132" t="str">
        <f>VLOOKUP(Ruimtestaat[[#This Row],[Code]],Locaties[[#All],[Code]:[Adres]],4,FALSE)</f>
        <v>Westdorplaan 122</v>
      </c>
      <c r="D236" s="132" t="str">
        <f>VLOOKUP(Ruimtestaat[[#This Row],[Code]],Locaties[[#All],[Code]:[Postcode]],5,FALSE)</f>
        <v>8101 BJ</v>
      </c>
      <c r="E236" s="132" t="str">
        <f>VLOOKUP(Ruimtestaat[[#This Row],[Code]],Locaties[#All],6,FALSE)</f>
        <v>Raalte</v>
      </c>
      <c r="F236" s="140"/>
      <c r="G236" s="49" t="s">
        <v>1677</v>
      </c>
      <c r="H236" s="49" t="s">
        <v>1746</v>
      </c>
      <c r="I236" s="140" t="s">
        <v>1650</v>
      </c>
      <c r="J236" s="49">
        <v>6</v>
      </c>
      <c r="K236" s="140" t="str">
        <f>VLOOKUP(Ruimtestaat[[#This Row],[Ruimte code]],Ruimtegroepen[[#All],[Code]:[Ruimte omschrijving]],2,FALSE)</f>
        <v>Gangen/hallen</v>
      </c>
      <c r="L236" s="100" t="s">
        <v>99</v>
      </c>
      <c r="M236" s="345" t="s">
        <v>36</v>
      </c>
      <c r="N236" s="133">
        <v>10.18</v>
      </c>
      <c r="O236" s="139"/>
      <c r="P236" s="134" t="str">
        <f>VLOOKUP(Ruimtestaat[[#This Row],[Ruimte code]],Ruimtegroepen[],4,FALSE)</f>
        <v>Ve</v>
      </c>
      <c r="Q236" s="100">
        <v>51</v>
      </c>
      <c r="R236" s="100" t="s">
        <v>2</v>
      </c>
      <c r="S236" s="100">
        <f>IF(Q236&gt;0,IF(RIGHT(Ruimtestaat[[#This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36" s="100">
        <f>IF(S236&gt;0,VLOOKUP($J236,Ruimtegroepen[],3,FALSE)*VLOOKUP($L236,Vloersoorten[],3,FALSE)*VLOOKUP($R236,Frequenties[],3,FALSE)*VLOOKUP($A236,Locaties[],3,FALSE),0)</f>
        <v>0</v>
      </c>
      <c r="U236" s="100">
        <f>Ruimtestaat[[#This Row],[Uitvoeringen werkdagen]]*Ruimtestaat[[#This Row],[Oppervlak (netto)]]</f>
        <v>2595.9</v>
      </c>
      <c r="V236" s="135">
        <f>IF(T236&gt;0,Ruimtestaat[[#This Row],[Prest. (m2 /jaar) werkdagen]]/Ruimtestaat[[#This Row],[Norm (m2/uur) werkdagen]],0)</f>
        <v>0</v>
      </c>
      <c r="W236" s="136">
        <f>Ruimtestaat[[#This Row],[uren / jaar werkdagen]]*Tariefsopbouw!$E$35</f>
        <v>0</v>
      </c>
      <c r="X236" s="100"/>
      <c r="Y236" s="100">
        <f>IF(Ruimtestaat[[#This Row],[Frequentie weekend]]&gt;0,VALUE(LEFT(X236,1))*Q236,0)</f>
        <v>0</v>
      </c>
      <c r="Z236" s="99">
        <f>IF($Y236&gt;0,VLOOKUP($J236,Ruimtegroepen[],3,FALSE)*VLOOKUP($L236,Vloersoorten[],3,FALSE)*VLOOKUP($X236,Frequenties[],3,FALSE)*VLOOKUP(Ruimtestaat[[#This Row],[Code]],Locaties[],3,FALSE),0)</f>
        <v>0</v>
      </c>
      <c r="AA236" s="99">
        <f>Ruimtestaat[[#This Row],[Uitvoeringen weekend]]*Ruimtestaat[[#This Row],[Oppervlak (netto)]]</f>
        <v>0</v>
      </c>
      <c r="AB236" s="99">
        <f>IF(Z236&gt;0,Ruimtestaat[[#This Row],[Prest. (m2 /jaar) weekend]]/Ruimtestaat[[#This Row],[Norm (m2/uur) weekend]],0)</f>
        <v>0</v>
      </c>
      <c r="AC236" s="136">
        <f>Ruimtestaat[[#This Row],[uren / jaar weekend]]*Tariefsopbouw!$D$40</f>
        <v>0</v>
      </c>
      <c r="AD236" s="135">
        <f>Ruimtestaat[[#This Row],[Prest. (m2 /jaar) weekend]]+Ruimtestaat[[#This Row],[Prest. (m2 /jaar) werkdagen]]</f>
        <v>2595.9</v>
      </c>
      <c r="AE236" s="135">
        <f>Ruimtestaat[[#This Row],[uren / jaar weekend]]+Ruimtestaat[[#This Row],[uren / jaar werkdagen]]</f>
        <v>0</v>
      </c>
      <c r="AF236" s="130">
        <f>Ruimtestaat[[#This Row],[kosten / jaar weekend]]+Ruimtestaat[[#This Row],[kosten / jaar werkdagen]]</f>
        <v>0</v>
      </c>
      <c r="AG236" s="130"/>
      <c r="AH236" s="137" t="str">
        <f>IF(Ruimtestaat[[#This Row],[Frequentie werkdagen]]="","",_xlfn.CONCAT(Ruimtestaat[[#This Row],[Ruimte code]],"-",Ruimtestaat[[#This Row],[Frequentie werkdagen]]," ",Ruimtestaat[[#This Row],[Vloer code]]))</f>
        <v>6-5w T</v>
      </c>
      <c r="AI236" s="142" t="str">
        <f>_xlfn.IFNA(VLOOKUP($AH236,Programma!$F$3:$G$1101,2,0),"")</f>
        <v>_</v>
      </c>
      <c r="AJ236" s="142" t="str">
        <f>_xlfn.IFNA(VLOOKUP($AH236,Programma!$F$3:$H$1101,3,0),"")</f>
        <v>5w</v>
      </c>
      <c r="AK236" s="142" t="str">
        <f>_xlfn.IFNA(VLOOKUP($AH236,Programma!$F$3:$I$1101,4,0),"")</f>
        <v>_</v>
      </c>
      <c r="AL236" s="142" t="str">
        <f>_xlfn.IFNA(VLOOKUP($AH236,Programma!$F$3:$J$1101,5,0),"")</f>
        <v>_</v>
      </c>
      <c r="AM236" s="142" t="str">
        <f>_xlfn.IFNA(VLOOKUP($AH236,Programma!$F$3:$K$1101,6,0),"")</f>
        <v>_</v>
      </c>
      <c r="AN236" s="142" t="str">
        <f>_xlfn.IFNA(VLOOKUP($AH236,Programma!$F$3:$L$1101,7,0),"")</f>
        <v>_</v>
      </c>
      <c r="AO236" s="142" t="str">
        <f>_xlfn.IFNA(VLOOKUP($AH236,Programma!$F$3:$M$1101,8,0),"")</f>
        <v>_</v>
      </c>
      <c r="AP236" s="142" t="str">
        <f>_xlfn.IFNA(VLOOKUP($AH236,Programma!$F$3:$N$1101,9,0),"")</f>
        <v>_</v>
      </c>
      <c r="AQ236" s="142" t="str">
        <f>_xlfn.IFNA(VLOOKUP($AH236,Programma!$F$3:$O$1101,10,0),"")</f>
        <v>5w</v>
      </c>
      <c r="AR236" s="142" t="str">
        <f>_xlfn.IFNA(VLOOKUP($AH236,Programma!$F$3:$P$1101,11,0),"")</f>
        <v>5w</v>
      </c>
      <c r="AS236" s="142" t="str">
        <f>_xlfn.IFNA(VLOOKUP($AH236,Programma!$F$3:$Q$1101,12,0),"")</f>
        <v>1w</v>
      </c>
      <c r="AT236" s="142" t="str">
        <f>_xlfn.IFNA(VLOOKUP($AH236,Programma!$F$3:$R$1101,13,0),"")</f>
        <v>1w</v>
      </c>
      <c r="AU236" s="142" t="str">
        <f>_xlfn.IFNA(VLOOKUP($AH236,Programma!$F$3:$S$1101,14,0),"")</f>
        <v>1m</v>
      </c>
      <c r="AV236" s="142" t="str">
        <f>_xlfn.IFNA(VLOOKUP($AH236,Programma!$F$3:$T$1101,15,0),"")</f>
        <v>2j</v>
      </c>
      <c r="AW236" s="142" t="str">
        <f>_xlfn.IFNA(VLOOKUP($AH236,Programma!$F$3:$U$1101,16,0),"")</f>
        <v>1j</v>
      </c>
      <c r="AX236" s="142" t="str">
        <f>_xlfn.IFNA(VLOOKUP($AH236,Programma!$F$3:$V$1101,17,0),"")</f>
        <v>_</v>
      </c>
      <c r="AY236" s="142" t="str">
        <f>_xlfn.IFNA(VLOOKUP($AH236,Programma!$F$3:$W$1101,18,0),"")</f>
        <v>_</v>
      </c>
      <c r="AZ236" s="142" t="str">
        <f>_xlfn.IFNA(VLOOKUP($AH236,Programma!$F$3:$X$1101,19,0),"")</f>
        <v>_</v>
      </c>
      <c r="BA236" s="142" t="str">
        <f>_xlfn.IFNA(VLOOKUP($AH236,Programma!$F$3:$Y$1101,20,0),"")</f>
        <v>_</v>
      </c>
      <c r="BB236" s="138"/>
      <c r="BC236" s="137" t="str">
        <f>IF(Ruimtestaat[[#This Row],[Frequentie weekend]]="","",_xlfn.CONCAT(Ruimtestaat[[#This Row],[Ruimte code]],"-",Ruimtestaat[[#This Row],[Frequentie weekend]]," ",Ruimtestaat[[#This Row],[Vloer code]]))</f>
        <v/>
      </c>
      <c r="BD236" s="142" t="str">
        <f>_xlfn.IFNA(VLOOKUP($BC236,Programma!$F$3:$G$1101,2,0),"")</f>
        <v/>
      </c>
      <c r="BE236" s="142" t="str">
        <f>_xlfn.IFNA(VLOOKUP($BC236,Programma!$F$3:$H$1101,3,0),"")</f>
        <v/>
      </c>
      <c r="BF236" s="142" t="str">
        <f>_xlfn.IFNA(VLOOKUP($BC236,Programma!$F$3:$I$1101,4,0),"")</f>
        <v/>
      </c>
      <c r="BG236" s="142" t="str">
        <f>_xlfn.IFNA(VLOOKUP($BC236,Programma!$F$3:$J$1101,5,0),"")</f>
        <v/>
      </c>
      <c r="BH236" s="142" t="str">
        <f>_xlfn.IFNA(VLOOKUP($BC236,Programma!$F$3:$K$1101,6,0),"")</f>
        <v/>
      </c>
      <c r="BI236" s="142" t="str">
        <f>_xlfn.IFNA(VLOOKUP($BC236,Programma!$F$3:$L$1101,7,0),"")</f>
        <v/>
      </c>
      <c r="BJ236" s="142" t="str">
        <f>_xlfn.IFNA(VLOOKUP($BC236,Programma!$F$3:$M$1101,8,0),"")</f>
        <v/>
      </c>
      <c r="BK236" s="142" t="str">
        <f>_xlfn.IFNA(VLOOKUP($BC236,Programma!$F$3:$N$1101,9,0),"")</f>
        <v/>
      </c>
      <c r="BL236" s="142" t="str">
        <f>_xlfn.IFNA(VLOOKUP($BC236,Programma!$F$3:$O$1101,10,0),"")</f>
        <v/>
      </c>
      <c r="BM236" s="142" t="str">
        <f>_xlfn.IFNA(VLOOKUP($BC236,Programma!$F$3:$P$1101,11,0),"")</f>
        <v/>
      </c>
      <c r="BN236" s="142" t="str">
        <f>_xlfn.IFNA(VLOOKUP($BC236,Programma!$F$3:$Q$1101,12,0),"")</f>
        <v/>
      </c>
      <c r="BO236" s="142" t="str">
        <f>_xlfn.IFNA(VLOOKUP($BC236,Programma!$F$3:$R$1101,13,0),"")</f>
        <v/>
      </c>
      <c r="BP236" s="142" t="str">
        <f>_xlfn.IFNA(VLOOKUP($BC236,Programma!$F$3:$S$1101,14,0),"")</f>
        <v/>
      </c>
      <c r="BQ236" s="142" t="str">
        <f>_xlfn.IFNA(VLOOKUP($BC236,Programma!$F$3:$T$1101,15,0),"")</f>
        <v/>
      </c>
      <c r="BR236" s="142" t="str">
        <f>_xlfn.IFNA(VLOOKUP($BC236,Programma!$F$3:$U$1101,16,0),"")</f>
        <v/>
      </c>
      <c r="BS236" s="142" t="str">
        <f>_xlfn.IFNA(VLOOKUP($BC236,Programma!$F$3:$V$1101,17,0),"")</f>
        <v/>
      </c>
      <c r="BT236" s="142" t="str">
        <f>_xlfn.IFNA(VLOOKUP($BC236,Programma!$F$3:$W$1101,18,0),"")</f>
        <v/>
      </c>
      <c r="BU236" s="142" t="str">
        <f>_xlfn.IFNA(VLOOKUP($BC236,Programma!$F$3:$X$1101,19,0),"")</f>
        <v/>
      </c>
      <c r="BV236" s="142" t="str">
        <f>_xlfn.IFNA(VLOOKUP($BC236,Programma!$F$3:$Y$1101,20,0),"")</f>
        <v/>
      </c>
      <c r="BW236" s="28"/>
      <c r="BX236" s="28"/>
      <c r="BY236" s="28"/>
      <c r="BZ236" s="28"/>
      <c r="CA236" s="28"/>
      <c r="CB236" s="28"/>
      <c r="CC236" s="28"/>
      <c r="CD236" s="28"/>
      <c r="CE236" s="28"/>
      <c r="CF236" s="28"/>
      <c r="CG236" s="28"/>
      <c r="CH236" s="28"/>
      <c r="CI236" s="28"/>
      <c r="CJ236" s="28"/>
      <c r="CK236" s="28"/>
      <c r="CL236" s="28"/>
      <c r="CM236" s="28"/>
      <c r="CN236" s="28"/>
      <c r="CO236" s="28"/>
      <c r="CP236" s="28"/>
      <c r="CQ236" s="28"/>
      <c r="CR236" s="28"/>
      <c r="CS236" s="28"/>
      <c r="CT236" s="28"/>
      <c r="CU236" s="28"/>
      <c r="CV236" s="28"/>
      <c r="CW236" s="28"/>
      <c r="CX236" s="28"/>
      <c r="CY236" s="28"/>
      <c r="CZ236" s="28"/>
      <c r="DA236" s="28"/>
      <c r="DB236" s="28"/>
      <c r="DC236" s="28"/>
      <c r="DD236" s="28"/>
      <c r="DE236" s="28"/>
      <c r="DF236" s="28"/>
      <c r="DG236" s="28"/>
      <c r="DH236" s="28"/>
      <c r="DI236" s="28"/>
      <c r="DJ236" s="28"/>
      <c r="DK236" s="28"/>
      <c r="DL236" s="28"/>
      <c r="DM236" s="28"/>
      <c r="DN236" s="28"/>
      <c r="DO236" s="28"/>
      <c r="DP236" s="28"/>
      <c r="DQ236" s="28"/>
      <c r="DR236" s="28"/>
      <c r="DS236" s="28"/>
      <c r="DT236" s="28"/>
      <c r="DU236" s="28"/>
      <c r="DV236" s="28"/>
      <c r="DW236" s="28"/>
      <c r="DX236" s="28"/>
      <c r="DY236" s="28"/>
      <c r="DZ236" s="28"/>
      <c r="EA236" s="28"/>
      <c r="EB236" s="28"/>
      <c r="EC236" s="28"/>
      <c r="ED236" s="28"/>
      <c r="EE236" s="28"/>
      <c r="EF236" s="28"/>
      <c r="EG236" s="28"/>
      <c r="EH236" s="28"/>
      <c r="EI236" s="28"/>
      <c r="EJ236" s="28"/>
      <c r="EK236" s="28"/>
      <c r="EL236" s="28"/>
      <c r="EM236" s="28"/>
      <c r="EN236" s="28"/>
      <c r="EO236" s="28"/>
      <c r="EP236" s="28"/>
      <c r="EQ236" s="28"/>
      <c r="ER236" s="28"/>
      <c r="ES236" s="28"/>
      <c r="ET236" s="28"/>
      <c r="EU236" s="28"/>
      <c r="EV236" s="28"/>
      <c r="EW236" s="28"/>
      <c r="EX236" s="28"/>
      <c r="EY236" s="28"/>
      <c r="EZ236" s="28"/>
      <c r="FA236" s="28"/>
      <c r="FB236" s="28"/>
      <c r="FC236" s="28"/>
      <c r="FD236" s="28"/>
      <c r="FE236" s="28"/>
      <c r="FF236" s="28"/>
      <c r="FG236" s="28"/>
      <c r="FH236" s="28"/>
      <c r="FI236" s="28"/>
      <c r="FJ236" s="28"/>
      <c r="FK236" s="28"/>
      <c r="FL236" s="28"/>
      <c r="FM236" s="28"/>
      <c r="FN236" s="28"/>
      <c r="FO236" s="28"/>
      <c r="FP236" s="28"/>
      <c r="FQ236" s="28"/>
      <c r="FR236" s="28"/>
      <c r="FS236" s="28"/>
      <c r="FT236" s="28"/>
      <c r="FU236" s="28"/>
      <c r="FV236" s="28"/>
      <c r="FW236" s="28"/>
      <c r="FX236" s="28"/>
      <c r="FY236" s="28"/>
      <c r="FZ236" s="28"/>
      <c r="GA236" s="28"/>
      <c r="GB236" s="28"/>
      <c r="GC236" s="28"/>
      <c r="GD236" s="28"/>
      <c r="GE236" s="28"/>
      <c r="GF236" s="28"/>
      <c r="GG236" s="28"/>
      <c r="GH236" s="28"/>
      <c r="GI236" s="28"/>
      <c r="GJ236" s="28"/>
      <c r="GK236" s="28"/>
      <c r="GL236" s="28"/>
      <c r="GM236" s="28"/>
      <c r="GN236" s="28"/>
      <c r="GO236" s="28"/>
      <c r="GP236" s="28"/>
      <c r="GQ236" s="28"/>
      <c r="GR236" s="28"/>
      <c r="GS236" s="28"/>
      <c r="GT236" s="28"/>
      <c r="GU236" s="28"/>
      <c r="GV236" s="28"/>
      <c r="GW236" s="28"/>
      <c r="GX236" s="28"/>
      <c r="GY236" s="28"/>
      <c r="GZ236" s="28"/>
      <c r="HA236" s="28"/>
      <c r="HB236" s="28"/>
      <c r="HC236" s="28"/>
      <c r="HD236" s="28"/>
      <c r="HE236" s="28"/>
      <c r="HF236" s="28"/>
      <c r="HG236" s="28"/>
      <c r="HH236" s="28"/>
      <c r="HI236" s="28"/>
      <c r="HJ236" s="28"/>
      <c r="HK236" s="28"/>
    </row>
    <row r="237" spans="1:219" ht="15" customHeight="1">
      <c r="A237" s="49">
        <v>2</v>
      </c>
      <c r="B237" s="132" t="str">
        <f>VLOOKUP(Ruimtestaat[[#This Row],[Code]],Locaties[[Code]:[Locatie]],2,FALSE)</f>
        <v>Pauluskerk</v>
      </c>
      <c r="C237" s="132" t="str">
        <f>VLOOKUP(Ruimtestaat[[#This Row],[Code]],Locaties[[#All],[Code]:[Adres]],4,FALSE)</f>
        <v>Westdorplaan 122</v>
      </c>
      <c r="D237" s="132" t="str">
        <f>VLOOKUP(Ruimtestaat[[#This Row],[Code]],Locaties[[#All],[Code]:[Postcode]],5,FALSE)</f>
        <v>8101 BJ</v>
      </c>
      <c r="E237" s="132" t="str">
        <f>VLOOKUP(Ruimtestaat[[#This Row],[Code]],Locaties[#All],6,FALSE)</f>
        <v>Raalte</v>
      </c>
      <c r="F237" s="140"/>
      <c r="G237" s="49" t="s">
        <v>1677</v>
      </c>
      <c r="H237" s="49" t="s">
        <v>1747</v>
      </c>
      <c r="I237" s="140" t="s">
        <v>1742</v>
      </c>
      <c r="J237" s="49">
        <v>5</v>
      </c>
      <c r="K237" s="140" t="str">
        <f>VLOOKUP(Ruimtestaat[[#This Row],[Ruimte code]],Ruimtegroepen[[#All],[Code]:[Ruimte omschrijving]],2,FALSE)</f>
        <v>Sanitair</v>
      </c>
      <c r="L237" s="100" t="s">
        <v>101</v>
      </c>
      <c r="M237" s="345" t="s">
        <v>1642</v>
      </c>
      <c r="N237" s="133">
        <v>1.08</v>
      </c>
      <c r="O237" s="139"/>
      <c r="P237" s="134" t="str">
        <f>VLOOKUP(Ruimtestaat[[#This Row],[Ruimte code]],Ruimtegroepen[],4,FALSE)</f>
        <v>Sa</v>
      </c>
      <c r="Q237" s="100">
        <v>51</v>
      </c>
      <c r="R237" s="100" t="s">
        <v>2</v>
      </c>
      <c r="S237" s="100">
        <f>IF(Q237&gt;0,IF(RIGHT(Ruimtestaat[[#This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37" s="100">
        <f>IF(S237&gt;0,VLOOKUP($J237,Ruimtegroepen[],3,FALSE)*VLOOKUP($L237,Vloersoorten[],3,FALSE)*VLOOKUP($R237,Frequenties[],3,FALSE)*VLOOKUP($A237,Locaties[],3,FALSE),0)</f>
        <v>0</v>
      </c>
      <c r="U237" s="100">
        <f>Ruimtestaat[[#This Row],[Uitvoeringen werkdagen]]*Ruimtestaat[[#This Row],[Oppervlak (netto)]]</f>
        <v>275.40000000000003</v>
      </c>
      <c r="V237" s="135">
        <f>IF(T237&gt;0,Ruimtestaat[[#This Row],[Prest. (m2 /jaar) werkdagen]]/Ruimtestaat[[#This Row],[Norm (m2/uur) werkdagen]],0)</f>
        <v>0</v>
      </c>
      <c r="W237" s="136">
        <f>Ruimtestaat[[#This Row],[uren / jaar werkdagen]]*Tariefsopbouw!$E$35</f>
        <v>0</v>
      </c>
      <c r="X237" s="100"/>
      <c r="Y237" s="100">
        <f>IF(Ruimtestaat[[#This Row],[Frequentie weekend]]&gt;0,VALUE(LEFT(X237,1))*Q237,0)</f>
        <v>0</v>
      </c>
      <c r="Z237" s="99">
        <f>IF($Y237&gt;0,VLOOKUP($J237,Ruimtegroepen[],3,FALSE)*VLOOKUP($L237,Vloersoorten[],3,FALSE)*VLOOKUP($X237,Frequenties[],3,FALSE)*VLOOKUP(Ruimtestaat[[#This Row],[Code]],Locaties[],3,FALSE),0)</f>
        <v>0</v>
      </c>
      <c r="AA237" s="99">
        <f>Ruimtestaat[[#This Row],[Uitvoeringen weekend]]*Ruimtestaat[[#This Row],[Oppervlak (netto)]]</f>
        <v>0</v>
      </c>
      <c r="AB237" s="99">
        <f>IF(Z237&gt;0,Ruimtestaat[[#This Row],[Prest. (m2 /jaar) weekend]]/Ruimtestaat[[#This Row],[Norm (m2/uur) weekend]],0)</f>
        <v>0</v>
      </c>
      <c r="AC237" s="136">
        <f>Ruimtestaat[[#This Row],[uren / jaar weekend]]*Tariefsopbouw!$D$40</f>
        <v>0</v>
      </c>
      <c r="AD237" s="135">
        <f>Ruimtestaat[[#This Row],[Prest. (m2 /jaar) weekend]]+Ruimtestaat[[#This Row],[Prest. (m2 /jaar) werkdagen]]</f>
        <v>275.40000000000003</v>
      </c>
      <c r="AE237" s="135">
        <f>Ruimtestaat[[#This Row],[uren / jaar weekend]]+Ruimtestaat[[#This Row],[uren / jaar werkdagen]]</f>
        <v>0</v>
      </c>
      <c r="AF237" s="130">
        <f>Ruimtestaat[[#This Row],[kosten / jaar weekend]]+Ruimtestaat[[#This Row],[kosten / jaar werkdagen]]</f>
        <v>0</v>
      </c>
      <c r="AG237" s="130"/>
      <c r="AH237" s="137" t="str">
        <f>IF(Ruimtestaat[[#This Row],[Frequentie werkdagen]]="","",_xlfn.CONCAT(Ruimtestaat[[#This Row],[Ruimte code]],"-",Ruimtestaat[[#This Row],[Frequentie werkdagen]]," ",Ruimtestaat[[#This Row],[Vloer code]]))</f>
        <v>5-5w S</v>
      </c>
      <c r="AI237" s="142" t="str">
        <f>_xlfn.IFNA(VLOOKUP($AH237,Programma!$F$3:$G$1101,2,0),"")</f>
        <v>_</v>
      </c>
      <c r="AJ237" s="142" t="str">
        <f>_xlfn.IFNA(VLOOKUP($AH237,Programma!$F$3:$H$1101,3,0),"")</f>
        <v>_</v>
      </c>
      <c r="AK237" s="142" t="str">
        <f>_xlfn.IFNA(VLOOKUP($AH237,Programma!$F$3:$I$1101,4,0),"")</f>
        <v>_</v>
      </c>
      <c r="AL237" s="142" t="str">
        <f>_xlfn.IFNA(VLOOKUP($AH237,Programma!$F$3:$J$1101,5,0),"")</f>
        <v>4w</v>
      </c>
      <c r="AM237" s="142" t="str">
        <f>_xlfn.IFNA(VLOOKUP($AH237,Programma!$F$3:$K$1101,6,0),"")</f>
        <v>1w</v>
      </c>
      <c r="AN237" s="142" t="str">
        <f>_xlfn.IFNA(VLOOKUP($AH237,Programma!$F$3:$L$1101,7,0),"")</f>
        <v>_</v>
      </c>
      <c r="AO237" s="142" t="str">
        <f>_xlfn.IFNA(VLOOKUP($AH237,Programma!$F$3:$M$1101,8,0),"")</f>
        <v>_</v>
      </c>
      <c r="AP237" s="142" t="str">
        <f>_xlfn.IFNA(VLOOKUP($AH237,Programma!$F$3:$N$1101,9,0),"")</f>
        <v>_</v>
      </c>
      <c r="AQ237" s="142" t="str">
        <f>_xlfn.IFNA(VLOOKUP($AH237,Programma!$F$3:$O$1101,10,0),"")</f>
        <v>_</v>
      </c>
      <c r="AR237" s="142" t="str">
        <f>_xlfn.IFNA(VLOOKUP($AH237,Programma!$F$3:$P$1101,11,0),"")</f>
        <v>_</v>
      </c>
      <c r="AS237" s="142" t="str">
        <f>_xlfn.IFNA(VLOOKUP($AH237,Programma!$F$3:$Q$1101,12,0),"")</f>
        <v>_</v>
      </c>
      <c r="AT237" s="142" t="str">
        <f>_xlfn.IFNA(VLOOKUP($AH237,Programma!$F$3:$R$1101,13,0),"")</f>
        <v>_</v>
      </c>
      <c r="AU237" s="142" t="str">
        <f>_xlfn.IFNA(VLOOKUP($AH237,Programma!$F$3:$S$1101,14,0),"")</f>
        <v>_</v>
      </c>
      <c r="AV237" s="142" t="str">
        <f>_xlfn.IFNA(VLOOKUP($AH237,Programma!$F$3:$T$1101,15,0),"")</f>
        <v>_</v>
      </c>
      <c r="AW237" s="142" t="str">
        <f>_xlfn.IFNA(VLOOKUP($AH237,Programma!$F$3:$U$1101,16,0),"")</f>
        <v>_</v>
      </c>
      <c r="AX237" s="142" t="str">
        <f>_xlfn.IFNA(VLOOKUP($AH237,Programma!$F$3:$V$1101,17,0),"")</f>
        <v>_</v>
      </c>
      <c r="AY237" s="142" t="str">
        <f>_xlfn.IFNA(VLOOKUP($AH237,Programma!$F$3:$W$1101,18,0),"")</f>
        <v>4w</v>
      </c>
      <c r="AZ237" s="142" t="str">
        <f>_xlfn.IFNA(VLOOKUP($AH237,Programma!$F$3:$X$1101,19,0),"")</f>
        <v>1w</v>
      </c>
      <c r="BA237" s="142" t="str">
        <f>_xlfn.IFNA(VLOOKUP($AH237,Programma!$F$3:$Y$1101,20,0),"")</f>
        <v>_</v>
      </c>
      <c r="BB237" s="138"/>
      <c r="BC237" s="137" t="str">
        <f>IF(Ruimtestaat[[#This Row],[Frequentie weekend]]="","",_xlfn.CONCAT(Ruimtestaat[[#This Row],[Ruimte code]],"-",Ruimtestaat[[#This Row],[Frequentie weekend]]," ",Ruimtestaat[[#This Row],[Vloer code]]))</f>
        <v/>
      </c>
      <c r="BD237" s="142" t="str">
        <f>_xlfn.IFNA(VLOOKUP($BC237,Programma!$F$3:$G$1101,2,0),"")</f>
        <v/>
      </c>
      <c r="BE237" s="142" t="str">
        <f>_xlfn.IFNA(VLOOKUP($BC237,Programma!$F$3:$H$1101,3,0),"")</f>
        <v/>
      </c>
      <c r="BF237" s="142" t="str">
        <f>_xlfn.IFNA(VLOOKUP($BC237,Programma!$F$3:$I$1101,4,0),"")</f>
        <v/>
      </c>
      <c r="BG237" s="142" t="str">
        <f>_xlfn.IFNA(VLOOKUP($BC237,Programma!$F$3:$J$1101,5,0),"")</f>
        <v/>
      </c>
      <c r="BH237" s="142" t="str">
        <f>_xlfn.IFNA(VLOOKUP($BC237,Programma!$F$3:$K$1101,6,0),"")</f>
        <v/>
      </c>
      <c r="BI237" s="142" t="str">
        <f>_xlfn.IFNA(VLOOKUP($BC237,Programma!$F$3:$L$1101,7,0),"")</f>
        <v/>
      </c>
      <c r="BJ237" s="142" t="str">
        <f>_xlfn.IFNA(VLOOKUP($BC237,Programma!$F$3:$M$1101,8,0),"")</f>
        <v/>
      </c>
      <c r="BK237" s="142" t="str">
        <f>_xlfn.IFNA(VLOOKUP($BC237,Programma!$F$3:$N$1101,9,0),"")</f>
        <v/>
      </c>
      <c r="BL237" s="142" t="str">
        <f>_xlfn.IFNA(VLOOKUP($BC237,Programma!$F$3:$O$1101,10,0),"")</f>
        <v/>
      </c>
      <c r="BM237" s="142" t="str">
        <f>_xlfn.IFNA(VLOOKUP($BC237,Programma!$F$3:$P$1101,11,0),"")</f>
        <v/>
      </c>
      <c r="BN237" s="142" t="str">
        <f>_xlfn.IFNA(VLOOKUP($BC237,Programma!$F$3:$Q$1101,12,0),"")</f>
        <v/>
      </c>
      <c r="BO237" s="142" t="str">
        <f>_xlfn.IFNA(VLOOKUP($BC237,Programma!$F$3:$R$1101,13,0),"")</f>
        <v/>
      </c>
      <c r="BP237" s="142" t="str">
        <f>_xlfn.IFNA(VLOOKUP($BC237,Programma!$F$3:$S$1101,14,0),"")</f>
        <v/>
      </c>
      <c r="BQ237" s="142" t="str">
        <f>_xlfn.IFNA(VLOOKUP($BC237,Programma!$F$3:$T$1101,15,0),"")</f>
        <v/>
      </c>
      <c r="BR237" s="142" t="str">
        <f>_xlfn.IFNA(VLOOKUP($BC237,Programma!$F$3:$U$1101,16,0),"")</f>
        <v/>
      </c>
      <c r="BS237" s="142" t="str">
        <f>_xlfn.IFNA(VLOOKUP($BC237,Programma!$F$3:$V$1101,17,0),"")</f>
        <v/>
      </c>
      <c r="BT237" s="142" t="str">
        <f>_xlfn.IFNA(VLOOKUP($BC237,Programma!$F$3:$W$1101,18,0),"")</f>
        <v/>
      </c>
      <c r="BU237" s="142" t="str">
        <f>_xlfn.IFNA(VLOOKUP($BC237,Programma!$F$3:$X$1101,19,0),"")</f>
        <v/>
      </c>
      <c r="BV237" s="142" t="str">
        <f>_xlfn.IFNA(VLOOKUP($BC237,Programma!$F$3:$Y$1101,20,0),"")</f>
        <v/>
      </c>
      <c r="BW237" s="28"/>
      <c r="BX237" s="28"/>
      <c r="BY237" s="28"/>
      <c r="BZ237" s="28"/>
      <c r="CA237" s="28"/>
      <c r="CB237" s="28"/>
      <c r="CC237" s="28"/>
      <c r="CD237" s="28"/>
      <c r="CE237" s="28"/>
      <c r="CF237" s="28"/>
      <c r="CG237" s="28"/>
      <c r="CH237" s="28"/>
      <c r="CI237" s="28"/>
      <c r="CJ237" s="28"/>
      <c r="CK237" s="28"/>
      <c r="CL237" s="28"/>
      <c r="CM237" s="28"/>
      <c r="CN237" s="28"/>
      <c r="CO237" s="28"/>
      <c r="CP237" s="28"/>
      <c r="CQ237" s="28"/>
      <c r="CR237" s="28"/>
      <c r="CS237" s="28"/>
      <c r="CT237" s="28"/>
      <c r="CU237" s="28"/>
      <c r="CV237" s="28"/>
      <c r="CW237" s="28"/>
      <c r="CX237" s="28"/>
      <c r="CY237" s="28"/>
      <c r="CZ237" s="28"/>
      <c r="DA237" s="28"/>
      <c r="DB237" s="28"/>
      <c r="DC237" s="28"/>
      <c r="DD237" s="28"/>
      <c r="DE237" s="28"/>
      <c r="DF237" s="28"/>
      <c r="DG237" s="28"/>
      <c r="DH237" s="28"/>
      <c r="DI237" s="28"/>
      <c r="DJ237" s="28"/>
      <c r="DK237" s="28"/>
      <c r="DL237" s="28"/>
      <c r="DM237" s="28"/>
      <c r="DN237" s="28"/>
      <c r="DO237" s="28"/>
      <c r="DP237" s="28"/>
      <c r="DQ237" s="28"/>
      <c r="DR237" s="28"/>
      <c r="DS237" s="28"/>
      <c r="DT237" s="28"/>
      <c r="DU237" s="28"/>
      <c r="DV237" s="28"/>
      <c r="DW237" s="28"/>
      <c r="DX237" s="28"/>
      <c r="DY237" s="28"/>
      <c r="DZ237" s="28"/>
      <c r="EA237" s="28"/>
      <c r="EB237" s="28"/>
      <c r="EC237" s="28"/>
      <c r="ED237" s="28"/>
      <c r="EE237" s="28"/>
      <c r="EF237" s="28"/>
      <c r="EG237" s="28"/>
      <c r="EH237" s="28"/>
      <c r="EI237" s="28"/>
      <c r="EJ237" s="28"/>
      <c r="EK237" s="28"/>
      <c r="EL237" s="28"/>
      <c r="EM237" s="28"/>
      <c r="EN237" s="28"/>
      <c r="EO237" s="28"/>
      <c r="EP237" s="28"/>
      <c r="EQ237" s="28"/>
      <c r="ER237" s="28"/>
      <c r="ES237" s="28"/>
      <c r="ET237" s="28"/>
      <c r="EU237" s="28"/>
      <c r="EV237" s="28"/>
      <c r="EW237" s="28"/>
      <c r="EX237" s="28"/>
      <c r="EY237" s="28"/>
      <c r="EZ237" s="28"/>
      <c r="FA237" s="28"/>
      <c r="FB237" s="28"/>
      <c r="FC237" s="28"/>
      <c r="FD237" s="28"/>
      <c r="FE237" s="28"/>
      <c r="FF237" s="28"/>
      <c r="FG237" s="28"/>
      <c r="FH237" s="28"/>
      <c r="FI237" s="28"/>
      <c r="FJ237" s="28"/>
      <c r="FK237" s="28"/>
      <c r="FL237" s="28"/>
      <c r="FM237" s="28"/>
      <c r="FN237" s="28"/>
      <c r="FO237" s="28"/>
      <c r="FP237" s="28"/>
      <c r="FQ237" s="28"/>
      <c r="FR237" s="28"/>
      <c r="FS237" s="28"/>
      <c r="FT237" s="28"/>
      <c r="FU237" s="28"/>
      <c r="FV237" s="28"/>
      <c r="FW237" s="28"/>
      <c r="FX237" s="28"/>
      <c r="FY237" s="28"/>
      <c r="FZ237" s="28"/>
      <c r="GA237" s="28"/>
      <c r="GB237" s="28"/>
      <c r="GC237" s="28"/>
      <c r="GD237" s="28"/>
      <c r="GE237" s="28"/>
      <c r="GF237" s="28"/>
      <c r="GG237" s="28"/>
      <c r="GH237" s="28"/>
      <c r="GI237" s="28"/>
      <c r="GJ237" s="28"/>
      <c r="GK237" s="28"/>
      <c r="GL237" s="28"/>
      <c r="GM237" s="28"/>
      <c r="GN237" s="28"/>
      <c r="GO237" s="28"/>
      <c r="GP237" s="28"/>
      <c r="GQ237" s="28"/>
      <c r="GR237" s="28"/>
      <c r="GS237" s="28"/>
      <c r="GT237" s="28"/>
      <c r="GU237" s="28"/>
      <c r="GV237" s="28"/>
      <c r="GW237" s="28"/>
      <c r="GX237" s="28"/>
      <c r="GY237" s="28"/>
      <c r="GZ237" s="28"/>
      <c r="HA237" s="28"/>
      <c r="HB237" s="28"/>
      <c r="HC237" s="28"/>
      <c r="HD237" s="28"/>
      <c r="HE237" s="28"/>
      <c r="HF237" s="28"/>
      <c r="HG237" s="28"/>
      <c r="HH237" s="28"/>
      <c r="HI237" s="28"/>
      <c r="HJ237" s="28"/>
      <c r="HK237" s="28"/>
    </row>
    <row r="238" spans="1:219" ht="15" customHeight="1">
      <c r="A238" s="49">
        <v>2</v>
      </c>
      <c r="B238" s="132" t="str">
        <f>VLOOKUP(Ruimtestaat[[#This Row],[Code]],Locaties[[Code]:[Locatie]],2,FALSE)</f>
        <v>Pauluskerk</v>
      </c>
      <c r="C238" s="132" t="str">
        <f>VLOOKUP(Ruimtestaat[[#This Row],[Code]],Locaties[[#All],[Code]:[Adres]],4,FALSE)</f>
        <v>Westdorplaan 122</v>
      </c>
      <c r="D238" s="132" t="str">
        <f>VLOOKUP(Ruimtestaat[[#This Row],[Code]],Locaties[[#All],[Code]:[Postcode]],5,FALSE)</f>
        <v>8101 BJ</v>
      </c>
      <c r="E238" s="132" t="str">
        <f>VLOOKUP(Ruimtestaat[[#This Row],[Code]],Locaties[#All],6,FALSE)</f>
        <v>Raalte</v>
      </c>
      <c r="F238" s="140"/>
      <c r="G238" s="49" t="s">
        <v>1677</v>
      </c>
      <c r="H238" s="49" t="s">
        <v>1748</v>
      </c>
      <c r="I238" s="140" t="s">
        <v>1668</v>
      </c>
      <c r="J238" s="49">
        <v>5</v>
      </c>
      <c r="K238" s="140" t="str">
        <f>VLOOKUP(Ruimtestaat[[#This Row],[Ruimte code]],Ruimtegroepen[[#All],[Code]:[Ruimte omschrijving]],2,FALSE)</f>
        <v>Sanitair</v>
      </c>
      <c r="L238" s="100" t="s">
        <v>101</v>
      </c>
      <c r="M238" s="345" t="s">
        <v>1642</v>
      </c>
      <c r="N238" s="133">
        <v>3.76</v>
      </c>
      <c r="O238" s="139"/>
      <c r="P238" s="134" t="str">
        <f>VLOOKUP(Ruimtestaat[[#This Row],[Ruimte code]],Ruimtegroepen[],4,FALSE)</f>
        <v>Sa</v>
      </c>
      <c r="Q238" s="100">
        <v>51</v>
      </c>
      <c r="R238" s="100" t="s">
        <v>2</v>
      </c>
      <c r="S238" s="100">
        <f>IF(Q238&gt;0,IF(RIGHT(Ruimtestaat[[#This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38" s="100">
        <f>IF(S238&gt;0,VLOOKUP($J238,Ruimtegroepen[],3,FALSE)*VLOOKUP($L238,Vloersoorten[],3,FALSE)*VLOOKUP($R238,Frequenties[],3,FALSE)*VLOOKUP($A238,Locaties[],3,FALSE),0)</f>
        <v>0</v>
      </c>
      <c r="U238" s="100">
        <f>Ruimtestaat[[#This Row],[Uitvoeringen werkdagen]]*Ruimtestaat[[#This Row],[Oppervlak (netto)]]</f>
        <v>958.8</v>
      </c>
      <c r="V238" s="135">
        <f>IF(T238&gt;0,Ruimtestaat[[#This Row],[Prest. (m2 /jaar) werkdagen]]/Ruimtestaat[[#This Row],[Norm (m2/uur) werkdagen]],0)</f>
        <v>0</v>
      </c>
      <c r="W238" s="136">
        <f>Ruimtestaat[[#This Row],[uren / jaar werkdagen]]*Tariefsopbouw!$E$35</f>
        <v>0</v>
      </c>
      <c r="X238" s="100"/>
      <c r="Y238" s="100">
        <f>IF(Ruimtestaat[[#This Row],[Frequentie weekend]]&gt;0,VALUE(LEFT(X238,1))*Q238,0)</f>
        <v>0</v>
      </c>
      <c r="Z238" s="99">
        <f>IF($Y238&gt;0,VLOOKUP($J238,Ruimtegroepen[],3,FALSE)*VLOOKUP($L238,Vloersoorten[],3,FALSE)*VLOOKUP($X238,Frequenties[],3,FALSE)*VLOOKUP(Ruimtestaat[[#This Row],[Code]],Locaties[],3,FALSE),0)</f>
        <v>0</v>
      </c>
      <c r="AA238" s="99">
        <f>Ruimtestaat[[#This Row],[Uitvoeringen weekend]]*Ruimtestaat[[#This Row],[Oppervlak (netto)]]</f>
        <v>0</v>
      </c>
      <c r="AB238" s="99">
        <f>IF(Z238&gt;0,Ruimtestaat[[#This Row],[Prest. (m2 /jaar) weekend]]/Ruimtestaat[[#This Row],[Norm (m2/uur) weekend]],0)</f>
        <v>0</v>
      </c>
      <c r="AC238" s="136">
        <f>Ruimtestaat[[#This Row],[uren / jaar weekend]]*Tariefsopbouw!$D$40</f>
        <v>0</v>
      </c>
      <c r="AD238" s="135">
        <f>Ruimtestaat[[#This Row],[Prest. (m2 /jaar) weekend]]+Ruimtestaat[[#This Row],[Prest. (m2 /jaar) werkdagen]]</f>
        <v>958.8</v>
      </c>
      <c r="AE238" s="135">
        <f>Ruimtestaat[[#This Row],[uren / jaar weekend]]+Ruimtestaat[[#This Row],[uren / jaar werkdagen]]</f>
        <v>0</v>
      </c>
      <c r="AF238" s="130">
        <f>Ruimtestaat[[#This Row],[kosten / jaar weekend]]+Ruimtestaat[[#This Row],[kosten / jaar werkdagen]]</f>
        <v>0</v>
      </c>
      <c r="AG238" s="130"/>
      <c r="AH238" s="137" t="str">
        <f>IF(Ruimtestaat[[#This Row],[Frequentie werkdagen]]="","",_xlfn.CONCAT(Ruimtestaat[[#This Row],[Ruimte code]],"-",Ruimtestaat[[#This Row],[Frequentie werkdagen]]," ",Ruimtestaat[[#This Row],[Vloer code]]))</f>
        <v>5-5w S</v>
      </c>
      <c r="AI238" s="142" t="str">
        <f>_xlfn.IFNA(VLOOKUP($AH238,Programma!$F$3:$G$1101,2,0),"")</f>
        <v>_</v>
      </c>
      <c r="AJ238" s="142" t="str">
        <f>_xlfn.IFNA(VLOOKUP($AH238,Programma!$F$3:$H$1101,3,0),"")</f>
        <v>_</v>
      </c>
      <c r="AK238" s="142" t="str">
        <f>_xlfn.IFNA(VLOOKUP($AH238,Programma!$F$3:$I$1101,4,0),"")</f>
        <v>_</v>
      </c>
      <c r="AL238" s="142" t="str">
        <f>_xlfn.IFNA(VLOOKUP($AH238,Programma!$F$3:$J$1101,5,0),"")</f>
        <v>4w</v>
      </c>
      <c r="AM238" s="142" t="str">
        <f>_xlfn.IFNA(VLOOKUP($AH238,Programma!$F$3:$K$1101,6,0),"")</f>
        <v>1w</v>
      </c>
      <c r="AN238" s="142" t="str">
        <f>_xlfn.IFNA(VLOOKUP($AH238,Programma!$F$3:$L$1101,7,0),"")</f>
        <v>_</v>
      </c>
      <c r="AO238" s="142" t="str">
        <f>_xlfn.IFNA(VLOOKUP($AH238,Programma!$F$3:$M$1101,8,0),"")</f>
        <v>_</v>
      </c>
      <c r="AP238" s="142" t="str">
        <f>_xlfn.IFNA(VLOOKUP($AH238,Programma!$F$3:$N$1101,9,0),"")</f>
        <v>_</v>
      </c>
      <c r="AQ238" s="142" t="str">
        <f>_xlfn.IFNA(VLOOKUP($AH238,Programma!$F$3:$O$1101,10,0),"")</f>
        <v>_</v>
      </c>
      <c r="AR238" s="142" t="str">
        <f>_xlfn.IFNA(VLOOKUP($AH238,Programma!$F$3:$P$1101,11,0),"")</f>
        <v>_</v>
      </c>
      <c r="AS238" s="142" t="str">
        <f>_xlfn.IFNA(VLOOKUP($AH238,Programma!$F$3:$Q$1101,12,0),"")</f>
        <v>_</v>
      </c>
      <c r="AT238" s="142" t="str">
        <f>_xlfn.IFNA(VLOOKUP($AH238,Programma!$F$3:$R$1101,13,0),"")</f>
        <v>_</v>
      </c>
      <c r="AU238" s="142" t="str">
        <f>_xlfn.IFNA(VLOOKUP($AH238,Programma!$F$3:$S$1101,14,0),"")</f>
        <v>_</v>
      </c>
      <c r="AV238" s="142" t="str">
        <f>_xlfn.IFNA(VLOOKUP($AH238,Programma!$F$3:$T$1101,15,0),"")</f>
        <v>_</v>
      </c>
      <c r="AW238" s="142" t="str">
        <f>_xlfn.IFNA(VLOOKUP($AH238,Programma!$F$3:$U$1101,16,0),"")</f>
        <v>_</v>
      </c>
      <c r="AX238" s="142" t="str">
        <f>_xlfn.IFNA(VLOOKUP($AH238,Programma!$F$3:$V$1101,17,0),"")</f>
        <v>_</v>
      </c>
      <c r="AY238" s="142" t="str">
        <f>_xlfn.IFNA(VLOOKUP($AH238,Programma!$F$3:$W$1101,18,0),"")</f>
        <v>4w</v>
      </c>
      <c r="AZ238" s="142" t="str">
        <f>_xlfn.IFNA(VLOOKUP($AH238,Programma!$F$3:$X$1101,19,0),"")</f>
        <v>1w</v>
      </c>
      <c r="BA238" s="142" t="str">
        <f>_xlfn.IFNA(VLOOKUP($AH238,Programma!$F$3:$Y$1101,20,0),"")</f>
        <v>_</v>
      </c>
      <c r="BB238" s="138"/>
      <c r="BC238" s="137" t="str">
        <f>IF(Ruimtestaat[[#This Row],[Frequentie weekend]]="","",_xlfn.CONCAT(Ruimtestaat[[#This Row],[Ruimte code]],"-",Ruimtestaat[[#This Row],[Frequentie weekend]]," ",Ruimtestaat[[#This Row],[Vloer code]]))</f>
        <v/>
      </c>
      <c r="BD238" s="142" t="str">
        <f>_xlfn.IFNA(VLOOKUP($BC238,Programma!$F$3:$G$1101,2,0),"")</f>
        <v/>
      </c>
      <c r="BE238" s="142" t="str">
        <f>_xlfn.IFNA(VLOOKUP($BC238,Programma!$F$3:$H$1101,3,0),"")</f>
        <v/>
      </c>
      <c r="BF238" s="142" t="str">
        <f>_xlfn.IFNA(VLOOKUP($BC238,Programma!$F$3:$I$1101,4,0),"")</f>
        <v/>
      </c>
      <c r="BG238" s="142" t="str">
        <f>_xlfn.IFNA(VLOOKUP($BC238,Programma!$F$3:$J$1101,5,0),"")</f>
        <v/>
      </c>
      <c r="BH238" s="142" t="str">
        <f>_xlfn.IFNA(VLOOKUP($BC238,Programma!$F$3:$K$1101,6,0),"")</f>
        <v/>
      </c>
      <c r="BI238" s="142" t="str">
        <f>_xlfn.IFNA(VLOOKUP($BC238,Programma!$F$3:$L$1101,7,0),"")</f>
        <v/>
      </c>
      <c r="BJ238" s="142" t="str">
        <f>_xlfn.IFNA(VLOOKUP($BC238,Programma!$F$3:$M$1101,8,0),"")</f>
        <v/>
      </c>
      <c r="BK238" s="142" t="str">
        <f>_xlfn.IFNA(VLOOKUP($BC238,Programma!$F$3:$N$1101,9,0),"")</f>
        <v/>
      </c>
      <c r="BL238" s="142" t="str">
        <f>_xlfn.IFNA(VLOOKUP($BC238,Programma!$F$3:$O$1101,10,0),"")</f>
        <v/>
      </c>
      <c r="BM238" s="142" t="str">
        <f>_xlfn.IFNA(VLOOKUP($BC238,Programma!$F$3:$P$1101,11,0),"")</f>
        <v/>
      </c>
      <c r="BN238" s="142" t="str">
        <f>_xlfn.IFNA(VLOOKUP($BC238,Programma!$F$3:$Q$1101,12,0),"")</f>
        <v/>
      </c>
      <c r="BO238" s="142" t="str">
        <f>_xlfn.IFNA(VLOOKUP($BC238,Programma!$F$3:$R$1101,13,0),"")</f>
        <v/>
      </c>
      <c r="BP238" s="142" t="str">
        <f>_xlfn.IFNA(VLOOKUP($BC238,Programma!$F$3:$S$1101,14,0),"")</f>
        <v/>
      </c>
      <c r="BQ238" s="142" t="str">
        <f>_xlfn.IFNA(VLOOKUP($BC238,Programma!$F$3:$T$1101,15,0),"")</f>
        <v/>
      </c>
      <c r="BR238" s="142" t="str">
        <f>_xlfn.IFNA(VLOOKUP($BC238,Programma!$F$3:$U$1101,16,0),"")</f>
        <v/>
      </c>
      <c r="BS238" s="142" t="str">
        <f>_xlfn.IFNA(VLOOKUP($BC238,Programma!$F$3:$V$1101,17,0),"")</f>
        <v/>
      </c>
      <c r="BT238" s="142" t="str">
        <f>_xlfn.IFNA(VLOOKUP($BC238,Programma!$F$3:$W$1101,18,0),"")</f>
        <v/>
      </c>
      <c r="BU238" s="142" t="str">
        <f>_xlfn.IFNA(VLOOKUP($BC238,Programma!$F$3:$X$1101,19,0),"")</f>
        <v/>
      </c>
      <c r="BV238" s="142" t="str">
        <f>_xlfn.IFNA(VLOOKUP($BC238,Programma!$F$3:$Y$1101,20,0),"")</f>
        <v/>
      </c>
      <c r="BW238" s="28"/>
      <c r="BX238" s="28"/>
      <c r="BY238" s="28"/>
      <c r="BZ238" s="28"/>
      <c r="CA238" s="28"/>
      <c r="CB238" s="28"/>
      <c r="CC238" s="28"/>
      <c r="CD238" s="28"/>
      <c r="CE238" s="28"/>
      <c r="CF238" s="28"/>
      <c r="CG238" s="28"/>
      <c r="CH238" s="28"/>
      <c r="CI238" s="28"/>
      <c r="CJ238" s="28"/>
      <c r="CK238" s="28"/>
      <c r="CL238" s="28"/>
      <c r="CM238" s="28"/>
      <c r="CN238" s="28"/>
      <c r="CO238" s="28"/>
      <c r="CP238" s="28"/>
      <c r="CQ238" s="28"/>
      <c r="CR238" s="28"/>
      <c r="CS238" s="28"/>
      <c r="CT238" s="28"/>
      <c r="CU238" s="28"/>
      <c r="CV238" s="28"/>
      <c r="CW238" s="28"/>
      <c r="CX238" s="28"/>
      <c r="CY238" s="28"/>
      <c r="CZ238" s="28"/>
      <c r="DA238" s="28"/>
      <c r="DB238" s="28"/>
      <c r="DC238" s="28"/>
      <c r="DD238" s="28"/>
      <c r="DE238" s="28"/>
      <c r="DF238" s="28"/>
      <c r="DG238" s="28"/>
      <c r="DH238" s="28"/>
      <c r="DI238" s="28"/>
      <c r="DJ238" s="28"/>
      <c r="DK238" s="28"/>
      <c r="DL238" s="28"/>
      <c r="DM238" s="28"/>
      <c r="DN238" s="28"/>
      <c r="DO238" s="28"/>
      <c r="DP238" s="28"/>
      <c r="DQ238" s="28"/>
      <c r="DR238" s="28"/>
      <c r="DS238" s="28"/>
      <c r="DT238" s="28"/>
      <c r="DU238" s="28"/>
      <c r="DV238" s="28"/>
      <c r="DW238" s="28"/>
      <c r="DX238" s="28"/>
      <c r="DY238" s="28"/>
      <c r="DZ238" s="28"/>
      <c r="EA238" s="28"/>
      <c r="EB238" s="28"/>
      <c r="EC238" s="28"/>
      <c r="ED238" s="28"/>
      <c r="EE238" s="28"/>
      <c r="EF238" s="28"/>
      <c r="EG238" s="28"/>
      <c r="EH238" s="28"/>
      <c r="EI238" s="28"/>
      <c r="EJ238" s="28"/>
      <c r="EK238" s="28"/>
      <c r="EL238" s="28"/>
      <c r="EM238" s="28"/>
      <c r="EN238" s="28"/>
      <c r="EO238" s="28"/>
      <c r="EP238" s="28"/>
      <c r="EQ238" s="28"/>
      <c r="ER238" s="28"/>
      <c r="ES238" s="28"/>
      <c r="ET238" s="28"/>
      <c r="EU238" s="28"/>
      <c r="EV238" s="28"/>
      <c r="EW238" s="28"/>
      <c r="EX238" s="28"/>
      <c r="EY238" s="28"/>
      <c r="EZ238" s="28"/>
      <c r="FA238" s="28"/>
      <c r="FB238" s="28"/>
      <c r="FC238" s="28"/>
      <c r="FD238" s="28"/>
      <c r="FE238" s="28"/>
      <c r="FF238" s="28"/>
      <c r="FG238" s="28"/>
      <c r="FH238" s="28"/>
      <c r="FI238" s="28"/>
      <c r="FJ238" s="28"/>
      <c r="FK238" s="28"/>
      <c r="FL238" s="28"/>
      <c r="FM238" s="28"/>
      <c r="FN238" s="28"/>
      <c r="FO238" s="28"/>
      <c r="FP238" s="28"/>
      <c r="FQ238" s="28"/>
      <c r="FR238" s="28"/>
      <c r="FS238" s="28"/>
      <c r="FT238" s="28"/>
      <c r="FU238" s="28"/>
      <c r="FV238" s="28"/>
      <c r="FW238" s="28"/>
      <c r="FX238" s="28"/>
      <c r="FY238" s="28"/>
      <c r="FZ238" s="28"/>
      <c r="GA238" s="28"/>
      <c r="GB238" s="28"/>
      <c r="GC238" s="28"/>
      <c r="GD238" s="28"/>
      <c r="GE238" s="28"/>
      <c r="GF238" s="28"/>
      <c r="GG238" s="28"/>
      <c r="GH238" s="28"/>
      <c r="GI238" s="28"/>
      <c r="GJ238" s="28"/>
      <c r="GK238" s="28"/>
      <c r="GL238" s="28"/>
      <c r="GM238" s="28"/>
      <c r="GN238" s="28"/>
      <c r="GO238" s="28"/>
      <c r="GP238" s="28"/>
      <c r="GQ238" s="28"/>
      <c r="GR238" s="28"/>
      <c r="GS238" s="28"/>
      <c r="GT238" s="28"/>
      <c r="GU238" s="28"/>
      <c r="GV238" s="28"/>
      <c r="GW238" s="28"/>
      <c r="GX238" s="28"/>
      <c r="GY238" s="28"/>
      <c r="GZ238" s="28"/>
      <c r="HA238" s="28"/>
      <c r="HB238" s="28"/>
      <c r="HC238" s="28"/>
      <c r="HD238" s="28"/>
      <c r="HE238" s="28"/>
      <c r="HF238" s="28"/>
      <c r="HG238" s="28"/>
      <c r="HH238" s="28"/>
      <c r="HI238" s="28"/>
      <c r="HJ238" s="28"/>
      <c r="HK238" s="28"/>
    </row>
    <row r="239" spans="1:219" ht="15" customHeight="1">
      <c r="A239" s="49">
        <v>2</v>
      </c>
      <c r="B239" s="132" t="str">
        <f>VLOOKUP(Ruimtestaat[[#This Row],[Code]],Locaties[[Code]:[Locatie]],2,FALSE)</f>
        <v>Pauluskerk</v>
      </c>
      <c r="C239" s="132" t="str">
        <f>VLOOKUP(Ruimtestaat[[#This Row],[Code]],Locaties[[#All],[Code]:[Adres]],4,FALSE)</f>
        <v>Westdorplaan 122</v>
      </c>
      <c r="D239" s="132" t="str">
        <f>VLOOKUP(Ruimtestaat[[#This Row],[Code]],Locaties[[#All],[Code]:[Postcode]],5,FALSE)</f>
        <v>8101 BJ</v>
      </c>
      <c r="E239" s="132" t="str">
        <f>VLOOKUP(Ruimtestaat[[#This Row],[Code]],Locaties[#All],6,FALSE)</f>
        <v>Raalte</v>
      </c>
      <c r="F239" s="140"/>
      <c r="G239" s="49" t="s">
        <v>1677</v>
      </c>
      <c r="H239" s="49" t="s">
        <v>1749</v>
      </c>
      <c r="I239" s="140" t="s">
        <v>1762</v>
      </c>
      <c r="J239" s="49">
        <v>20</v>
      </c>
      <c r="K239" s="140" t="str">
        <f>VLOOKUP(Ruimtestaat[[#This Row],[Ruimte code]],Ruimtegroepen[[#All],[Code]:[Ruimte omschrijving]],2,FALSE)</f>
        <v>Niet in Onderhoud</v>
      </c>
      <c r="L239" s="100"/>
      <c r="M239" s="345"/>
      <c r="N239" s="133"/>
      <c r="O239" s="139">
        <v>11.16</v>
      </c>
      <c r="P239" s="134">
        <f>VLOOKUP(Ruimtestaat[[#This Row],[Ruimte code]],Ruimtegroepen[],4,FALSE)</f>
        <v>0</v>
      </c>
      <c r="Q239" s="100"/>
      <c r="R239" s="100"/>
      <c r="S239" s="100">
        <f>IF(Q239&gt;0,IF(RIGHT(Ruimtestaat[[#This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39" s="100">
        <f>IF(S239&gt;0,VLOOKUP($J239,Ruimtegroepen[],3,FALSE)*VLOOKUP($L239,Vloersoorten[],3,FALSE)*VLOOKUP($R239,Frequenties[],3,FALSE)*VLOOKUP($A239,Locaties[],3,FALSE),0)</f>
        <v>0</v>
      </c>
      <c r="U239" s="100">
        <f>Ruimtestaat[[#This Row],[Uitvoeringen werkdagen]]*Ruimtestaat[[#This Row],[Oppervlak (netto)]]</f>
        <v>0</v>
      </c>
      <c r="V239" s="135">
        <f>IF(T239&gt;0,Ruimtestaat[[#This Row],[Prest. (m2 /jaar) werkdagen]]/Ruimtestaat[[#This Row],[Norm (m2/uur) werkdagen]],0)</f>
        <v>0</v>
      </c>
      <c r="W239" s="136">
        <f>Ruimtestaat[[#This Row],[uren / jaar werkdagen]]*Tariefsopbouw!$E$35</f>
        <v>0</v>
      </c>
      <c r="X239" s="100"/>
      <c r="Y239" s="100">
        <f>IF(Ruimtestaat[[#This Row],[Frequentie weekend]]&gt;0,VALUE(LEFT(X239,1))*Q239,0)</f>
        <v>0</v>
      </c>
      <c r="Z239" s="99">
        <f>IF($Y239&gt;0,VLOOKUP($J239,Ruimtegroepen[],3,FALSE)*VLOOKUP($L239,Vloersoorten[],3,FALSE)*VLOOKUP($X239,Frequenties[],3,FALSE)*VLOOKUP(Ruimtestaat[[#This Row],[Code]],Locaties[],3,FALSE),0)</f>
        <v>0</v>
      </c>
      <c r="AA239" s="99">
        <f>Ruimtestaat[[#This Row],[Uitvoeringen weekend]]*Ruimtestaat[[#This Row],[Oppervlak (netto)]]</f>
        <v>0</v>
      </c>
      <c r="AB239" s="99">
        <f>IF(Z239&gt;0,Ruimtestaat[[#This Row],[Prest. (m2 /jaar) weekend]]/Ruimtestaat[[#This Row],[Norm (m2/uur) weekend]],0)</f>
        <v>0</v>
      </c>
      <c r="AC239" s="136">
        <f>Ruimtestaat[[#This Row],[uren / jaar weekend]]*Tariefsopbouw!$D$40</f>
        <v>0</v>
      </c>
      <c r="AD239" s="135">
        <f>Ruimtestaat[[#This Row],[Prest. (m2 /jaar) weekend]]+Ruimtestaat[[#This Row],[Prest. (m2 /jaar) werkdagen]]</f>
        <v>0</v>
      </c>
      <c r="AE239" s="135">
        <f>Ruimtestaat[[#This Row],[uren / jaar weekend]]+Ruimtestaat[[#This Row],[uren / jaar werkdagen]]</f>
        <v>0</v>
      </c>
      <c r="AF239" s="130">
        <f>Ruimtestaat[[#This Row],[kosten / jaar weekend]]+Ruimtestaat[[#This Row],[kosten / jaar werkdagen]]</f>
        <v>0</v>
      </c>
      <c r="AG239" s="130"/>
      <c r="AH239" s="137" t="str">
        <f>IF(Ruimtestaat[[#This Row],[Frequentie werkdagen]]="","",_xlfn.CONCAT(Ruimtestaat[[#This Row],[Ruimte code]],"-",Ruimtestaat[[#This Row],[Frequentie werkdagen]]," ",Ruimtestaat[[#This Row],[Vloer code]]))</f>
        <v/>
      </c>
      <c r="AI239" s="142" t="str">
        <f>_xlfn.IFNA(VLOOKUP($AH239,Programma!$F$3:$G$1101,2,0),"")</f>
        <v/>
      </c>
      <c r="AJ239" s="142" t="str">
        <f>_xlfn.IFNA(VLOOKUP($AH239,Programma!$F$3:$H$1101,3,0),"")</f>
        <v/>
      </c>
      <c r="AK239" s="142" t="str">
        <f>_xlfn.IFNA(VLOOKUP($AH239,Programma!$F$3:$I$1101,4,0),"")</f>
        <v/>
      </c>
      <c r="AL239" s="142" t="str">
        <f>_xlfn.IFNA(VLOOKUP($AH239,Programma!$F$3:$J$1101,5,0),"")</f>
        <v/>
      </c>
      <c r="AM239" s="142" t="str">
        <f>_xlfn.IFNA(VLOOKUP($AH239,Programma!$F$3:$K$1101,6,0),"")</f>
        <v/>
      </c>
      <c r="AN239" s="142" t="str">
        <f>_xlfn.IFNA(VLOOKUP($AH239,Programma!$F$3:$L$1101,7,0),"")</f>
        <v/>
      </c>
      <c r="AO239" s="142" t="str">
        <f>_xlfn.IFNA(VLOOKUP($AH239,Programma!$F$3:$M$1101,8,0),"")</f>
        <v/>
      </c>
      <c r="AP239" s="142" t="str">
        <f>_xlfn.IFNA(VLOOKUP($AH239,Programma!$F$3:$N$1101,9,0),"")</f>
        <v/>
      </c>
      <c r="AQ239" s="142" t="str">
        <f>_xlfn.IFNA(VLOOKUP($AH239,Programma!$F$3:$O$1101,10,0),"")</f>
        <v/>
      </c>
      <c r="AR239" s="142" t="str">
        <f>_xlfn.IFNA(VLOOKUP($AH239,Programma!$F$3:$P$1101,11,0),"")</f>
        <v/>
      </c>
      <c r="AS239" s="142" t="str">
        <f>_xlfn.IFNA(VLOOKUP($AH239,Programma!$F$3:$Q$1101,12,0),"")</f>
        <v/>
      </c>
      <c r="AT239" s="142" t="str">
        <f>_xlfn.IFNA(VLOOKUP($AH239,Programma!$F$3:$R$1101,13,0),"")</f>
        <v/>
      </c>
      <c r="AU239" s="142" t="str">
        <f>_xlfn.IFNA(VLOOKUP($AH239,Programma!$F$3:$S$1101,14,0),"")</f>
        <v/>
      </c>
      <c r="AV239" s="142" t="str">
        <f>_xlfn.IFNA(VLOOKUP($AH239,Programma!$F$3:$T$1101,15,0),"")</f>
        <v/>
      </c>
      <c r="AW239" s="142" t="str">
        <f>_xlfn.IFNA(VLOOKUP($AH239,Programma!$F$3:$U$1101,16,0),"")</f>
        <v/>
      </c>
      <c r="AX239" s="142" t="str">
        <f>_xlfn.IFNA(VLOOKUP($AH239,Programma!$F$3:$V$1101,17,0),"")</f>
        <v/>
      </c>
      <c r="AY239" s="142" t="str">
        <f>_xlfn.IFNA(VLOOKUP($AH239,Programma!$F$3:$W$1101,18,0),"")</f>
        <v/>
      </c>
      <c r="AZ239" s="142" t="str">
        <f>_xlfn.IFNA(VLOOKUP($AH239,Programma!$F$3:$X$1101,19,0),"")</f>
        <v/>
      </c>
      <c r="BA239" s="142" t="str">
        <f>_xlfn.IFNA(VLOOKUP($AH239,Programma!$F$3:$Y$1101,20,0),"")</f>
        <v/>
      </c>
      <c r="BB239" s="138"/>
      <c r="BC239" s="137" t="str">
        <f>IF(Ruimtestaat[[#This Row],[Frequentie weekend]]="","",_xlfn.CONCAT(Ruimtestaat[[#This Row],[Ruimte code]],"-",Ruimtestaat[[#This Row],[Frequentie weekend]]," ",Ruimtestaat[[#This Row],[Vloer code]]))</f>
        <v/>
      </c>
      <c r="BD239" s="142" t="str">
        <f>_xlfn.IFNA(VLOOKUP($BC239,Programma!$F$3:$G$1101,2,0),"")</f>
        <v/>
      </c>
      <c r="BE239" s="142" t="str">
        <f>_xlfn.IFNA(VLOOKUP($BC239,Programma!$F$3:$H$1101,3,0),"")</f>
        <v/>
      </c>
      <c r="BF239" s="142" t="str">
        <f>_xlfn.IFNA(VLOOKUP($BC239,Programma!$F$3:$I$1101,4,0),"")</f>
        <v/>
      </c>
      <c r="BG239" s="142" t="str">
        <f>_xlfn.IFNA(VLOOKUP($BC239,Programma!$F$3:$J$1101,5,0),"")</f>
        <v/>
      </c>
      <c r="BH239" s="142" t="str">
        <f>_xlfn.IFNA(VLOOKUP($BC239,Programma!$F$3:$K$1101,6,0),"")</f>
        <v/>
      </c>
      <c r="BI239" s="142" t="str">
        <f>_xlfn.IFNA(VLOOKUP($BC239,Programma!$F$3:$L$1101,7,0),"")</f>
        <v/>
      </c>
      <c r="BJ239" s="142" t="str">
        <f>_xlfn.IFNA(VLOOKUP($BC239,Programma!$F$3:$M$1101,8,0),"")</f>
        <v/>
      </c>
      <c r="BK239" s="142" t="str">
        <f>_xlfn.IFNA(VLOOKUP($BC239,Programma!$F$3:$N$1101,9,0),"")</f>
        <v/>
      </c>
      <c r="BL239" s="142" t="str">
        <f>_xlfn.IFNA(VLOOKUP($BC239,Programma!$F$3:$O$1101,10,0),"")</f>
        <v/>
      </c>
      <c r="BM239" s="142" t="str">
        <f>_xlfn.IFNA(VLOOKUP($BC239,Programma!$F$3:$P$1101,11,0),"")</f>
        <v/>
      </c>
      <c r="BN239" s="142" t="str">
        <f>_xlfn.IFNA(VLOOKUP($BC239,Programma!$F$3:$Q$1101,12,0),"")</f>
        <v/>
      </c>
      <c r="BO239" s="142" t="str">
        <f>_xlfn.IFNA(VLOOKUP($BC239,Programma!$F$3:$R$1101,13,0),"")</f>
        <v/>
      </c>
      <c r="BP239" s="142" t="str">
        <f>_xlfn.IFNA(VLOOKUP($BC239,Programma!$F$3:$S$1101,14,0),"")</f>
        <v/>
      </c>
      <c r="BQ239" s="142" t="str">
        <f>_xlfn.IFNA(VLOOKUP($BC239,Programma!$F$3:$T$1101,15,0),"")</f>
        <v/>
      </c>
      <c r="BR239" s="142" t="str">
        <f>_xlfn.IFNA(VLOOKUP($BC239,Programma!$F$3:$U$1101,16,0),"")</f>
        <v/>
      </c>
      <c r="BS239" s="142" t="str">
        <f>_xlfn.IFNA(VLOOKUP($BC239,Programma!$F$3:$V$1101,17,0),"")</f>
        <v/>
      </c>
      <c r="BT239" s="142" t="str">
        <f>_xlfn.IFNA(VLOOKUP($BC239,Programma!$F$3:$W$1101,18,0),"")</f>
        <v/>
      </c>
      <c r="BU239" s="142" t="str">
        <f>_xlfn.IFNA(VLOOKUP($BC239,Programma!$F$3:$X$1101,19,0),"")</f>
        <v/>
      </c>
      <c r="BV239" s="142" t="str">
        <f>_xlfn.IFNA(VLOOKUP($BC239,Programma!$F$3:$Y$1101,20,0),"")</f>
        <v/>
      </c>
      <c r="BW239" s="28"/>
      <c r="BX239" s="28"/>
      <c r="BY239" s="28"/>
      <c r="BZ239" s="28"/>
      <c r="CA239" s="28"/>
      <c r="CB239" s="28"/>
      <c r="CC239" s="28"/>
      <c r="CD239" s="28"/>
      <c r="CE239" s="28"/>
      <c r="CF239" s="28"/>
      <c r="CG239" s="28"/>
      <c r="CH239" s="28"/>
      <c r="CI239" s="28"/>
      <c r="CJ239" s="28"/>
      <c r="CK239" s="28"/>
      <c r="CL239" s="28"/>
      <c r="CM239" s="28"/>
      <c r="CN239" s="28"/>
      <c r="CO239" s="28"/>
      <c r="CP239" s="28"/>
      <c r="CQ239" s="28"/>
      <c r="CR239" s="28"/>
      <c r="CS239" s="28"/>
      <c r="CT239" s="28"/>
      <c r="CU239" s="28"/>
      <c r="CV239" s="28"/>
      <c r="CW239" s="28"/>
      <c r="CX239" s="28"/>
      <c r="CY239" s="28"/>
      <c r="CZ239" s="28"/>
      <c r="DA239" s="28"/>
      <c r="DB239" s="28"/>
      <c r="DC239" s="28"/>
      <c r="DD239" s="28"/>
      <c r="DE239" s="28"/>
      <c r="DF239" s="28"/>
      <c r="DG239" s="28"/>
      <c r="DH239" s="28"/>
      <c r="DI239" s="28"/>
      <c r="DJ239" s="28"/>
      <c r="DK239" s="28"/>
      <c r="DL239" s="28"/>
      <c r="DM239" s="28"/>
      <c r="DN239" s="28"/>
      <c r="DO239" s="28"/>
      <c r="DP239" s="28"/>
      <c r="DQ239" s="28"/>
      <c r="DR239" s="28"/>
      <c r="DS239" s="28"/>
      <c r="DT239" s="28"/>
      <c r="DU239" s="28"/>
      <c r="DV239" s="28"/>
      <c r="DW239" s="28"/>
      <c r="DX239" s="28"/>
      <c r="DY239" s="28"/>
      <c r="DZ239" s="28"/>
      <c r="EA239" s="28"/>
      <c r="EB239" s="28"/>
      <c r="EC239" s="28"/>
      <c r="ED239" s="28"/>
      <c r="EE239" s="28"/>
      <c r="EF239" s="28"/>
      <c r="EG239" s="28"/>
      <c r="EH239" s="28"/>
      <c r="EI239" s="28"/>
      <c r="EJ239" s="28"/>
      <c r="EK239" s="28"/>
      <c r="EL239" s="28"/>
      <c r="EM239" s="28"/>
      <c r="EN239" s="28"/>
      <c r="EO239" s="28"/>
      <c r="EP239" s="28"/>
      <c r="EQ239" s="28"/>
      <c r="ER239" s="28"/>
      <c r="ES239" s="28"/>
      <c r="ET239" s="28"/>
      <c r="EU239" s="28"/>
      <c r="EV239" s="28"/>
      <c r="EW239" s="28"/>
      <c r="EX239" s="28"/>
      <c r="EY239" s="28"/>
      <c r="EZ239" s="28"/>
      <c r="FA239" s="28"/>
      <c r="FB239" s="28"/>
      <c r="FC239" s="28"/>
      <c r="FD239" s="28"/>
      <c r="FE239" s="28"/>
      <c r="FF239" s="28"/>
      <c r="FG239" s="28"/>
      <c r="FH239" s="28"/>
      <c r="FI239" s="28"/>
      <c r="FJ239" s="28"/>
      <c r="FK239" s="28"/>
      <c r="FL239" s="28"/>
      <c r="FM239" s="28"/>
      <c r="FN239" s="28"/>
      <c r="FO239" s="28"/>
      <c r="FP239" s="28"/>
      <c r="FQ239" s="28"/>
      <c r="FR239" s="28"/>
      <c r="FS239" s="28"/>
      <c r="FT239" s="28"/>
      <c r="FU239" s="28"/>
      <c r="FV239" s="28"/>
      <c r="FW239" s="28"/>
      <c r="FX239" s="28"/>
      <c r="FY239" s="28"/>
      <c r="FZ239" s="28"/>
      <c r="GA239" s="28"/>
      <c r="GB239" s="28"/>
      <c r="GC239" s="28"/>
      <c r="GD239" s="28"/>
      <c r="GE239" s="28"/>
      <c r="GF239" s="28"/>
      <c r="GG239" s="28"/>
      <c r="GH239" s="28"/>
      <c r="GI239" s="28"/>
      <c r="GJ239" s="28"/>
      <c r="GK239" s="28"/>
      <c r="GL239" s="28"/>
      <c r="GM239" s="28"/>
      <c r="GN239" s="28"/>
      <c r="GO239" s="28"/>
      <c r="GP239" s="28"/>
      <c r="GQ239" s="28"/>
      <c r="GR239" s="28"/>
      <c r="GS239" s="28"/>
      <c r="GT239" s="28"/>
      <c r="GU239" s="28"/>
      <c r="GV239" s="28"/>
      <c r="GW239" s="28"/>
      <c r="GX239" s="28"/>
      <c r="GY239" s="28"/>
      <c r="GZ239" s="28"/>
      <c r="HA239" s="28"/>
      <c r="HB239" s="28"/>
      <c r="HC239" s="28"/>
      <c r="HD239" s="28"/>
      <c r="HE239" s="28"/>
      <c r="HF239" s="28"/>
      <c r="HG239" s="28"/>
      <c r="HH239" s="28"/>
      <c r="HI239" s="28"/>
      <c r="HJ239" s="28"/>
      <c r="HK239" s="28"/>
    </row>
    <row r="240" spans="1:219" ht="15" customHeight="1">
      <c r="A240" s="49">
        <v>2</v>
      </c>
      <c r="B240" s="132" t="str">
        <f>VLOOKUP(Ruimtestaat[[#This Row],[Code]],Locaties[[Code]:[Locatie]],2,FALSE)</f>
        <v>Pauluskerk</v>
      </c>
      <c r="C240" s="132" t="str">
        <f>VLOOKUP(Ruimtestaat[[#This Row],[Code]],Locaties[[#All],[Code]:[Adres]],4,FALSE)</f>
        <v>Westdorplaan 122</v>
      </c>
      <c r="D240" s="132" t="str">
        <f>VLOOKUP(Ruimtestaat[[#This Row],[Code]],Locaties[[#All],[Code]:[Postcode]],5,FALSE)</f>
        <v>8101 BJ</v>
      </c>
      <c r="E240" s="132" t="str">
        <f>VLOOKUP(Ruimtestaat[[#This Row],[Code]],Locaties[#All],6,FALSE)</f>
        <v>Raalte</v>
      </c>
      <c r="F240" s="140"/>
      <c r="G240" s="49" t="s">
        <v>1677</v>
      </c>
      <c r="H240" s="49" t="s">
        <v>1750</v>
      </c>
      <c r="I240" s="140" t="s">
        <v>1762</v>
      </c>
      <c r="J240" s="49">
        <v>20</v>
      </c>
      <c r="K240" s="140" t="str">
        <f>VLOOKUP(Ruimtestaat[[#This Row],[Ruimte code]],Ruimtegroepen[[#All],[Code]:[Ruimte omschrijving]],2,FALSE)</f>
        <v>Niet in Onderhoud</v>
      </c>
      <c r="L240" s="100"/>
      <c r="M240" s="345"/>
      <c r="N240" s="133"/>
      <c r="O240" s="139">
        <v>11.27</v>
      </c>
      <c r="P240" s="134">
        <f>VLOOKUP(Ruimtestaat[[#This Row],[Ruimte code]],Ruimtegroepen[],4,FALSE)</f>
        <v>0</v>
      </c>
      <c r="Q240" s="100"/>
      <c r="R240" s="100"/>
      <c r="S240" s="100">
        <f>IF(Q240&gt;0,IF(RIGHT(Ruimtestaat[[#This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40" s="100">
        <f>IF(S240&gt;0,VLOOKUP($J240,Ruimtegroepen[],3,FALSE)*VLOOKUP($L240,Vloersoorten[],3,FALSE)*VLOOKUP($R240,Frequenties[],3,FALSE)*VLOOKUP($A240,Locaties[],3,FALSE),0)</f>
        <v>0</v>
      </c>
      <c r="U240" s="100">
        <f>Ruimtestaat[[#This Row],[Uitvoeringen werkdagen]]*Ruimtestaat[[#This Row],[Oppervlak (netto)]]</f>
        <v>0</v>
      </c>
      <c r="V240" s="135">
        <f>IF(T240&gt;0,Ruimtestaat[[#This Row],[Prest. (m2 /jaar) werkdagen]]/Ruimtestaat[[#This Row],[Norm (m2/uur) werkdagen]],0)</f>
        <v>0</v>
      </c>
      <c r="W240" s="136">
        <f>Ruimtestaat[[#This Row],[uren / jaar werkdagen]]*Tariefsopbouw!$E$35</f>
        <v>0</v>
      </c>
      <c r="X240" s="100"/>
      <c r="Y240" s="100">
        <f>IF(Ruimtestaat[[#This Row],[Frequentie weekend]]&gt;0,VALUE(LEFT(X240,1))*Q240,0)</f>
        <v>0</v>
      </c>
      <c r="Z240" s="99">
        <f>IF($Y240&gt;0,VLOOKUP($J240,Ruimtegroepen[],3,FALSE)*VLOOKUP($L240,Vloersoorten[],3,FALSE)*VLOOKUP($X240,Frequenties[],3,FALSE)*VLOOKUP(Ruimtestaat[[#This Row],[Code]],Locaties[],3,FALSE),0)</f>
        <v>0</v>
      </c>
      <c r="AA240" s="99">
        <f>Ruimtestaat[[#This Row],[Uitvoeringen weekend]]*Ruimtestaat[[#This Row],[Oppervlak (netto)]]</f>
        <v>0</v>
      </c>
      <c r="AB240" s="99">
        <f>IF(Z240&gt;0,Ruimtestaat[[#This Row],[Prest. (m2 /jaar) weekend]]/Ruimtestaat[[#This Row],[Norm (m2/uur) weekend]],0)</f>
        <v>0</v>
      </c>
      <c r="AC240" s="136">
        <f>Ruimtestaat[[#This Row],[uren / jaar weekend]]*Tariefsopbouw!$D$40</f>
        <v>0</v>
      </c>
      <c r="AD240" s="135">
        <f>Ruimtestaat[[#This Row],[Prest. (m2 /jaar) weekend]]+Ruimtestaat[[#This Row],[Prest. (m2 /jaar) werkdagen]]</f>
        <v>0</v>
      </c>
      <c r="AE240" s="135">
        <f>Ruimtestaat[[#This Row],[uren / jaar weekend]]+Ruimtestaat[[#This Row],[uren / jaar werkdagen]]</f>
        <v>0</v>
      </c>
      <c r="AF240" s="130">
        <f>Ruimtestaat[[#This Row],[kosten / jaar weekend]]+Ruimtestaat[[#This Row],[kosten / jaar werkdagen]]</f>
        <v>0</v>
      </c>
      <c r="AG240" s="130"/>
      <c r="AH240" s="137" t="str">
        <f>IF(Ruimtestaat[[#This Row],[Frequentie werkdagen]]="","",_xlfn.CONCAT(Ruimtestaat[[#This Row],[Ruimte code]],"-",Ruimtestaat[[#This Row],[Frequentie werkdagen]]," ",Ruimtestaat[[#This Row],[Vloer code]]))</f>
        <v/>
      </c>
      <c r="AI240" s="142" t="str">
        <f>_xlfn.IFNA(VLOOKUP($AH240,Programma!$F$3:$G$1101,2,0),"")</f>
        <v/>
      </c>
      <c r="AJ240" s="142" t="str">
        <f>_xlfn.IFNA(VLOOKUP($AH240,Programma!$F$3:$H$1101,3,0),"")</f>
        <v/>
      </c>
      <c r="AK240" s="142" t="str">
        <f>_xlfn.IFNA(VLOOKUP($AH240,Programma!$F$3:$I$1101,4,0),"")</f>
        <v/>
      </c>
      <c r="AL240" s="142" t="str">
        <f>_xlfn.IFNA(VLOOKUP($AH240,Programma!$F$3:$J$1101,5,0),"")</f>
        <v/>
      </c>
      <c r="AM240" s="142" t="str">
        <f>_xlfn.IFNA(VLOOKUP($AH240,Programma!$F$3:$K$1101,6,0),"")</f>
        <v/>
      </c>
      <c r="AN240" s="142" t="str">
        <f>_xlfn.IFNA(VLOOKUP($AH240,Programma!$F$3:$L$1101,7,0),"")</f>
        <v/>
      </c>
      <c r="AO240" s="142" t="str">
        <f>_xlfn.IFNA(VLOOKUP($AH240,Programma!$F$3:$M$1101,8,0),"")</f>
        <v/>
      </c>
      <c r="AP240" s="142" t="str">
        <f>_xlfn.IFNA(VLOOKUP($AH240,Programma!$F$3:$N$1101,9,0),"")</f>
        <v/>
      </c>
      <c r="AQ240" s="142" t="str">
        <f>_xlfn.IFNA(VLOOKUP($AH240,Programma!$F$3:$O$1101,10,0),"")</f>
        <v/>
      </c>
      <c r="AR240" s="142" t="str">
        <f>_xlfn.IFNA(VLOOKUP($AH240,Programma!$F$3:$P$1101,11,0),"")</f>
        <v/>
      </c>
      <c r="AS240" s="142" t="str">
        <f>_xlfn.IFNA(VLOOKUP($AH240,Programma!$F$3:$Q$1101,12,0),"")</f>
        <v/>
      </c>
      <c r="AT240" s="142" t="str">
        <f>_xlfn.IFNA(VLOOKUP($AH240,Programma!$F$3:$R$1101,13,0),"")</f>
        <v/>
      </c>
      <c r="AU240" s="142" t="str">
        <f>_xlfn.IFNA(VLOOKUP($AH240,Programma!$F$3:$S$1101,14,0),"")</f>
        <v/>
      </c>
      <c r="AV240" s="142" t="str">
        <f>_xlfn.IFNA(VLOOKUP($AH240,Programma!$F$3:$T$1101,15,0),"")</f>
        <v/>
      </c>
      <c r="AW240" s="142" t="str">
        <f>_xlfn.IFNA(VLOOKUP($AH240,Programma!$F$3:$U$1101,16,0),"")</f>
        <v/>
      </c>
      <c r="AX240" s="142" t="str">
        <f>_xlfn.IFNA(VLOOKUP($AH240,Programma!$F$3:$V$1101,17,0),"")</f>
        <v/>
      </c>
      <c r="AY240" s="142" t="str">
        <f>_xlfn.IFNA(VLOOKUP($AH240,Programma!$F$3:$W$1101,18,0),"")</f>
        <v/>
      </c>
      <c r="AZ240" s="142" t="str">
        <f>_xlfn.IFNA(VLOOKUP($AH240,Programma!$F$3:$X$1101,19,0),"")</f>
        <v/>
      </c>
      <c r="BA240" s="142" t="str">
        <f>_xlfn.IFNA(VLOOKUP($AH240,Programma!$F$3:$Y$1101,20,0),"")</f>
        <v/>
      </c>
      <c r="BB240" s="138"/>
      <c r="BC240" s="137" t="str">
        <f>IF(Ruimtestaat[[#This Row],[Frequentie weekend]]="","",_xlfn.CONCAT(Ruimtestaat[[#This Row],[Ruimte code]],"-",Ruimtestaat[[#This Row],[Frequentie weekend]]," ",Ruimtestaat[[#This Row],[Vloer code]]))</f>
        <v/>
      </c>
      <c r="BD240" s="142" t="str">
        <f>_xlfn.IFNA(VLOOKUP($BC240,Programma!$F$3:$G$1101,2,0),"")</f>
        <v/>
      </c>
      <c r="BE240" s="142" t="str">
        <f>_xlfn.IFNA(VLOOKUP($BC240,Programma!$F$3:$H$1101,3,0),"")</f>
        <v/>
      </c>
      <c r="BF240" s="142" t="str">
        <f>_xlfn.IFNA(VLOOKUP($BC240,Programma!$F$3:$I$1101,4,0),"")</f>
        <v/>
      </c>
      <c r="BG240" s="142" t="str">
        <f>_xlfn.IFNA(VLOOKUP($BC240,Programma!$F$3:$J$1101,5,0),"")</f>
        <v/>
      </c>
      <c r="BH240" s="142" t="str">
        <f>_xlfn.IFNA(VLOOKUP($BC240,Programma!$F$3:$K$1101,6,0),"")</f>
        <v/>
      </c>
      <c r="BI240" s="142" t="str">
        <f>_xlfn.IFNA(VLOOKUP($BC240,Programma!$F$3:$L$1101,7,0),"")</f>
        <v/>
      </c>
      <c r="BJ240" s="142" t="str">
        <f>_xlfn.IFNA(VLOOKUP($BC240,Programma!$F$3:$M$1101,8,0),"")</f>
        <v/>
      </c>
      <c r="BK240" s="142" t="str">
        <f>_xlfn.IFNA(VLOOKUP($BC240,Programma!$F$3:$N$1101,9,0),"")</f>
        <v/>
      </c>
      <c r="BL240" s="142" t="str">
        <f>_xlfn.IFNA(VLOOKUP($BC240,Programma!$F$3:$O$1101,10,0),"")</f>
        <v/>
      </c>
      <c r="BM240" s="142" t="str">
        <f>_xlfn.IFNA(VLOOKUP($BC240,Programma!$F$3:$P$1101,11,0),"")</f>
        <v/>
      </c>
      <c r="BN240" s="142" t="str">
        <f>_xlfn.IFNA(VLOOKUP($BC240,Programma!$F$3:$Q$1101,12,0),"")</f>
        <v/>
      </c>
      <c r="BO240" s="142" t="str">
        <f>_xlfn.IFNA(VLOOKUP($BC240,Programma!$F$3:$R$1101,13,0),"")</f>
        <v/>
      </c>
      <c r="BP240" s="142" t="str">
        <f>_xlfn.IFNA(VLOOKUP($BC240,Programma!$F$3:$S$1101,14,0),"")</f>
        <v/>
      </c>
      <c r="BQ240" s="142" t="str">
        <f>_xlfn.IFNA(VLOOKUP($BC240,Programma!$F$3:$T$1101,15,0),"")</f>
        <v/>
      </c>
      <c r="BR240" s="142" t="str">
        <f>_xlfn.IFNA(VLOOKUP($BC240,Programma!$F$3:$U$1101,16,0),"")</f>
        <v/>
      </c>
      <c r="BS240" s="142" t="str">
        <f>_xlfn.IFNA(VLOOKUP($BC240,Programma!$F$3:$V$1101,17,0),"")</f>
        <v/>
      </c>
      <c r="BT240" s="142" t="str">
        <f>_xlfn.IFNA(VLOOKUP($BC240,Programma!$F$3:$W$1101,18,0),"")</f>
        <v/>
      </c>
      <c r="BU240" s="142" t="str">
        <f>_xlfn.IFNA(VLOOKUP($BC240,Programma!$F$3:$X$1101,19,0),"")</f>
        <v/>
      </c>
      <c r="BV240" s="142" t="str">
        <f>_xlfn.IFNA(VLOOKUP($BC240,Programma!$F$3:$Y$1101,20,0),"")</f>
        <v/>
      </c>
      <c r="BW240" s="28"/>
      <c r="BX240" s="28"/>
      <c r="BY240" s="28"/>
      <c r="BZ240" s="28"/>
      <c r="CA240" s="28"/>
      <c r="CB240" s="28"/>
      <c r="CC240" s="28"/>
      <c r="CD240" s="28"/>
      <c r="CE240" s="28"/>
      <c r="CF240" s="28"/>
      <c r="CG240" s="28"/>
      <c r="CH240" s="28"/>
      <c r="CI240" s="28"/>
      <c r="CJ240" s="28"/>
      <c r="CK240" s="28"/>
      <c r="CL240" s="28"/>
      <c r="CM240" s="28"/>
      <c r="CN240" s="28"/>
      <c r="CO240" s="28"/>
      <c r="CP240" s="28"/>
      <c r="CQ240" s="28"/>
      <c r="CR240" s="28"/>
      <c r="CS240" s="28"/>
      <c r="CT240" s="28"/>
      <c r="CU240" s="28"/>
      <c r="CV240" s="28"/>
      <c r="CW240" s="28"/>
      <c r="CX240" s="28"/>
      <c r="CY240" s="28"/>
      <c r="CZ240" s="28"/>
      <c r="DA240" s="28"/>
      <c r="DB240" s="28"/>
      <c r="DC240" s="28"/>
      <c r="DD240" s="28"/>
      <c r="DE240" s="28"/>
      <c r="DF240" s="28"/>
      <c r="DG240" s="28"/>
      <c r="DH240" s="28"/>
      <c r="DI240" s="28"/>
      <c r="DJ240" s="28"/>
      <c r="DK240" s="28"/>
      <c r="DL240" s="28"/>
      <c r="DM240" s="28"/>
      <c r="DN240" s="28"/>
      <c r="DO240" s="28"/>
      <c r="DP240" s="28"/>
      <c r="DQ240" s="28"/>
      <c r="DR240" s="28"/>
      <c r="DS240" s="28"/>
      <c r="DT240" s="28"/>
      <c r="DU240" s="28"/>
      <c r="DV240" s="28"/>
      <c r="DW240" s="28"/>
      <c r="DX240" s="28"/>
      <c r="DY240" s="28"/>
      <c r="DZ240" s="28"/>
      <c r="EA240" s="28"/>
      <c r="EB240" s="28"/>
      <c r="EC240" s="28"/>
      <c r="ED240" s="28"/>
      <c r="EE240" s="28"/>
      <c r="EF240" s="28"/>
      <c r="EG240" s="28"/>
      <c r="EH240" s="28"/>
      <c r="EI240" s="28"/>
      <c r="EJ240" s="28"/>
      <c r="EK240" s="28"/>
      <c r="EL240" s="28"/>
      <c r="EM240" s="28"/>
      <c r="EN240" s="28"/>
      <c r="EO240" s="28"/>
      <c r="EP240" s="28"/>
      <c r="EQ240" s="28"/>
      <c r="ER240" s="28"/>
      <c r="ES240" s="28"/>
      <c r="ET240" s="28"/>
      <c r="EU240" s="28"/>
      <c r="EV240" s="28"/>
      <c r="EW240" s="28"/>
      <c r="EX240" s="28"/>
      <c r="EY240" s="28"/>
      <c r="EZ240" s="28"/>
      <c r="FA240" s="28"/>
      <c r="FB240" s="28"/>
      <c r="FC240" s="28"/>
      <c r="FD240" s="28"/>
      <c r="FE240" s="28"/>
      <c r="FF240" s="28"/>
      <c r="FG240" s="28"/>
      <c r="FH240" s="28"/>
      <c r="FI240" s="28"/>
      <c r="FJ240" s="28"/>
      <c r="FK240" s="28"/>
      <c r="FL240" s="28"/>
      <c r="FM240" s="28"/>
      <c r="FN240" s="28"/>
      <c r="FO240" s="28"/>
      <c r="FP240" s="28"/>
      <c r="FQ240" s="28"/>
      <c r="FR240" s="28"/>
      <c r="FS240" s="28"/>
      <c r="FT240" s="28"/>
      <c r="FU240" s="28"/>
      <c r="FV240" s="28"/>
      <c r="FW240" s="28"/>
      <c r="FX240" s="28"/>
      <c r="FY240" s="28"/>
      <c r="FZ240" s="28"/>
      <c r="GA240" s="28"/>
      <c r="GB240" s="28"/>
      <c r="GC240" s="28"/>
      <c r="GD240" s="28"/>
      <c r="GE240" s="28"/>
      <c r="GF240" s="28"/>
      <c r="GG240" s="28"/>
      <c r="GH240" s="28"/>
      <c r="GI240" s="28"/>
      <c r="GJ240" s="28"/>
      <c r="GK240" s="28"/>
      <c r="GL240" s="28"/>
      <c r="GM240" s="28"/>
      <c r="GN240" s="28"/>
      <c r="GO240" s="28"/>
      <c r="GP240" s="28"/>
      <c r="GQ240" s="28"/>
      <c r="GR240" s="28"/>
      <c r="GS240" s="28"/>
      <c r="GT240" s="28"/>
      <c r="GU240" s="28"/>
      <c r="GV240" s="28"/>
      <c r="GW240" s="28"/>
      <c r="GX240" s="28"/>
      <c r="GY240" s="28"/>
      <c r="GZ240" s="28"/>
      <c r="HA240" s="28"/>
      <c r="HB240" s="28"/>
      <c r="HC240" s="28"/>
      <c r="HD240" s="28"/>
      <c r="HE240" s="28"/>
      <c r="HF240" s="28"/>
      <c r="HG240" s="28"/>
      <c r="HH240" s="28"/>
      <c r="HI240" s="28"/>
      <c r="HJ240" s="28"/>
      <c r="HK240" s="28"/>
    </row>
    <row r="241" spans="1:219" ht="15" customHeight="1">
      <c r="A241" s="49">
        <v>2</v>
      </c>
      <c r="B241" s="132" t="str">
        <f>VLOOKUP(Ruimtestaat[[#This Row],[Code]],Locaties[[Code]:[Locatie]],2,FALSE)</f>
        <v>Pauluskerk</v>
      </c>
      <c r="C241" s="132" t="str">
        <f>VLOOKUP(Ruimtestaat[[#This Row],[Code]],Locaties[[#All],[Code]:[Adres]],4,FALSE)</f>
        <v>Westdorplaan 122</v>
      </c>
      <c r="D241" s="132" t="str">
        <f>VLOOKUP(Ruimtestaat[[#This Row],[Code]],Locaties[[#All],[Code]:[Postcode]],5,FALSE)</f>
        <v>8101 BJ</v>
      </c>
      <c r="E241" s="132" t="str">
        <f>VLOOKUP(Ruimtestaat[[#This Row],[Code]],Locaties[#All],6,FALSE)</f>
        <v>Raalte</v>
      </c>
      <c r="F241" s="140"/>
      <c r="G241" s="49" t="s">
        <v>1677</v>
      </c>
      <c r="H241" s="49" t="s">
        <v>1751</v>
      </c>
      <c r="I241" s="140" t="s">
        <v>1760</v>
      </c>
      <c r="J241" s="49">
        <v>20</v>
      </c>
      <c r="K241" s="140" t="str">
        <f>VLOOKUP(Ruimtestaat[[#This Row],[Ruimte code]],Ruimtegroepen[[#All],[Code]:[Ruimte omschrijving]],2,FALSE)</f>
        <v>Niet in Onderhoud</v>
      </c>
      <c r="L241" s="100"/>
      <c r="M241" s="345"/>
      <c r="N241" s="133"/>
      <c r="O241" s="139">
        <v>8.7799999999999994</v>
      </c>
      <c r="P241" s="134">
        <f>VLOOKUP(Ruimtestaat[[#This Row],[Ruimte code]],Ruimtegroepen[],4,FALSE)</f>
        <v>0</v>
      </c>
      <c r="Q241" s="100"/>
      <c r="R241" s="100"/>
      <c r="S241" s="100">
        <f>IF(Q241&gt;0,IF(RIGHT(Ruimtestaat[[#This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41" s="100">
        <f>IF(S241&gt;0,VLOOKUP($J241,Ruimtegroepen[],3,FALSE)*VLOOKUP($L241,Vloersoorten[],3,FALSE)*VLOOKUP($R241,Frequenties[],3,FALSE)*VLOOKUP($A241,Locaties[],3,FALSE),0)</f>
        <v>0</v>
      </c>
      <c r="U241" s="100">
        <f>Ruimtestaat[[#This Row],[Uitvoeringen werkdagen]]*Ruimtestaat[[#This Row],[Oppervlak (netto)]]</f>
        <v>0</v>
      </c>
      <c r="V241" s="135">
        <f>IF(T241&gt;0,Ruimtestaat[[#This Row],[Prest. (m2 /jaar) werkdagen]]/Ruimtestaat[[#This Row],[Norm (m2/uur) werkdagen]],0)</f>
        <v>0</v>
      </c>
      <c r="W241" s="136">
        <f>Ruimtestaat[[#This Row],[uren / jaar werkdagen]]*Tariefsopbouw!$E$35</f>
        <v>0</v>
      </c>
      <c r="X241" s="100"/>
      <c r="Y241" s="100">
        <f>IF(Ruimtestaat[[#This Row],[Frequentie weekend]]&gt;0,VALUE(LEFT(X241,1))*Q241,0)</f>
        <v>0</v>
      </c>
      <c r="Z241" s="99">
        <f>IF($Y241&gt;0,VLOOKUP($J241,Ruimtegroepen[],3,FALSE)*VLOOKUP($L241,Vloersoorten[],3,FALSE)*VLOOKUP($X241,Frequenties[],3,FALSE)*VLOOKUP(Ruimtestaat[[#This Row],[Code]],Locaties[],3,FALSE),0)</f>
        <v>0</v>
      </c>
      <c r="AA241" s="99">
        <f>Ruimtestaat[[#This Row],[Uitvoeringen weekend]]*Ruimtestaat[[#This Row],[Oppervlak (netto)]]</f>
        <v>0</v>
      </c>
      <c r="AB241" s="99">
        <f>IF(Z241&gt;0,Ruimtestaat[[#This Row],[Prest. (m2 /jaar) weekend]]/Ruimtestaat[[#This Row],[Norm (m2/uur) weekend]],0)</f>
        <v>0</v>
      </c>
      <c r="AC241" s="136">
        <f>Ruimtestaat[[#This Row],[uren / jaar weekend]]*Tariefsopbouw!$D$40</f>
        <v>0</v>
      </c>
      <c r="AD241" s="135">
        <f>Ruimtestaat[[#This Row],[Prest. (m2 /jaar) weekend]]+Ruimtestaat[[#This Row],[Prest. (m2 /jaar) werkdagen]]</f>
        <v>0</v>
      </c>
      <c r="AE241" s="135">
        <f>Ruimtestaat[[#This Row],[uren / jaar weekend]]+Ruimtestaat[[#This Row],[uren / jaar werkdagen]]</f>
        <v>0</v>
      </c>
      <c r="AF241" s="130">
        <f>Ruimtestaat[[#This Row],[kosten / jaar weekend]]+Ruimtestaat[[#This Row],[kosten / jaar werkdagen]]</f>
        <v>0</v>
      </c>
      <c r="AG241" s="130"/>
      <c r="AH241" s="137" t="str">
        <f>IF(Ruimtestaat[[#This Row],[Frequentie werkdagen]]="","",_xlfn.CONCAT(Ruimtestaat[[#This Row],[Ruimte code]],"-",Ruimtestaat[[#This Row],[Frequentie werkdagen]]," ",Ruimtestaat[[#This Row],[Vloer code]]))</f>
        <v/>
      </c>
      <c r="AI241" s="142" t="str">
        <f>_xlfn.IFNA(VLOOKUP($AH241,Programma!$F$3:$G$1101,2,0),"")</f>
        <v/>
      </c>
      <c r="AJ241" s="142" t="str">
        <f>_xlfn.IFNA(VLOOKUP($AH241,Programma!$F$3:$H$1101,3,0),"")</f>
        <v/>
      </c>
      <c r="AK241" s="142" t="str">
        <f>_xlfn.IFNA(VLOOKUP($AH241,Programma!$F$3:$I$1101,4,0),"")</f>
        <v/>
      </c>
      <c r="AL241" s="142" t="str">
        <f>_xlfn.IFNA(VLOOKUP($AH241,Programma!$F$3:$J$1101,5,0),"")</f>
        <v/>
      </c>
      <c r="AM241" s="142" t="str">
        <f>_xlfn.IFNA(VLOOKUP($AH241,Programma!$F$3:$K$1101,6,0),"")</f>
        <v/>
      </c>
      <c r="AN241" s="142" t="str">
        <f>_xlfn.IFNA(VLOOKUP($AH241,Programma!$F$3:$L$1101,7,0),"")</f>
        <v/>
      </c>
      <c r="AO241" s="142" t="str">
        <f>_xlfn.IFNA(VLOOKUP($AH241,Programma!$F$3:$M$1101,8,0),"")</f>
        <v/>
      </c>
      <c r="AP241" s="142" t="str">
        <f>_xlfn.IFNA(VLOOKUP($AH241,Programma!$F$3:$N$1101,9,0),"")</f>
        <v/>
      </c>
      <c r="AQ241" s="142" t="str">
        <f>_xlfn.IFNA(VLOOKUP($AH241,Programma!$F$3:$O$1101,10,0),"")</f>
        <v/>
      </c>
      <c r="AR241" s="142" t="str">
        <f>_xlfn.IFNA(VLOOKUP($AH241,Programma!$F$3:$P$1101,11,0),"")</f>
        <v/>
      </c>
      <c r="AS241" s="142" t="str">
        <f>_xlfn.IFNA(VLOOKUP($AH241,Programma!$F$3:$Q$1101,12,0),"")</f>
        <v/>
      </c>
      <c r="AT241" s="142" t="str">
        <f>_xlfn.IFNA(VLOOKUP($AH241,Programma!$F$3:$R$1101,13,0),"")</f>
        <v/>
      </c>
      <c r="AU241" s="142" t="str">
        <f>_xlfn.IFNA(VLOOKUP($AH241,Programma!$F$3:$S$1101,14,0),"")</f>
        <v/>
      </c>
      <c r="AV241" s="142" t="str">
        <f>_xlfn.IFNA(VLOOKUP($AH241,Programma!$F$3:$T$1101,15,0),"")</f>
        <v/>
      </c>
      <c r="AW241" s="142" t="str">
        <f>_xlfn.IFNA(VLOOKUP($AH241,Programma!$F$3:$U$1101,16,0),"")</f>
        <v/>
      </c>
      <c r="AX241" s="142" t="str">
        <f>_xlfn.IFNA(VLOOKUP($AH241,Programma!$F$3:$V$1101,17,0),"")</f>
        <v/>
      </c>
      <c r="AY241" s="142" t="str">
        <f>_xlfn.IFNA(VLOOKUP($AH241,Programma!$F$3:$W$1101,18,0),"")</f>
        <v/>
      </c>
      <c r="AZ241" s="142" t="str">
        <f>_xlfn.IFNA(VLOOKUP($AH241,Programma!$F$3:$X$1101,19,0),"")</f>
        <v/>
      </c>
      <c r="BA241" s="142" t="str">
        <f>_xlfn.IFNA(VLOOKUP($AH241,Programma!$F$3:$Y$1101,20,0),"")</f>
        <v/>
      </c>
      <c r="BB241" s="138"/>
      <c r="BC241" s="137" t="str">
        <f>IF(Ruimtestaat[[#This Row],[Frequentie weekend]]="","",_xlfn.CONCAT(Ruimtestaat[[#This Row],[Ruimte code]],"-",Ruimtestaat[[#This Row],[Frequentie weekend]]," ",Ruimtestaat[[#This Row],[Vloer code]]))</f>
        <v/>
      </c>
      <c r="BD241" s="142" t="str">
        <f>_xlfn.IFNA(VLOOKUP($BC241,Programma!$F$3:$G$1101,2,0),"")</f>
        <v/>
      </c>
      <c r="BE241" s="142" t="str">
        <f>_xlfn.IFNA(VLOOKUP($BC241,Programma!$F$3:$H$1101,3,0),"")</f>
        <v/>
      </c>
      <c r="BF241" s="142" t="str">
        <f>_xlfn.IFNA(VLOOKUP($BC241,Programma!$F$3:$I$1101,4,0),"")</f>
        <v/>
      </c>
      <c r="BG241" s="142" t="str">
        <f>_xlfn.IFNA(VLOOKUP($BC241,Programma!$F$3:$J$1101,5,0),"")</f>
        <v/>
      </c>
      <c r="BH241" s="142" t="str">
        <f>_xlfn.IFNA(VLOOKUP($BC241,Programma!$F$3:$K$1101,6,0),"")</f>
        <v/>
      </c>
      <c r="BI241" s="142" t="str">
        <f>_xlfn.IFNA(VLOOKUP($BC241,Programma!$F$3:$L$1101,7,0),"")</f>
        <v/>
      </c>
      <c r="BJ241" s="142" t="str">
        <f>_xlfn.IFNA(VLOOKUP($BC241,Programma!$F$3:$M$1101,8,0),"")</f>
        <v/>
      </c>
      <c r="BK241" s="142" t="str">
        <f>_xlfn.IFNA(VLOOKUP($BC241,Programma!$F$3:$N$1101,9,0),"")</f>
        <v/>
      </c>
      <c r="BL241" s="142" t="str">
        <f>_xlfn.IFNA(VLOOKUP($BC241,Programma!$F$3:$O$1101,10,0),"")</f>
        <v/>
      </c>
      <c r="BM241" s="142" t="str">
        <f>_xlfn.IFNA(VLOOKUP($BC241,Programma!$F$3:$P$1101,11,0),"")</f>
        <v/>
      </c>
      <c r="BN241" s="142" t="str">
        <f>_xlfn.IFNA(VLOOKUP($BC241,Programma!$F$3:$Q$1101,12,0),"")</f>
        <v/>
      </c>
      <c r="BO241" s="142" t="str">
        <f>_xlfn.IFNA(VLOOKUP($BC241,Programma!$F$3:$R$1101,13,0),"")</f>
        <v/>
      </c>
      <c r="BP241" s="142" t="str">
        <f>_xlfn.IFNA(VLOOKUP($BC241,Programma!$F$3:$S$1101,14,0),"")</f>
        <v/>
      </c>
      <c r="BQ241" s="142" t="str">
        <f>_xlfn.IFNA(VLOOKUP($BC241,Programma!$F$3:$T$1101,15,0),"")</f>
        <v/>
      </c>
      <c r="BR241" s="142" t="str">
        <f>_xlfn.IFNA(VLOOKUP($BC241,Programma!$F$3:$U$1101,16,0),"")</f>
        <v/>
      </c>
      <c r="BS241" s="142" t="str">
        <f>_xlfn.IFNA(VLOOKUP($BC241,Programma!$F$3:$V$1101,17,0),"")</f>
        <v/>
      </c>
      <c r="BT241" s="142" t="str">
        <f>_xlfn.IFNA(VLOOKUP($BC241,Programma!$F$3:$W$1101,18,0),"")</f>
        <v/>
      </c>
      <c r="BU241" s="142" t="str">
        <f>_xlfn.IFNA(VLOOKUP($BC241,Programma!$F$3:$X$1101,19,0),"")</f>
        <v/>
      </c>
      <c r="BV241" s="142" t="str">
        <f>_xlfn.IFNA(VLOOKUP($BC241,Programma!$F$3:$Y$1101,20,0),"")</f>
        <v/>
      </c>
      <c r="BW241" s="28"/>
      <c r="BX241" s="28"/>
      <c r="BY241" s="28"/>
      <c r="BZ241" s="28"/>
      <c r="CA241" s="28"/>
      <c r="CB241" s="28"/>
      <c r="CC241" s="28"/>
      <c r="CD241" s="28"/>
      <c r="CE241" s="28"/>
      <c r="CF241" s="28"/>
      <c r="CG241" s="28"/>
      <c r="CH241" s="28"/>
      <c r="CI241" s="28"/>
      <c r="CJ241" s="28"/>
      <c r="CK241" s="28"/>
      <c r="CL241" s="28"/>
      <c r="CM241" s="28"/>
      <c r="CN241" s="28"/>
      <c r="CO241" s="28"/>
      <c r="CP241" s="28"/>
      <c r="CQ241" s="28"/>
      <c r="CR241" s="28"/>
      <c r="CS241" s="28"/>
      <c r="CT241" s="28"/>
      <c r="CU241" s="28"/>
      <c r="CV241" s="28"/>
      <c r="CW241" s="28"/>
      <c r="CX241" s="28"/>
      <c r="CY241" s="28"/>
      <c r="CZ241" s="28"/>
      <c r="DA241" s="28"/>
      <c r="DB241" s="28"/>
      <c r="DC241" s="28"/>
      <c r="DD241" s="28"/>
      <c r="DE241" s="28"/>
      <c r="DF241" s="28"/>
      <c r="DG241" s="28"/>
      <c r="DH241" s="28"/>
      <c r="DI241" s="28"/>
      <c r="DJ241" s="28"/>
      <c r="DK241" s="28"/>
      <c r="DL241" s="28"/>
      <c r="DM241" s="28"/>
      <c r="DN241" s="28"/>
      <c r="DO241" s="28"/>
      <c r="DP241" s="28"/>
      <c r="DQ241" s="28"/>
      <c r="DR241" s="28"/>
      <c r="DS241" s="28"/>
      <c r="DT241" s="28"/>
      <c r="DU241" s="28"/>
      <c r="DV241" s="28"/>
      <c r="DW241" s="28"/>
      <c r="DX241" s="28"/>
      <c r="DY241" s="28"/>
      <c r="DZ241" s="28"/>
      <c r="EA241" s="28"/>
      <c r="EB241" s="28"/>
      <c r="EC241" s="28"/>
      <c r="ED241" s="28"/>
      <c r="EE241" s="28"/>
      <c r="EF241" s="28"/>
      <c r="EG241" s="28"/>
      <c r="EH241" s="28"/>
      <c r="EI241" s="28"/>
      <c r="EJ241" s="28"/>
      <c r="EK241" s="28"/>
      <c r="EL241" s="28"/>
      <c r="EM241" s="28"/>
      <c r="EN241" s="28"/>
      <c r="EO241" s="28"/>
      <c r="EP241" s="28"/>
      <c r="EQ241" s="28"/>
      <c r="ER241" s="28"/>
      <c r="ES241" s="28"/>
      <c r="ET241" s="28"/>
      <c r="EU241" s="28"/>
      <c r="EV241" s="28"/>
      <c r="EW241" s="28"/>
      <c r="EX241" s="28"/>
      <c r="EY241" s="28"/>
      <c r="EZ241" s="28"/>
      <c r="FA241" s="28"/>
      <c r="FB241" s="28"/>
      <c r="FC241" s="28"/>
      <c r="FD241" s="28"/>
      <c r="FE241" s="28"/>
      <c r="FF241" s="28"/>
      <c r="FG241" s="28"/>
      <c r="FH241" s="28"/>
      <c r="FI241" s="28"/>
      <c r="FJ241" s="28"/>
      <c r="FK241" s="28"/>
      <c r="FL241" s="28"/>
      <c r="FM241" s="28"/>
      <c r="FN241" s="28"/>
      <c r="FO241" s="28"/>
      <c r="FP241" s="28"/>
      <c r="FQ241" s="28"/>
      <c r="FR241" s="28"/>
      <c r="FS241" s="28"/>
      <c r="FT241" s="28"/>
      <c r="FU241" s="28"/>
      <c r="FV241" s="28"/>
      <c r="FW241" s="28"/>
      <c r="FX241" s="28"/>
      <c r="FY241" s="28"/>
      <c r="FZ241" s="28"/>
      <c r="GA241" s="28"/>
      <c r="GB241" s="28"/>
      <c r="GC241" s="28"/>
      <c r="GD241" s="28"/>
      <c r="GE241" s="28"/>
      <c r="GF241" s="28"/>
      <c r="GG241" s="28"/>
      <c r="GH241" s="28"/>
      <c r="GI241" s="28"/>
      <c r="GJ241" s="28"/>
      <c r="GK241" s="28"/>
      <c r="GL241" s="28"/>
      <c r="GM241" s="28"/>
      <c r="GN241" s="28"/>
      <c r="GO241" s="28"/>
      <c r="GP241" s="28"/>
      <c r="GQ241" s="28"/>
      <c r="GR241" s="28"/>
      <c r="GS241" s="28"/>
      <c r="GT241" s="28"/>
      <c r="GU241" s="28"/>
      <c r="GV241" s="28"/>
      <c r="GW241" s="28"/>
      <c r="GX241" s="28"/>
      <c r="GY241" s="28"/>
      <c r="GZ241" s="28"/>
      <c r="HA241" s="28"/>
      <c r="HB241" s="28"/>
      <c r="HC241" s="28"/>
      <c r="HD241" s="28"/>
      <c r="HE241" s="28"/>
      <c r="HF241" s="28"/>
      <c r="HG241" s="28"/>
      <c r="HH241" s="28"/>
      <c r="HI241" s="28"/>
      <c r="HJ241" s="28"/>
      <c r="HK241" s="28"/>
    </row>
    <row r="242" spans="1:219" ht="15" customHeight="1">
      <c r="A242" s="49">
        <v>2</v>
      </c>
      <c r="B242" s="132" t="str">
        <f>VLOOKUP(Ruimtestaat[[#This Row],[Code]],Locaties[[Code]:[Locatie]],2,FALSE)</f>
        <v>Pauluskerk</v>
      </c>
      <c r="C242" s="132" t="str">
        <f>VLOOKUP(Ruimtestaat[[#This Row],[Code]],Locaties[[#All],[Code]:[Adres]],4,FALSE)</f>
        <v>Westdorplaan 122</v>
      </c>
      <c r="D242" s="132" t="str">
        <f>VLOOKUP(Ruimtestaat[[#This Row],[Code]],Locaties[[#All],[Code]:[Postcode]],5,FALSE)</f>
        <v>8101 BJ</v>
      </c>
      <c r="E242" s="132" t="str">
        <f>VLOOKUP(Ruimtestaat[[#This Row],[Code]],Locaties[#All],6,FALSE)</f>
        <v>Raalte</v>
      </c>
      <c r="F242" s="140"/>
      <c r="G242" s="49" t="s">
        <v>1677</v>
      </c>
      <c r="H242" s="49" t="s">
        <v>1752</v>
      </c>
      <c r="I242" s="140" t="s">
        <v>1762</v>
      </c>
      <c r="J242" s="49">
        <v>20</v>
      </c>
      <c r="K242" s="140" t="str">
        <f>VLOOKUP(Ruimtestaat[[#This Row],[Ruimte code]],Ruimtegroepen[[#All],[Code]:[Ruimte omschrijving]],2,FALSE)</f>
        <v>Niet in Onderhoud</v>
      </c>
      <c r="L242" s="100"/>
      <c r="M242" s="345"/>
      <c r="N242" s="133"/>
      <c r="O242" s="139">
        <v>9.49</v>
      </c>
      <c r="P242" s="134">
        <f>VLOOKUP(Ruimtestaat[[#This Row],[Ruimte code]],Ruimtegroepen[],4,FALSE)</f>
        <v>0</v>
      </c>
      <c r="Q242" s="100"/>
      <c r="R242" s="100"/>
      <c r="S242" s="100">
        <f>IF(Q242&gt;0,IF(RIGHT(Ruimtestaat[[#This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42" s="100">
        <f>IF(S242&gt;0,VLOOKUP($J242,Ruimtegroepen[],3,FALSE)*VLOOKUP($L242,Vloersoorten[],3,FALSE)*VLOOKUP($R242,Frequenties[],3,FALSE)*VLOOKUP($A242,Locaties[],3,FALSE),0)</f>
        <v>0</v>
      </c>
      <c r="U242" s="100">
        <f>Ruimtestaat[[#This Row],[Uitvoeringen werkdagen]]*Ruimtestaat[[#This Row],[Oppervlak (netto)]]</f>
        <v>0</v>
      </c>
      <c r="V242" s="135">
        <f>IF(T242&gt;0,Ruimtestaat[[#This Row],[Prest. (m2 /jaar) werkdagen]]/Ruimtestaat[[#This Row],[Norm (m2/uur) werkdagen]],0)</f>
        <v>0</v>
      </c>
      <c r="W242" s="136">
        <f>Ruimtestaat[[#This Row],[uren / jaar werkdagen]]*Tariefsopbouw!$E$35</f>
        <v>0</v>
      </c>
      <c r="X242" s="100"/>
      <c r="Y242" s="100">
        <f>IF(Ruimtestaat[[#This Row],[Frequentie weekend]]&gt;0,VALUE(LEFT(X242,1))*Q242,0)</f>
        <v>0</v>
      </c>
      <c r="Z242" s="99">
        <f>IF($Y242&gt;0,VLOOKUP($J242,Ruimtegroepen[],3,FALSE)*VLOOKUP($L242,Vloersoorten[],3,FALSE)*VLOOKUP($X242,Frequenties[],3,FALSE)*VLOOKUP(Ruimtestaat[[#This Row],[Code]],Locaties[],3,FALSE),0)</f>
        <v>0</v>
      </c>
      <c r="AA242" s="99">
        <f>Ruimtestaat[[#This Row],[Uitvoeringen weekend]]*Ruimtestaat[[#This Row],[Oppervlak (netto)]]</f>
        <v>0</v>
      </c>
      <c r="AB242" s="99">
        <f>IF(Z242&gt;0,Ruimtestaat[[#This Row],[Prest. (m2 /jaar) weekend]]/Ruimtestaat[[#This Row],[Norm (m2/uur) weekend]],0)</f>
        <v>0</v>
      </c>
      <c r="AC242" s="136">
        <f>Ruimtestaat[[#This Row],[uren / jaar weekend]]*Tariefsopbouw!$D$40</f>
        <v>0</v>
      </c>
      <c r="AD242" s="135">
        <f>Ruimtestaat[[#This Row],[Prest. (m2 /jaar) weekend]]+Ruimtestaat[[#This Row],[Prest. (m2 /jaar) werkdagen]]</f>
        <v>0</v>
      </c>
      <c r="AE242" s="135">
        <f>Ruimtestaat[[#This Row],[uren / jaar weekend]]+Ruimtestaat[[#This Row],[uren / jaar werkdagen]]</f>
        <v>0</v>
      </c>
      <c r="AF242" s="130">
        <f>Ruimtestaat[[#This Row],[kosten / jaar weekend]]+Ruimtestaat[[#This Row],[kosten / jaar werkdagen]]</f>
        <v>0</v>
      </c>
      <c r="AG242" s="130"/>
      <c r="AH242" s="137" t="str">
        <f>IF(Ruimtestaat[[#This Row],[Frequentie werkdagen]]="","",_xlfn.CONCAT(Ruimtestaat[[#This Row],[Ruimte code]],"-",Ruimtestaat[[#This Row],[Frequentie werkdagen]]," ",Ruimtestaat[[#This Row],[Vloer code]]))</f>
        <v/>
      </c>
      <c r="AI242" s="142" t="str">
        <f>_xlfn.IFNA(VLOOKUP($AH242,Programma!$F$3:$G$1101,2,0),"")</f>
        <v/>
      </c>
      <c r="AJ242" s="142" t="str">
        <f>_xlfn.IFNA(VLOOKUP($AH242,Programma!$F$3:$H$1101,3,0),"")</f>
        <v/>
      </c>
      <c r="AK242" s="142" t="str">
        <f>_xlfn.IFNA(VLOOKUP($AH242,Programma!$F$3:$I$1101,4,0),"")</f>
        <v/>
      </c>
      <c r="AL242" s="142" t="str">
        <f>_xlfn.IFNA(VLOOKUP($AH242,Programma!$F$3:$J$1101,5,0),"")</f>
        <v/>
      </c>
      <c r="AM242" s="142" t="str">
        <f>_xlfn.IFNA(VLOOKUP($AH242,Programma!$F$3:$K$1101,6,0),"")</f>
        <v/>
      </c>
      <c r="AN242" s="142" t="str">
        <f>_xlfn.IFNA(VLOOKUP($AH242,Programma!$F$3:$L$1101,7,0),"")</f>
        <v/>
      </c>
      <c r="AO242" s="142" t="str">
        <f>_xlfn.IFNA(VLOOKUP($AH242,Programma!$F$3:$M$1101,8,0),"")</f>
        <v/>
      </c>
      <c r="AP242" s="142" t="str">
        <f>_xlfn.IFNA(VLOOKUP($AH242,Programma!$F$3:$N$1101,9,0),"")</f>
        <v/>
      </c>
      <c r="AQ242" s="142" t="str">
        <f>_xlfn.IFNA(VLOOKUP($AH242,Programma!$F$3:$O$1101,10,0),"")</f>
        <v/>
      </c>
      <c r="AR242" s="142" t="str">
        <f>_xlfn.IFNA(VLOOKUP($AH242,Programma!$F$3:$P$1101,11,0),"")</f>
        <v/>
      </c>
      <c r="AS242" s="142" t="str">
        <f>_xlfn.IFNA(VLOOKUP($AH242,Programma!$F$3:$Q$1101,12,0),"")</f>
        <v/>
      </c>
      <c r="AT242" s="142" t="str">
        <f>_xlfn.IFNA(VLOOKUP($AH242,Programma!$F$3:$R$1101,13,0),"")</f>
        <v/>
      </c>
      <c r="AU242" s="142" t="str">
        <f>_xlfn.IFNA(VLOOKUP($AH242,Programma!$F$3:$S$1101,14,0),"")</f>
        <v/>
      </c>
      <c r="AV242" s="142" t="str">
        <f>_xlfn.IFNA(VLOOKUP($AH242,Programma!$F$3:$T$1101,15,0),"")</f>
        <v/>
      </c>
      <c r="AW242" s="142" t="str">
        <f>_xlfn.IFNA(VLOOKUP($AH242,Programma!$F$3:$U$1101,16,0),"")</f>
        <v/>
      </c>
      <c r="AX242" s="142" t="str">
        <f>_xlfn.IFNA(VLOOKUP($AH242,Programma!$F$3:$V$1101,17,0),"")</f>
        <v/>
      </c>
      <c r="AY242" s="142" t="str">
        <f>_xlfn.IFNA(VLOOKUP($AH242,Programma!$F$3:$W$1101,18,0),"")</f>
        <v/>
      </c>
      <c r="AZ242" s="142" t="str">
        <f>_xlfn.IFNA(VLOOKUP($AH242,Programma!$F$3:$X$1101,19,0),"")</f>
        <v/>
      </c>
      <c r="BA242" s="142" t="str">
        <f>_xlfn.IFNA(VLOOKUP($AH242,Programma!$F$3:$Y$1101,20,0),"")</f>
        <v/>
      </c>
      <c r="BB242" s="138"/>
      <c r="BC242" s="137" t="str">
        <f>IF(Ruimtestaat[[#This Row],[Frequentie weekend]]="","",_xlfn.CONCAT(Ruimtestaat[[#This Row],[Ruimte code]],"-",Ruimtestaat[[#This Row],[Frequentie weekend]]," ",Ruimtestaat[[#This Row],[Vloer code]]))</f>
        <v/>
      </c>
      <c r="BD242" s="142" t="str">
        <f>_xlfn.IFNA(VLOOKUP($BC242,Programma!$F$3:$G$1101,2,0),"")</f>
        <v/>
      </c>
      <c r="BE242" s="142" t="str">
        <f>_xlfn.IFNA(VLOOKUP($BC242,Programma!$F$3:$H$1101,3,0),"")</f>
        <v/>
      </c>
      <c r="BF242" s="142" t="str">
        <f>_xlfn.IFNA(VLOOKUP($BC242,Programma!$F$3:$I$1101,4,0),"")</f>
        <v/>
      </c>
      <c r="BG242" s="142" t="str">
        <f>_xlfn.IFNA(VLOOKUP($BC242,Programma!$F$3:$J$1101,5,0),"")</f>
        <v/>
      </c>
      <c r="BH242" s="142" t="str">
        <f>_xlfn.IFNA(VLOOKUP($BC242,Programma!$F$3:$K$1101,6,0),"")</f>
        <v/>
      </c>
      <c r="BI242" s="142" t="str">
        <f>_xlfn.IFNA(VLOOKUP($BC242,Programma!$F$3:$L$1101,7,0),"")</f>
        <v/>
      </c>
      <c r="BJ242" s="142" t="str">
        <f>_xlfn.IFNA(VLOOKUP($BC242,Programma!$F$3:$M$1101,8,0),"")</f>
        <v/>
      </c>
      <c r="BK242" s="142" t="str">
        <f>_xlfn.IFNA(VLOOKUP($BC242,Programma!$F$3:$N$1101,9,0),"")</f>
        <v/>
      </c>
      <c r="BL242" s="142" t="str">
        <f>_xlfn.IFNA(VLOOKUP($BC242,Programma!$F$3:$O$1101,10,0),"")</f>
        <v/>
      </c>
      <c r="BM242" s="142" t="str">
        <f>_xlfn.IFNA(VLOOKUP($BC242,Programma!$F$3:$P$1101,11,0),"")</f>
        <v/>
      </c>
      <c r="BN242" s="142" t="str">
        <f>_xlfn.IFNA(VLOOKUP($BC242,Programma!$F$3:$Q$1101,12,0),"")</f>
        <v/>
      </c>
      <c r="BO242" s="142" t="str">
        <f>_xlfn.IFNA(VLOOKUP($BC242,Programma!$F$3:$R$1101,13,0),"")</f>
        <v/>
      </c>
      <c r="BP242" s="142" t="str">
        <f>_xlfn.IFNA(VLOOKUP($BC242,Programma!$F$3:$S$1101,14,0),"")</f>
        <v/>
      </c>
      <c r="BQ242" s="142" t="str">
        <f>_xlfn.IFNA(VLOOKUP($BC242,Programma!$F$3:$T$1101,15,0),"")</f>
        <v/>
      </c>
      <c r="BR242" s="142" t="str">
        <f>_xlfn.IFNA(VLOOKUP($BC242,Programma!$F$3:$U$1101,16,0),"")</f>
        <v/>
      </c>
      <c r="BS242" s="142" t="str">
        <f>_xlfn.IFNA(VLOOKUP($BC242,Programma!$F$3:$V$1101,17,0),"")</f>
        <v/>
      </c>
      <c r="BT242" s="142" t="str">
        <f>_xlfn.IFNA(VLOOKUP($BC242,Programma!$F$3:$W$1101,18,0),"")</f>
        <v/>
      </c>
      <c r="BU242" s="142" t="str">
        <f>_xlfn.IFNA(VLOOKUP($BC242,Programma!$F$3:$X$1101,19,0),"")</f>
        <v/>
      </c>
      <c r="BV242" s="142" t="str">
        <f>_xlfn.IFNA(VLOOKUP($BC242,Programma!$F$3:$Y$1101,20,0),"")</f>
        <v/>
      </c>
      <c r="BW242" s="28"/>
      <c r="BX242" s="28"/>
      <c r="BY242" s="28"/>
      <c r="BZ242" s="28"/>
      <c r="CA242" s="28"/>
      <c r="CB242" s="28"/>
      <c r="CC242" s="28"/>
      <c r="CD242" s="28"/>
      <c r="CE242" s="28"/>
      <c r="CF242" s="28"/>
      <c r="CG242" s="28"/>
      <c r="CH242" s="28"/>
      <c r="CI242" s="28"/>
      <c r="CJ242" s="28"/>
      <c r="CK242" s="28"/>
      <c r="CL242" s="28"/>
      <c r="CM242" s="28"/>
      <c r="CN242" s="28"/>
      <c r="CO242" s="28"/>
      <c r="CP242" s="28"/>
      <c r="CQ242" s="28"/>
      <c r="CR242" s="28"/>
      <c r="CS242" s="28"/>
      <c r="CT242" s="28"/>
      <c r="CU242" s="28"/>
      <c r="CV242" s="28"/>
      <c r="CW242" s="28"/>
      <c r="CX242" s="28"/>
      <c r="CY242" s="28"/>
      <c r="CZ242" s="28"/>
      <c r="DA242" s="28"/>
      <c r="DB242" s="28"/>
      <c r="DC242" s="28"/>
      <c r="DD242" s="28"/>
      <c r="DE242" s="28"/>
      <c r="DF242" s="28"/>
      <c r="DG242" s="28"/>
      <c r="DH242" s="28"/>
      <c r="DI242" s="28"/>
      <c r="DJ242" s="28"/>
      <c r="DK242" s="28"/>
      <c r="DL242" s="28"/>
      <c r="DM242" s="28"/>
      <c r="DN242" s="28"/>
      <c r="DO242" s="28"/>
      <c r="DP242" s="28"/>
      <c r="DQ242" s="28"/>
      <c r="DR242" s="28"/>
      <c r="DS242" s="28"/>
      <c r="DT242" s="28"/>
      <c r="DU242" s="28"/>
      <c r="DV242" s="28"/>
      <c r="DW242" s="28"/>
      <c r="DX242" s="28"/>
      <c r="DY242" s="28"/>
      <c r="DZ242" s="28"/>
      <c r="EA242" s="28"/>
      <c r="EB242" s="28"/>
      <c r="EC242" s="28"/>
      <c r="ED242" s="28"/>
      <c r="EE242" s="28"/>
      <c r="EF242" s="28"/>
      <c r="EG242" s="28"/>
      <c r="EH242" s="28"/>
      <c r="EI242" s="28"/>
      <c r="EJ242" s="28"/>
      <c r="EK242" s="28"/>
      <c r="EL242" s="28"/>
      <c r="EM242" s="28"/>
      <c r="EN242" s="28"/>
      <c r="EO242" s="28"/>
      <c r="EP242" s="28"/>
      <c r="EQ242" s="28"/>
      <c r="ER242" s="28"/>
      <c r="ES242" s="28"/>
      <c r="ET242" s="28"/>
      <c r="EU242" s="28"/>
      <c r="EV242" s="28"/>
      <c r="EW242" s="28"/>
      <c r="EX242" s="28"/>
      <c r="EY242" s="28"/>
      <c r="EZ242" s="28"/>
      <c r="FA242" s="28"/>
      <c r="FB242" s="28"/>
      <c r="FC242" s="28"/>
      <c r="FD242" s="28"/>
      <c r="FE242" s="28"/>
      <c r="FF242" s="28"/>
      <c r="FG242" s="28"/>
      <c r="FH242" s="28"/>
      <c r="FI242" s="28"/>
      <c r="FJ242" s="28"/>
      <c r="FK242" s="28"/>
      <c r="FL242" s="28"/>
      <c r="FM242" s="28"/>
      <c r="FN242" s="28"/>
      <c r="FO242" s="28"/>
      <c r="FP242" s="28"/>
      <c r="FQ242" s="28"/>
      <c r="FR242" s="28"/>
      <c r="FS242" s="28"/>
      <c r="FT242" s="28"/>
      <c r="FU242" s="28"/>
      <c r="FV242" s="28"/>
      <c r="FW242" s="28"/>
      <c r="FX242" s="28"/>
      <c r="FY242" s="28"/>
      <c r="FZ242" s="28"/>
      <c r="GA242" s="28"/>
      <c r="GB242" s="28"/>
      <c r="GC242" s="28"/>
      <c r="GD242" s="28"/>
      <c r="GE242" s="28"/>
      <c r="GF242" s="28"/>
      <c r="GG242" s="28"/>
      <c r="GH242" s="28"/>
      <c r="GI242" s="28"/>
      <c r="GJ242" s="28"/>
      <c r="GK242" s="28"/>
      <c r="GL242" s="28"/>
      <c r="GM242" s="28"/>
      <c r="GN242" s="28"/>
      <c r="GO242" s="28"/>
      <c r="GP242" s="28"/>
      <c r="GQ242" s="28"/>
      <c r="GR242" s="28"/>
      <c r="GS242" s="28"/>
      <c r="GT242" s="28"/>
      <c r="GU242" s="28"/>
      <c r="GV242" s="28"/>
      <c r="GW242" s="28"/>
      <c r="GX242" s="28"/>
      <c r="GY242" s="28"/>
      <c r="GZ242" s="28"/>
      <c r="HA242" s="28"/>
      <c r="HB242" s="28"/>
      <c r="HC242" s="28"/>
      <c r="HD242" s="28"/>
      <c r="HE242" s="28"/>
      <c r="HF242" s="28"/>
      <c r="HG242" s="28"/>
      <c r="HH242" s="28"/>
      <c r="HI242" s="28"/>
      <c r="HJ242" s="28"/>
      <c r="HK242" s="28"/>
    </row>
    <row r="243" spans="1:219" ht="15" customHeight="1">
      <c r="A243" s="49">
        <v>2</v>
      </c>
      <c r="B243" s="132" t="str">
        <f>VLOOKUP(Ruimtestaat[[#This Row],[Code]],Locaties[[Code]:[Locatie]],2,FALSE)</f>
        <v>Pauluskerk</v>
      </c>
      <c r="C243" s="132" t="str">
        <f>VLOOKUP(Ruimtestaat[[#This Row],[Code]],Locaties[[#All],[Code]:[Adres]],4,FALSE)</f>
        <v>Westdorplaan 122</v>
      </c>
      <c r="D243" s="132" t="str">
        <f>VLOOKUP(Ruimtestaat[[#This Row],[Code]],Locaties[[#All],[Code]:[Postcode]],5,FALSE)</f>
        <v>8101 BJ</v>
      </c>
      <c r="E243" s="132" t="str">
        <f>VLOOKUP(Ruimtestaat[[#This Row],[Code]],Locaties[#All],6,FALSE)</f>
        <v>Raalte</v>
      </c>
      <c r="F243" s="140"/>
      <c r="G243" s="49" t="s">
        <v>1677</v>
      </c>
      <c r="H243" s="49" t="s">
        <v>1753</v>
      </c>
      <c r="I243" s="140" t="s">
        <v>1761</v>
      </c>
      <c r="J243" s="49">
        <v>20</v>
      </c>
      <c r="K243" s="140" t="str">
        <f>VLOOKUP(Ruimtestaat[[#This Row],[Ruimte code]],Ruimtegroepen[[#All],[Code]:[Ruimte omschrijving]],2,FALSE)</f>
        <v>Niet in Onderhoud</v>
      </c>
      <c r="L243" s="100"/>
      <c r="M243" s="345"/>
      <c r="N243" s="133"/>
      <c r="O243" s="139">
        <v>20.86</v>
      </c>
      <c r="P243" s="134">
        <f>VLOOKUP(Ruimtestaat[[#This Row],[Ruimte code]],Ruimtegroepen[],4,FALSE)</f>
        <v>0</v>
      </c>
      <c r="Q243" s="100"/>
      <c r="R243" s="100"/>
      <c r="S243" s="100">
        <f>IF(Q243&gt;0,IF(RIGHT(Ruimtestaat[[#This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43" s="100">
        <f>IF(S243&gt;0,VLOOKUP($J243,Ruimtegroepen[],3,FALSE)*VLOOKUP($L243,Vloersoorten[],3,FALSE)*VLOOKUP($R243,Frequenties[],3,FALSE)*VLOOKUP($A243,Locaties[],3,FALSE),0)</f>
        <v>0</v>
      </c>
      <c r="U243" s="100">
        <f>Ruimtestaat[[#This Row],[Uitvoeringen werkdagen]]*Ruimtestaat[[#This Row],[Oppervlak (netto)]]</f>
        <v>0</v>
      </c>
      <c r="V243" s="135">
        <f>IF(T243&gt;0,Ruimtestaat[[#This Row],[Prest. (m2 /jaar) werkdagen]]/Ruimtestaat[[#This Row],[Norm (m2/uur) werkdagen]],0)</f>
        <v>0</v>
      </c>
      <c r="W243" s="136">
        <f>Ruimtestaat[[#This Row],[uren / jaar werkdagen]]*Tariefsopbouw!$E$35</f>
        <v>0</v>
      </c>
      <c r="X243" s="100"/>
      <c r="Y243" s="100">
        <f>IF(Ruimtestaat[[#This Row],[Frequentie weekend]]&gt;0,VALUE(LEFT(X243,1))*Q243,0)</f>
        <v>0</v>
      </c>
      <c r="Z243" s="99">
        <f>IF($Y243&gt;0,VLOOKUP($J243,Ruimtegroepen[],3,FALSE)*VLOOKUP($L243,Vloersoorten[],3,FALSE)*VLOOKUP($X243,Frequenties[],3,FALSE)*VLOOKUP(Ruimtestaat[[#This Row],[Code]],Locaties[],3,FALSE),0)</f>
        <v>0</v>
      </c>
      <c r="AA243" s="99">
        <f>Ruimtestaat[[#This Row],[Uitvoeringen weekend]]*Ruimtestaat[[#This Row],[Oppervlak (netto)]]</f>
        <v>0</v>
      </c>
      <c r="AB243" s="99">
        <f>IF(Z243&gt;0,Ruimtestaat[[#This Row],[Prest. (m2 /jaar) weekend]]/Ruimtestaat[[#This Row],[Norm (m2/uur) weekend]],0)</f>
        <v>0</v>
      </c>
      <c r="AC243" s="136">
        <f>Ruimtestaat[[#This Row],[uren / jaar weekend]]*Tariefsopbouw!$D$40</f>
        <v>0</v>
      </c>
      <c r="AD243" s="135">
        <f>Ruimtestaat[[#This Row],[Prest. (m2 /jaar) weekend]]+Ruimtestaat[[#This Row],[Prest. (m2 /jaar) werkdagen]]</f>
        <v>0</v>
      </c>
      <c r="AE243" s="135">
        <f>Ruimtestaat[[#This Row],[uren / jaar weekend]]+Ruimtestaat[[#This Row],[uren / jaar werkdagen]]</f>
        <v>0</v>
      </c>
      <c r="AF243" s="130">
        <f>Ruimtestaat[[#This Row],[kosten / jaar weekend]]+Ruimtestaat[[#This Row],[kosten / jaar werkdagen]]</f>
        <v>0</v>
      </c>
      <c r="AG243" s="130"/>
      <c r="AH243" s="137" t="str">
        <f>IF(Ruimtestaat[[#This Row],[Frequentie werkdagen]]="","",_xlfn.CONCAT(Ruimtestaat[[#This Row],[Ruimte code]],"-",Ruimtestaat[[#This Row],[Frequentie werkdagen]]," ",Ruimtestaat[[#This Row],[Vloer code]]))</f>
        <v/>
      </c>
      <c r="AI243" s="142" t="str">
        <f>_xlfn.IFNA(VLOOKUP($AH243,Programma!$F$3:$G$1101,2,0),"")</f>
        <v/>
      </c>
      <c r="AJ243" s="142" t="str">
        <f>_xlfn.IFNA(VLOOKUP($AH243,Programma!$F$3:$H$1101,3,0),"")</f>
        <v/>
      </c>
      <c r="AK243" s="142" t="str">
        <f>_xlfn.IFNA(VLOOKUP($AH243,Programma!$F$3:$I$1101,4,0),"")</f>
        <v/>
      </c>
      <c r="AL243" s="142" t="str">
        <f>_xlfn.IFNA(VLOOKUP($AH243,Programma!$F$3:$J$1101,5,0),"")</f>
        <v/>
      </c>
      <c r="AM243" s="142" t="str">
        <f>_xlfn.IFNA(VLOOKUP($AH243,Programma!$F$3:$K$1101,6,0),"")</f>
        <v/>
      </c>
      <c r="AN243" s="142" t="str">
        <f>_xlfn.IFNA(VLOOKUP($AH243,Programma!$F$3:$L$1101,7,0),"")</f>
        <v/>
      </c>
      <c r="AO243" s="142" t="str">
        <f>_xlfn.IFNA(VLOOKUP($AH243,Programma!$F$3:$M$1101,8,0),"")</f>
        <v/>
      </c>
      <c r="AP243" s="142" t="str">
        <f>_xlfn.IFNA(VLOOKUP($AH243,Programma!$F$3:$N$1101,9,0),"")</f>
        <v/>
      </c>
      <c r="AQ243" s="142" t="str">
        <f>_xlfn.IFNA(VLOOKUP($AH243,Programma!$F$3:$O$1101,10,0),"")</f>
        <v/>
      </c>
      <c r="AR243" s="142" t="str">
        <f>_xlfn.IFNA(VLOOKUP($AH243,Programma!$F$3:$P$1101,11,0),"")</f>
        <v/>
      </c>
      <c r="AS243" s="142" t="str">
        <f>_xlfn.IFNA(VLOOKUP($AH243,Programma!$F$3:$Q$1101,12,0),"")</f>
        <v/>
      </c>
      <c r="AT243" s="142" t="str">
        <f>_xlfn.IFNA(VLOOKUP($AH243,Programma!$F$3:$R$1101,13,0),"")</f>
        <v/>
      </c>
      <c r="AU243" s="142" t="str">
        <f>_xlfn.IFNA(VLOOKUP($AH243,Programma!$F$3:$S$1101,14,0),"")</f>
        <v/>
      </c>
      <c r="AV243" s="142" t="str">
        <f>_xlfn.IFNA(VLOOKUP($AH243,Programma!$F$3:$T$1101,15,0),"")</f>
        <v/>
      </c>
      <c r="AW243" s="142" t="str">
        <f>_xlfn.IFNA(VLOOKUP($AH243,Programma!$F$3:$U$1101,16,0),"")</f>
        <v/>
      </c>
      <c r="AX243" s="142" t="str">
        <f>_xlfn.IFNA(VLOOKUP($AH243,Programma!$F$3:$V$1101,17,0),"")</f>
        <v/>
      </c>
      <c r="AY243" s="142" t="str">
        <f>_xlfn.IFNA(VLOOKUP($AH243,Programma!$F$3:$W$1101,18,0),"")</f>
        <v/>
      </c>
      <c r="AZ243" s="142" t="str">
        <f>_xlfn.IFNA(VLOOKUP($AH243,Programma!$F$3:$X$1101,19,0),"")</f>
        <v/>
      </c>
      <c r="BA243" s="142" t="str">
        <f>_xlfn.IFNA(VLOOKUP($AH243,Programma!$F$3:$Y$1101,20,0),"")</f>
        <v/>
      </c>
      <c r="BB243" s="138"/>
      <c r="BC243" s="137" t="str">
        <f>IF(Ruimtestaat[[#This Row],[Frequentie weekend]]="","",_xlfn.CONCAT(Ruimtestaat[[#This Row],[Ruimte code]],"-",Ruimtestaat[[#This Row],[Frequentie weekend]]," ",Ruimtestaat[[#This Row],[Vloer code]]))</f>
        <v/>
      </c>
      <c r="BD243" s="142" t="str">
        <f>_xlfn.IFNA(VLOOKUP($BC243,Programma!$F$3:$G$1101,2,0),"")</f>
        <v/>
      </c>
      <c r="BE243" s="142" t="str">
        <f>_xlfn.IFNA(VLOOKUP($BC243,Programma!$F$3:$H$1101,3,0),"")</f>
        <v/>
      </c>
      <c r="BF243" s="142" t="str">
        <f>_xlfn.IFNA(VLOOKUP($BC243,Programma!$F$3:$I$1101,4,0),"")</f>
        <v/>
      </c>
      <c r="BG243" s="142" t="str">
        <f>_xlfn.IFNA(VLOOKUP($BC243,Programma!$F$3:$J$1101,5,0),"")</f>
        <v/>
      </c>
      <c r="BH243" s="142" t="str">
        <f>_xlfn.IFNA(VLOOKUP($BC243,Programma!$F$3:$K$1101,6,0),"")</f>
        <v/>
      </c>
      <c r="BI243" s="142" t="str">
        <f>_xlfn.IFNA(VLOOKUP($BC243,Programma!$F$3:$L$1101,7,0),"")</f>
        <v/>
      </c>
      <c r="BJ243" s="142" t="str">
        <f>_xlfn.IFNA(VLOOKUP($BC243,Programma!$F$3:$M$1101,8,0),"")</f>
        <v/>
      </c>
      <c r="BK243" s="142" t="str">
        <f>_xlfn.IFNA(VLOOKUP($BC243,Programma!$F$3:$N$1101,9,0),"")</f>
        <v/>
      </c>
      <c r="BL243" s="142" t="str">
        <f>_xlfn.IFNA(VLOOKUP($BC243,Programma!$F$3:$O$1101,10,0),"")</f>
        <v/>
      </c>
      <c r="BM243" s="142" t="str">
        <f>_xlfn.IFNA(VLOOKUP($BC243,Programma!$F$3:$P$1101,11,0),"")</f>
        <v/>
      </c>
      <c r="BN243" s="142" t="str">
        <f>_xlfn.IFNA(VLOOKUP($BC243,Programma!$F$3:$Q$1101,12,0),"")</f>
        <v/>
      </c>
      <c r="BO243" s="142" t="str">
        <f>_xlfn.IFNA(VLOOKUP($BC243,Programma!$F$3:$R$1101,13,0),"")</f>
        <v/>
      </c>
      <c r="BP243" s="142" t="str">
        <f>_xlfn.IFNA(VLOOKUP($BC243,Programma!$F$3:$S$1101,14,0),"")</f>
        <v/>
      </c>
      <c r="BQ243" s="142" t="str">
        <f>_xlfn.IFNA(VLOOKUP($BC243,Programma!$F$3:$T$1101,15,0),"")</f>
        <v/>
      </c>
      <c r="BR243" s="142" t="str">
        <f>_xlfn.IFNA(VLOOKUP($BC243,Programma!$F$3:$U$1101,16,0),"")</f>
        <v/>
      </c>
      <c r="BS243" s="142" t="str">
        <f>_xlfn.IFNA(VLOOKUP($BC243,Programma!$F$3:$V$1101,17,0),"")</f>
        <v/>
      </c>
      <c r="BT243" s="142" t="str">
        <f>_xlfn.IFNA(VLOOKUP($BC243,Programma!$F$3:$W$1101,18,0),"")</f>
        <v/>
      </c>
      <c r="BU243" s="142" t="str">
        <f>_xlfn.IFNA(VLOOKUP($BC243,Programma!$F$3:$X$1101,19,0),"")</f>
        <v/>
      </c>
      <c r="BV243" s="142" t="str">
        <f>_xlfn.IFNA(VLOOKUP($BC243,Programma!$F$3:$Y$1101,20,0),"")</f>
        <v/>
      </c>
      <c r="BW243" s="28"/>
      <c r="BX243" s="28"/>
      <c r="BY243" s="28"/>
      <c r="BZ243" s="28"/>
      <c r="CA243" s="28"/>
      <c r="CB243" s="28"/>
      <c r="CC243" s="28"/>
      <c r="CD243" s="28"/>
      <c r="CE243" s="28"/>
      <c r="CF243" s="28"/>
      <c r="CG243" s="28"/>
      <c r="CH243" s="28"/>
      <c r="CI243" s="28"/>
      <c r="CJ243" s="28"/>
      <c r="CK243" s="28"/>
      <c r="CL243" s="28"/>
      <c r="CM243" s="28"/>
      <c r="CN243" s="28"/>
      <c r="CO243" s="28"/>
      <c r="CP243" s="28"/>
      <c r="CQ243" s="28"/>
      <c r="CR243" s="28"/>
      <c r="CS243" s="28"/>
      <c r="CT243" s="28"/>
      <c r="CU243" s="28"/>
      <c r="CV243" s="28"/>
      <c r="CW243" s="28"/>
      <c r="CX243" s="28"/>
      <c r="CY243" s="28"/>
      <c r="CZ243" s="28"/>
      <c r="DA243" s="28"/>
      <c r="DB243" s="28"/>
      <c r="DC243" s="28"/>
      <c r="DD243" s="28"/>
      <c r="DE243" s="28"/>
      <c r="DF243" s="28"/>
      <c r="DG243" s="28"/>
      <c r="DH243" s="28"/>
      <c r="DI243" s="28"/>
      <c r="DJ243" s="28"/>
      <c r="DK243" s="28"/>
      <c r="DL243" s="28"/>
      <c r="DM243" s="28"/>
      <c r="DN243" s="28"/>
      <c r="DO243" s="28"/>
      <c r="DP243" s="28"/>
      <c r="DQ243" s="28"/>
      <c r="DR243" s="28"/>
      <c r="DS243" s="28"/>
      <c r="DT243" s="28"/>
      <c r="DU243" s="28"/>
      <c r="DV243" s="28"/>
      <c r="DW243" s="28"/>
      <c r="DX243" s="28"/>
      <c r="DY243" s="28"/>
      <c r="DZ243" s="28"/>
      <c r="EA243" s="28"/>
      <c r="EB243" s="28"/>
      <c r="EC243" s="28"/>
      <c r="ED243" s="28"/>
      <c r="EE243" s="28"/>
      <c r="EF243" s="28"/>
      <c r="EG243" s="28"/>
      <c r="EH243" s="28"/>
      <c r="EI243" s="28"/>
      <c r="EJ243" s="28"/>
      <c r="EK243" s="28"/>
      <c r="EL243" s="28"/>
      <c r="EM243" s="28"/>
      <c r="EN243" s="28"/>
      <c r="EO243" s="28"/>
      <c r="EP243" s="28"/>
      <c r="EQ243" s="28"/>
      <c r="ER243" s="28"/>
      <c r="ES243" s="28"/>
      <c r="ET243" s="28"/>
      <c r="EU243" s="28"/>
      <c r="EV243" s="28"/>
      <c r="EW243" s="28"/>
      <c r="EX243" s="28"/>
      <c r="EY243" s="28"/>
      <c r="EZ243" s="28"/>
      <c r="FA243" s="28"/>
      <c r="FB243" s="28"/>
      <c r="FC243" s="28"/>
      <c r="FD243" s="28"/>
      <c r="FE243" s="28"/>
      <c r="FF243" s="28"/>
      <c r="FG243" s="28"/>
      <c r="FH243" s="28"/>
      <c r="FI243" s="28"/>
      <c r="FJ243" s="28"/>
      <c r="FK243" s="28"/>
      <c r="FL243" s="28"/>
      <c r="FM243" s="28"/>
      <c r="FN243" s="28"/>
      <c r="FO243" s="28"/>
      <c r="FP243" s="28"/>
      <c r="FQ243" s="28"/>
      <c r="FR243" s="28"/>
      <c r="FS243" s="28"/>
      <c r="FT243" s="28"/>
      <c r="FU243" s="28"/>
      <c r="FV243" s="28"/>
      <c r="FW243" s="28"/>
      <c r="FX243" s="28"/>
      <c r="FY243" s="28"/>
      <c r="FZ243" s="28"/>
      <c r="GA243" s="28"/>
      <c r="GB243" s="28"/>
      <c r="GC243" s="28"/>
      <c r="GD243" s="28"/>
      <c r="GE243" s="28"/>
      <c r="GF243" s="28"/>
      <c r="GG243" s="28"/>
      <c r="GH243" s="28"/>
      <c r="GI243" s="28"/>
      <c r="GJ243" s="28"/>
      <c r="GK243" s="28"/>
      <c r="GL243" s="28"/>
      <c r="GM243" s="28"/>
      <c r="GN243" s="28"/>
      <c r="GO243" s="28"/>
      <c r="GP243" s="28"/>
      <c r="GQ243" s="28"/>
      <c r="GR243" s="28"/>
      <c r="GS243" s="28"/>
      <c r="GT243" s="28"/>
      <c r="GU243" s="28"/>
      <c r="GV243" s="28"/>
      <c r="GW243" s="28"/>
      <c r="GX243" s="28"/>
      <c r="GY243" s="28"/>
      <c r="GZ243" s="28"/>
      <c r="HA243" s="28"/>
      <c r="HB243" s="28"/>
      <c r="HC243" s="28"/>
      <c r="HD243" s="28"/>
      <c r="HE243" s="28"/>
      <c r="HF243" s="28"/>
      <c r="HG243" s="28"/>
      <c r="HH243" s="28"/>
      <c r="HI243" s="28"/>
      <c r="HJ243" s="28"/>
      <c r="HK243" s="28"/>
    </row>
    <row r="244" spans="1:219" ht="15" customHeight="1">
      <c r="A244" s="49">
        <v>2</v>
      </c>
      <c r="B244" s="132" t="str">
        <f>VLOOKUP(Ruimtestaat[[#This Row],[Code]],Locaties[[Code]:[Locatie]],2,FALSE)</f>
        <v>Pauluskerk</v>
      </c>
      <c r="C244" s="132" t="str">
        <f>VLOOKUP(Ruimtestaat[[#This Row],[Code]],Locaties[[#All],[Code]:[Adres]],4,FALSE)</f>
        <v>Westdorplaan 122</v>
      </c>
      <c r="D244" s="132" t="str">
        <f>VLOOKUP(Ruimtestaat[[#This Row],[Code]],Locaties[[#All],[Code]:[Postcode]],5,FALSE)</f>
        <v>8101 BJ</v>
      </c>
      <c r="E244" s="132" t="str">
        <f>VLOOKUP(Ruimtestaat[[#This Row],[Code]],Locaties[#All],6,FALSE)</f>
        <v>Raalte</v>
      </c>
      <c r="F244" s="140"/>
      <c r="G244" s="49" t="s">
        <v>1677</v>
      </c>
      <c r="H244" s="49" t="s">
        <v>1754</v>
      </c>
      <c r="I244" s="140" t="s">
        <v>1759</v>
      </c>
      <c r="J244" s="49">
        <v>20</v>
      </c>
      <c r="K244" s="140" t="str">
        <f>VLOOKUP(Ruimtestaat[[#This Row],[Ruimte code]],Ruimtegroepen[[#All],[Code]:[Ruimte omschrijving]],2,FALSE)</f>
        <v>Niet in Onderhoud</v>
      </c>
      <c r="L244" s="100"/>
      <c r="M244" s="345"/>
      <c r="N244" s="133"/>
      <c r="O244" s="139">
        <v>15.82</v>
      </c>
      <c r="P244" s="134">
        <f>VLOOKUP(Ruimtestaat[[#This Row],[Ruimte code]],Ruimtegroepen[],4,FALSE)</f>
        <v>0</v>
      </c>
      <c r="Q244" s="100"/>
      <c r="R244" s="100"/>
      <c r="S244" s="100">
        <f>IF(Q244&gt;0,IF(RIGHT(Ruimtestaat[[#This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44" s="100">
        <f>IF(S244&gt;0,VLOOKUP($J244,Ruimtegroepen[],3,FALSE)*VLOOKUP($L244,Vloersoorten[],3,FALSE)*VLOOKUP($R244,Frequenties[],3,FALSE)*VLOOKUP($A244,Locaties[],3,FALSE),0)</f>
        <v>0</v>
      </c>
      <c r="U244" s="100">
        <f>Ruimtestaat[[#This Row],[Uitvoeringen werkdagen]]*Ruimtestaat[[#This Row],[Oppervlak (netto)]]</f>
        <v>0</v>
      </c>
      <c r="V244" s="135">
        <f>IF(T244&gt;0,Ruimtestaat[[#This Row],[Prest. (m2 /jaar) werkdagen]]/Ruimtestaat[[#This Row],[Norm (m2/uur) werkdagen]],0)</f>
        <v>0</v>
      </c>
      <c r="W244" s="136">
        <f>Ruimtestaat[[#This Row],[uren / jaar werkdagen]]*Tariefsopbouw!$E$35</f>
        <v>0</v>
      </c>
      <c r="X244" s="100"/>
      <c r="Y244" s="100">
        <f>IF(Ruimtestaat[[#This Row],[Frequentie weekend]]&gt;0,VALUE(LEFT(X244,1))*Q244,0)</f>
        <v>0</v>
      </c>
      <c r="Z244" s="99">
        <f>IF($Y244&gt;0,VLOOKUP($J244,Ruimtegroepen[],3,FALSE)*VLOOKUP($L244,Vloersoorten[],3,FALSE)*VLOOKUP($X244,Frequenties[],3,FALSE)*VLOOKUP(Ruimtestaat[[#This Row],[Code]],Locaties[],3,FALSE),0)</f>
        <v>0</v>
      </c>
      <c r="AA244" s="99">
        <f>Ruimtestaat[[#This Row],[Uitvoeringen weekend]]*Ruimtestaat[[#This Row],[Oppervlak (netto)]]</f>
        <v>0</v>
      </c>
      <c r="AB244" s="99">
        <f>IF(Z244&gt;0,Ruimtestaat[[#This Row],[Prest. (m2 /jaar) weekend]]/Ruimtestaat[[#This Row],[Norm (m2/uur) weekend]],0)</f>
        <v>0</v>
      </c>
      <c r="AC244" s="136">
        <f>Ruimtestaat[[#This Row],[uren / jaar weekend]]*Tariefsopbouw!$D$40</f>
        <v>0</v>
      </c>
      <c r="AD244" s="135">
        <f>Ruimtestaat[[#This Row],[Prest. (m2 /jaar) weekend]]+Ruimtestaat[[#This Row],[Prest. (m2 /jaar) werkdagen]]</f>
        <v>0</v>
      </c>
      <c r="AE244" s="135">
        <f>Ruimtestaat[[#This Row],[uren / jaar weekend]]+Ruimtestaat[[#This Row],[uren / jaar werkdagen]]</f>
        <v>0</v>
      </c>
      <c r="AF244" s="130">
        <f>Ruimtestaat[[#This Row],[kosten / jaar weekend]]+Ruimtestaat[[#This Row],[kosten / jaar werkdagen]]</f>
        <v>0</v>
      </c>
      <c r="AG244" s="130"/>
      <c r="AH244" s="137" t="str">
        <f>IF(Ruimtestaat[[#This Row],[Frequentie werkdagen]]="","",_xlfn.CONCAT(Ruimtestaat[[#This Row],[Ruimte code]],"-",Ruimtestaat[[#This Row],[Frequentie werkdagen]]," ",Ruimtestaat[[#This Row],[Vloer code]]))</f>
        <v/>
      </c>
      <c r="AI244" s="142" t="str">
        <f>_xlfn.IFNA(VLOOKUP($AH244,Programma!$F$3:$G$1101,2,0),"")</f>
        <v/>
      </c>
      <c r="AJ244" s="142" t="str">
        <f>_xlfn.IFNA(VLOOKUP($AH244,Programma!$F$3:$H$1101,3,0),"")</f>
        <v/>
      </c>
      <c r="AK244" s="142" t="str">
        <f>_xlfn.IFNA(VLOOKUP($AH244,Programma!$F$3:$I$1101,4,0),"")</f>
        <v/>
      </c>
      <c r="AL244" s="142" t="str">
        <f>_xlfn.IFNA(VLOOKUP($AH244,Programma!$F$3:$J$1101,5,0),"")</f>
        <v/>
      </c>
      <c r="AM244" s="142" t="str">
        <f>_xlfn.IFNA(VLOOKUP($AH244,Programma!$F$3:$K$1101,6,0),"")</f>
        <v/>
      </c>
      <c r="AN244" s="142" t="str">
        <f>_xlfn.IFNA(VLOOKUP($AH244,Programma!$F$3:$L$1101,7,0),"")</f>
        <v/>
      </c>
      <c r="AO244" s="142" t="str">
        <f>_xlfn.IFNA(VLOOKUP($AH244,Programma!$F$3:$M$1101,8,0),"")</f>
        <v/>
      </c>
      <c r="AP244" s="142" t="str">
        <f>_xlfn.IFNA(VLOOKUP($AH244,Programma!$F$3:$N$1101,9,0),"")</f>
        <v/>
      </c>
      <c r="AQ244" s="142" t="str">
        <f>_xlfn.IFNA(VLOOKUP($AH244,Programma!$F$3:$O$1101,10,0),"")</f>
        <v/>
      </c>
      <c r="AR244" s="142" t="str">
        <f>_xlfn.IFNA(VLOOKUP($AH244,Programma!$F$3:$P$1101,11,0),"")</f>
        <v/>
      </c>
      <c r="AS244" s="142" t="str">
        <f>_xlfn.IFNA(VLOOKUP($AH244,Programma!$F$3:$Q$1101,12,0),"")</f>
        <v/>
      </c>
      <c r="AT244" s="142" t="str">
        <f>_xlfn.IFNA(VLOOKUP($AH244,Programma!$F$3:$R$1101,13,0),"")</f>
        <v/>
      </c>
      <c r="AU244" s="142" t="str">
        <f>_xlfn.IFNA(VLOOKUP($AH244,Programma!$F$3:$S$1101,14,0),"")</f>
        <v/>
      </c>
      <c r="AV244" s="142" t="str">
        <f>_xlfn.IFNA(VLOOKUP($AH244,Programma!$F$3:$T$1101,15,0),"")</f>
        <v/>
      </c>
      <c r="AW244" s="142" t="str">
        <f>_xlfn.IFNA(VLOOKUP($AH244,Programma!$F$3:$U$1101,16,0),"")</f>
        <v/>
      </c>
      <c r="AX244" s="142" t="str">
        <f>_xlfn.IFNA(VLOOKUP($AH244,Programma!$F$3:$V$1101,17,0),"")</f>
        <v/>
      </c>
      <c r="AY244" s="142" t="str">
        <f>_xlfn.IFNA(VLOOKUP($AH244,Programma!$F$3:$W$1101,18,0),"")</f>
        <v/>
      </c>
      <c r="AZ244" s="142" t="str">
        <f>_xlfn.IFNA(VLOOKUP($AH244,Programma!$F$3:$X$1101,19,0),"")</f>
        <v/>
      </c>
      <c r="BA244" s="142" t="str">
        <f>_xlfn.IFNA(VLOOKUP($AH244,Programma!$F$3:$Y$1101,20,0),"")</f>
        <v/>
      </c>
      <c r="BB244" s="138"/>
      <c r="BC244" s="137" t="str">
        <f>IF(Ruimtestaat[[#This Row],[Frequentie weekend]]="","",_xlfn.CONCAT(Ruimtestaat[[#This Row],[Ruimte code]],"-",Ruimtestaat[[#This Row],[Frequentie weekend]]," ",Ruimtestaat[[#This Row],[Vloer code]]))</f>
        <v/>
      </c>
      <c r="BD244" s="142" t="str">
        <f>_xlfn.IFNA(VLOOKUP($BC244,Programma!$F$3:$G$1101,2,0),"")</f>
        <v/>
      </c>
      <c r="BE244" s="142" t="str">
        <f>_xlfn.IFNA(VLOOKUP($BC244,Programma!$F$3:$H$1101,3,0),"")</f>
        <v/>
      </c>
      <c r="BF244" s="142" t="str">
        <f>_xlfn.IFNA(VLOOKUP($BC244,Programma!$F$3:$I$1101,4,0),"")</f>
        <v/>
      </c>
      <c r="BG244" s="142" t="str">
        <f>_xlfn.IFNA(VLOOKUP($BC244,Programma!$F$3:$J$1101,5,0),"")</f>
        <v/>
      </c>
      <c r="BH244" s="142" t="str">
        <f>_xlfn.IFNA(VLOOKUP($BC244,Programma!$F$3:$K$1101,6,0),"")</f>
        <v/>
      </c>
      <c r="BI244" s="142" t="str">
        <f>_xlfn.IFNA(VLOOKUP($BC244,Programma!$F$3:$L$1101,7,0),"")</f>
        <v/>
      </c>
      <c r="BJ244" s="142" t="str">
        <f>_xlfn.IFNA(VLOOKUP($BC244,Programma!$F$3:$M$1101,8,0),"")</f>
        <v/>
      </c>
      <c r="BK244" s="142" t="str">
        <f>_xlfn.IFNA(VLOOKUP($BC244,Programma!$F$3:$N$1101,9,0),"")</f>
        <v/>
      </c>
      <c r="BL244" s="142" t="str">
        <f>_xlfn.IFNA(VLOOKUP($BC244,Programma!$F$3:$O$1101,10,0),"")</f>
        <v/>
      </c>
      <c r="BM244" s="142" t="str">
        <f>_xlfn.IFNA(VLOOKUP($BC244,Programma!$F$3:$P$1101,11,0),"")</f>
        <v/>
      </c>
      <c r="BN244" s="142" t="str">
        <f>_xlfn.IFNA(VLOOKUP($BC244,Programma!$F$3:$Q$1101,12,0),"")</f>
        <v/>
      </c>
      <c r="BO244" s="142" t="str">
        <f>_xlfn.IFNA(VLOOKUP($BC244,Programma!$F$3:$R$1101,13,0),"")</f>
        <v/>
      </c>
      <c r="BP244" s="142" t="str">
        <f>_xlfn.IFNA(VLOOKUP($BC244,Programma!$F$3:$S$1101,14,0),"")</f>
        <v/>
      </c>
      <c r="BQ244" s="142" t="str">
        <f>_xlfn.IFNA(VLOOKUP($BC244,Programma!$F$3:$T$1101,15,0),"")</f>
        <v/>
      </c>
      <c r="BR244" s="142" t="str">
        <f>_xlfn.IFNA(VLOOKUP($BC244,Programma!$F$3:$U$1101,16,0),"")</f>
        <v/>
      </c>
      <c r="BS244" s="142" t="str">
        <f>_xlfn.IFNA(VLOOKUP($BC244,Programma!$F$3:$V$1101,17,0),"")</f>
        <v/>
      </c>
      <c r="BT244" s="142" t="str">
        <f>_xlfn.IFNA(VLOOKUP($BC244,Programma!$F$3:$W$1101,18,0),"")</f>
        <v/>
      </c>
      <c r="BU244" s="142" t="str">
        <f>_xlfn.IFNA(VLOOKUP($BC244,Programma!$F$3:$X$1101,19,0),"")</f>
        <v/>
      </c>
      <c r="BV244" s="142" t="str">
        <f>_xlfn.IFNA(VLOOKUP($BC244,Programma!$F$3:$Y$1101,20,0),"")</f>
        <v/>
      </c>
      <c r="BW244" s="28"/>
      <c r="BX244" s="28"/>
      <c r="BY244" s="28"/>
      <c r="BZ244" s="28"/>
      <c r="CA244" s="28"/>
      <c r="CB244" s="28"/>
      <c r="CC244" s="28"/>
      <c r="CD244" s="28"/>
      <c r="CE244" s="28"/>
      <c r="CF244" s="28"/>
      <c r="CG244" s="28"/>
      <c r="CH244" s="28"/>
      <c r="CI244" s="28"/>
      <c r="CJ244" s="28"/>
      <c r="CK244" s="28"/>
      <c r="CL244" s="28"/>
      <c r="CM244" s="28"/>
      <c r="CN244" s="28"/>
      <c r="CO244" s="28"/>
      <c r="CP244" s="28"/>
      <c r="CQ244" s="28"/>
      <c r="CR244" s="28"/>
      <c r="CS244" s="28"/>
      <c r="CT244" s="28"/>
      <c r="CU244" s="28"/>
      <c r="CV244" s="28"/>
      <c r="CW244" s="28"/>
      <c r="CX244" s="28"/>
      <c r="CY244" s="28"/>
      <c r="CZ244" s="28"/>
      <c r="DA244" s="28"/>
      <c r="DB244" s="28"/>
      <c r="DC244" s="28"/>
      <c r="DD244" s="28"/>
      <c r="DE244" s="28"/>
      <c r="DF244" s="28"/>
      <c r="DG244" s="28"/>
      <c r="DH244" s="28"/>
      <c r="DI244" s="28"/>
      <c r="DJ244" s="28"/>
      <c r="DK244" s="28"/>
      <c r="DL244" s="28"/>
      <c r="DM244" s="28"/>
      <c r="DN244" s="28"/>
      <c r="DO244" s="28"/>
      <c r="DP244" s="28"/>
      <c r="DQ244" s="28"/>
      <c r="DR244" s="28"/>
      <c r="DS244" s="28"/>
      <c r="DT244" s="28"/>
      <c r="DU244" s="28"/>
      <c r="DV244" s="28"/>
      <c r="DW244" s="28"/>
      <c r="DX244" s="28"/>
      <c r="DY244" s="28"/>
      <c r="DZ244" s="28"/>
      <c r="EA244" s="28"/>
      <c r="EB244" s="28"/>
      <c r="EC244" s="28"/>
      <c r="ED244" s="28"/>
      <c r="EE244" s="28"/>
      <c r="EF244" s="28"/>
      <c r="EG244" s="28"/>
      <c r="EH244" s="28"/>
      <c r="EI244" s="28"/>
      <c r="EJ244" s="28"/>
      <c r="EK244" s="28"/>
      <c r="EL244" s="28"/>
      <c r="EM244" s="28"/>
      <c r="EN244" s="28"/>
      <c r="EO244" s="28"/>
      <c r="EP244" s="28"/>
      <c r="EQ244" s="28"/>
      <c r="ER244" s="28"/>
      <c r="ES244" s="28"/>
      <c r="ET244" s="28"/>
      <c r="EU244" s="28"/>
      <c r="EV244" s="28"/>
      <c r="EW244" s="28"/>
      <c r="EX244" s="28"/>
      <c r="EY244" s="28"/>
      <c r="EZ244" s="28"/>
      <c r="FA244" s="28"/>
      <c r="FB244" s="28"/>
      <c r="FC244" s="28"/>
      <c r="FD244" s="28"/>
      <c r="FE244" s="28"/>
      <c r="FF244" s="28"/>
      <c r="FG244" s="28"/>
      <c r="FH244" s="28"/>
      <c r="FI244" s="28"/>
      <c r="FJ244" s="28"/>
      <c r="FK244" s="28"/>
      <c r="FL244" s="28"/>
      <c r="FM244" s="28"/>
      <c r="FN244" s="28"/>
      <c r="FO244" s="28"/>
      <c r="FP244" s="28"/>
      <c r="FQ244" s="28"/>
      <c r="FR244" s="28"/>
      <c r="FS244" s="28"/>
      <c r="FT244" s="28"/>
      <c r="FU244" s="28"/>
      <c r="FV244" s="28"/>
      <c r="FW244" s="28"/>
      <c r="FX244" s="28"/>
      <c r="FY244" s="28"/>
      <c r="FZ244" s="28"/>
      <c r="GA244" s="28"/>
      <c r="GB244" s="28"/>
      <c r="GC244" s="28"/>
      <c r="GD244" s="28"/>
      <c r="GE244" s="28"/>
      <c r="GF244" s="28"/>
      <c r="GG244" s="28"/>
      <c r="GH244" s="28"/>
      <c r="GI244" s="28"/>
      <c r="GJ244" s="28"/>
      <c r="GK244" s="28"/>
      <c r="GL244" s="28"/>
      <c r="GM244" s="28"/>
      <c r="GN244" s="28"/>
      <c r="GO244" s="28"/>
      <c r="GP244" s="28"/>
      <c r="GQ244" s="28"/>
      <c r="GR244" s="28"/>
      <c r="GS244" s="28"/>
      <c r="GT244" s="28"/>
      <c r="GU244" s="28"/>
      <c r="GV244" s="28"/>
      <c r="GW244" s="28"/>
      <c r="GX244" s="28"/>
      <c r="GY244" s="28"/>
      <c r="GZ244" s="28"/>
      <c r="HA244" s="28"/>
      <c r="HB244" s="28"/>
      <c r="HC244" s="28"/>
      <c r="HD244" s="28"/>
      <c r="HE244" s="28"/>
      <c r="HF244" s="28"/>
      <c r="HG244" s="28"/>
      <c r="HH244" s="28"/>
      <c r="HI244" s="28"/>
      <c r="HJ244" s="28"/>
      <c r="HK244" s="28"/>
    </row>
    <row r="245" spans="1:219" ht="15" customHeight="1">
      <c r="BW245" s="28"/>
      <c r="BX245" s="28"/>
      <c r="BY245" s="28"/>
      <c r="BZ245" s="28"/>
      <c r="CA245" s="28"/>
      <c r="CB245" s="28"/>
      <c r="CC245" s="28"/>
      <c r="CD245" s="28"/>
      <c r="CE245" s="28"/>
      <c r="CF245" s="28"/>
      <c r="CG245" s="28"/>
      <c r="CH245" s="28"/>
      <c r="CI245" s="28"/>
      <c r="CJ245" s="28"/>
      <c r="CK245" s="28"/>
      <c r="CL245" s="28"/>
      <c r="CM245" s="28"/>
      <c r="CN245" s="28"/>
      <c r="CO245" s="28"/>
      <c r="CP245" s="28"/>
      <c r="CQ245" s="28"/>
      <c r="CR245" s="28"/>
      <c r="CS245" s="28"/>
      <c r="CT245" s="28"/>
      <c r="CU245" s="28"/>
      <c r="CV245" s="28"/>
      <c r="CW245" s="28"/>
      <c r="CX245" s="28"/>
      <c r="CY245" s="28"/>
      <c r="CZ245" s="28"/>
      <c r="DA245" s="28"/>
      <c r="DB245" s="28"/>
      <c r="DC245" s="28"/>
      <c r="DD245" s="28"/>
      <c r="DE245" s="28"/>
      <c r="DF245" s="28"/>
      <c r="DG245" s="28"/>
      <c r="DH245" s="28"/>
      <c r="DI245" s="28"/>
      <c r="DJ245" s="28"/>
      <c r="DK245" s="28"/>
      <c r="DL245" s="28"/>
      <c r="DM245" s="28"/>
      <c r="DN245" s="28"/>
      <c r="DO245" s="28"/>
      <c r="DP245" s="28"/>
      <c r="DQ245" s="28"/>
      <c r="DR245" s="28"/>
      <c r="DS245" s="28"/>
      <c r="DT245" s="28"/>
      <c r="DU245" s="28"/>
      <c r="DV245" s="28"/>
      <c r="DW245" s="28"/>
      <c r="DX245" s="28"/>
      <c r="DY245" s="28"/>
      <c r="DZ245" s="28"/>
      <c r="EA245" s="28"/>
      <c r="EB245" s="28"/>
      <c r="EC245" s="28"/>
      <c r="ED245" s="28"/>
      <c r="EE245" s="28"/>
      <c r="EF245" s="28"/>
      <c r="EG245" s="28"/>
      <c r="EH245" s="28"/>
      <c r="EI245" s="28"/>
      <c r="EJ245" s="28"/>
      <c r="EK245" s="28"/>
      <c r="EL245" s="28"/>
      <c r="EM245" s="28"/>
      <c r="EN245" s="28"/>
      <c r="EO245" s="28"/>
      <c r="EP245" s="28"/>
      <c r="EQ245" s="28"/>
      <c r="ER245" s="28"/>
      <c r="ES245" s="28"/>
      <c r="ET245" s="28"/>
      <c r="EU245" s="28"/>
      <c r="EV245" s="28"/>
      <c r="EW245" s="28"/>
      <c r="EX245" s="28"/>
      <c r="EY245" s="28"/>
      <c r="EZ245" s="28"/>
      <c r="FA245" s="28"/>
      <c r="FB245" s="28"/>
      <c r="FC245" s="28"/>
      <c r="FD245" s="28"/>
      <c r="FE245" s="28"/>
      <c r="FF245" s="28"/>
      <c r="FG245" s="28"/>
      <c r="FH245" s="28"/>
      <c r="FI245" s="28"/>
      <c r="FJ245" s="28"/>
      <c r="FK245" s="28"/>
      <c r="FL245" s="28"/>
      <c r="FM245" s="28"/>
      <c r="FN245" s="28"/>
      <c r="FO245" s="28"/>
      <c r="FP245" s="28"/>
      <c r="FQ245" s="28"/>
      <c r="FR245" s="28"/>
      <c r="FS245" s="28"/>
      <c r="FT245" s="28"/>
      <c r="FU245" s="28"/>
      <c r="FV245" s="28"/>
      <c r="FW245" s="28"/>
      <c r="FX245" s="28"/>
      <c r="FY245" s="28"/>
      <c r="FZ245" s="28"/>
      <c r="GA245" s="28"/>
      <c r="GB245" s="28"/>
      <c r="GC245" s="28"/>
      <c r="GD245" s="28"/>
      <c r="GE245" s="28"/>
      <c r="GF245" s="28"/>
      <c r="GG245" s="28"/>
      <c r="GH245" s="28"/>
      <c r="GI245" s="28"/>
      <c r="GJ245" s="28"/>
      <c r="GK245" s="28"/>
      <c r="GL245" s="28"/>
      <c r="GM245" s="28"/>
      <c r="GN245" s="28"/>
      <c r="GO245" s="28"/>
      <c r="GP245" s="28"/>
      <c r="GQ245" s="28"/>
      <c r="GR245" s="28"/>
      <c r="GS245" s="28"/>
      <c r="GT245" s="28"/>
      <c r="GU245" s="28"/>
      <c r="GV245" s="28"/>
      <c r="GW245" s="28"/>
      <c r="GX245" s="28"/>
      <c r="GY245" s="28"/>
      <c r="GZ245" s="28"/>
      <c r="HA245" s="28"/>
      <c r="HB245" s="28"/>
      <c r="HC245" s="28"/>
      <c r="HD245" s="28"/>
      <c r="HE245" s="28"/>
      <c r="HF245" s="28"/>
      <c r="HG245" s="28"/>
      <c r="HH245" s="28"/>
      <c r="HI245" s="28"/>
      <c r="HJ245" s="28"/>
      <c r="HK245" s="28"/>
    </row>
  </sheetData>
  <sheetProtection algorithmName="SHA-512" hashValue="Z36VXuTd1qSyfj8N3EoW2/j4O/TEZx6LFmpiKj/2PKwqJcIXR/gRB8pxZHM9uf+M2lmdFfN+btY7VJRmqvG7FQ==" saltValue="qvu/u0ewnL0guo6yDEfMxQ==" spinCount="100000" sheet="1" objects="1" scenarios="1" sort="0" autoFilter="0"/>
  <sortState xmlns:xlrd2="http://schemas.microsoft.com/office/spreadsheetml/2017/richdata2" ref="B15:R244">
    <sortCondition ref="F15:F244"/>
  </sortState>
  <mergeCells count="13">
    <mergeCell ref="AI2:BA2"/>
    <mergeCell ref="BD2:BV2"/>
    <mergeCell ref="AI3:AP3"/>
    <mergeCell ref="AQ3:AX3"/>
    <mergeCell ref="AY3:BA3"/>
    <mergeCell ref="BD3:BK3"/>
    <mergeCell ref="BL3:BS3"/>
    <mergeCell ref="BT3:BV3"/>
    <mergeCell ref="A1:P1"/>
    <mergeCell ref="Q1:AF1"/>
    <mergeCell ref="R3:W3"/>
    <mergeCell ref="X3:AC3"/>
    <mergeCell ref="AD3:AF3"/>
  </mergeCells>
  <phoneticPr fontId="11" type="noConversion"/>
  <pageMargins left="0.23622047244094491" right="0.23622047244094491" top="0.74803149606299213" bottom="0.74803149606299213" header="0.31496062992125984" footer="0.31496062992125984"/>
  <pageSetup paperSize="8" scale="50" fitToWidth="2" fitToHeight="0" orientation="landscape" r:id="rId1"/>
  <headerFooter alignWithMargins="0">
    <oddFooter>&amp;L&amp;P&amp;Cparaaf Inschrijver&amp;R&amp;D</oddFooter>
  </headerFooter>
  <colBreaks count="1" manualBreakCount="1">
    <brk id="24" max="1048575" man="1"/>
  </colBreaks>
  <customProperties>
    <customPr name="EpmWorksheetKeyString_GUID" r:id="rId2"/>
  </customProperties>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B3260-B9B4-41CD-9387-4D3F820AEB73}">
  <sheetPr codeName="Blad15">
    <tabColor theme="0" tint="-0.14999847407452621"/>
    <pageSetUpPr fitToPage="1"/>
  </sheetPr>
  <dimension ref="A1:M31"/>
  <sheetViews>
    <sheetView showGridLines="0" view="pageBreakPreview" zoomScaleNormal="100" zoomScaleSheetLayoutView="100" workbookViewId="0">
      <selection activeCell="D21" sqref="D21"/>
    </sheetView>
  </sheetViews>
  <sheetFormatPr defaultColWidth="9.140625" defaultRowHeight="15" customHeight="1"/>
  <cols>
    <col min="1" max="1" width="9.7109375" style="28" customWidth="1"/>
    <col min="2" max="2" width="56.28515625" style="28" customWidth="1"/>
    <col min="3" max="3" width="14.85546875" style="49" customWidth="1"/>
    <col min="4" max="4" width="62" style="28" customWidth="1"/>
    <col min="5" max="5" width="17.7109375" style="28" bestFit="1" customWidth="1"/>
    <col min="6" max="6" width="17.7109375" style="153" bestFit="1" customWidth="1"/>
    <col min="7" max="7" width="17.7109375" style="28" bestFit="1" customWidth="1"/>
    <col min="8" max="8" width="18" style="28" bestFit="1" customWidth="1"/>
    <col min="9" max="9" width="19" style="28" customWidth="1"/>
    <col min="10" max="10" width="6.42578125" style="28" customWidth="1"/>
    <col min="11" max="11" width="9.140625" style="28"/>
    <col min="12" max="12" width="35.7109375" style="28" customWidth="1"/>
    <col min="13" max="13" width="15.85546875" style="28" customWidth="1"/>
    <col min="14" max="16384" width="9.140625" style="28"/>
  </cols>
  <sheetData>
    <row r="1" spans="1:13" s="25" customFormat="1" ht="26.25" customHeight="1">
      <c r="A1" s="365" t="s">
        <v>1622</v>
      </c>
      <c r="B1" s="365"/>
      <c r="C1" s="365"/>
      <c r="D1" s="365"/>
      <c r="E1" s="365"/>
      <c r="F1" s="365"/>
      <c r="G1" s="365"/>
      <c r="H1" s="365"/>
    </row>
    <row r="2" spans="1:13" s="25" customFormat="1" ht="15" customHeight="1">
      <c r="A2" s="404" t="s">
        <v>1602</v>
      </c>
      <c r="B2" s="367"/>
      <c r="C2" s="367"/>
      <c r="D2" s="367"/>
      <c r="E2" s="367"/>
      <c r="F2" s="367"/>
      <c r="G2" s="367"/>
      <c r="H2" s="367"/>
    </row>
    <row r="3" spans="1:13" ht="15" customHeight="1">
      <c r="B3" s="49"/>
      <c r="C3" s="28"/>
      <c r="D3" s="151"/>
      <c r="E3" s="152"/>
    </row>
    <row r="4" spans="1:13" ht="15" customHeight="1">
      <c r="A4" s="28" t="s">
        <v>167</v>
      </c>
      <c r="B4" s="154"/>
      <c r="C4" s="154"/>
      <c r="D4" s="154"/>
      <c r="E4" s="154"/>
      <c r="F4" s="155"/>
      <c r="G4" s="156"/>
    </row>
    <row r="5" spans="1:13" ht="15" customHeight="1">
      <c r="A5" s="28" t="s">
        <v>221</v>
      </c>
      <c r="B5" s="154"/>
      <c r="C5" s="154"/>
      <c r="D5" s="154"/>
      <c r="E5" s="154"/>
      <c r="F5" s="155"/>
      <c r="G5" s="156"/>
    </row>
    <row r="6" spans="1:13" ht="15" customHeight="1">
      <c r="A6" s="28" t="s">
        <v>214</v>
      </c>
      <c r="B6" s="157"/>
      <c r="C6" s="158"/>
      <c r="D6" s="158"/>
      <c r="E6" s="158"/>
      <c r="F6" s="159"/>
    </row>
    <row r="7" spans="1:13" ht="15" customHeight="1">
      <c r="B7" s="157"/>
      <c r="C7" s="157"/>
      <c r="D7" s="160"/>
      <c r="E7" s="405" t="s">
        <v>243</v>
      </c>
      <c r="F7" s="405"/>
      <c r="G7" s="405"/>
      <c r="H7" s="405"/>
      <c r="I7" s="405"/>
      <c r="M7" s="161"/>
    </row>
    <row r="8" spans="1:13" s="29" customFormat="1" ht="26.25" customHeight="1">
      <c r="A8" s="269" t="s">
        <v>197</v>
      </c>
      <c r="B8" s="270" t="s">
        <v>150</v>
      </c>
      <c r="C8" s="271" t="s">
        <v>142</v>
      </c>
      <c r="D8" s="269" t="s">
        <v>1297</v>
      </c>
      <c r="E8" s="269" t="s">
        <v>1244</v>
      </c>
      <c r="F8" s="269" t="s">
        <v>1298</v>
      </c>
      <c r="G8" s="269" t="s">
        <v>1575</v>
      </c>
      <c r="H8" s="269" t="s">
        <v>1608</v>
      </c>
      <c r="I8" s="269" t="s">
        <v>1607</v>
      </c>
      <c r="M8" s="162"/>
    </row>
    <row r="9" spans="1:13" ht="15" customHeight="1">
      <c r="A9" s="176">
        <v>1</v>
      </c>
      <c r="B9" s="190" t="s">
        <v>155</v>
      </c>
      <c r="C9" s="435">
        <v>0</v>
      </c>
      <c r="D9" s="177" t="s">
        <v>151</v>
      </c>
      <c r="E9" s="165" t="e">
        <f>InvulVloer19[[#This Row],[Prijs]]*Tariefsopbouw!$I$37+InvulVloer19[[#This Row],[Prijs]]</f>
        <v>#DIV/0!</v>
      </c>
      <c r="F9" s="340" t="e">
        <f>InvulVloer19[[#This Row],[2027]]*Tariefsopbouw!$K$37+InvulVloer19[[#This Row],[2027]]</f>
        <v>#DIV/0!</v>
      </c>
      <c r="G9" s="340" t="e">
        <f>InvulVloer19[[#This Row],[2028]]*Tariefsopbouw!$M$37+InvulVloer19[[#This Row],[2028]]</f>
        <v>#DIV/0!</v>
      </c>
      <c r="H9" s="340" t="e">
        <f>InvulVloer19[[#This Row],[2029]]*Tariefsopbouw!$O$37+InvulVloer19[[#This Row],[2029]]</f>
        <v>#DIV/0!</v>
      </c>
      <c r="I9" s="340" t="e">
        <f>InvulVloer19[[#This Row],[2030]]*Tariefsopbouw!$Q$37+InvulVloer19[[#This Row],[2030]]</f>
        <v>#DIV/0!</v>
      </c>
      <c r="M9" s="161"/>
    </row>
    <row r="10" spans="1:13" ht="15" customHeight="1">
      <c r="A10" s="176">
        <v>2</v>
      </c>
      <c r="B10" s="190" t="s">
        <v>244</v>
      </c>
      <c r="C10" s="435">
        <v>0</v>
      </c>
      <c r="D10" s="177" t="s">
        <v>151</v>
      </c>
      <c r="E10" s="165" t="e">
        <f>InvulVloer19[[#This Row],[Prijs]]*Tariefsopbouw!$I$37+InvulVloer19[[#This Row],[Prijs]]</f>
        <v>#DIV/0!</v>
      </c>
      <c r="F10" s="165" t="e">
        <f>InvulVloer19[[#This Row],[2027]]*Tariefsopbouw!$K$37+InvulVloer19[[#This Row],[2027]]</f>
        <v>#DIV/0!</v>
      </c>
      <c r="G10" s="165" t="e">
        <f>InvulVloer19[[#This Row],[2028]]*Tariefsopbouw!$M$37+InvulVloer19[[#This Row],[2028]]</f>
        <v>#DIV/0!</v>
      </c>
      <c r="H10" s="165" t="e">
        <f>InvulVloer19[[#This Row],[2029]]*Tariefsopbouw!$O$37+InvulVloer19[[#This Row],[2029]]</f>
        <v>#DIV/0!</v>
      </c>
      <c r="I10" s="165" t="e">
        <f>InvulVloer19[[#This Row],[2030]]*Tariefsopbouw!$Q$37+InvulVloer19[[#This Row],[2030]]</f>
        <v>#DIV/0!</v>
      </c>
      <c r="M10" s="171"/>
    </row>
    <row r="11" spans="1:13" ht="15" customHeight="1">
      <c r="A11" s="176">
        <v>3</v>
      </c>
      <c r="B11" s="190" t="s">
        <v>156</v>
      </c>
      <c r="C11" s="435">
        <v>0</v>
      </c>
      <c r="D11" s="177" t="s">
        <v>152</v>
      </c>
      <c r="E11" s="165" t="e">
        <f>InvulVloer19[[#This Row],[Prijs]]*Tariefsopbouw!$I$37+InvulVloer19[[#This Row],[Prijs]]</f>
        <v>#DIV/0!</v>
      </c>
      <c r="F11" s="165" t="e">
        <f>InvulVloer19[[#This Row],[2027]]*Tariefsopbouw!$K$37+InvulVloer19[[#This Row],[2027]]</f>
        <v>#DIV/0!</v>
      </c>
      <c r="G11" s="165" t="e">
        <f>InvulVloer19[[#This Row],[2028]]*Tariefsopbouw!$M$37+InvulVloer19[[#This Row],[2028]]</f>
        <v>#DIV/0!</v>
      </c>
      <c r="H11" s="165" t="e">
        <f>InvulVloer19[[#This Row],[2029]]*Tariefsopbouw!$O$37+InvulVloer19[[#This Row],[2029]]</f>
        <v>#DIV/0!</v>
      </c>
      <c r="I11" s="165" t="e">
        <f>InvulVloer19[[#This Row],[2030]]*Tariefsopbouw!$Q$37+InvulVloer19[[#This Row],[2030]]</f>
        <v>#DIV/0!</v>
      </c>
      <c r="M11" s="173"/>
    </row>
    <row r="12" spans="1:13" ht="15" customHeight="1">
      <c r="A12" s="176">
        <v>4</v>
      </c>
      <c r="B12" s="190" t="s">
        <v>245</v>
      </c>
      <c r="C12" s="435">
        <v>0</v>
      </c>
      <c r="D12" s="177" t="s">
        <v>151</v>
      </c>
      <c r="E12" s="165" t="e">
        <f>InvulVloer19[[#This Row],[Prijs]]*Tariefsopbouw!$I$37+InvulVloer19[[#This Row],[Prijs]]</f>
        <v>#DIV/0!</v>
      </c>
      <c r="F12" s="165" t="e">
        <f>InvulVloer19[[#This Row],[2027]]*Tariefsopbouw!$K$37+InvulVloer19[[#This Row],[2027]]</f>
        <v>#DIV/0!</v>
      </c>
      <c r="G12" s="165" t="e">
        <f>InvulVloer19[[#This Row],[2028]]*Tariefsopbouw!$M$37+InvulVloer19[[#This Row],[2028]]</f>
        <v>#DIV/0!</v>
      </c>
      <c r="H12" s="165" t="e">
        <f>InvulVloer19[[#This Row],[2029]]*Tariefsopbouw!$O$37+InvulVloer19[[#This Row],[2029]]</f>
        <v>#DIV/0!</v>
      </c>
      <c r="I12" s="165" t="e">
        <f>InvulVloer19[[#This Row],[2030]]*Tariefsopbouw!$Q$37+InvulVloer19[[#This Row],[2030]]</f>
        <v>#DIV/0!</v>
      </c>
    </row>
    <row r="13" spans="1:13" ht="15" customHeight="1">
      <c r="A13" s="176">
        <v>5</v>
      </c>
      <c r="B13" s="190" t="s">
        <v>246</v>
      </c>
      <c r="C13" s="435">
        <v>0</v>
      </c>
      <c r="D13" s="177" t="s">
        <v>151</v>
      </c>
      <c r="E13" s="165" t="e">
        <f>InvulVloer19[[#This Row],[Prijs]]*Tariefsopbouw!$I$37+InvulVloer19[[#This Row],[Prijs]]</f>
        <v>#DIV/0!</v>
      </c>
      <c r="F13" s="165" t="e">
        <f>InvulVloer19[[#This Row],[2027]]*Tariefsopbouw!$K$37+InvulVloer19[[#This Row],[2027]]</f>
        <v>#DIV/0!</v>
      </c>
      <c r="G13" s="165" t="e">
        <f>InvulVloer19[[#This Row],[2028]]*Tariefsopbouw!$M$37+InvulVloer19[[#This Row],[2028]]</f>
        <v>#DIV/0!</v>
      </c>
      <c r="H13" s="165" t="e">
        <f>InvulVloer19[[#This Row],[2029]]*Tariefsopbouw!$O$37+InvulVloer19[[#This Row],[2029]]</f>
        <v>#DIV/0!</v>
      </c>
      <c r="I13" s="165" t="e">
        <f>InvulVloer19[[#This Row],[2030]]*Tariefsopbouw!$Q$37+InvulVloer19[[#This Row],[2030]]</f>
        <v>#DIV/0!</v>
      </c>
    </row>
    <row r="14" spans="1:13" ht="15" customHeight="1">
      <c r="A14" s="176">
        <v>6</v>
      </c>
      <c r="B14" s="190" t="s">
        <v>157</v>
      </c>
      <c r="C14" s="435">
        <v>0</v>
      </c>
      <c r="D14" s="177" t="s">
        <v>151</v>
      </c>
      <c r="E14" s="165" t="e">
        <f>InvulVloer19[[#This Row],[Prijs]]*Tariefsopbouw!$I$37+InvulVloer19[[#This Row],[Prijs]]</f>
        <v>#DIV/0!</v>
      </c>
      <c r="F14" s="165" t="e">
        <f>InvulVloer19[[#This Row],[2027]]*Tariefsopbouw!$K$37+InvulVloer19[[#This Row],[2027]]</f>
        <v>#DIV/0!</v>
      </c>
      <c r="G14" s="165" t="e">
        <f>InvulVloer19[[#This Row],[2028]]*Tariefsopbouw!$M$37+InvulVloer19[[#This Row],[2028]]</f>
        <v>#DIV/0!</v>
      </c>
      <c r="H14" s="165" t="e">
        <f>InvulVloer19[[#This Row],[2029]]*Tariefsopbouw!$O$37+InvulVloer19[[#This Row],[2029]]</f>
        <v>#DIV/0!</v>
      </c>
      <c r="I14" s="165" t="e">
        <f>InvulVloer19[[#This Row],[2030]]*Tariefsopbouw!$Q$37+InvulVloer19[[#This Row],[2030]]</f>
        <v>#DIV/0!</v>
      </c>
    </row>
    <row r="15" spans="1:13" ht="15" customHeight="1">
      <c r="A15" s="176">
        <v>7</v>
      </c>
      <c r="B15" s="190" t="s">
        <v>1579</v>
      </c>
      <c r="C15" s="435">
        <v>0</v>
      </c>
      <c r="D15" s="177" t="s">
        <v>151</v>
      </c>
      <c r="E15" s="165" t="e">
        <f>InvulVloer19[[#This Row],[Prijs]]*Tariefsopbouw!$I$37+InvulVloer19[[#This Row],[Prijs]]</f>
        <v>#DIV/0!</v>
      </c>
      <c r="F15" s="341" t="e">
        <f>InvulVloer19[[#This Row],[2027]]*Tariefsopbouw!$K$37+InvulVloer19[[#This Row],[2027]]</f>
        <v>#DIV/0!</v>
      </c>
      <c r="G15" s="165" t="e">
        <f>InvulVloer19[[#This Row],[2028]]*Tariefsopbouw!$M$37+InvulVloer19[[#This Row],[2028]]</f>
        <v>#DIV/0!</v>
      </c>
      <c r="H15" s="165" t="e">
        <f>InvulVloer19[[#This Row],[2029]]*Tariefsopbouw!$O$37+InvulVloer19[[#This Row],[2029]]</f>
        <v>#DIV/0!</v>
      </c>
      <c r="I15" s="165" t="e">
        <f>InvulVloer19[[#This Row],[2030]]*Tariefsopbouw!$Q$37+InvulVloer19[[#This Row],[2030]]</f>
        <v>#DIV/0!</v>
      </c>
    </row>
    <row r="16" spans="1:13" ht="15" customHeight="1">
      <c r="A16" s="176">
        <v>8</v>
      </c>
      <c r="B16" s="177" t="s">
        <v>159</v>
      </c>
      <c r="C16" s="435">
        <v>0</v>
      </c>
      <c r="D16" s="177" t="s">
        <v>151</v>
      </c>
      <c r="E16" s="165" t="e">
        <f>InvulVloer19[[#This Row],[Prijs]]*Tariefsopbouw!$I$37+InvulVloer19[[#This Row],[Prijs]]</f>
        <v>#DIV/0!</v>
      </c>
      <c r="F16" s="165" t="e">
        <f>InvulVloer19[[#This Row],[2027]]*Tariefsopbouw!$K$37+InvulVloer19[[#This Row],[2027]]</f>
        <v>#DIV/0!</v>
      </c>
      <c r="G16" s="165" t="e">
        <f>InvulVloer19[[#This Row],[2028]]*Tariefsopbouw!$M$37+InvulVloer19[[#This Row],[2028]]</f>
        <v>#DIV/0!</v>
      </c>
      <c r="H16" s="165" t="e">
        <f>InvulVloer19[[#This Row],[2029]]*Tariefsopbouw!$O$37+InvulVloer19[[#This Row],[2029]]</f>
        <v>#DIV/0!</v>
      </c>
      <c r="I16" s="165" t="e">
        <f>InvulVloer19[[#This Row],[2030]]*Tariefsopbouw!$Q$37+InvulVloer19[[#This Row],[2030]]</f>
        <v>#DIV/0!</v>
      </c>
    </row>
    <row r="17" spans="1:13" ht="15" customHeight="1">
      <c r="A17" s="176">
        <v>9</v>
      </c>
      <c r="B17" s="343" t="s">
        <v>185</v>
      </c>
      <c r="C17" s="435">
        <v>0</v>
      </c>
      <c r="D17" s="177" t="s">
        <v>151</v>
      </c>
      <c r="E17" s="165" t="e">
        <f>InvulVloer19[[#This Row],[Prijs]]*Tariefsopbouw!$I$37+InvulVloer19[[#This Row],[Prijs]]</f>
        <v>#DIV/0!</v>
      </c>
      <c r="F17" s="165" t="e">
        <f>InvulVloer19[[#This Row],[2027]]*Tariefsopbouw!$K$37+InvulVloer19[[#This Row],[2027]]</f>
        <v>#DIV/0!</v>
      </c>
      <c r="G17" s="165" t="e">
        <f>InvulVloer19[[#This Row],[2028]]*Tariefsopbouw!$M$37+InvulVloer19[[#This Row],[2028]]</f>
        <v>#DIV/0!</v>
      </c>
      <c r="H17" s="165" t="e">
        <f>InvulVloer19[[#This Row],[2029]]*Tariefsopbouw!$O$37+InvulVloer19[[#This Row],[2029]]</f>
        <v>#DIV/0!</v>
      </c>
      <c r="I17" s="165" t="e">
        <f>InvulVloer19[[#This Row],[2030]]*Tariefsopbouw!$Q$37+InvulVloer19[[#This Row],[2030]]</f>
        <v>#DIV/0!</v>
      </c>
    </row>
    <row r="18" spans="1:13" ht="15" customHeight="1">
      <c r="A18" s="176">
        <v>10</v>
      </c>
      <c r="B18" s="343" t="s">
        <v>1631</v>
      </c>
      <c r="C18" s="435">
        <v>0</v>
      </c>
      <c r="D18" s="177" t="s">
        <v>151</v>
      </c>
      <c r="E18" s="339" t="e">
        <f>InvulVloer19[[#This Row],[Prijs]]*Tariefsopbouw!$I$37+InvulVloer19[[#This Row],[Prijs]]</f>
        <v>#DIV/0!</v>
      </c>
      <c r="F18" s="342" t="e">
        <f>InvulVloer19[[#This Row],[2027]]*Tariefsopbouw!$K$37+InvulVloer19[[#This Row],[2027]]</f>
        <v>#DIV/0!</v>
      </c>
      <c r="G18" s="339" t="e">
        <f>InvulVloer19[[#This Row],[2028]]*Tariefsopbouw!$M$37+InvulVloer19[[#This Row],[2028]]</f>
        <v>#DIV/0!</v>
      </c>
      <c r="H18" s="339" t="e">
        <f>InvulVloer19[[#This Row],[2029]]*Tariefsopbouw!$O$37+InvulVloer19[[#This Row],[2029]]</f>
        <v>#DIV/0!</v>
      </c>
      <c r="I18" s="339" t="e">
        <f>InvulVloer19[[#This Row],[2030]]*Tariefsopbouw!$Q$37+InvulVloer19[[#This Row],[2030]]</f>
        <v>#DIV/0!</v>
      </c>
    </row>
    <row r="19" spans="1:13" ht="15" customHeight="1">
      <c r="B19" s="49"/>
      <c r="E19" s="174"/>
      <c r="F19" s="175"/>
      <c r="G19" s="174"/>
      <c r="H19" s="174"/>
    </row>
    <row r="20" spans="1:13" s="100" customFormat="1" ht="26.25" customHeight="1">
      <c r="A20" s="269" t="s">
        <v>196</v>
      </c>
      <c r="B20" s="270" t="s">
        <v>135</v>
      </c>
      <c r="C20" s="271" t="s">
        <v>197</v>
      </c>
      <c r="D20" s="269" t="s">
        <v>226</v>
      </c>
      <c r="E20" s="269" t="s">
        <v>153</v>
      </c>
      <c r="F20" s="269" t="s">
        <v>154</v>
      </c>
      <c r="G20" s="269" t="s">
        <v>158</v>
      </c>
      <c r="H20" s="269" t="s">
        <v>137</v>
      </c>
      <c r="I20" s="269" t="s">
        <v>1262</v>
      </c>
    </row>
    <row r="21" spans="1:13" ht="15" customHeight="1">
      <c r="A21" s="176">
        <v>1</v>
      </c>
      <c r="B21" s="177" t="str">
        <f>VLOOKUP(OverzichtVloer20[[#This Row],[Code Locatie]],Locaties[],2,0)</f>
        <v>Mirtehuis</v>
      </c>
      <c r="C21" s="176">
        <v>1</v>
      </c>
      <c r="D21" s="160" t="str">
        <f>IF(Vloeronderhoud!$C21&gt;0,VLOOKUP(Vloeronderhoud!$C21,$A$8:$B$18,2,FALSE),"")</f>
        <v>Sprayen/opblokken</v>
      </c>
      <c r="E21" s="179" t="s">
        <v>100</v>
      </c>
      <c r="F21" s="180">
        <f>SUMIFS('Ruimtestaat'!$N:$N,'Ruimtestaat'!L:L,Vloeronderhoud!E21,'Ruimtestaat'!A:A,Vloeronderhoud!A21)</f>
        <v>521.68000000000006</v>
      </c>
      <c r="G21" s="154">
        <v>1</v>
      </c>
      <c r="H21" s="181">
        <f>VLOOKUP(OverzichtVloer20[[#This Row],[Code Taak]],InvulVloer19[],3,3)*F21*G21</f>
        <v>0</v>
      </c>
      <c r="I21" s="182">
        <f>OverzichtVloer20[[#This Row],[Kosten/jaar excl. BTW]]*1.21</f>
        <v>0</v>
      </c>
      <c r="M21" s="161"/>
    </row>
    <row r="22" spans="1:13" ht="15" customHeight="1">
      <c r="A22" s="176">
        <v>1</v>
      </c>
      <c r="B22" s="177" t="str">
        <f>VLOOKUP(OverzichtVloer20[[#This Row],[Code Locatie]],Locaties[],2,0)</f>
        <v>Mirtehuis</v>
      </c>
      <c r="C22" s="176">
        <v>2</v>
      </c>
      <c r="D22" s="160" t="str">
        <f>IF(Vloeronderhoud!$C22&gt;0,VLOOKUP(Vloeronderhoud!$C22,$A$8:$B$18,2,FALSE),"")</f>
        <v>Topstrippen en conserveren</v>
      </c>
      <c r="E22" s="179" t="s">
        <v>100</v>
      </c>
      <c r="F22" s="180">
        <f>SUMIFS('Ruimtestaat'!$N:$N,'Ruimtestaat'!L:L,Vloeronderhoud!E22,'Ruimtestaat'!A:A,Vloeronderhoud!A22)</f>
        <v>521.68000000000006</v>
      </c>
      <c r="G22" s="154">
        <v>1</v>
      </c>
      <c r="H22" s="181">
        <f>VLOOKUP(OverzichtVloer20[[#This Row],[Code Taak]],InvulVloer19[],3,3)*F22*G22</f>
        <v>0</v>
      </c>
      <c r="I22" s="182">
        <f>OverzichtVloer20[[#This Row],[Kosten/jaar excl. BTW]]*1.21</f>
        <v>0</v>
      </c>
      <c r="M22" s="161"/>
    </row>
    <row r="23" spans="1:13" ht="15" customHeight="1">
      <c r="A23" s="176">
        <v>1</v>
      </c>
      <c r="B23" s="177" t="str">
        <f>VLOOKUP(OverzichtVloer20[[#This Row],[Code Locatie]],Locaties[],2,0)</f>
        <v>Mirtehuis</v>
      </c>
      <c r="C23" s="176">
        <v>3</v>
      </c>
      <c r="D23" s="160" t="str">
        <f>IF(Vloeronderhoud!$C23&gt;0,VLOOKUP(Vloeronderhoud!$C23,$A$8:$B$18,2,FALSE),"")</f>
        <v>Diepstrippen, sealen en conserveren</v>
      </c>
      <c r="E23" s="179" t="s">
        <v>100</v>
      </c>
      <c r="F23" s="180">
        <f>SUMIFS('Ruimtestaat'!$N:$N,'Ruimtestaat'!L:L,Vloeronderhoud!E23,'Ruimtestaat'!A:A,Vloeronderhoud!A23)</f>
        <v>521.68000000000006</v>
      </c>
      <c r="G23" s="154">
        <v>0.25</v>
      </c>
      <c r="H23" s="181">
        <f>VLOOKUP(OverzichtVloer20[[#This Row],[Code Taak]],InvulVloer19[],3,3)*F23*G23</f>
        <v>0</v>
      </c>
      <c r="I23" s="182">
        <f>OverzichtVloer20[[#This Row],[Kosten/jaar excl. BTW]]*1.21</f>
        <v>0</v>
      </c>
      <c r="M23" s="161"/>
    </row>
    <row r="24" spans="1:13" ht="14.25" customHeight="1">
      <c r="A24" s="176">
        <v>1</v>
      </c>
      <c r="B24" s="177" t="str">
        <f>VLOOKUP(OverzichtVloer20[[#This Row],[Code Locatie]],Locaties[],2,0)</f>
        <v>Mirtehuis</v>
      </c>
      <c r="C24" s="176">
        <v>4</v>
      </c>
      <c r="D24" s="160" t="str">
        <f>IF(Vloeronderhoud!$C24&gt;0,VLOOKUP(Vloeronderhoud!$C24,$A$8:$B$18,2,FALSE),"")</f>
        <v>Tapijtreinigen, sproei-extractiemethode</v>
      </c>
      <c r="E24" s="179" t="s">
        <v>99</v>
      </c>
      <c r="F24" s="180">
        <f>SUMIFS('Ruimtestaat'!$N:$N,'Ruimtestaat'!L:L,Vloeronderhoud!E24,'Ruimtestaat'!A:A,Vloeronderhoud!A24)</f>
        <v>32.04</v>
      </c>
      <c r="G24" s="154">
        <v>1</v>
      </c>
      <c r="H24" s="181">
        <f>VLOOKUP(OverzichtVloer20[[#This Row],[Code Taak]],InvulVloer19[],3,3)*F24*G24</f>
        <v>0</v>
      </c>
      <c r="I24" s="182">
        <f>OverzichtVloer20[[#This Row],[Kosten/jaar excl. BTW]]*1.21</f>
        <v>0</v>
      </c>
      <c r="M24" s="161"/>
    </row>
    <row r="25" spans="1:13" ht="14.25" customHeight="1">
      <c r="A25" s="176">
        <v>1</v>
      </c>
      <c r="B25" s="177" t="str">
        <f>VLOOKUP(OverzichtVloer20[[#This Row],[Code Locatie]],Locaties[],2,0)</f>
        <v>Mirtehuis</v>
      </c>
      <c r="C25" s="176">
        <v>7</v>
      </c>
      <c r="D25" s="160" t="str">
        <f>IF(Vloeronderhoud!$C25&gt;0,VLOOKUP(Vloeronderhoud!$C25,$A$8:$B$18,2,FALSE),"")</f>
        <v>Olieen houten vloeren</v>
      </c>
      <c r="E25" s="179" t="s">
        <v>1306</v>
      </c>
      <c r="F25" s="180">
        <f>SUMIFS('Ruimtestaat'!$N:$N,'Ruimtestaat'!L:L,Vloeronderhoud!E25,'Ruimtestaat'!A:A,Vloeronderhoud!A25)</f>
        <v>62</v>
      </c>
      <c r="G25" s="154">
        <v>1</v>
      </c>
      <c r="H25" s="181">
        <f>VLOOKUP(OverzichtVloer20[[#This Row],[Code Taak]],InvulVloer19[],3,3)*F25*G25</f>
        <v>0</v>
      </c>
      <c r="I25" s="182">
        <f>OverzichtVloer20[[#This Row],[Kosten/jaar excl. BTW]]*1.21</f>
        <v>0</v>
      </c>
      <c r="M25" s="161"/>
    </row>
    <row r="26" spans="1:13" ht="14.25" customHeight="1">
      <c r="A26" s="176">
        <v>1</v>
      </c>
      <c r="B26" s="177" t="str">
        <f>VLOOKUP(OverzichtVloer20[[#This Row],[Code Locatie]],Locaties[],2,0)</f>
        <v>Mirtehuis</v>
      </c>
      <c r="C26" s="176">
        <v>9</v>
      </c>
      <c r="D26" s="160" t="str">
        <f>IF(Vloeronderhoud!$C26&gt;0,VLOOKUP(Vloeronderhoud!$C26,$A$8:$B$18,2,FALSE),"")</f>
        <v>Machinaal schrobben en droogzuigen</v>
      </c>
      <c r="E26" s="179" t="s">
        <v>101</v>
      </c>
      <c r="F26" s="180">
        <f>SUMIFS('Ruimtestaat'!$N:$N,'Ruimtestaat'!L:L,Vloeronderhoud!E26,'Ruimtestaat'!A:A,Vloeronderhoud!A26)</f>
        <v>38.503999999999998</v>
      </c>
      <c r="G26" s="154">
        <v>1</v>
      </c>
      <c r="H26" s="181">
        <f>VLOOKUP(OverzichtVloer20[[#This Row],[Code Taak]],InvulVloer19[],3,3)*F26*G26</f>
        <v>0</v>
      </c>
      <c r="I26" s="182">
        <f>OverzichtVloer20[[#This Row],[Kosten/jaar excl. BTW]]*1.21</f>
        <v>0</v>
      </c>
      <c r="M26" s="161"/>
    </row>
    <row r="27" spans="1:13" ht="14.25" customHeight="1">
      <c r="A27" s="176">
        <v>2</v>
      </c>
      <c r="B27" s="177" t="str">
        <f>VLOOKUP(OverzichtVloer20[[#This Row],[Code Locatie]],Locaties[],2,0)</f>
        <v>Pauluskerk</v>
      </c>
      <c r="C27" s="176">
        <v>4</v>
      </c>
      <c r="D27" s="160" t="str">
        <f>IF(Vloeronderhoud!$C27&gt;0,VLOOKUP(Vloeronderhoud!$C27,$A$8:$B$18,2,FALSE),"")</f>
        <v>Tapijtreinigen, sproei-extractiemethode</v>
      </c>
      <c r="E27" s="179" t="s">
        <v>99</v>
      </c>
      <c r="F27" s="180">
        <f>SUMIFS('Ruimtestaat'!$N:$N,'Ruimtestaat'!L:L,Vloeronderhoud!E27,'Ruimtestaat'!A:A,Vloeronderhoud!A27)</f>
        <v>36.450000000000003</v>
      </c>
      <c r="G27" s="154">
        <v>1</v>
      </c>
      <c r="H27" s="181">
        <f>VLOOKUP(OverzichtVloer20[[#This Row],[Code Taak]],InvulVloer19[],3,3)*F27*G27</f>
        <v>0</v>
      </c>
      <c r="I27" s="182">
        <f>OverzichtVloer20[[#This Row],[Kosten/jaar excl. BTW]]*1.21</f>
        <v>0</v>
      </c>
      <c r="M27" s="161"/>
    </row>
    <row r="28" spans="1:13" ht="14.25" customHeight="1">
      <c r="A28" s="176">
        <v>2</v>
      </c>
      <c r="B28" s="177" t="str">
        <f>VLOOKUP(OverzichtVloer20[[#This Row],[Code Locatie]],Locaties[],2,0)</f>
        <v>Pauluskerk</v>
      </c>
      <c r="C28" s="176">
        <v>9</v>
      </c>
      <c r="D28" s="160" t="str">
        <f>IF(Vloeronderhoud!$C28&gt;0,VLOOKUP(Vloeronderhoud!$C28,$A$8:$B$18,2,FALSE),"")</f>
        <v>Machinaal schrobben en droogzuigen</v>
      </c>
      <c r="E28" s="179" t="s">
        <v>101</v>
      </c>
      <c r="F28" s="180">
        <f>SUMIFS('Ruimtestaat'!$N:$N,'Ruimtestaat'!L:L,Vloeronderhoud!E28,'Ruimtestaat'!A:A,Vloeronderhoud!A28)</f>
        <v>139.22999999999999</v>
      </c>
      <c r="G28" s="154">
        <v>1</v>
      </c>
      <c r="H28" s="181">
        <f>VLOOKUP(OverzichtVloer20[[#This Row],[Code Taak]],InvulVloer19[],3,3)*F28*G28</f>
        <v>0</v>
      </c>
      <c r="I28" s="182">
        <f>OverzichtVloer20[[#This Row],[Kosten/jaar excl. BTW]]*1.21</f>
        <v>0</v>
      </c>
      <c r="M28" s="161"/>
    </row>
    <row r="29" spans="1:13" ht="14.25" customHeight="1">
      <c r="A29" s="176">
        <v>2</v>
      </c>
      <c r="B29" s="177" t="str">
        <f>VLOOKUP(OverzichtVloer20[[#This Row],[Code Locatie]],Locaties[],2,0)</f>
        <v>Pauluskerk</v>
      </c>
      <c r="C29" s="176">
        <v>9</v>
      </c>
      <c r="D29" s="160" t="str">
        <f>IF(Vloeronderhoud!$C29&gt;0,VLOOKUP(Vloeronderhoud!$C29,$A$8:$B$18,2,FALSE),"")</f>
        <v>Machinaal schrobben en droogzuigen</v>
      </c>
      <c r="E29" s="179" t="s">
        <v>102</v>
      </c>
      <c r="F29" s="180">
        <f>SUMIFS('Ruimtestaat'!$N:$N,'Ruimtestaat'!L:L,Vloeronderhoud!E29,'Ruimtestaat'!A:A,Vloeronderhoud!A29)</f>
        <v>32.700000000000003</v>
      </c>
      <c r="G29" s="154">
        <v>1</v>
      </c>
      <c r="H29" s="181">
        <f>VLOOKUP(OverzichtVloer20[[#This Row],[Code Taak]],InvulVloer19[],3,3)*F29*G29</f>
        <v>0</v>
      </c>
      <c r="I29" s="182">
        <f>OverzichtVloer20[[#This Row],[Kosten/jaar excl. BTW]]*1.21</f>
        <v>0</v>
      </c>
      <c r="M29" s="161"/>
    </row>
    <row r="30" spans="1:13" ht="14.25" customHeight="1">
      <c r="A30" s="183"/>
      <c r="B30" s="184" t="s">
        <v>32</v>
      </c>
      <c r="C30" s="183"/>
      <c r="D30" s="185"/>
      <c r="E30" s="183"/>
      <c r="F30" s="186"/>
      <c r="G30" s="183"/>
      <c r="H30" s="187">
        <f>SUBTOTAL(109,OverzichtVloer20[Kosten/jaar excl. BTW])</f>
        <v>0</v>
      </c>
      <c r="I30" s="187">
        <f>SUBTOTAL(109,OverzichtVloer20[Kosten/jaar incl BTW])</f>
        <v>0</v>
      </c>
      <c r="M30" s="161"/>
    </row>
    <row r="31" spans="1:13" ht="15" customHeight="1">
      <c r="A31" s="188"/>
      <c r="C31" s="154"/>
      <c r="D31" s="154"/>
      <c r="E31" s="154"/>
      <c r="F31" s="175"/>
      <c r="G31" s="189"/>
      <c r="H31" s="156"/>
    </row>
  </sheetData>
  <sheetProtection algorithmName="SHA-512" hashValue="vewRbiDzYJL8Kgb7MfgsB4PG+xy/VJbEbgz92cHGvEy5exKmXmE8+1gWsdoV9nFNjYl0WV9LsIiJdUUUFm7Zhg==" saltValue="5+ehbDrjTXKMDJWGI3VT0A==" spinCount="100000" sheet="1" objects="1" scenarios="1"/>
  <mergeCells count="3">
    <mergeCell ref="A1:H1"/>
    <mergeCell ref="A2:H2"/>
    <mergeCell ref="E7:I7"/>
  </mergeCells>
  <pageMargins left="0.70866141732283472" right="0.70866141732283472" top="0.35433070866141736" bottom="0.47244094488188981" header="0.31496062992125984" footer="0.31496062992125984"/>
  <pageSetup paperSize="9" scale="57" fitToHeight="0" orientation="landscape" r:id="rId1"/>
  <headerFooter alignWithMargins="0">
    <oddFooter>&amp;L&amp;F&amp;C&amp;D&amp;R&amp;A</oddFooter>
  </headerFooter>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theme="0" tint="-0.14999847407452621"/>
    <pageSetUpPr fitToPage="1"/>
  </sheetPr>
  <dimension ref="A1:I94"/>
  <sheetViews>
    <sheetView showGridLines="0" view="pageBreakPreview" topLeftCell="A6" zoomScaleNormal="100" zoomScaleSheetLayoutView="100" workbookViewId="0">
      <selection activeCell="E32" activeCellId="4" sqref="C9:C19 C27:C28 C32:C33 E27:E28 E32:E33"/>
    </sheetView>
  </sheetViews>
  <sheetFormatPr defaultColWidth="9.140625" defaultRowHeight="15" customHeight="1"/>
  <cols>
    <col min="1" max="1" width="11.5703125" style="49" customWidth="1"/>
    <col min="2" max="2" width="47.42578125" style="28" bestFit="1" customWidth="1"/>
    <col min="3" max="3" width="12.5703125" style="28" customWidth="1"/>
    <col min="4" max="4" width="52.140625" style="49" bestFit="1" customWidth="1"/>
    <col min="5" max="5" width="19" style="28" customWidth="1"/>
    <col min="6" max="6" width="17.7109375" style="28" bestFit="1" customWidth="1"/>
    <col min="7" max="7" width="18.85546875" style="28" customWidth="1"/>
    <col min="8" max="8" width="17.5703125" style="28" customWidth="1"/>
    <col min="9" max="9" width="17.7109375" style="28" bestFit="1" customWidth="1"/>
    <col min="10" max="16384" width="9.140625" style="28"/>
  </cols>
  <sheetData>
    <row r="1" spans="1:9" s="25" customFormat="1" ht="26.25" customHeight="1">
      <c r="A1" s="390" t="s">
        <v>39</v>
      </c>
      <c r="B1" s="390"/>
      <c r="C1" s="390"/>
      <c r="D1" s="390"/>
      <c r="E1" s="390"/>
      <c r="F1" s="390"/>
      <c r="G1" s="390"/>
      <c r="H1" s="390"/>
    </row>
    <row r="2" spans="1:9" s="25" customFormat="1" ht="15" customHeight="1">
      <c r="A2" s="388" t="s">
        <v>199</v>
      </c>
      <c r="B2" s="406"/>
      <c r="C2" s="406"/>
      <c r="D2" s="406"/>
      <c r="E2" s="406"/>
      <c r="F2" s="406"/>
      <c r="G2" s="406"/>
      <c r="H2" s="407"/>
    </row>
    <row r="3" spans="1:9" ht="15" customHeight="1">
      <c r="B3" s="49"/>
      <c r="D3" s="151"/>
      <c r="E3" s="152"/>
    </row>
    <row r="4" spans="1:9" ht="15" customHeight="1">
      <c r="A4" s="28" t="s">
        <v>167</v>
      </c>
      <c r="B4" s="49"/>
      <c r="D4" s="151"/>
      <c r="E4" s="151"/>
    </row>
    <row r="5" spans="1:9" ht="15" customHeight="1">
      <c r="A5" s="28" t="s">
        <v>221</v>
      </c>
      <c r="B5" s="49"/>
      <c r="D5" s="28"/>
    </row>
    <row r="6" spans="1:9" ht="15" customHeight="1">
      <c r="A6" s="28" t="s">
        <v>184</v>
      </c>
      <c r="B6" s="157"/>
      <c r="C6" s="157"/>
      <c r="D6" s="160"/>
      <c r="E6" s="160"/>
      <c r="F6" s="158"/>
      <c r="G6" s="158"/>
    </row>
    <row r="7" spans="1:9" ht="15" customHeight="1">
      <c r="A7" s="28"/>
      <c r="B7" s="157"/>
      <c r="C7" s="157"/>
      <c r="D7" s="160"/>
      <c r="E7" s="405" t="s">
        <v>243</v>
      </c>
      <c r="F7" s="405"/>
      <c r="G7" s="405"/>
      <c r="H7" s="405"/>
      <c r="I7" s="405"/>
    </row>
    <row r="8" spans="1:9" s="29" customFormat="1" ht="26.25" customHeight="1">
      <c r="A8" s="269" t="s">
        <v>198</v>
      </c>
      <c r="B8" s="270" t="s">
        <v>136</v>
      </c>
      <c r="C8" s="271" t="s">
        <v>166</v>
      </c>
      <c r="D8" s="269" t="s">
        <v>141</v>
      </c>
      <c r="E8" s="269" t="s">
        <v>1244</v>
      </c>
      <c r="F8" s="269" t="s">
        <v>1298</v>
      </c>
      <c r="G8" s="269" t="s">
        <v>1575</v>
      </c>
      <c r="H8" s="269" t="s">
        <v>1608</v>
      </c>
      <c r="I8" s="269" t="s">
        <v>1607</v>
      </c>
    </row>
    <row r="9" spans="1:9" ht="15" customHeight="1">
      <c r="A9" s="176">
        <v>1</v>
      </c>
      <c r="B9" s="190" t="s">
        <v>213</v>
      </c>
      <c r="C9" s="435">
        <v>0</v>
      </c>
      <c r="D9" s="177" t="s">
        <v>139</v>
      </c>
      <c r="E9" s="165" t="e">
        <f>(InvulGlas[[#This Row],[Prijs excl. BTW]]*Tariefsopbouw!$I$37)+InvulGlas[[#This Row],[Prijs excl. BTW]]</f>
        <v>#DIV/0!</v>
      </c>
      <c r="F9" s="165" t="e">
        <f>E9*Tariefsopbouw!$K$37+Glasbewassing!E9</f>
        <v>#DIV/0!</v>
      </c>
      <c r="G9" s="165" t="e">
        <f>F9*Tariefsopbouw!$M$37+Glasbewassing!F9</f>
        <v>#DIV/0!</v>
      </c>
      <c r="H9" s="165" t="e">
        <f>G9*Tariefsopbouw!$O$37+Glasbewassing!G9</f>
        <v>#DIV/0!</v>
      </c>
      <c r="I9" s="165" t="e">
        <f>H9*Tariefsopbouw!$Q$37+Glasbewassing!H9</f>
        <v>#DIV/0!</v>
      </c>
    </row>
    <row r="10" spans="1:9" ht="15" customHeight="1">
      <c r="A10" s="176">
        <v>2</v>
      </c>
      <c r="B10" s="190" t="s">
        <v>138</v>
      </c>
      <c r="C10" s="435">
        <v>0</v>
      </c>
      <c r="D10" s="177" t="s">
        <v>139</v>
      </c>
      <c r="E10" s="165" t="e">
        <f>(InvulGlas[[#This Row],[Prijs excl. BTW]]*Tariefsopbouw!$I$37)+InvulGlas[[#This Row],[Prijs excl. BTW]]</f>
        <v>#DIV/0!</v>
      </c>
      <c r="F10" s="165" t="e">
        <f>E10*Tariefsopbouw!$K$37+Glasbewassing!E10</f>
        <v>#DIV/0!</v>
      </c>
      <c r="G10" s="165" t="e">
        <f>F10*Tariefsopbouw!$M$37+Glasbewassing!F10</f>
        <v>#DIV/0!</v>
      </c>
      <c r="H10" s="165" t="e">
        <f>G10*Tariefsopbouw!$O$37+Glasbewassing!G10</f>
        <v>#DIV/0!</v>
      </c>
      <c r="I10" s="165" t="e">
        <f>H10*Tariefsopbouw!$Q$37+Glasbewassing!H10</f>
        <v>#DIV/0!</v>
      </c>
    </row>
    <row r="11" spans="1:9" ht="15" customHeight="1">
      <c r="A11" s="176">
        <v>3</v>
      </c>
      <c r="B11" s="190" t="s">
        <v>140</v>
      </c>
      <c r="C11" s="435">
        <v>0</v>
      </c>
      <c r="D11" s="177" t="s">
        <v>139</v>
      </c>
      <c r="E11" s="165" t="e">
        <f>(InvulGlas[[#This Row],[Prijs excl. BTW]]*Tariefsopbouw!$I$37)+InvulGlas[[#This Row],[Prijs excl. BTW]]</f>
        <v>#DIV/0!</v>
      </c>
      <c r="F11" s="165" t="e">
        <f>E11*Tariefsopbouw!$K$37+Glasbewassing!E11</f>
        <v>#DIV/0!</v>
      </c>
      <c r="G11" s="165" t="e">
        <f>F11*Tariefsopbouw!$M$37+Glasbewassing!F11</f>
        <v>#DIV/0!</v>
      </c>
      <c r="H11" s="165" t="e">
        <f>G11*Tariefsopbouw!$O$37+Glasbewassing!G11</f>
        <v>#DIV/0!</v>
      </c>
      <c r="I11" s="165" t="e">
        <f>H11*Tariefsopbouw!$Q$37+Glasbewassing!H11</f>
        <v>#DIV/0!</v>
      </c>
    </row>
    <row r="12" spans="1:9" ht="15" customHeight="1">
      <c r="A12" s="176">
        <v>4</v>
      </c>
      <c r="B12" s="190" t="s">
        <v>1265</v>
      </c>
      <c r="C12" s="435">
        <v>0</v>
      </c>
      <c r="D12" s="177" t="s">
        <v>139</v>
      </c>
      <c r="E12" s="165" t="e">
        <f>(InvulGlas[[#This Row],[Prijs excl. BTW]]*Tariefsopbouw!$I$37)+InvulGlas[[#This Row],[Prijs excl. BTW]]</f>
        <v>#DIV/0!</v>
      </c>
      <c r="F12" s="165" t="e">
        <f>E12*Tariefsopbouw!$K$37+Glasbewassing!E12</f>
        <v>#DIV/0!</v>
      </c>
      <c r="G12" s="165" t="e">
        <f>F12*Tariefsopbouw!$M$37+Glasbewassing!F12</f>
        <v>#DIV/0!</v>
      </c>
      <c r="H12" s="165" t="e">
        <f>G12*Tariefsopbouw!$O$37+Glasbewassing!G12</f>
        <v>#DIV/0!</v>
      </c>
      <c r="I12" s="165" t="e">
        <f>H12*Tariefsopbouw!$Q$37+Glasbewassing!H12</f>
        <v>#DIV/0!</v>
      </c>
    </row>
    <row r="13" spans="1:9" ht="15" customHeight="1">
      <c r="A13" s="176">
        <v>5</v>
      </c>
      <c r="B13" s="190" t="s">
        <v>212</v>
      </c>
      <c r="C13" s="435">
        <v>0</v>
      </c>
      <c r="D13" s="177" t="s">
        <v>139</v>
      </c>
      <c r="E13" s="165" t="e">
        <f>(InvulGlas[[#This Row],[Prijs excl. BTW]]*Tariefsopbouw!$I$37)+InvulGlas[[#This Row],[Prijs excl. BTW]]</f>
        <v>#DIV/0!</v>
      </c>
      <c r="F13" s="165" t="e">
        <f>E13*Tariefsopbouw!$K$37+Glasbewassing!E13</f>
        <v>#DIV/0!</v>
      </c>
      <c r="G13" s="165" t="e">
        <f>F13*Tariefsopbouw!$M$37+Glasbewassing!F13</f>
        <v>#DIV/0!</v>
      </c>
      <c r="H13" s="165" t="e">
        <f>G13*Tariefsopbouw!$O$37+Glasbewassing!G13</f>
        <v>#DIV/0!</v>
      </c>
      <c r="I13" s="165" t="e">
        <f>H13*Tariefsopbouw!$Q$37+Glasbewassing!H13</f>
        <v>#DIV/0!</v>
      </c>
    </row>
    <row r="14" spans="1:9" ht="15" customHeight="1">
      <c r="A14" s="176">
        <v>6</v>
      </c>
      <c r="B14" s="190" t="s">
        <v>1766</v>
      </c>
      <c r="C14" s="435">
        <v>0</v>
      </c>
      <c r="D14" s="177" t="s">
        <v>139</v>
      </c>
      <c r="E14" s="165" t="e">
        <f>(InvulGlas[[#This Row],[Prijs excl. BTW]]*Tariefsopbouw!$I$37)+InvulGlas[[#This Row],[Prijs excl. BTW]]</f>
        <v>#DIV/0!</v>
      </c>
      <c r="F14" s="165" t="e">
        <f>E14*Tariefsopbouw!$K$37+Glasbewassing!E14</f>
        <v>#DIV/0!</v>
      </c>
      <c r="G14" s="165" t="e">
        <f>F14*Tariefsopbouw!$M$37+Glasbewassing!F14</f>
        <v>#DIV/0!</v>
      </c>
      <c r="H14" s="165" t="e">
        <f>G14*Tariefsopbouw!$O$37+Glasbewassing!G14</f>
        <v>#DIV/0!</v>
      </c>
      <c r="I14" s="165" t="e">
        <f>H14*Tariefsopbouw!$Q$37+Glasbewassing!H14</f>
        <v>#DIV/0!</v>
      </c>
    </row>
    <row r="15" spans="1:9" ht="15" customHeight="1">
      <c r="A15" s="176">
        <v>7</v>
      </c>
      <c r="B15" s="190" t="s">
        <v>1767</v>
      </c>
      <c r="C15" s="435">
        <v>0</v>
      </c>
      <c r="D15" s="177" t="s">
        <v>139</v>
      </c>
      <c r="E15" s="165" t="e">
        <f>(InvulGlas[[#This Row],[Prijs excl. BTW]]*Tariefsopbouw!$I$37)+InvulGlas[[#This Row],[Prijs excl. BTW]]</f>
        <v>#DIV/0!</v>
      </c>
      <c r="F15" s="165" t="e">
        <f>E15*Tariefsopbouw!$K$37+Glasbewassing!E15</f>
        <v>#DIV/0!</v>
      </c>
      <c r="G15" s="165" t="e">
        <f>F15*Tariefsopbouw!$M$37+Glasbewassing!F15</f>
        <v>#DIV/0!</v>
      </c>
      <c r="H15" s="165" t="e">
        <f>G15*Tariefsopbouw!$O$37+Glasbewassing!G15</f>
        <v>#DIV/0!</v>
      </c>
      <c r="I15" s="165" t="e">
        <f>H15*Tariefsopbouw!$Q$37+Glasbewassing!H15</f>
        <v>#DIV/0!</v>
      </c>
    </row>
    <row r="16" spans="1:9" ht="15" customHeight="1">
      <c r="A16" s="176" t="s">
        <v>147</v>
      </c>
      <c r="B16" s="190" t="s">
        <v>143</v>
      </c>
      <c r="C16" s="435">
        <v>0</v>
      </c>
      <c r="D16" s="177" t="s">
        <v>1578</v>
      </c>
      <c r="E16" s="165" t="e">
        <f>(InvulGlas[[#This Row],[Prijs excl. BTW]]*Tariefsopbouw!$I$37)+InvulGlas[[#This Row],[Prijs excl. BTW]]</f>
        <v>#DIV/0!</v>
      </c>
      <c r="F16" s="165" t="e">
        <f>E16*Tariefsopbouw!$K$37+Glasbewassing!E16</f>
        <v>#DIV/0!</v>
      </c>
      <c r="G16" s="165" t="e">
        <f>F16*Tariefsopbouw!$M$37+Glasbewassing!F16</f>
        <v>#DIV/0!</v>
      </c>
      <c r="H16" s="165" t="e">
        <f>G16*Tariefsopbouw!$O$37+Glasbewassing!G16</f>
        <v>#DIV/0!</v>
      </c>
      <c r="I16" s="165" t="e">
        <f>H16*Tariefsopbouw!$Q$37+Glasbewassing!H16</f>
        <v>#DIV/0!</v>
      </c>
    </row>
    <row r="17" spans="1:9" ht="15" customHeight="1">
      <c r="A17" s="176" t="s">
        <v>148</v>
      </c>
      <c r="B17" s="190" t="s">
        <v>144</v>
      </c>
      <c r="C17" s="435">
        <v>0</v>
      </c>
      <c r="D17" s="177" t="s">
        <v>1578</v>
      </c>
      <c r="E17" s="165" t="e">
        <f>(InvulGlas[[#This Row],[Prijs excl. BTW]]*Tariefsopbouw!$I$37)+InvulGlas[[#This Row],[Prijs excl. BTW]]</f>
        <v>#DIV/0!</v>
      </c>
      <c r="F17" s="165" t="e">
        <f>E17*Tariefsopbouw!$K$37+Glasbewassing!E17</f>
        <v>#DIV/0!</v>
      </c>
      <c r="G17" s="165" t="e">
        <f>F17*Tariefsopbouw!$M$37+Glasbewassing!F17</f>
        <v>#DIV/0!</v>
      </c>
      <c r="H17" s="165" t="e">
        <f>G17*Tariefsopbouw!$O$37+Glasbewassing!G17</f>
        <v>#DIV/0!</v>
      </c>
      <c r="I17" s="165" t="e">
        <f>H17*Tariefsopbouw!$Q$37+Glasbewassing!H17</f>
        <v>#DIV/0!</v>
      </c>
    </row>
    <row r="18" spans="1:9" ht="15" customHeight="1">
      <c r="A18" s="176" t="s">
        <v>149</v>
      </c>
      <c r="B18" s="190" t="s">
        <v>145</v>
      </c>
      <c r="C18" s="435">
        <v>0</v>
      </c>
      <c r="D18" s="177" t="s">
        <v>1578</v>
      </c>
      <c r="E18" s="165" t="e">
        <f>(InvulGlas[[#This Row],[Prijs excl. BTW]]*Tariefsopbouw!$I$37)+InvulGlas[[#This Row],[Prijs excl. BTW]]</f>
        <v>#DIV/0!</v>
      </c>
      <c r="F18" s="165" t="e">
        <f>E18*Tariefsopbouw!$K$37+Glasbewassing!E18</f>
        <v>#DIV/0!</v>
      </c>
      <c r="G18" s="165" t="e">
        <f>F18*Tariefsopbouw!$M$37+Glasbewassing!F18</f>
        <v>#DIV/0!</v>
      </c>
      <c r="H18" s="165" t="e">
        <f>G18*Tariefsopbouw!$O$37+Glasbewassing!G18</f>
        <v>#DIV/0!</v>
      </c>
      <c r="I18" s="165" t="e">
        <f>H18*Tariefsopbouw!$Q$37+Glasbewassing!H18</f>
        <v>#DIV/0!</v>
      </c>
    </row>
    <row r="19" spans="1:9" ht="15" customHeight="1">
      <c r="A19" s="176" t="s">
        <v>227</v>
      </c>
      <c r="B19" s="190" t="s">
        <v>228</v>
      </c>
      <c r="C19" s="435">
        <v>0</v>
      </c>
      <c r="D19" s="177" t="s">
        <v>1578</v>
      </c>
      <c r="E19" s="165" t="e">
        <f>(InvulGlas[[#This Row],[Prijs excl. BTW]]*Tariefsopbouw!$I$37)+InvulGlas[[#This Row],[Prijs excl. BTW]]</f>
        <v>#DIV/0!</v>
      </c>
      <c r="F19" s="165" t="e">
        <f>E19*Tariefsopbouw!$K$37+Glasbewassing!E19</f>
        <v>#DIV/0!</v>
      </c>
      <c r="G19" s="165" t="e">
        <f>F19*Tariefsopbouw!$M$37+Glasbewassing!F19</f>
        <v>#DIV/0!</v>
      </c>
      <c r="H19" s="165" t="e">
        <f>G19*Tariefsopbouw!$O$37+Glasbewassing!G19</f>
        <v>#DIV/0!</v>
      </c>
      <c r="I19" s="165" t="e">
        <f>H19*Tariefsopbouw!$Q$37+Glasbewassing!H19</f>
        <v>#DIV/0!</v>
      </c>
    </row>
    <row r="20" spans="1:9" ht="15" customHeight="1">
      <c r="C20" s="154"/>
      <c r="D20" s="154"/>
    </row>
    <row r="21" spans="1:9" s="191" customFormat="1" ht="26.25" customHeight="1">
      <c r="A21" s="269" t="s">
        <v>196</v>
      </c>
      <c r="B21" s="270" t="s">
        <v>135</v>
      </c>
      <c r="C21" s="271" t="s">
        <v>198</v>
      </c>
      <c r="D21" s="269" t="s">
        <v>136</v>
      </c>
      <c r="E21" s="269" t="s">
        <v>146</v>
      </c>
      <c r="F21" s="269" t="s">
        <v>117</v>
      </c>
      <c r="G21" s="269" t="s">
        <v>137</v>
      </c>
      <c r="H21" s="269" t="s">
        <v>1259</v>
      </c>
      <c r="I21" s="269" t="s">
        <v>1576</v>
      </c>
    </row>
    <row r="22" spans="1:9" ht="15" customHeight="1">
      <c r="A22" s="176">
        <v>1</v>
      </c>
      <c r="B22" s="140" t="str">
        <f>VLOOKUP(OverzichtGlas[[#This Row],[Code Locatie]],Totalisatie!$A$7:$B$8,2,FALSE)</f>
        <v>Mirtehuis</v>
      </c>
      <c r="C22" s="176">
        <v>1</v>
      </c>
      <c r="D22" s="178" t="str">
        <f>IF(Glasbewassing!$C22&gt;0,VLOOKUP(Glasbewassing!$C22,$A$8:$B$19,2,FALSE),"Hier vult u de inzet van eventuele hoogwerkers in")</f>
        <v>Gevelglas binnenzijde</v>
      </c>
      <c r="E22" s="49">
        <v>146.81</v>
      </c>
      <c r="F22" s="179">
        <v>2</v>
      </c>
      <c r="G22" s="181">
        <f>IF(C22&gt;0,VLOOKUP(OverzichtGlas[[#This Row],[Code taak]],InvulGlas[],3,0)*E22*F22,0)</f>
        <v>0</v>
      </c>
      <c r="H22" s="181">
        <f>OverzichtGlas[[#This Row],[Kosten/jaar excl. BTW]]*1.21</f>
        <v>0</v>
      </c>
      <c r="I22" s="176"/>
    </row>
    <row r="23" spans="1:9" ht="15" customHeight="1">
      <c r="A23" s="176">
        <v>1</v>
      </c>
      <c r="B23" s="140" t="str">
        <f>VLOOKUP(OverzichtGlas[[#This Row],[Code Locatie]],Totalisatie!$A$7:$B$8,2,FALSE)</f>
        <v>Mirtehuis</v>
      </c>
      <c r="C23" s="176">
        <v>2</v>
      </c>
      <c r="D23" s="178" t="str">
        <f>IF(Glasbewassing!$C23&gt;0,VLOOKUP(Glasbewassing!$C23,$A$8:$B$19,2,FALSE),"Hier vult u de inzet van eventuele hoogwerkers in")</f>
        <v>Gevelglas buitenzijde</v>
      </c>
      <c r="E23" s="49">
        <v>146.81</v>
      </c>
      <c r="F23" s="179">
        <v>2</v>
      </c>
      <c r="G23" s="181">
        <f>IF(C23&gt;0,VLOOKUP(OverzichtGlas[[#This Row],[Code taak]],InvulGlas[],3,0)*E23*F23,0)</f>
        <v>0</v>
      </c>
      <c r="H23" s="181">
        <f>OverzichtGlas[[#This Row],[Kosten/jaar excl. BTW]]*1.21</f>
        <v>0</v>
      </c>
      <c r="I23" s="176"/>
    </row>
    <row r="24" spans="1:9" ht="15" customHeight="1">
      <c r="A24" s="176">
        <v>1</v>
      </c>
      <c r="B24" s="140" t="str">
        <f>VLOOKUP(OverzichtGlas[[#This Row],[Code Locatie]],Totalisatie!$A$7:$B$8,2,FALSE)</f>
        <v>Mirtehuis</v>
      </c>
      <c r="C24" s="176">
        <v>3</v>
      </c>
      <c r="D24" s="178" t="str">
        <f>IF(Glasbewassing!$C24&gt;0,VLOOKUP(Glasbewassing!$C24,$A$8:$B$19,2,FALSE),"Hier vult u de inzet van eventuele hoogwerkers in")</f>
        <v>Separatieglas (enkel gemeten, dubbel te wassen)</v>
      </c>
      <c r="E24" s="49">
        <v>22.79</v>
      </c>
      <c r="F24" s="179">
        <v>2</v>
      </c>
      <c r="G24" s="181">
        <f>IF(C24&gt;0,VLOOKUP(OverzichtGlas[[#This Row],[Code taak]],InvulGlas[],3,0)*E24*F24,0)</f>
        <v>0</v>
      </c>
      <c r="H24" s="181">
        <f>OverzichtGlas[[#This Row],[Kosten/jaar excl. BTW]]*1.21</f>
        <v>0</v>
      </c>
      <c r="I24" s="176"/>
    </row>
    <row r="25" spans="1:9" ht="15" customHeight="1">
      <c r="A25" s="176">
        <v>1</v>
      </c>
      <c r="B25" s="140" t="str">
        <f>VLOOKUP(OverzichtGlas[[#This Row],[Code Locatie]],Totalisatie!$A$7:$B$8,2,FALSE)</f>
        <v>Mirtehuis</v>
      </c>
      <c r="C25" s="176">
        <v>6</v>
      </c>
      <c r="D25" s="178" t="str">
        <f>IF(Glasbewassing!$C25&gt;0,VLOOKUP(Glasbewassing!$C25,$A$8:$B$19,2,FALSE),"Hier vult u de inzet van eventuele hoogwerkers in")</f>
        <v>Glas in lood</v>
      </c>
      <c r="E25" s="77">
        <v>3</v>
      </c>
      <c r="F25" s="179">
        <v>2</v>
      </c>
      <c r="G25" s="181">
        <f>IF(C25&gt;0,VLOOKUP(OverzichtGlas[[#This Row],[Code taak]],InvulGlas[],3,0)*E25*F25,0)</f>
        <v>0</v>
      </c>
      <c r="H25" s="181">
        <f>OverzichtGlas[[#This Row],[Kosten/jaar excl. BTW]]*1.21</f>
        <v>0</v>
      </c>
      <c r="I25" s="176"/>
    </row>
    <row r="26" spans="1:9" ht="15" customHeight="1">
      <c r="A26" s="176">
        <v>1</v>
      </c>
      <c r="B26" s="140" t="str">
        <f>VLOOKUP(OverzichtGlas[[#This Row],[Code Locatie]],Totalisatie!$A$7:$B$8,2,FALSE)</f>
        <v>Mirtehuis</v>
      </c>
      <c r="C26" s="176">
        <v>7</v>
      </c>
      <c r="D26" s="178" t="str">
        <f>IF(Glasbewassing!$C26&gt;0,VLOOKUP(Glasbewassing!$C26,$A$8:$B$19,2,FALSE),"Hier vult u de inzet van eventuele hoogwerkers in")</f>
        <v>Dakraam</v>
      </c>
      <c r="E26" s="49">
        <v>52.66</v>
      </c>
      <c r="F26" s="179">
        <v>2</v>
      </c>
      <c r="G26" s="181">
        <f>IF(C26&gt;0,VLOOKUP(OverzichtGlas[[#This Row],[Code taak]],InvulGlas[],3,0)*E26*F26,0)</f>
        <v>0</v>
      </c>
      <c r="H26" s="181">
        <f>OverzichtGlas[[#This Row],[Kosten/jaar excl. BTW]]*1.21</f>
        <v>0</v>
      </c>
      <c r="I26" s="176"/>
    </row>
    <row r="27" spans="1:9" ht="15" customHeight="1">
      <c r="A27" s="176">
        <v>1</v>
      </c>
      <c r="B27" s="140" t="str">
        <f>VLOOKUP(OverzichtGlas[[#This Row],[Code Locatie]],Totalisatie!$A$7:$B$8,2,FALSE)</f>
        <v>Mirtehuis</v>
      </c>
      <c r="C27" s="436"/>
      <c r="D27" s="160" t="str">
        <f>IF(Glasbewassing!$C27&gt;0,VLOOKUP(Glasbewassing!$C27,$A$8:$B$19,2,FALSE),"Hier vult u de inzet van eventuele hoogwerkers in")</f>
        <v>Hier vult u de inzet van eventuele hoogwerkers in</v>
      </c>
      <c r="E27" s="437"/>
      <c r="F27" s="179">
        <v>2</v>
      </c>
      <c r="G27" s="181">
        <f>IF(C27&gt;0,VLOOKUP(OverzichtGlas[[#This Row],[Code taak]],InvulGlas[],3,0)*E27*F27,0)</f>
        <v>0</v>
      </c>
      <c r="H27" s="181">
        <f>OverzichtGlas[[#This Row],[Kosten/jaar excl. BTW]]*1.21</f>
        <v>0</v>
      </c>
      <c r="I27" s="176"/>
    </row>
    <row r="28" spans="1:9" ht="15" customHeight="1">
      <c r="A28" s="176">
        <v>1</v>
      </c>
      <c r="B28" s="140" t="str">
        <f>VLOOKUP(OverzichtGlas[[#This Row],[Code Locatie]],Totalisatie!$A$7:$B$8,2,FALSE)</f>
        <v>Mirtehuis</v>
      </c>
      <c r="C28" s="436"/>
      <c r="D28" s="160" t="str">
        <f>IF(Glasbewassing!$C28&gt;0,VLOOKUP(Glasbewassing!$C28,$A$8:$B$19,2,FALSE),"Hier vult u de inzet van eventuele hoogwerkers in")</f>
        <v>Hier vult u de inzet van eventuele hoogwerkers in</v>
      </c>
      <c r="E28" s="437"/>
      <c r="F28" s="179">
        <v>2</v>
      </c>
      <c r="G28" s="181">
        <f>IF(C28&gt;0,VLOOKUP(OverzichtGlas[[#This Row],[Code taak]],InvulGlas[],3,0)*E28*F28,0)</f>
        <v>0</v>
      </c>
      <c r="H28" s="181">
        <f>OverzichtGlas[[#This Row],[Kosten/jaar excl. BTW]]*1.21</f>
        <v>0</v>
      </c>
      <c r="I28" s="176"/>
    </row>
    <row r="29" spans="1:9" ht="15" customHeight="1">
      <c r="A29" s="176">
        <v>2</v>
      </c>
      <c r="B29" s="140" t="str">
        <f>VLOOKUP(OverzichtGlas[[#This Row],[Code Locatie]],Totalisatie!$A$7:$B$8,2,FALSE)</f>
        <v>Pauluskerk</v>
      </c>
      <c r="C29" s="176">
        <v>1</v>
      </c>
      <c r="D29" s="160" t="str">
        <f>IF(Glasbewassing!$C29&gt;0,VLOOKUP(Glasbewassing!$C29,$A$8:$B$19,2,FALSE),"Hier vult u de inzet van eventuele hoogwerkers in")</f>
        <v>Gevelglas binnenzijde</v>
      </c>
      <c r="E29" s="49">
        <v>53.02</v>
      </c>
      <c r="F29" s="179">
        <v>2</v>
      </c>
      <c r="G29" s="181">
        <f>IF(C29&gt;0,VLOOKUP(OverzichtGlas[[#This Row],[Code taak]],InvulGlas[],3,0)*E29*F29,0)</f>
        <v>0</v>
      </c>
      <c r="H29" s="181">
        <f>OverzichtGlas[[#This Row],[Kosten/jaar excl. BTW]]*1.21</f>
        <v>0</v>
      </c>
      <c r="I29" s="176"/>
    </row>
    <row r="30" spans="1:9" ht="15" customHeight="1">
      <c r="A30" s="176">
        <v>2</v>
      </c>
      <c r="B30" s="140" t="str">
        <f>VLOOKUP(OverzichtGlas[[#This Row],[Code Locatie]],Totalisatie!$A$7:$B$8,2,FALSE)</f>
        <v>Pauluskerk</v>
      </c>
      <c r="C30" s="176">
        <v>2</v>
      </c>
      <c r="D30" s="160" t="str">
        <f>IF(Glasbewassing!$C30&gt;0,VLOOKUP(Glasbewassing!$C30,$A$8:$B$19,2,FALSE),"Hier vult u de inzet van eventuele hoogwerkers in")</f>
        <v>Gevelglas buitenzijde</v>
      </c>
      <c r="E30" s="49">
        <v>53.02</v>
      </c>
      <c r="F30" s="179">
        <v>2</v>
      </c>
      <c r="G30" s="181">
        <f>IF(C30&gt;0,VLOOKUP(OverzichtGlas[[#This Row],[Code taak]],InvulGlas[],3,0)*E30*F30,0)</f>
        <v>0</v>
      </c>
      <c r="H30" s="181">
        <f>OverzichtGlas[[#This Row],[Kosten/jaar excl. BTW]]*1.21</f>
        <v>0</v>
      </c>
      <c r="I30" s="176"/>
    </row>
    <row r="31" spans="1:9" ht="15" customHeight="1">
      <c r="A31" s="176">
        <v>2</v>
      </c>
      <c r="B31" s="140" t="str">
        <f>VLOOKUP(OverzichtGlas[[#This Row],[Code Locatie]],Totalisatie!$A$7:$B$8,2,FALSE)</f>
        <v>Pauluskerk</v>
      </c>
      <c r="C31" s="176">
        <v>3</v>
      </c>
      <c r="D31" s="160" t="str">
        <f>IF(Glasbewassing!$C31&gt;0,VLOOKUP(Glasbewassing!$C31,$A$8:$B$19,2,FALSE),"Hier vult u de inzet van eventuele hoogwerkers in")</f>
        <v>Separatieglas (enkel gemeten, dubbel te wassen)</v>
      </c>
      <c r="E31" s="77">
        <v>1.6</v>
      </c>
      <c r="F31" s="179">
        <v>2</v>
      </c>
      <c r="G31" s="181">
        <f>IF(C31&gt;0,VLOOKUP(OverzichtGlas[[#This Row],[Code taak]],InvulGlas[],3,0)*E31*F31,0)</f>
        <v>0</v>
      </c>
      <c r="H31" s="181">
        <f>OverzichtGlas[[#This Row],[Kosten/jaar excl. BTW]]*1.21</f>
        <v>0</v>
      </c>
      <c r="I31" s="176"/>
    </row>
    <row r="32" spans="1:9" ht="15" customHeight="1">
      <c r="A32" s="176">
        <v>2</v>
      </c>
      <c r="B32" s="140" t="str">
        <f>VLOOKUP(OverzichtGlas[[#This Row],[Code Locatie]],Totalisatie!$A$7:$B$8,2,FALSE)</f>
        <v>Pauluskerk</v>
      </c>
      <c r="C32" s="436"/>
      <c r="D32" s="160" t="str">
        <f>IF(Glasbewassing!$C32&gt;0,VLOOKUP(Glasbewassing!$C32,$A$8:$B$19,2,FALSE),"Hier vult u de inzet van eventuele hoogwerkers in")</f>
        <v>Hier vult u de inzet van eventuele hoogwerkers in</v>
      </c>
      <c r="E32" s="437"/>
      <c r="F32" s="179">
        <v>2</v>
      </c>
      <c r="G32" s="181">
        <f>IF(C32&gt;0,VLOOKUP(OverzichtGlas[[#This Row],[Code taak]],InvulGlas[],3,0)*E32*F32,0)</f>
        <v>0</v>
      </c>
      <c r="H32" s="181">
        <f>OverzichtGlas[[#This Row],[Kosten/jaar excl. BTW]]*1.21</f>
        <v>0</v>
      </c>
      <c r="I32" s="176"/>
    </row>
    <row r="33" spans="1:9" ht="15" customHeight="1">
      <c r="A33" s="176">
        <v>2</v>
      </c>
      <c r="B33" s="140" t="str">
        <f>VLOOKUP(OverzichtGlas[[#This Row],[Code Locatie]],Totalisatie!$A$7:$B$8,2,FALSE)</f>
        <v>Pauluskerk</v>
      </c>
      <c r="C33" s="436"/>
      <c r="D33" s="160" t="str">
        <f>IF(Glasbewassing!$C33&gt;0,VLOOKUP(Glasbewassing!$C33,$A$8:$B$19,2,FALSE),"Hier vult u de inzet van eventuele hoogwerkers in")</f>
        <v>Hier vult u de inzet van eventuele hoogwerkers in</v>
      </c>
      <c r="E33" s="437"/>
      <c r="F33" s="179">
        <v>2</v>
      </c>
      <c r="G33" s="181">
        <f>IF(C33&gt;0,VLOOKUP(OverzichtGlas[[#This Row],[Code taak]],InvulGlas[],3,0)*E33*F33,0)</f>
        <v>0</v>
      </c>
      <c r="H33" s="181">
        <f>OverzichtGlas[[#This Row],[Kosten/jaar excl. BTW]]*1.21</f>
        <v>0</v>
      </c>
      <c r="I33" s="176"/>
    </row>
    <row r="34" spans="1:9" ht="15" customHeight="1">
      <c r="A34" s="192" t="s">
        <v>32</v>
      </c>
      <c r="B34" s="193"/>
      <c r="C34" s="192"/>
      <c r="D34" s="194"/>
      <c r="E34" s="192"/>
      <c r="F34" s="192"/>
      <c r="G34" s="195">
        <f>SUBTOTAL(109,OverzichtGlas[Kosten/jaar excl. BTW])</f>
        <v>0</v>
      </c>
      <c r="H34" s="195">
        <f>SUBTOTAL(109,OverzichtGlas[Kosten/jaar incl. BTW])</f>
        <v>0</v>
      </c>
      <c r="I34" s="192"/>
    </row>
    <row r="35" spans="1:9" ht="15" customHeight="1">
      <c r="C35" s="49"/>
      <c r="D35" s="28"/>
    </row>
    <row r="36" spans="1:9" ht="15" customHeight="1">
      <c r="C36" s="49"/>
      <c r="D36" s="28"/>
    </row>
    <row r="37" spans="1:9" ht="15" customHeight="1">
      <c r="C37" s="49"/>
      <c r="D37" s="28"/>
    </row>
    <row r="38" spans="1:9" ht="15" customHeight="1">
      <c r="C38" s="49"/>
      <c r="D38" s="28"/>
    </row>
    <row r="39" spans="1:9" ht="15" customHeight="1">
      <c r="C39" s="49"/>
      <c r="D39" s="28"/>
    </row>
    <row r="40" spans="1:9" ht="15" customHeight="1">
      <c r="C40" s="49"/>
      <c r="D40" s="28"/>
    </row>
    <row r="41" spans="1:9" ht="15" customHeight="1">
      <c r="C41" s="49"/>
      <c r="D41" s="28"/>
    </row>
    <row r="42" spans="1:9" ht="15" customHeight="1">
      <c r="C42" s="49"/>
      <c r="D42" s="28"/>
    </row>
    <row r="43" spans="1:9" ht="15" customHeight="1">
      <c r="C43" s="49"/>
      <c r="D43" s="28"/>
    </row>
    <row r="44" spans="1:9" ht="15" customHeight="1">
      <c r="C44" s="49"/>
      <c r="D44" s="28"/>
    </row>
    <row r="45" spans="1:9" ht="15" customHeight="1">
      <c r="C45" s="49"/>
      <c r="D45" s="28"/>
    </row>
    <row r="46" spans="1:9" ht="15" customHeight="1">
      <c r="C46" s="49"/>
      <c r="D46" s="28"/>
    </row>
    <row r="47" spans="1:9" ht="15" customHeight="1">
      <c r="C47" s="49"/>
      <c r="D47" s="28"/>
    </row>
    <row r="48" spans="1:9" ht="15" customHeight="1">
      <c r="C48" s="49"/>
      <c r="D48" s="28"/>
    </row>
    <row r="49" spans="3:4" ht="15" customHeight="1">
      <c r="C49" s="49"/>
      <c r="D49" s="28"/>
    </row>
    <row r="50" spans="3:4" ht="15" customHeight="1">
      <c r="C50" s="49"/>
      <c r="D50" s="28"/>
    </row>
    <row r="51" spans="3:4" ht="15" customHeight="1">
      <c r="C51" s="49"/>
      <c r="D51" s="28"/>
    </row>
    <row r="52" spans="3:4" ht="15" customHeight="1">
      <c r="C52" s="49"/>
      <c r="D52" s="28"/>
    </row>
    <row r="53" spans="3:4" ht="15" customHeight="1">
      <c r="C53" s="49"/>
      <c r="D53" s="28"/>
    </row>
    <row r="54" spans="3:4" ht="15" customHeight="1">
      <c r="C54" s="49"/>
      <c r="D54" s="28"/>
    </row>
    <row r="55" spans="3:4" ht="15" customHeight="1">
      <c r="C55" s="49"/>
      <c r="D55" s="28"/>
    </row>
    <row r="56" spans="3:4" ht="15" customHeight="1">
      <c r="C56" s="49"/>
      <c r="D56" s="28"/>
    </row>
    <row r="57" spans="3:4" ht="15" customHeight="1">
      <c r="C57" s="49"/>
      <c r="D57" s="28"/>
    </row>
    <row r="58" spans="3:4" ht="15" customHeight="1">
      <c r="C58" s="49"/>
      <c r="D58" s="28"/>
    </row>
    <row r="59" spans="3:4" ht="15" customHeight="1">
      <c r="C59" s="49"/>
      <c r="D59" s="28"/>
    </row>
    <row r="60" spans="3:4" ht="15" customHeight="1">
      <c r="C60" s="49"/>
      <c r="D60" s="28"/>
    </row>
    <row r="61" spans="3:4" ht="15" customHeight="1">
      <c r="C61" s="49"/>
      <c r="D61" s="28"/>
    </row>
    <row r="62" spans="3:4" ht="15" customHeight="1">
      <c r="C62" s="49"/>
      <c r="D62" s="28"/>
    </row>
    <row r="63" spans="3:4" ht="15" customHeight="1">
      <c r="C63" s="49"/>
      <c r="D63" s="28"/>
    </row>
    <row r="64" spans="3:4" ht="15" customHeight="1">
      <c r="C64" s="49"/>
      <c r="D64" s="28"/>
    </row>
    <row r="65" spans="3:4" ht="15" customHeight="1">
      <c r="C65" s="49"/>
      <c r="D65" s="28"/>
    </row>
    <row r="66" spans="3:4" ht="15" customHeight="1">
      <c r="C66" s="49"/>
      <c r="D66" s="28"/>
    </row>
    <row r="67" spans="3:4" ht="15" customHeight="1">
      <c r="C67" s="49"/>
      <c r="D67" s="28"/>
    </row>
    <row r="68" spans="3:4" ht="15" customHeight="1">
      <c r="C68" s="49"/>
      <c r="D68" s="28"/>
    </row>
    <row r="69" spans="3:4" ht="15" customHeight="1">
      <c r="C69" s="49"/>
      <c r="D69" s="28"/>
    </row>
    <row r="70" spans="3:4" ht="15" customHeight="1">
      <c r="C70" s="49"/>
      <c r="D70" s="28"/>
    </row>
    <row r="71" spans="3:4" ht="15" customHeight="1">
      <c r="C71" s="49"/>
      <c r="D71" s="28"/>
    </row>
    <row r="72" spans="3:4" ht="15" customHeight="1">
      <c r="C72" s="49"/>
      <c r="D72" s="28"/>
    </row>
    <row r="73" spans="3:4" ht="15" customHeight="1">
      <c r="C73" s="49"/>
      <c r="D73" s="28"/>
    </row>
    <row r="74" spans="3:4" ht="15" customHeight="1">
      <c r="C74" s="49"/>
      <c r="D74" s="28"/>
    </row>
    <row r="75" spans="3:4" ht="15" customHeight="1">
      <c r="C75" s="49"/>
      <c r="D75" s="28"/>
    </row>
    <row r="76" spans="3:4" ht="15" customHeight="1">
      <c r="C76" s="49"/>
      <c r="D76" s="28"/>
    </row>
    <row r="77" spans="3:4" ht="15" customHeight="1">
      <c r="C77" s="49"/>
      <c r="D77" s="28"/>
    </row>
    <row r="78" spans="3:4" ht="15" customHeight="1">
      <c r="C78" s="49"/>
      <c r="D78" s="28"/>
    </row>
    <row r="79" spans="3:4" ht="15" customHeight="1">
      <c r="C79" s="49"/>
      <c r="D79" s="28"/>
    </row>
    <row r="80" spans="3:4" ht="15" customHeight="1">
      <c r="C80" s="49"/>
      <c r="D80" s="28"/>
    </row>
    <row r="81" spans="3:4" ht="15" customHeight="1">
      <c r="C81" s="49"/>
      <c r="D81" s="28"/>
    </row>
    <row r="82" spans="3:4" ht="15" customHeight="1">
      <c r="C82" s="49"/>
      <c r="D82" s="28"/>
    </row>
    <row r="83" spans="3:4" ht="15" customHeight="1">
      <c r="C83" s="49"/>
      <c r="D83" s="28"/>
    </row>
    <row r="84" spans="3:4" ht="15" customHeight="1">
      <c r="C84" s="49"/>
      <c r="D84" s="28"/>
    </row>
    <row r="85" spans="3:4" ht="15" customHeight="1">
      <c r="C85" s="49"/>
      <c r="D85" s="28"/>
    </row>
    <row r="86" spans="3:4" ht="15" customHeight="1">
      <c r="C86" s="49"/>
      <c r="D86" s="28"/>
    </row>
    <row r="87" spans="3:4" ht="15" customHeight="1">
      <c r="C87" s="49"/>
      <c r="D87" s="28"/>
    </row>
    <row r="88" spans="3:4" ht="15" customHeight="1">
      <c r="C88" s="49"/>
      <c r="D88" s="28"/>
    </row>
    <row r="89" spans="3:4" ht="15" customHeight="1">
      <c r="C89" s="49"/>
      <c r="D89" s="28"/>
    </row>
    <row r="90" spans="3:4" ht="15" customHeight="1">
      <c r="C90" s="49"/>
      <c r="D90" s="28"/>
    </row>
    <row r="91" spans="3:4" ht="15" customHeight="1">
      <c r="C91" s="49"/>
      <c r="D91" s="28"/>
    </row>
    <row r="92" spans="3:4" ht="15" customHeight="1">
      <c r="C92" s="49"/>
      <c r="D92" s="28"/>
    </row>
    <row r="93" spans="3:4" ht="15" customHeight="1">
      <c r="C93" s="49"/>
      <c r="D93" s="28"/>
    </row>
    <row r="94" spans="3:4" ht="15" customHeight="1">
      <c r="C94" s="49"/>
      <c r="D94" s="28"/>
    </row>
  </sheetData>
  <sheetProtection algorithmName="SHA-512" hashValue="wja+sJuhk+bmGO2f5oB+jYCnJ20xdwmKM/lKRX/lMWyTklWtiy8w+KJuEyqQy0LImXOfpSf33bgaX5+RSHRe/g==" saltValue="o5rzUlpk3YGFSW3RHDXY9g==" spinCount="100000" sheet="1" objects="1" scenarios="1" sort="0" autoFilter="0"/>
  <mergeCells count="3">
    <mergeCell ref="E7:I7"/>
    <mergeCell ref="A2:H2"/>
    <mergeCell ref="A1:H1"/>
  </mergeCells>
  <phoneticPr fontId="21" type="noConversion"/>
  <pageMargins left="0.70866141732283472" right="0.70866141732283472" top="0.35433070866141736" bottom="0.47244094488188981" header="0.31496062992125984" footer="0.31496062992125984"/>
  <pageSetup paperSize="9" scale="41" orientation="portrait" r:id="rId1"/>
  <headerFooter alignWithMargins="0">
    <oddFooter>&amp;L&amp;F&amp;C&amp;D&amp;R&amp;A</oddFooter>
  </headerFooter>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20" ma:contentTypeDescription="Een nieuw document maken." ma:contentTypeScope="" ma:versionID="114c60293a0dcdcdf14e358d1002c96b">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8b4f3eefbf72db6bbb9b760dfbfc13b6"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TaxCatchAll xmlns="e7fee12f-7364-4350-a58e-b9a3dabb10bc" xsi:nil="true"/>
    <MigrationWizIdPermissions xmlns="4f7a1ba3-2415-40f8-897f-cbc9e8918319" xsi:nil="true"/>
    <lcf76f155ced4ddcb4097134ff3c332f1 xmlns="4f7a1ba3-2415-40f8-897f-cbc9e8918319" xsi:nil="true"/>
    <MigrationWizIdVersion xmlns="4f7a1ba3-2415-40f8-897f-cbc9e8918319">2efa8266-43a3-4795-9c43-25202a327fd6-638489389860000000</MigrationWizIdVersion>
    <lcf76f155ced4ddcb4097134ff3c332f0 xmlns="4f7a1ba3-2415-40f8-897f-cbc9e8918319" xsi:nil="true"/>
    <lcf76f155ced4ddcb4097134ff3c332f2 xmlns="4f7a1ba3-2415-40f8-897f-cbc9e8918319" xsi:nil="true"/>
    <MigrationWizId xmlns="4f7a1ba3-2415-40f8-897f-cbc9e8918319">2efa8266-43a3-4795-9c43-25202a327fd6</MigrationWizI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794994-7FF1-4554-A1EC-5651AAC107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01D780-3B97-493C-9478-2802C9533A1F}">
  <ds:schemaRefs>
    <ds:schemaRef ds:uri="http://www.w3.org/XML/1998/namespace"/>
    <ds:schemaRef ds:uri="http://purl.org/dc/terms/"/>
    <ds:schemaRef ds:uri="5d807127-6dfe-4777-9fc9-8a2ccfc388c3"/>
    <ds:schemaRef ds:uri="http://schemas.microsoft.com/office/2006/documentManagement/types"/>
    <ds:schemaRef ds:uri="http://purl.org/dc/elements/1.1/"/>
    <ds:schemaRef ds:uri="http://purl.org/dc/dcmitype/"/>
    <ds:schemaRef ds:uri="http://schemas.microsoft.com/office/2006/metadata/properties"/>
    <ds:schemaRef ds:uri="http://schemas.microsoft.com/office/infopath/2007/PartnerControls"/>
    <ds:schemaRef ds:uri="http://schemas.openxmlformats.org/package/2006/metadata/core-properties"/>
    <ds:schemaRef ds:uri="46c995e6-7f53-48aa-a5ad-a9d38912b46a"/>
    <ds:schemaRef ds:uri="4f7a1ba3-2415-40f8-897f-cbc9e8918319"/>
    <ds:schemaRef ds:uri="e7fee12f-7364-4350-a58e-b9a3dabb10bc"/>
  </ds:schemaRefs>
</ds:datastoreItem>
</file>

<file path=customXml/itemProps3.xml><?xml version="1.0" encoding="utf-8"?>
<ds:datastoreItem xmlns:ds="http://schemas.openxmlformats.org/officeDocument/2006/customXml" ds:itemID="{79952470-B124-415D-8014-2581EF5533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12</vt:i4>
      </vt:variant>
      <vt:variant>
        <vt:lpstr>Benoemde bereiken</vt:lpstr>
      </vt:variant>
      <vt:variant>
        <vt:i4>29</vt:i4>
      </vt:variant>
    </vt:vector>
  </HeadingPairs>
  <TitlesOfParts>
    <vt:vector size="41" baseType="lpstr">
      <vt:lpstr>Overnamegegevens</vt:lpstr>
      <vt:lpstr>Legenda Handelingen</vt:lpstr>
      <vt:lpstr>Werkprogramma dieptereiniging</vt:lpstr>
      <vt:lpstr>Programma</vt:lpstr>
      <vt:lpstr>Tariefsopbouw</vt:lpstr>
      <vt:lpstr>Prestatiefactoren</vt:lpstr>
      <vt:lpstr>Ruimtestaat</vt:lpstr>
      <vt:lpstr>Vloeronderhoud</vt:lpstr>
      <vt:lpstr>Glasbewassing</vt:lpstr>
      <vt:lpstr>Sanitaire voorzieningen</vt:lpstr>
      <vt:lpstr>Regie en afroep</vt:lpstr>
      <vt:lpstr>Totalisatie</vt:lpstr>
      <vt:lpstr>'Legenda Handelingen'!_Toc534973915</vt:lpstr>
      <vt:lpstr>'Legenda Handelingen'!_Toc534973916</vt:lpstr>
      <vt:lpstr>'Legenda Handelingen'!_Toc534973917</vt:lpstr>
      <vt:lpstr>'Legenda Handelingen'!_Toc534973919</vt:lpstr>
      <vt:lpstr>'Legenda Handelingen'!_Toc534973920</vt:lpstr>
      <vt:lpstr>'Legenda Handelingen'!_Toc534973921</vt:lpstr>
      <vt:lpstr>'Legenda Handelingen'!_Toc534973922</vt:lpstr>
      <vt:lpstr>'Legenda Handelingen'!_Toc534973923</vt:lpstr>
      <vt:lpstr>'Legenda Handelingen'!_Toc534973924</vt:lpstr>
      <vt:lpstr>'Legenda Handelingen'!_Toc534973926</vt:lpstr>
      <vt:lpstr>'Legenda Handelingen'!_Toc534973927</vt:lpstr>
      <vt:lpstr>'Legenda Handelingen'!_Toc534973929</vt:lpstr>
      <vt:lpstr>'Legenda Handelingen'!_Toc534973930</vt:lpstr>
      <vt:lpstr>'Legenda Handelingen'!_Toc534973931</vt:lpstr>
      <vt:lpstr>'Legenda Handelingen'!_Toc534973932</vt:lpstr>
      <vt:lpstr>'Legenda Handelingen'!_Toc534973933</vt:lpstr>
      <vt:lpstr>'Legenda Handelingen'!_Toc534973934</vt:lpstr>
      <vt:lpstr>Glasbewassing!Afdrukbereik</vt:lpstr>
      <vt:lpstr>'Legenda Handelingen'!Afdrukbereik</vt:lpstr>
      <vt:lpstr>Prestatiefactoren!Afdrukbereik</vt:lpstr>
      <vt:lpstr>'Regie en afroep'!Afdrukbereik</vt:lpstr>
      <vt:lpstr>'Ruimtestaat'!Afdrukbereik</vt:lpstr>
      <vt:lpstr>Tariefsopbouw!Afdrukbereik</vt:lpstr>
      <vt:lpstr>Totalisatie!Afdrukbereik</vt:lpstr>
      <vt:lpstr>Vloeronderhoud!Afdrukbereik</vt:lpstr>
      <vt:lpstr>'Werkprogramma dieptereiniging'!Afdrukbereik</vt:lpstr>
      <vt:lpstr>'Ruimtestaat'!Afdruktitels</vt:lpstr>
      <vt:lpstr>Invulglas1</vt:lpstr>
      <vt:lpstr>Vloeronderhoud!Invulvloer1</vt:lpstr>
    </vt:vector>
  </TitlesOfParts>
  <Company>Facet Facilitaire Diensten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calculatiesysteem</dc:title>
  <dc:creator>Inkada</dc:creator>
  <cp:lastModifiedBy>Maarten Jongedijk | Inkada Inkoop &amp; Advies</cp:lastModifiedBy>
  <cp:lastPrinted>2021-12-20T08:38:13Z</cp:lastPrinted>
  <dcterms:created xsi:type="dcterms:W3CDTF">1999-03-23T11:24:21Z</dcterms:created>
  <dcterms:modified xsi:type="dcterms:W3CDTF">2025-08-29T07:41:48Z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MediaServiceImageTags">
    <vt:lpwstr/>
  </property>
</Properties>
</file>