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7. Nota van inlichtingen/Her aanbesteding NvI 3/"/>
    </mc:Choice>
  </mc:AlternateContent>
  <xr:revisionPtr revIDLastSave="0" documentId="8_{12143E2D-2968-4443-89BE-1108A346C5CC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Invul instructie" sheetId="19" r:id="rId1"/>
    <sheet name="1. Inschrijfprijs" sheetId="20" r:id="rId2"/>
    <sheet name="2. Producten" sheetId="21" r:id="rId3"/>
    <sheet name="3. Afvalstromen en huur" sheetId="22" r:id="rId4"/>
    <sheet name="4. Alternatieve verwerking " sheetId="23" r:id="rId5"/>
    <sheet name="5. Overige kosten" sheetId="24" r:id="rId6"/>
    <sheet name="6. Formule Prijzenblad ABC" sheetId="7" r:id="rId7"/>
    <sheet name="7. Formule Prijzenblad D" sheetId="25" r:id="rId8"/>
  </sheets>
  <definedNames>
    <definedName name="MaxPnt" localSheetId="6">'6. Formule Prijzenblad ABC'!$B$12</definedName>
    <definedName name="MaxPnt">#REF!</definedName>
    <definedName name="PrIn" localSheetId="6">'6. Formule Prijzenblad ABC'!$B$15</definedName>
    <definedName name="PrIn">#REF!</definedName>
    <definedName name="PrKn" localSheetId="6">'6. Formule Prijzenblad ABC'!$B$9</definedName>
    <definedName name="PrKn">#REF!</definedName>
    <definedName name="PrMax" localSheetId="6">'6. Formule Prijzenblad ABC'!$B$11</definedName>
    <definedName name="PrMax">#REF!</definedName>
    <definedName name="PuKn" localSheetId="6">'6. Formule Prijzenblad ABC'!$B$10</definedName>
    <definedName name="PuK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7" l="1"/>
  <c r="D6" i="20"/>
  <c r="D5" i="20"/>
  <c r="D4" i="20"/>
  <c r="D7" i="20" s="1"/>
  <c r="K6" i="22"/>
  <c r="C22" i="25"/>
  <c r="C22" i="7"/>
  <c r="C21" i="25"/>
  <c r="C21" i="7"/>
  <c r="B22" i="25"/>
  <c r="B21" i="25"/>
  <c r="B21" i="7"/>
  <c r="E12" i="24"/>
  <c r="E13" i="24" s="1"/>
  <c r="B15" i="25" s="1"/>
  <c r="A25" i="25" s="1"/>
  <c r="E5" i="24"/>
  <c r="E6" i="24" s="1"/>
  <c r="D11" i="20" l="1"/>
  <c r="D12" i="20" s="1"/>
  <c r="D15" i="20" s="1"/>
  <c r="A25" i="7" s="1"/>
  <c r="P30" i="22"/>
  <c r="S30" i="22" s="1"/>
  <c r="P19" i="22"/>
  <c r="S19" i="22" s="1"/>
  <c r="F5" i="21"/>
  <c r="P76" i="22"/>
  <c r="S76" i="22" s="1"/>
  <c r="G74" i="22"/>
  <c r="G78" i="22" s="1"/>
  <c r="D74" i="22"/>
  <c r="F74" i="22" s="1"/>
  <c r="K73" i="22"/>
  <c r="F73" i="22"/>
  <c r="P70" i="22"/>
  <c r="S70" i="22" s="1"/>
  <c r="K68" i="22"/>
  <c r="S68" i="22" s="1"/>
  <c r="F66" i="22"/>
  <c r="S66" i="22" s="1"/>
  <c r="F65" i="22"/>
  <c r="S65" i="22" s="1"/>
  <c r="F64" i="22"/>
  <c r="S64" i="22" s="1"/>
  <c r="D63" i="22"/>
  <c r="D78" i="22" s="1"/>
  <c r="F62" i="22"/>
  <c r="S62" i="22" s="1"/>
  <c r="F61" i="22"/>
  <c r="S61" i="22" s="1"/>
  <c r="F60" i="22"/>
  <c r="S60" i="22" s="1"/>
  <c r="F59" i="22"/>
  <c r="S59" i="22" s="1"/>
  <c r="F58" i="22"/>
  <c r="S58" i="22" s="1"/>
  <c r="F57" i="22"/>
  <c r="S57" i="22" s="1"/>
  <c r="F56" i="22"/>
  <c r="S56" i="22" s="1"/>
  <c r="F55" i="22"/>
  <c r="S55" i="22" s="1"/>
  <c r="F54" i="22"/>
  <c r="S54" i="22" s="1"/>
  <c r="F53" i="22"/>
  <c r="S53" i="22" s="1"/>
  <c r="F52" i="22"/>
  <c r="S52" i="22" s="1"/>
  <c r="F51" i="22"/>
  <c r="S51" i="22" s="1"/>
  <c r="F50" i="22"/>
  <c r="S50" i="22" s="1"/>
  <c r="F49" i="22"/>
  <c r="S49" i="22" s="1"/>
  <c r="F48" i="22"/>
  <c r="S48" i="22" s="1"/>
  <c r="F47" i="22"/>
  <c r="S47" i="22" s="1"/>
  <c r="F46" i="22"/>
  <c r="S46" i="22" s="1"/>
  <c r="F45" i="22"/>
  <c r="S45" i="22" s="1"/>
  <c r="F44" i="22"/>
  <c r="S44" i="22" s="1"/>
  <c r="F43" i="22"/>
  <c r="S43" i="22" s="1"/>
  <c r="F42" i="22"/>
  <c r="S42" i="22" s="1"/>
  <c r="K40" i="22"/>
  <c r="F40" i="22"/>
  <c r="P39" i="22"/>
  <c r="S39" i="22" s="1"/>
  <c r="P38" i="22"/>
  <c r="S38" i="22" s="1"/>
  <c r="P37" i="22"/>
  <c r="S37" i="22" s="1"/>
  <c r="P36" i="22"/>
  <c r="S36" i="22" s="1"/>
  <c r="K33" i="22"/>
  <c r="F33" i="22"/>
  <c r="K32" i="22"/>
  <c r="F32" i="22"/>
  <c r="K31" i="22"/>
  <c r="F31" i="22"/>
  <c r="P27" i="22"/>
  <c r="S27" i="22" s="1"/>
  <c r="P26" i="22"/>
  <c r="S26" i="22" s="1"/>
  <c r="P25" i="22"/>
  <c r="S25" i="22" s="1"/>
  <c r="P24" i="22"/>
  <c r="S24" i="22" s="1"/>
  <c r="P23" i="22"/>
  <c r="S23" i="22" s="1"/>
  <c r="P22" i="22"/>
  <c r="S22" i="22" s="1"/>
  <c r="P20" i="22"/>
  <c r="S20" i="22" s="1"/>
  <c r="K17" i="22"/>
  <c r="F17" i="22"/>
  <c r="S17" i="22" s="1"/>
  <c r="K16" i="22"/>
  <c r="F16" i="22"/>
  <c r="K15" i="22"/>
  <c r="F15" i="22"/>
  <c r="S15" i="22" s="1"/>
  <c r="K14" i="22"/>
  <c r="F14" i="22"/>
  <c r="S14" i="22" s="1"/>
  <c r="K13" i="22"/>
  <c r="F13" i="22"/>
  <c r="S13" i="22" s="1"/>
  <c r="K12" i="22"/>
  <c r="F12" i="22"/>
  <c r="K11" i="22"/>
  <c r="F11" i="22"/>
  <c r="S11" i="22" s="1"/>
  <c r="K10" i="22"/>
  <c r="F10" i="22"/>
  <c r="S10" i="22" s="1"/>
  <c r="K9" i="22"/>
  <c r="F9" i="22"/>
  <c r="S9" i="22" s="1"/>
  <c r="K8" i="22"/>
  <c r="F8" i="22"/>
  <c r="K7" i="22"/>
  <c r="F7" i="22"/>
  <c r="S7" i="22" s="1"/>
  <c r="F6" i="22"/>
  <c r="S6" i="22" s="1"/>
  <c r="K5" i="22"/>
  <c r="F5" i="22"/>
  <c r="S5" i="22" s="1"/>
  <c r="F12" i="21"/>
  <c r="F11" i="21"/>
  <c r="F10" i="21"/>
  <c r="D10" i="21"/>
  <c r="F9" i="21"/>
  <c r="D9" i="21"/>
  <c r="F8" i="21"/>
  <c r="F7" i="21"/>
  <c r="F6" i="21"/>
  <c r="F13" i="21" l="1"/>
  <c r="F15" i="21" s="1"/>
  <c r="S8" i="22"/>
  <c r="S12" i="22"/>
  <c r="S16" i="22"/>
  <c r="K74" i="22"/>
  <c r="S74" i="22" s="1"/>
  <c r="S32" i="22"/>
  <c r="S73" i="22"/>
  <c r="S33" i="22"/>
  <c r="F63" i="22"/>
  <c r="S63" i="22" s="1"/>
  <c r="S31" i="22"/>
  <c r="S40" i="22"/>
  <c r="P78" i="22"/>
  <c r="B22" i="7"/>
  <c r="K78" i="22" l="1"/>
  <c r="F78" i="22"/>
  <c r="S78" i="22"/>
  <c r="M10" i="7" l="1"/>
  <c r="M13" i="7"/>
  <c r="L13" i="7"/>
  <c r="N12" i="7"/>
  <c r="M12" i="7"/>
  <c r="J10" i="7"/>
  <c r="I10" i="7"/>
  <c r="M9" i="7"/>
  <c r="K9" i="7"/>
  <c r="J9" i="7"/>
</calcChain>
</file>

<file path=xl/sharedStrings.xml><?xml version="1.0" encoding="utf-8"?>
<sst xmlns="http://schemas.openxmlformats.org/spreadsheetml/2006/main" count="311" uniqueCount="212">
  <si>
    <t>Prijsknippunt</t>
  </si>
  <si>
    <t>Puntenknippunt</t>
  </si>
  <si>
    <t>Maximale prijs</t>
  </si>
  <si>
    <t>x</t>
  </si>
  <si>
    <t>y</t>
  </si>
  <si>
    <t>euro</t>
  </si>
  <si>
    <t>punten</t>
  </si>
  <si>
    <t>Gegevens inschrijver</t>
  </si>
  <si>
    <t>Berekende gegevens grafiek</t>
  </si>
  <si>
    <t>Deel 1</t>
  </si>
  <si>
    <t>Deel 2</t>
  </si>
  <si>
    <t>A</t>
  </si>
  <si>
    <t>B</t>
  </si>
  <si>
    <t>Score</t>
  </si>
  <si>
    <r>
      <t>Grafiekformule: Punten =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x Inschrijvingsprijs + </t>
    </r>
    <r>
      <rPr>
        <b/>
        <i/>
        <sz val="11"/>
        <color rgb="FFFF0000"/>
        <rFont val="Calibri"/>
        <family val="2"/>
        <scheme val="minor"/>
      </rPr>
      <t>B</t>
    </r>
  </si>
  <si>
    <t>Maximum pnt</t>
  </si>
  <si>
    <t>Naam</t>
  </si>
  <si>
    <t>PrKn</t>
  </si>
  <si>
    <t>PuKn</t>
  </si>
  <si>
    <t>PrMax</t>
  </si>
  <si>
    <t>(0-PuKn)/(PrMax-PrKn)</t>
  </si>
  <si>
    <t>PrMax*PuKn/(PrMax-PrKn)</t>
  </si>
  <si>
    <t>Punten = A x Inschrijfprijs + B</t>
  </si>
  <si>
    <t xml:space="preserve">Formule voor A en B is: </t>
  </si>
  <si>
    <t>Grafiekformule is:</t>
  </si>
  <si>
    <t xml:space="preserve">Te leveren producten </t>
  </si>
  <si>
    <t>Aantallen per jaar</t>
  </si>
  <si>
    <t>Inkoopprijs 
per eenheid</t>
  </si>
  <si>
    <t>Jaarlijkse opdrachtwaarde producten</t>
  </si>
  <si>
    <t>Gevaarlijk afval</t>
  </si>
  <si>
    <t>Leveren Autoclaveer deksel</t>
  </si>
  <si>
    <t>Leveren Can 10L UN</t>
  </si>
  <si>
    <t>Dekselvat 60L PL spanring UN</t>
  </si>
  <si>
    <t>Dekselvat 200L MT UN</t>
  </si>
  <si>
    <t>SZA afval</t>
  </si>
  <si>
    <t>Leveren 30 ltr SZA-vat blauw vlak deksel UN3291</t>
  </si>
  <si>
    <t>Leveren 50 ltr SZA-vat blauw vlak deksel UN3291</t>
  </si>
  <si>
    <t>Vatenhouder SZA</t>
  </si>
  <si>
    <t>Leveren dekselvat 200L PL spanring UN (Omverpakking SZA vat)</t>
  </si>
  <si>
    <t>Jaarlijkse opdrachtwaarde leveringen</t>
  </si>
  <si>
    <r>
      <t xml:space="preserve">Inkoopprijs+
</t>
    </r>
    <r>
      <rPr>
        <i/>
        <sz val="11"/>
        <rFont val="Calibri"/>
        <family val="2"/>
        <scheme val="minor"/>
      </rPr>
      <t>Plafondbedrag van toepassing: maximaal 20%</t>
    </r>
  </si>
  <si>
    <t>Totaal leveringen</t>
  </si>
  <si>
    <t>Exclusief BTW</t>
  </si>
  <si>
    <t>Functie</t>
  </si>
  <si>
    <t>Datum</t>
  </si>
  <si>
    <t>Handtekening</t>
  </si>
  <si>
    <t>Verwerking</t>
  </si>
  <si>
    <t>Overig (huur, schoonmaak, etc)</t>
  </si>
  <si>
    <t>Totaal</t>
  </si>
  <si>
    <t>Tonnage per jaar</t>
  </si>
  <si>
    <t>prijs p.ton</t>
  </si>
  <si>
    <t>Kosten per jaar</t>
  </si>
  <si>
    <t>Ritten per jaar</t>
  </si>
  <si>
    <t>prijs p. rit</t>
  </si>
  <si>
    <t>Aantals</t>
  </si>
  <si>
    <t>eenh maat</t>
  </si>
  <si>
    <t>Prijs p.e. p. mnd</t>
  </si>
  <si>
    <t>Kosten</t>
  </si>
  <si>
    <t>Bedrijfsafval</t>
  </si>
  <si>
    <t>Niet Specifiek Ziekenhuisafval perscontainers</t>
  </si>
  <si>
    <t>Swill</t>
  </si>
  <si>
    <t>Groen / tuinafval</t>
  </si>
  <si>
    <t>Frituurvet</t>
  </si>
  <si>
    <t>Harde kunststoffen</t>
  </si>
  <si>
    <t xml:space="preserve">PD </t>
  </si>
  <si>
    <t>PP Non Woven</t>
  </si>
  <si>
    <t>EPS</t>
  </si>
  <si>
    <t>Bouw &amp; sloopafval</t>
  </si>
  <si>
    <t>m2</t>
  </si>
  <si>
    <t>Hout B</t>
  </si>
  <si>
    <t>Electronica</t>
  </si>
  <si>
    <t>Flessenglas (bont)</t>
  </si>
  <si>
    <t>liter</t>
  </si>
  <si>
    <t xml:space="preserve">Huur verzamel containers bedrijfsafval Curium </t>
  </si>
  <si>
    <t>1100 liter</t>
  </si>
  <si>
    <t>Huur rolcontainers Swill</t>
  </si>
  <si>
    <t>120 liter</t>
  </si>
  <si>
    <t>60 liter</t>
  </si>
  <si>
    <t>Huur minicontainer Swill Curium</t>
  </si>
  <si>
    <t>Huur plastic container</t>
  </si>
  <si>
    <t>240 liter</t>
  </si>
  <si>
    <t>Huur rolcontainer Flessenglas (bont)</t>
  </si>
  <si>
    <t>Huur container Flessenglas (bont) Curium</t>
  </si>
  <si>
    <t>Huur kunstof accubakken</t>
  </si>
  <si>
    <t>600 liter</t>
  </si>
  <si>
    <t>Emblage kunsstof accubakken</t>
  </si>
  <si>
    <t>Reinigen container (perscontainers)</t>
  </si>
  <si>
    <t>Papier en karton</t>
  </si>
  <si>
    <t>Vertrouwelijk papier</t>
  </si>
  <si>
    <t xml:space="preserve">Papier en Karton perscontainer  </t>
  </si>
  <si>
    <t xml:space="preserve">Papier en Karton Curium rolcontainer </t>
  </si>
  <si>
    <t>Huur minicontainers vertrouwlijk papier Curium</t>
  </si>
  <si>
    <t>270 liter</t>
  </si>
  <si>
    <t>Huur rolcontainers papier en karton Curium</t>
  </si>
  <si>
    <t>770 liter</t>
  </si>
  <si>
    <t>Beddingafval</t>
  </si>
  <si>
    <t>Inzameling Afgewerkte olie, categorie</t>
  </si>
  <si>
    <t>Inzameling Ammonia</t>
  </si>
  <si>
    <t>Inzameling Anorganisch zuur, kv per kg</t>
  </si>
  <si>
    <t>Inzameling Anorganische loog, organisch</t>
  </si>
  <si>
    <t>Inzameling Artikelen verontreinigd,</t>
  </si>
  <si>
    <t>Inzameling Batterijen &lt; 3 kg/stuk per kg</t>
  </si>
  <si>
    <t>Inzameling Chloorbleekloog per kg</t>
  </si>
  <si>
    <t>Inzameling Fixeer, kv per kg</t>
  </si>
  <si>
    <t>Inzameling Halogeenrijke organische</t>
  </si>
  <si>
    <t>Inzameling koel- en vriesapparatuur per</t>
  </si>
  <si>
    <t>Inzameling Kwikhoudende voorwerpen per</t>
  </si>
  <si>
    <t>Inzameling Laboratorium chemicalien cat</t>
  </si>
  <si>
    <t>Inzameling Loodschorten</t>
  </si>
  <si>
    <t>Inzameling Lijm/hars/kit vast/past. (kvp)</t>
  </si>
  <si>
    <t>Inzameling Medicijnen en cosmetica per</t>
  </si>
  <si>
    <t>Inzameling Ontwikkelaar film,kv per kg</t>
  </si>
  <si>
    <t>Inzameling Oplosmiddel, kv per kg</t>
  </si>
  <si>
    <t>Inzameling Oplosmiddelen halogeenarm (kvp)</t>
  </si>
  <si>
    <t>Inzameling Opruimafv/filter met chem.rest</t>
  </si>
  <si>
    <t>Inzameling TL-buizen per kg</t>
  </si>
  <si>
    <t>Inzameling Vervuilde artikelen,</t>
  </si>
  <si>
    <t>Inzameling Vloeistof, laag calorisch, tanks</t>
  </si>
  <si>
    <t>Inzameling Vloeistof, laag calorisch, jerrycans</t>
  </si>
  <si>
    <t>Inzameling Waterstofperoxide + 5% perazijnzuur</t>
  </si>
  <si>
    <t xml:space="preserve">HEPA Filters </t>
  </si>
  <si>
    <t>Transport gevaarlijk afval</t>
  </si>
  <si>
    <t>Huur kunststof accubakken</t>
  </si>
  <si>
    <t xml:space="preserve">Huur magazijncontainer </t>
  </si>
  <si>
    <t>20 FT</t>
  </si>
  <si>
    <t>40 FT</t>
  </si>
  <si>
    <t>Specifiek Ziekenhuisafval</t>
  </si>
  <si>
    <t>Verwerking Dierlijke (bij)producten Cat.1 / SZA container</t>
  </si>
  <si>
    <t>Verwerking Dierlijke (bij)producten Cat.1 / SZA bakwagen</t>
  </si>
  <si>
    <t>30 M3</t>
  </si>
  <si>
    <t>Totaal Afvalstromen</t>
  </si>
  <si>
    <t>Toelichting tabblad Alternatieve verwerking</t>
  </si>
  <si>
    <t>Inschrijver dient hier de meerkosten op te geven voor de alternatieve verwerking van afvalstromen waarop dit van toepassing kan zijn.</t>
  </si>
  <si>
    <t xml:space="preserve">De opmaak van dit tabblad mag door Inschrijver worden aangepast. </t>
  </si>
  <si>
    <t>De opgegeven meerkosten door Inschrijver maken geen onderdeel uit van de Inschrijfprijs</t>
  </si>
  <si>
    <t>Type afvalstroom</t>
  </si>
  <si>
    <t>Kosten per tonnage alternatieve verwerking
(excl. BTW)</t>
  </si>
  <si>
    <t>Instructie en uitleg, Prijzenblad</t>
  </si>
  <si>
    <t>Definitie: Conform PVE Afvalbeheer</t>
  </si>
  <si>
    <t xml:space="preserve">Wijzigingen van de lay-out en de gebruikte formules in dit prijzenblad zijn niet toegestaan. Uitgezonderd is het tabblad "Alternatieve verwerking". Inschrijver mag de lay-out aanvullen om kosten te specificeren. </t>
  </si>
  <si>
    <t xml:space="preserve">De aantallen zijn gebaseerd op jaarbasis en kunnen geen rechten aan worden ontleent. </t>
  </si>
  <si>
    <t xml:space="preserve">Over de opgegeven prijzen en opslagpercentages in deze prijslijst worden geen extra toeslagen meer gerekend. Opdrachtnemer biedt een all-in tarief. Dit omvat alle kosten om de opdracht naar behoren uit te voeren. Het is niet toegestaan om andere kosten op te voeren. </t>
  </si>
  <si>
    <t>U kunt 2 cijfers achter de komma gebruiken.</t>
  </si>
  <si>
    <t xml:space="preserve">Alle tarieven in de prijslijst worden exclusief BTW ingevuld. </t>
  </si>
  <si>
    <t>De gele velden zijn voor Inschrijver om in te vullen.</t>
  </si>
  <si>
    <t>Het opslagpercentage van Opdrachtnemer is de opslag% bovenop de inkoopprijs. Inclusief de verrekening van eventuele bonus en/of kickback-fees afspraken. Inschrijver dient het opslag% in tabblad 2, cel F14 op te geven.</t>
  </si>
  <si>
    <t>EA Afvalbeheer F-EU-23-01</t>
  </si>
  <si>
    <t>Inschrijver</t>
  </si>
  <si>
    <r>
      <t>Het Ingevulde prijzenblad (tabbladen 1 tot en met 4) dient u in</t>
    </r>
    <r>
      <rPr>
        <b/>
        <sz val="11"/>
        <rFont val="Calibri"/>
        <family val="2"/>
        <scheme val="minor"/>
      </rPr>
      <t xml:space="preserve"> Excel-format en in PDF-format</t>
    </r>
    <r>
      <rPr>
        <sz val="11"/>
        <rFont val="Calibri"/>
        <family val="2"/>
        <scheme val="minor"/>
      </rPr>
      <t xml:space="preserve">, via TenderNed te uploaden. Tabblad 5 in PDF-format is afdoende. </t>
    </r>
  </si>
  <si>
    <t>Prijs per keer</t>
  </si>
  <si>
    <t>Inzamel middel</t>
  </si>
  <si>
    <t xml:space="preserve">Huur Swill bakken </t>
  </si>
  <si>
    <r>
      <t xml:space="preserve">Huur minicontainers papier en karton </t>
    </r>
    <r>
      <rPr>
        <sz val="11"/>
        <color rgb="FFFF0000"/>
        <rFont val="Calibri"/>
        <family val="2"/>
        <scheme val="minor"/>
      </rPr>
      <t>Curium</t>
    </r>
  </si>
  <si>
    <r>
      <t xml:space="preserve">Huur </t>
    </r>
    <r>
      <rPr>
        <sz val="11"/>
        <color rgb="FFFF0000"/>
        <rFont val="Calibri"/>
        <family val="2"/>
        <scheme val="minor"/>
      </rPr>
      <t>magazijn</t>
    </r>
    <r>
      <rPr>
        <sz val="11"/>
        <rFont val="Calibri"/>
        <family val="2"/>
        <scheme val="minor"/>
      </rPr>
      <t>container SZA (Specifiek Ziekenhuis afval)</t>
    </r>
  </si>
  <si>
    <t>Mini rolcontainer 240 L</t>
  </si>
  <si>
    <t>100 liter vat</t>
  </si>
  <si>
    <t>20 M3 gesloten afzetcontainer</t>
  </si>
  <si>
    <t>Plastic zakken</t>
  </si>
  <si>
    <t>20 M3 magazijn container</t>
  </si>
  <si>
    <t>Rolcontainer flessenglas</t>
  </si>
  <si>
    <t>Kunststof accubak</t>
  </si>
  <si>
    <t>Container op afroep</t>
  </si>
  <si>
    <t>Perscontainer</t>
  </si>
  <si>
    <t>Rolcontainers swill</t>
  </si>
  <si>
    <t>Verzamelcontainers bedrijfsafval</t>
  </si>
  <si>
    <t>Rolcontainer</t>
  </si>
  <si>
    <t>Jerrycan, ingezameld in accubak</t>
  </si>
  <si>
    <t>Pallet</t>
  </si>
  <si>
    <t xml:space="preserve">Pallet </t>
  </si>
  <si>
    <t>TL box</t>
  </si>
  <si>
    <t>Tank</t>
  </si>
  <si>
    <t>30 M3 magazijn container</t>
  </si>
  <si>
    <t>Transport 
(ophalen, ledigen en (eventueel) terugplaatsen/omruimen)</t>
  </si>
  <si>
    <t xml:space="preserve">Extra handelingskosten </t>
  </si>
  <si>
    <r>
      <t xml:space="preserve">Niet Specifiek Ziekenhuisafval rolcontainers </t>
    </r>
    <r>
      <rPr>
        <sz val="11"/>
        <color rgb="FFFF0000"/>
        <rFont val="Calibri"/>
        <family val="2"/>
        <scheme val="minor"/>
      </rPr>
      <t>Curium</t>
    </r>
  </si>
  <si>
    <r>
      <t xml:space="preserve">Het prijzenblad bestaat uit </t>
    </r>
    <r>
      <rPr>
        <sz val="11"/>
        <color rgb="FFFF0000"/>
        <rFont val="Calibri"/>
        <family val="2"/>
        <scheme val="minor"/>
      </rPr>
      <t>6</t>
    </r>
    <r>
      <rPr>
        <sz val="11"/>
        <rFont val="Calibri"/>
        <family val="2"/>
        <scheme val="minor"/>
      </rPr>
      <t xml:space="preserve"> </t>
    </r>
    <r>
      <rPr>
        <strike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 xml:space="preserve"> tabbladen die Inschrijver dient in te vullen en aan te leveren bij uw Inschrijving.
Het tabblad formule Prijzenblad bevat de rekenformule waarmee Inschrijver zijn eigen punten kan berekenen.</t>
    </r>
  </si>
  <si>
    <t>Omschrijving</t>
  </si>
  <si>
    <t>Eenheid</t>
  </si>
  <si>
    <t>Eenheidsprijs excl. btw</t>
  </si>
  <si>
    <t>Jaarbedrag excl. btw</t>
  </si>
  <si>
    <t>Maand</t>
  </si>
  <si>
    <t>C</t>
  </si>
  <si>
    <t>Totaal afvalstromen en huur</t>
  </si>
  <si>
    <t>BTW%</t>
  </si>
  <si>
    <t>Prijs per jaar excl. BTW</t>
  </si>
  <si>
    <t>Onderdeel</t>
  </si>
  <si>
    <t>450 uur</t>
  </si>
  <si>
    <t>D</t>
  </si>
  <si>
    <t>Totaal advies</t>
  </si>
  <si>
    <t>Totaal fee kosten</t>
  </si>
  <si>
    <t>een ongeldige Inschrijving en verdere uitsluiting van de beoordeling.</t>
  </si>
  <si>
    <t>TOTAAL exclusief BTW</t>
  </si>
  <si>
    <t>Totaal projectleider / expertise</t>
  </si>
  <si>
    <t>TOTAAL INSCHRIJFPRIJS exclusief BTW</t>
  </si>
  <si>
    <t xml:space="preserve">Op tabblad 5 Overige kosten onderdeel D kan Inschrijver het uurtarief opgeven onderdeel van Wens K 1 Herbruikbare materialen en Wens K 4 Additionele Inzet expertise. </t>
  </si>
  <si>
    <t xml:space="preserve">Op tabblad 5 Overige kosten onderdeel C is ruimte gemaakt voor (platform) fee kosten. Indien Inschrijver geen (platform) fee kosten hanteerd kan Inschrijver hier 0,- EUR invullen. 
</t>
  </si>
  <si>
    <t>Fee kosten*
(platformfee en alle bijkomende kosten)</t>
  </si>
  <si>
    <t>Uurtarief projectleider / expertise**</t>
  </si>
  <si>
    <t xml:space="preserve">** Het maximale uurtarief is € 150,- en geldt tevens als prijsplafond. Het overschrijden van het prijsplafond leidt tot  </t>
  </si>
  <si>
    <t>* Indien Inschrijver geen separate fee hanteerd mag Inschrijver hier 0,- EUR invullen.</t>
  </si>
  <si>
    <t>Inschrijfprijs (A+B+C)</t>
  </si>
  <si>
    <t xml:space="preserve">Inschrijfprijs komt tot stand door de totaalbedragen van A + B + C + D. In paragraaf 5.3 is opgenomen hoeveel punten Inschrijver kan behalen op het onderdeel Prijs.  </t>
  </si>
  <si>
    <t>Gegevens onderdeel A + B + C</t>
  </si>
  <si>
    <t>Inschrijfprijs (D)</t>
  </si>
  <si>
    <t>Gegevens onderdeel D</t>
  </si>
  <si>
    <t>Lediging p. jr.</t>
  </si>
  <si>
    <t>prijs p. jr</t>
  </si>
  <si>
    <r>
      <t>Bijlage 3 Prijzenblad - EA Afvalbeheer F-EU-23-01</t>
    </r>
    <r>
      <rPr>
        <sz val="18"/>
        <color rgb="FFFF0000"/>
        <rFont val="Calibri"/>
        <family val="2"/>
        <scheme val="minor"/>
      </rPr>
      <t>_ incl. NvI 1, 2 en3</t>
    </r>
  </si>
  <si>
    <r>
      <t>Bijlage 3 Prijzenblad - EA Afvalbeheer F-EU-23-01</t>
    </r>
    <r>
      <rPr>
        <sz val="18"/>
        <color rgb="FFFF0000"/>
        <rFont val="Calibri"/>
        <family val="2"/>
        <scheme val="minor"/>
      </rPr>
      <t>_incl. NvI 1, 2 en 3</t>
    </r>
  </si>
  <si>
    <r>
      <t>Bijlage 3 Prijzenblad - EA Afvalbeheer F-EU-23-01_</t>
    </r>
    <r>
      <rPr>
        <sz val="18"/>
        <color rgb="FFFF0000"/>
        <rFont val="Calibri"/>
        <family val="2"/>
        <scheme val="minor"/>
      </rPr>
      <t xml:space="preserve"> incl. NvI 1, 2 en 3</t>
    </r>
  </si>
  <si>
    <r>
      <t>Bijlage 3 Prijzenblad - EA Afvalbeheer F-EU-23-01</t>
    </r>
    <r>
      <rPr>
        <sz val="18"/>
        <color rgb="FFFF0000"/>
        <rFont val="Calibri"/>
        <family val="2"/>
        <scheme val="minor"/>
      </rPr>
      <t>_ incl. NvI 1, 2 en 3</t>
    </r>
  </si>
  <si>
    <r>
      <t>Bijlage 3 Prijzenblad - EA Afvalbeheer F-EU-23-01</t>
    </r>
    <r>
      <rPr>
        <sz val="18"/>
        <color rgb="FFFF0000"/>
        <rFont val="Calibri"/>
        <family val="2"/>
        <scheme val="minor"/>
      </rPr>
      <t>_incl NvI 1, 2 en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</si>
</sst>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€&quot;\ * #,##0.00_-;_-&quot;€&quot;\ * #,##0.00\-;_-&quot;€&quot;\ * &quot;-&quot;??_-;_-@_-"/>
    <numFmt numFmtId="164" formatCode="_ &quot;€&quot;\ * #,##0.00_ ;_ &quot;€&quot;\ * \-#,##0.00_ ;_ &quot;€&quot;\ * &quot;-&quot;??_ ;_ @_ "/>
    <numFmt numFmtId="165" formatCode="0.00000"/>
    <numFmt numFmtId="166" formatCode="0.000"/>
    <numFmt numFmtId="167" formatCode="&quot;€&quot;\ #,##0_-"/>
    <numFmt numFmtId="168" formatCode="&quot;€&quot;\ #,##0.00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trike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84">
    <xf numFmtId="0" fontId="0" fillId="0" borderId="0" xfId="0"/>
    <xf numFmtId="0" fontId="1" fillId="0" borderId="0" xfId="0" applyFont="1" applyFill="1" applyAlignment="1" applyProtection="1"/>
    <xf numFmtId="0" fontId="0" fillId="0" borderId="0" xfId="0" applyFill="1" applyProtection="1"/>
    <xf numFmtId="0" fontId="1" fillId="2" borderId="0" xfId="0" applyFont="1" applyFill="1" applyProtection="1"/>
    <xf numFmtId="0" fontId="0" fillId="0" borderId="0" xfId="0" applyProtection="1"/>
    <xf numFmtId="0" fontId="1" fillId="0" borderId="0" xfId="0" applyFont="1" applyFill="1" applyProtection="1"/>
    <xf numFmtId="0" fontId="0" fillId="0" borderId="0" xfId="0" applyAlignment="1" applyProtection="1">
      <alignment horizontal="right"/>
    </xf>
    <xf numFmtId="1" fontId="0" fillId="0" borderId="0" xfId="0" applyNumberFormat="1" applyProtection="1"/>
    <xf numFmtId="0" fontId="3" fillId="0" borderId="0" xfId="0" applyFont="1" applyAlignment="1" applyProtection="1">
      <alignment horizontal="center"/>
    </xf>
    <xf numFmtId="165" fontId="1" fillId="3" borderId="0" xfId="0" applyNumberFormat="1" applyFont="1" applyFill="1" applyProtection="1"/>
    <xf numFmtId="3" fontId="0" fillId="0" borderId="0" xfId="0" applyNumberFormat="1" applyFill="1" applyProtection="1"/>
    <xf numFmtId="167" fontId="0" fillId="0" borderId="0" xfId="0" applyNumberFormat="1"/>
    <xf numFmtId="44" fontId="0" fillId="0" borderId="0" xfId="0" applyNumberFormat="1"/>
    <xf numFmtId="0" fontId="1" fillId="0" borderId="1" xfId="0" applyFont="1" applyBorder="1"/>
    <xf numFmtId="0" fontId="1" fillId="0" borderId="4" xfId="0" applyFont="1" applyBorder="1"/>
    <xf numFmtId="2" fontId="1" fillId="0" borderId="5" xfId="0" applyNumberFormat="1" applyFont="1" applyBorder="1"/>
    <xf numFmtId="44" fontId="9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2" fillId="0" borderId="7" xfId="0" applyFont="1" applyBorder="1"/>
    <xf numFmtId="0" fontId="13" fillId="0" borderId="8" xfId="0" applyFont="1" applyBorder="1"/>
    <xf numFmtId="1" fontId="0" fillId="0" borderId="7" xfId="0" applyNumberFormat="1" applyBorder="1" applyAlignment="1">
      <alignment horizontal="center" vertical="center"/>
    </xf>
    <xf numFmtId="44" fontId="0" fillId="0" borderId="6" xfId="0" applyNumberFormat="1" applyBorder="1"/>
    <xf numFmtId="1" fontId="13" fillId="0" borderId="7" xfId="0" applyNumberFormat="1" applyFont="1" applyBorder="1" applyAlignment="1">
      <alignment horizontal="center" vertical="center"/>
    </xf>
    <xf numFmtId="0" fontId="12" fillId="0" borderId="9" xfId="0" applyFont="1" applyBorder="1"/>
    <xf numFmtId="0" fontId="13" fillId="0" borderId="10" xfId="0" applyFont="1" applyBorder="1"/>
    <xf numFmtId="44" fontId="0" fillId="0" borderId="11" xfId="0" applyNumberFormat="1" applyBorder="1"/>
    <xf numFmtId="0" fontId="12" fillId="0" borderId="3" xfId="0" applyFont="1" applyBorder="1"/>
    <xf numFmtId="0" fontId="13" fillId="0" borderId="12" xfId="0" applyFont="1" applyBorder="1"/>
    <xf numFmtId="3" fontId="13" fillId="0" borderId="13" xfId="0" applyNumberFormat="1" applyFont="1" applyBorder="1" applyAlignment="1">
      <alignment horizontal="center" vertical="center"/>
    </xf>
    <xf numFmtId="44" fontId="0" fillId="0" borderId="13" xfId="0" applyNumberFormat="1" applyBorder="1"/>
    <xf numFmtId="3" fontId="13" fillId="0" borderId="6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wrapText="1"/>
    </xf>
    <xf numFmtId="1" fontId="13" fillId="0" borderId="6" xfId="0" applyNumberFormat="1" applyFont="1" applyBorder="1" applyAlignment="1">
      <alignment horizontal="center" vertical="center" wrapText="1"/>
    </xf>
    <xf numFmtId="0" fontId="0" fillId="0" borderId="3" xfId="0" applyBorder="1"/>
    <xf numFmtId="0" fontId="9" fillId="0" borderId="14" xfId="0" applyFont="1" applyBorder="1"/>
    <xf numFmtId="44" fontId="9" fillId="0" borderId="3" xfId="0" applyNumberFormat="1" applyFont="1" applyBorder="1"/>
    <xf numFmtId="44" fontId="14" fillId="0" borderId="12" xfId="0" applyNumberFormat="1" applyFont="1" applyBorder="1"/>
    <xf numFmtId="44" fontId="1" fillId="0" borderId="4" xfId="0" applyNumberFormat="1" applyFont="1" applyBorder="1"/>
    <xf numFmtId="0" fontId="0" fillId="0" borderId="9" xfId="0" applyBorder="1"/>
    <xf numFmtId="0" fontId="13" fillId="0" borderId="15" xfId="0" applyFont="1" applyBorder="1" applyAlignment="1">
      <alignment wrapText="1"/>
    </xf>
    <xf numFmtId="9" fontId="16" fillId="0" borderId="7" xfId="3" applyFont="1" applyFill="1" applyBorder="1" applyAlignment="1" applyProtection="1">
      <alignment horizontal="center" vertical="center"/>
      <protection locked="0"/>
    </xf>
    <xf numFmtId="44" fontId="17" fillId="0" borderId="8" xfId="0" applyNumberFormat="1" applyFont="1" applyBorder="1"/>
    <xf numFmtId="0" fontId="10" fillId="0" borderId="1" xfId="0" applyFont="1" applyBorder="1" applyAlignment="1">
      <alignment wrapText="1"/>
    </xf>
    <xf numFmtId="44" fontId="10" fillId="0" borderId="1" xfId="0" applyNumberFormat="1" applyFont="1" applyBorder="1"/>
    <xf numFmtId="44" fontId="0" fillId="0" borderId="4" xfId="0" applyNumberFormat="1" applyBorder="1"/>
    <xf numFmtId="44" fontId="10" fillId="0" borderId="10" xfId="0" applyNumberFormat="1" applyFont="1" applyBorder="1"/>
    <xf numFmtId="0" fontId="1" fillId="0" borderId="0" xfId="0" applyFont="1"/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13" fillId="5" borderId="0" xfId="0" applyFont="1" applyFill="1"/>
    <xf numFmtId="0" fontId="18" fillId="5" borderId="0" xfId="0" applyFont="1" applyFill="1"/>
    <xf numFmtId="167" fontId="13" fillId="5" borderId="0" xfId="0" applyNumberFormat="1" applyFont="1" applyFill="1"/>
    <xf numFmtId="44" fontId="13" fillId="5" borderId="0" xfId="0" applyNumberFormat="1" applyFont="1" applyFill="1"/>
    <xf numFmtId="0" fontId="13" fillId="0" borderId="0" xfId="0" applyFont="1"/>
    <xf numFmtId="2" fontId="13" fillId="0" borderId="0" xfId="0" applyNumberFormat="1" applyFont="1"/>
    <xf numFmtId="44" fontId="13" fillId="0" borderId="0" xfId="0" applyNumberFormat="1" applyFont="1"/>
    <xf numFmtId="3" fontId="13" fillId="0" borderId="0" xfId="0" applyNumberFormat="1" applyFont="1"/>
    <xf numFmtId="167" fontId="13" fillId="0" borderId="0" xfId="0" applyNumberFormat="1" applyFont="1"/>
    <xf numFmtId="0" fontId="13" fillId="0" borderId="14" xfId="0" applyFont="1" applyBorder="1"/>
    <xf numFmtId="3" fontId="9" fillId="9" borderId="3" xfId="0" applyNumberFormat="1" applyFont="1" applyFill="1" applyBorder="1" applyAlignment="1">
      <alignment horizontal="center"/>
    </xf>
    <xf numFmtId="44" fontId="9" fillId="0" borderId="17" xfId="0" applyNumberFormat="1" applyFont="1" applyBorder="1" applyAlignment="1">
      <alignment horizontal="right"/>
    </xf>
    <xf numFmtId="167" fontId="9" fillId="9" borderId="8" xfId="0" applyNumberFormat="1" applyFont="1" applyFill="1" applyBorder="1"/>
    <xf numFmtId="167" fontId="9" fillId="9" borderId="0" xfId="0" applyNumberFormat="1" applyFont="1" applyFill="1"/>
    <xf numFmtId="44" fontId="9" fillId="0" borderId="11" xfId="0" applyNumberFormat="1" applyFont="1" applyBorder="1" applyAlignment="1">
      <alignment horizontal="right"/>
    </xf>
    <xf numFmtId="0" fontId="19" fillId="0" borderId="3" xfId="0" applyFont="1" applyBorder="1"/>
    <xf numFmtId="2" fontId="13" fillId="0" borderId="3" xfId="0" applyNumberFormat="1" applyFont="1" applyBorder="1"/>
    <xf numFmtId="44" fontId="13" fillId="7" borderId="19" xfId="0" applyNumberFormat="1" applyFont="1" applyFill="1" applyBorder="1" applyProtection="1">
      <protection locked="0"/>
    </xf>
    <xf numFmtId="44" fontId="13" fillId="7" borderId="20" xfId="0" applyNumberFormat="1" applyFont="1" applyFill="1" applyBorder="1" applyProtection="1">
      <protection locked="0"/>
    </xf>
    <xf numFmtId="3" fontId="13" fillId="0" borderId="14" xfId="0" applyNumberFormat="1" applyFont="1" applyBorder="1"/>
    <xf numFmtId="44" fontId="13" fillId="0" borderId="20" xfId="0" applyNumberFormat="1" applyFont="1" applyBorder="1" applyProtection="1">
      <protection locked="0"/>
    </xf>
    <xf numFmtId="44" fontId="13" fillId="0" borderId="21" xfId="0" applyNumberFormat="1" applyFont="1" applyBorder="1" applyProtection="1">
      <protection locked="0"/>
    </xf>
    <xf numFmtId="167" fontId="13" fillId="9" borderId="12" xfId="0" applyNumberFormat="1" applyFont="1" applyFill="1" applyBorder="1"/>
    <xf numFmtId="167" fontId="13" fillId="9" borderId="14" xfId="0" applyNumberFormat="1" applyFont="1" applyFill="1" applyBorder="1"/>
    <xf numFmtId="44" fontId="13" fillId="0" borderId="13" xfId="0" applyNumberFormat="1" applyFont="1" applyBorder="1"/>
    <xf numFmtId="0" fontId="19" fillId="0" borderId="7" xfId="0" applyFont="1" applyBorder="1"/>
    <xf numFmtId="2" fontId="13" fillId="0" borderId="7" xfId="0" applyNumberFormat="1" applyFont="1" applyBorder="1"/>
    <xf numFmtId="44" fontId="13" fillId="7" borderId="22" xfId="0" applyNumberFormat="1" applyFont="1" applyFill="1" applyBorder="1" applyProtection="1">
      <protection locked="0"/>
    </xf>
    <xf numFmtId="44" fontId="13" fillId="7" borderId="23" xfId="0" applyNumberFormat="1" applyFont="1" applyFill="1" applyBorder="1" applyProtection="1">
      <protection locked="0"/>
    </xf>
    <xf numFmtId="44" fontId="13" fillId="0" borderId="23" xfId="0" applyNumberFormat="1" applyFont="1" applyBorder="1" applyProtection="1">
      <protection locked="0"/>
    </xf>
    <xf numFmtId="44" fontId="13" fillId="0" borderId="24" xfId="0" applyNumberFormat="1" applyFont="1" applyBorder="1" applyProtection="1">
      <protection locked="0"/>
    </xf>
    <xf numFmtId="167" fontId="13" fillId="9" borderId="8" xfId="0" applyNumberFormat="1" applyFont="1" applyFill="1" applyBorder="1"/>
    <xf numFmtId="167" fontId="13" fillId="9" borderId="0" xfId="0" applyNumberFormat="1" applyFont="1" applyFill="1"/>
    <xf numFmtId="44" fontId="13" fillId="0" borderId="6" xfId="0" applyNumberFormat="1" applyFont="1" applyBorder="1"/>
    <xf numFmtId="3" fontId="13" fillId="0" borderId="25" xfId="0" applyNumberFormat="1" applyFont="1" applyBorder="1"/>
    <xf numFmtId="44" fontId="13" fillId="0" borderId="25" xfId="0" applyNumberFormat="1" applyFont="1" applyBorder="1" applyProtection="1">
      <protection locked="0"/>
    </xf>
    <xf numFmtId="0" fontId="13" fillId="0" borderId="23" xfId="0" applyFont="1" applyBorder="1" applyProtection="1">
      <protection locked="0"/>
    </xf>
    <xf numFmtId="44" fontId="13" fillId="7" borderId="24" xfId="0" applyNumberFormat="1" applyFont="1" applyFill="1" applyBorder="1" applyProtection="1">
      <protection locked="0"/>
    </xf>
    <xf numFmtId="0" fontId="19" fillId="0" borderId="9" xfId="0" applyFont="1" applyBorder="1"/>
    <xf numFmtId="0" fontId="13" fillId="0" borderId="15" xfId="0" applyFont="1" applyBorder="1"/>
    <xf numFmtId="2" fontId="13" fillId="0" borderId="26" xfId="0" applyNumberFormat="1" applyFont="1" applyBorder="1"/>
    <xf numFmtId="44" fontId="13" fillId="0" borderId="15" xfId="0" applyNumberFormat="1" applyFont="1" applyBorder="1" applyProtection="1">
      <protection locked="0"/>
    </xf>
    <xf numFmtId="44" fontId="13" fillId="0" borderId="27" xfId="0" applyNumberFormat="1" applyFont="1" applyBorder="1" applyProtection="1">
      <protection locked="0"/>
    </xf>
    <xf numFmtId="3" fontId="13" fillId="0" borderId="28" xfId="0" applyNumberFormat="1" applyFont="1" applyBorder="1"/>
    <xf numFmtId="3" fontId="13" fillId="0" borderId="15" xfId="0" applyNumberFormat="1" applyFont="1" applyBorder="1"/>
    <xf numFmtId="44" fontId="13" fillId="7" borderId="27" xfId="0" applyNumberFormat="1" applyFont="1" applyFill="1" applyBorder="1" applyProtection="1">
      <protection locked="0"/>
    </xf>
    <xf numFmtId="0" fontId="7" fillId="0" borderId="0" xfId="0" applyFont="1"/>
    <xf numFmtId="3" fontId="13" fillId="0" borderId="20" xfId="0" applyNumberFormat="1" applyFont="1" applyBorder="1"/>
    <xf numFmtId="167" fontId="13" fillId="0" borderId="14" xfId="0" applyNumberFormat="1" applyFont="1" applyBorder="1"/>
    <xf numFmtId="0" fontId="13" fillId="0" borderId="0" xfId="0" applyFont="1" applyAlignment="1">
      <alignment horizontal="left" indent="2"/>
    </xf>
    <xf numFmtId="3" fontId="13" fillId="0" borderId="23" xfId="0" applyNumberFormat="1" applyFont="1" applyBorder="1"/>
    <xf numFmtId="44" fontId="13" fillId="0" borderId="8" xfId="0" applyNumberFormat="1" applyFont="1" applyBorder="1" applyProtection="1">
      <protection locked="0"/>
    </xf>
    <xf numFmtId="3" fontId="13" fillId="0" borderId="27" xfId="0" applyNumberFormat="1" applyFont="1" applyBorder="1"/>
    <xf numFmtId="44" fontId="13" fillId="7" borderId="29" xfId="0" applyNumberFormat="1" applyFont="1" applyFill="1" applyBorder="1" applyProtection="1">
      <protection locked="0"/>
    </xf>
    <xf numFmtId="44" fontId="20" fillId="7" borderId="23" xfId="0" applyNumberFormat="1" applyFont="1" applyFill="1" applyBorder="1" applyProtection="1">
      <protection locked="0"/>
    </xf>
    <xf numFmtId="44" fontId="20" fillId="0" borderId="23" xfId="0" applyNumberFormat="1" applyFont="1" applyBorder="1" applyProtection="1">
      <protection locked="0"/>
    </xf>
    <xf numFmtId="2" fontId="13" fillId="0" borderId="6" xfId="0" applyNumberFormat="1" applyFont="1" applyBorder="1" applyAlignment="1">
      <alignment horizontal="right"/>
    </xf>
    <xf numFmtId="2" fontId="13" fillId="0" borderId="31" xfId="0" applyNumberFormat="1" applyFont="1" applyBorder="1"/>
    <xf numFmtId="44" fontId="13" fillId="0" borderId="10" xfId="0" applyNumberFormat="1" applyFont="1" applyBorder="1" applyProtection="1">
      <protection locked="0"/>
    </xf>
    <xf numFmtId="44" fontId="13" fillId="0" borderId="11" xfId="0" applyNumberFormat="1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/>
    <xf numFmtId="4" fontId="9" fillId="0" borderId="1" xfId="0" applyNumberFormat="1" applyFont="1" applyBorder="1"/>
    <xf numFmtId="44" fontId="9" fillId="10" borderId="1" xfId="0" applyNumberFormat="1" applyFont="1" applyFill="1" applyBorder="1"/>
    <xf numFmtId="3" fontId="9" fillId="0" borderId="1" xfId="0" applyNumberFormat="1" applyFont="1" applyBorder="1"/>
    <xf numFmtId="44" fontId="9" fillId="10" borderId="32" xfId="0" applyNumberFormat="1" applyFont="1" applyFill="1" applyBorder="1"/>
    <xf numFmtId="168" fontId="9" fillId="10" borderId="5" xfId="0" applyNumberFormat="1" applyFont="1" applyFill="1" applyBorder="1"/>
    <xf numFmtId="3" fontId="9" fillId="0" borderId="5" xfId="0" applyNumberFormat="1" applyFont="1" applyBorder="1"/>
    <xf numFmtId="3" fontId="8" fillId="9" borderId="1" xfId="0" applyNumberFormat="1" applyFont="1" applyFill="1" applyBorder="1"/>
    <xf numFmtId="44" fontId="8" fillId="0" borderId="2" xfId="0" applyNumberFormat="1" applyFont="1" applyBorder="1"/>
    <xf numFmtId="0" fontId="16" fillId="0" borderId="0" xfId="0" applyFont="1"/>
    <xf numFmtId="0" fontId="10" fillId="5" borderId="33" xfId="0" applyFont="1" applyFill="1" applyBorder="1"/>
    <xf numFmtId="0" fontId="0" fillId="5" borderId="34" xfId="0" applyFill="1" applyBorder="1"/>
    <xf numFmtId="0" fontId="0" fillId="5" borderId="35" xfId="0" applyFill="1" applyBorder="1"/>
    <xf numFmtId="0" fontId="0" fillId="0" borderId="0" xfId="0" applyAlignment="1">
      <alignment horizontal="left" wrapText="1"/>
    </xf>
    <xf numFmtId="0" fontId="1" fillId="5" borderId="39" xfId="0" applyFont="1" applyFill="1" applyBorder="1" applyAlignment="1">
      <alignment horizontal="left" vertical="top"/>
    </xf>
    <xf numFmtId="0" fontId="1" fillId="5" borderId="39" xfId="0" applyFont="1" applyFill="1" applyBorder="1" applyAlignment="1">
      <alignment horizontal="left" vertical="top" wrapText="1"/>
    </xf>
    <xf numFmtId="0" fontId="0" fillId="7" borderId="39" xfId="0" applyFill="1" applyBorder="1"/>
    <xf numFmtId="44" fontId="0" fillId="7" borderId="39" xfId="0" applyNumberFormat="1" applyFill="1" applyBorder="1"/>
    <xf numFmtId="0" fontId="11" fillId="5" borderId="39" xfId="0" applyFont="1" applyFill="1" applyBorder="1" applyAlignment="1">
      <alignment horizontal="center"/>
    </xf>
    <xf numFmtId="0" fontId="11" fillId="0" borderId="0" xfId="0" applyFont="1"/>
    <xf numFmtId="0" fontId="9" fillId="5" borderId="18" xfId="1" applyFont="1" applyFill="1" applyBorder="1" applyAlignment="1">
      <alignment vertical="top" wrapText="1"/>
    </xf>
    <xf numFmtId="0" fontId="9" fillId="5" borderId="40" xfId="1" applyFont="1" applyFill="1" applyBorder="1" applyAlignment="1">
      <alignment vertical="top" wrapText="1"/>
    </xf>
    <xf numFmtId="0" fontId="13" fillId="0" borderId="40" xfId="1" applyFont="1" applyBorder="1" applyAlignment="1">
      <alignment vertical="top" wrapText="1"/>
    </xf>
    <xf numFmtId="0" fontId="13" fillId="11" borderId="40" xfId="1" applyFont="1" applyFill="1" applyBorder="1" applyAlignment="1">
      <alignment vertical="top" wrapText="1"/>
    </xf>
    <xf numFmtId="0" fontId="13" fillId="11" borderId="39" xfId="1" applyFont="1" applyFill="1" applyBorder="1" applyAlignment="1">
      <alignment vertical="top" wrapText="1"/>
    </xf>
    <xf numFmtId="49" fontId="0" fillId="0" borderId="39" xfId="2" applyNumberFormat="1" applyFont="1" applyFill="1" applyBorder="1" applyAlignment="1">
      <alignment horizontal="left" vertical="top" wrapText="1"/>
    </xf>
    <xf numFmtId="0" fontId="13" fillId="0" borderId="39" xfId="0" applyFont="1" applyBorder="1" applyAlignment="1">
      <alignment vertical="top" wrapText="1"/>
    </xf>
    <xf numFmtId="0" fontId="11" fillId="0" borderId="0" xfId="0" applyFont="1" applyFill="1"/>
    <xf numFmtId="9" fontId="5" fillId="7" borderId="10" xfId="3" applyFont="1" applyFill="1" applyBorder="1" applyAlignment="1" applyProtection="1">
      <alignment horizontal="center" vertical="center"/>
      <protection locked="0"/>
    </xf>
    <xf numFmtId="44" fontId="13" fillId="7" borderId="7" xfId="0" applyNumberFormat="1" applyFont="1" applyFill="1" applyBorder="1" applyProtection="1">
      <protection locked="0"/>
    </xf>
    <xf numFmtId="44" fontId="13" fillId="7" borderId="9" xfId="0" applyNumberFormat="1" applyFont="1" applyFill="1" applyBorder="1" applyProtection="1">
      <protection locked="0"/>
    </xf>
    <xf numFmtId="44" fontId="13" fillId="7" borderId="3" xfId="0" applyNumberFormat="1" applyFont="1" applyFill="1" applyBorder="1" applyProtection="1">
      <protection locked="0"/>
    </xf>
    <xf numFmtId="44" fontId="0" fillId="3" borderId="0" xfId="0" applyNumberFormat="1" applyFill="1" applyProtection="1">
      <protection locked="0"/>
    </xf>
    <xf numFmtId="44" fontId="13" fillId="0" borderId="0" xfId="0" applyNumberFormat="1" applyFont="1" applyBorder="1" applyProtection="1">
      <protection locked="0"/>
    </xf>
    <xf numFmtId="44" fontId="9" fillId="10" borderId="5" xfId="0" applyNumberFormat="1" applyFont="1" applyFill="1" applyBorder="1"/>
    <xf numFmtId="44" fontId="13" fillId="0" borderId="22" xfId="0" applyNumberFormat="1" applyFont="1" applyBorder="1" applyProtection="1">
      <protection locked="0"/>
    </xf>
    <xf numFmtId="0" fontId="13" fillId="0" borderId="22" xfId="0" applyFont="1" applyBorder="1" applyProtection="1">
      <protection locked="0"/>
    </xf>
    <xf numFmtId="44" fontId="13" fillId="0" borderId="41" xfId="0" applyNumberFormat="1" applyFont="1" applyBorder="1" applyProtection="1">
      <protection locked="0"/>
    </xf>
    <xf numFmtId="167" fontId="13" fillId="0" borderId="0" xfId="0" applyNumberFormat="1" applyFont="1" applyBorder="1"/>
    <xf numFmtId="44" fontId="13" fillId="0" borderId="23" xfId="0" applyNumberFormat="1" applyFont="1" applyFill="1" applyBorder="1" applyProtection="1">
      <protection locked="0"/>
    </xf>
    <xf numFmtId="44" fontId="13" fillId="0" borderId="30" xfId="0" applyNumberFormat="1" applyFont="1" applyBorder="1" applyProtection="1">
      <protection locked="0"/>
    </xf>
    <xf numFmtId="44" fontId="13" fillId="7" borderId="25" xfId="0" applyNumberFormat="1" applyFont="1" applyFill="1" applyBorder="1" applyProtection="1">
      <protection locked="0"/>
    </xf>
    <xf numFmtId="44" fontId="9" fillId="10" borderId="35" xfId="0" applyNumberFormat="1" applyFont="1" applyFill="1" applyBorder="1"/>
    <xf numFmtId="3" fontId="21" fillId="0" borderId="23" xfId="0" applyNumberFormat="1" applyFont="1" applyFill="1" applyBorder="1"/>
    <xf numFmtId="44" fontId="13" fillId="0" borderId="25" xfId="0" applyNumberFormat="1" applyFont="1" applyFill="1" applyBorder="1" applyProtection="1">
      <protection locked="0"/>
    </xf>
    <xf numFmtId="44" fontId="13" fillId="0" borderId="24" xfId="0" applyNumberFormat="1" applyFont="1" applyFill="1" applyBorder="1" applyProtection="1">
      <protection locked="0"/>
    </xf>
    <xf numFmtId="0" fontId="21" fillId="0" borderId="8" xfId="0" applyFont="1" applyBorder="1"/>
    <xf numFmtId="3" fontId="21" fillId="0" borderId="23" xfId="0" applyNumberFormat="1" applyFont="1" applyBorder="1"/>
    <xf numFmtId="44" fontId="7" fillId="0" borderId="23" xfId="0" applyNumberFormat="1" applyFont="1" applyFill="1" applyBorder="1" applyProtection="1">
      <protection locked="0"/>
    </xf>
    <xf numFmtId="44" fontId="7" fillId="0" borderId="23" xfId="0" applyNumberFormat="1" applyFont="1" applyBorder="1" applyProtection="1">
      <protection locked="0"/>
    </xf>
    <xf numFmtId="1" fontId="13" fillId="0" borderId="0" xfId="0" applyNumberFormat="1" applyFont="1" applyBorder="1"/>
    <xf numFmtId="44" fontId="13" fillId="7" borderId="8" xfId="0" applyNumberFormat="1" applyFont="1" applyFill="1" applyBorder="1" applyProtection="1">
      <protection locked="0"/>
    </xf>
    <xf numFmtId="3" fontId="13" fillId="0" borderId="0" xfId="0" applyNumberFormat="1" applyFont="1" applyBorder="1"/>
    <xf numFmtId="2" fontId="13" fillId="0" borderId="14" xfId="0" applyNumberFormat="1" applyFont="1" applyBorder="1"/>
    <xf numFmtId="44" fontId="7" fillId="0" borderId="20" xfId="0" applyNumberFormat="1" applyFont="1" applyFill="1" applyBorder="1" applyProtection="1">
      <protection locked="0"/>
    </xf>
    <xf numFmtId="44" fontId="13" fillId="0" borderId="14" xfId="0" applyNumberFormat="1" applyFont="1" applyBorder="1"/>
    <xf numFmtId="2" fontId="13" fillId="0" borderId="0" xfId="0" applyNumberFormat="1" applyFont="1" applyBorder="1"/>
    <xf numFmtId="3" fontId="21" fillId="0" borderId="0" xfId="0" applyNumberFormat="1" applyFont="1" applyBorder="1"/>
    <xf numFmtId="0" fontId="21" fillId="0" borderId="10" xfId="0" applyFont="1" applyBorder="1"/>
    <xf numFmtId="2" fontId="13" fillId="0" borderId="15" xfId="0" applyNumberFormat="1" applyFont="1" applyBorder="1"/>
    <xf numFmtId="44" fontId="20" fillId="0" borderId="27" xfId="0" applyNumberFormat="1" applyFont="1" applyBorder="1" applyProtection="1">
      <protection locked="0"/>
    </xf>
    <xf numFmtId="3" fontId="21" fillId="0" borderId="15" xfId="0" applyNumberFormat="1" applyFont="1" applyBorder="1"/>
    <xf numFmtId="3" fontId="21" fillId="0" borderId="27" xfId="0" applyNumberFormat="1" applyFont="1" applyBorder="1"/>
    <xf numFmtId="44" fontId="13" fillId="0" borderId="27" xfId="0" applyNumberFormat="1" applyFont="1" applyFill="1" applyBorder="1" applyProtection="1">
      <protection locked="0"/>
    </xf>
    <xf numFmtId="44" fontId="13" fillId="0" borderId="29" xfId="0" applyNumberFormat="1" applyFont="1" applyFill="1" applyBorder="1" applyProtection="1">
      <protection locked="0"/>
    </xf>
    <xf numFmtId="44" fontId="13" fillId="7" borderId="0" xfId="0" applyNumberFormat="1" applyFont="1" applyFill="1" applyBorder="1" applyProtection="1">
      <protection locked="0"/>
    </xf>
    <xf numFmtId="0" fontId="13" fillId="0" borderId="0" xfId="0" applyFont="1" applyBorder="1"/>
    <xf numFmtId="0" fontId="21" fillId="0" borderId="0" xfId="0" applyFont="1" applyBorder="1"/>
    <xf numFmtId="3" fontId="21" fillId="0" borderId="0" xfId="0" applyNumberFormat="1" applyFont="1" applyFill="1" applyBorder="1"/>
    <xf numFmtId="44" fontId="9" fillId="10" borderId="43" xfId="0" applyNumberFormat="1" applyFont="1" applyFill="1" applyBorder="1"/>
    <xf numFmtId="3" fontId="9" fillId="9" borderId="12" xfId="0" applyNumberFormat="1" applyFont="1" applyFill="1" applyBorder="1" applyAlignment="1">
      <alignment horizontal="center"/>
    </xf>
    <xf numFmtId="0" fontId="13" fillId="0" borderId="3" xfId="0" applyFont="1" applyBorder="1"/>
    <xf numFmtId="3" fontId="9" fillId="0" borderId="45" xfId="0" applyNumberFormat="1" applyFont="1" applyBorder="1" applyAlignment="1">
      <alignment horizontal="center"/>
    </xf>
    <xf numFmtId="3" fontId="9" fillId="0" borderId="20" xfId="0" applyNumberFormat="1" applyFont="1" applyBorder="1"/>
    <xf numFmtId="0" fontId="13" fillId="0" borderId="9" xfId="0" applyFont="1" applyBorder="1"/>
    <xf numFmtId="2" fontId="9" fillId="0" borderId="9" xfId="0" applyNumberFormat="1" applyFont="1" applyBorder="1"/>
    <xf numFmtId="44" fontId="9" fillId="10" borderId="46" xfId="0" applyNumberFormat="1" applyFont="1" applyFill="1" applyBorder="1"/>
    <xf numFmtId="44" fontId="9" fillId="10" borderId="27" xfId="0" applyNumberFormat="1" applyFont="1" applyFill="1" applyBorder="1"/>
    <xf numFmtId="44" fontId="9" fillId="10" borderId="41" xfId="0" applyNumberFormat="1" applyFont="1" applyFill="1" applyBorder="1"/>
    <xf numFmtId="167" fontId="9" fillId="0" borderId="15" xfId="0" applyNumberFormat="1" applyFont="1" applyBorder="1"/>
    <xf numFmtId="3" fontId="9" fillId="0" borderId="27" xfId="0" applyNumberFormat="1" applyFont="1" applyBorder="1"/>
    <xf numFmtId="44" fontId="9" fillId="10" borderId="47" xfId="0" applyNumberFormat="1" applyFont="1" applyFill="1" applyBorder="1"/>
    <xf numFmtId="44" fontId="9" fillId="10" borderId="48" xfId="0" applyNumberFormat="1" applyFont="1" applyFill="1" applyBorder="1"/>
    <xf numFmtId="44" fontId="7" fillId="0" borderId="0" xfId="0" applyNumberFormat="1" applyFont="1" applyFill="1" applyBorder="1" applyProtection="1">
      <protection locked="0"/>
    </xf>
    <xf numFmtId="0" fontId="22" fillId="5" borderId="39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7" fillId="0" borderId="39" xfId="0" applyFont="1" applyBorder="1" applyAlignment="1">
      <alignment horizontal="left" vertical="top" wrapText="1"/>
    </xf>
    <xf numFmtId="0" fontId="7" fillId="11" borderId="39" xfId="1" applyFont="1" applyFill="1" applyBorder="1" applyAlignment="1">
      <alignment vertical="top" wrapText="1"/>
    </xf>
    <xf numFmtId="0" fontId="0" fillId="0" borderId="0" xfId="0"/>
    <xf numFmtId="0" fontId="9" fillId="10" borderId="50" xfId="0" applyFont="1" applyFill="1" applyBorder="1"/>
    <xf numFmtId="0" fontId="9" fillId="10" borderId="32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9" fontId="0" fillId="0" borderId="39" xfId="0" applyNumberFormat="1" applyBorder="1" applyAlignment="1">
      <alignment horizontal="center" vertical="center"/>
    </xf>
    <xf numFmtId="0" fontId="1" fillId="13" borderId="39" xfId="0" applyFont="1" applyFill="1" applyBorder="1"/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44" fontId="0" fillId="0" borderId="39" xfId="0" applyNumberFormat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44" fontId="1" fillId="4" borderId="39" xfId="0" applyNumberFormat="1" applyFont="1" applyFill="1" applyBorder="1" applyAlignment="1">
      <alignment vertical="center"/>
    </xf>
    <xf numFmtId="44" fontId="8" fillId="0" borderId="4" xfId="0" applyNumberFormat="1" applyFont="1" applyFill="1" applyBorder="1"/>
    <xf numFmtId="164" fontId="9" fillId="10" borderId="20" xfId="0" applyNumberFormat="1" applyFont="1" applyFill="1" applyBorder="1" applyAlignment="1">
      <alignment horizontal="left"/>
    </xf>
    <xf numFmtId="164" fontId="9" fillId="10" borderId="21" xfId="0" applyNumberFormat="1" applyFont="1" applyFill="1" applyBorder="1" applyAlignment="1">
      <alignment horizontal="right"/>
    </xf>
    <xf numFmtId="44" fontId="13" fillId="7" borderId="39" xfId="0" applyNumberFormat="1" applyFont="1" applyFill="1" applyBorder="1" applyAlignment="1" applyProtection="1">
      <alignment horizontal="center" vertical="center"/>
      <protection locked="0"/>
    </xf>
    <xf numFmtId="44" fontId="13" fillId="0" borderId="4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44" fontId="8" fillId="0" borderId="4" xfId="0" applyNumberFormat="1" applyFont="1" applyFill="1" applyBorder="1" applyAlignment="1"/>
    <xf numFmtId="0" fontId="24" fillId="0" borderId="38" xfId="0" applyFont="1" applyFill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/>
    </xf>
    <xf numFmtId="0" fontId="8" fillId="0" borderId="9" xfId="0" applyFont="1" applyFill="1" applyBorder="1" applyAlignment="1"/>
    <xf numFmtId="9" fontId="0" fillId="13" borderId="39" xfId="0" applyNumberFormat="1" applyFill="1" applyBorder="1" applyAlignment="1">
      <alignment horizontal="center" vertical="center"/>
    </xf>
    <xf numFmtId="0" fontId="9" fillId="10" borderId="30" xfId="0" applyFont="1" applyFill="1" applyBorder="1"/>
    <xf numFmtId="0" fontId="9" fillId="10" borderId="20" xfId="0" applyFont="1" applyFill="1" applyBorder="1" applyAlignment="1">
      <alignment horizontal="center" vertical="center"/>
    </xf>
    <xf numFmtId="0" fontId="8" fillId="0" borderId="15" xfId="0" applyFont="1" applyFill="1" applyBorder="1" applyAlignment="1"/>
    <xf numFmtId="44" fontId="8" fillId="0" borderId="10" xfId="0" applyNumberFormat="1" applyFont="1" applyFill="1" applyBorder="1" applyAlignment="1"/>
    <xf numFmtId="44" fontId="8" fillId="0" borderId="10" xfId="0" applyNumberFormat="1" applyFont="1" applyFill="1" applyBorder="1"/>
    <xf numFmtId="0" fontId="24" fillId="0" borderId="5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44" fontId="13" fillId="7" borderId="32" xfId="0" applyNumberFormat="1" applyFont="1" applyFill="1" applyBorder="1" applyAlignment="1" applyProtection="1">
      <alignment horizontal="center" vertical="center"/>
      <protection locked="0"/>
    </xf>
    <xf numFmtId="44" fontId="13" fillId="0" borderId="54" xfId="0" applyNumberFormat="1" applyFont="1" applyFill="1" applyBorder="1" applyAlignment="1">
      <alignment horizontal="center" vertical="center"/>
    </xf>
    <xf numFmtId="0" fontId="0" fillId="13" borderId="35" xfId="0" applyFill="1" applyBorder="1"/>
    <xf numFmtId="44" fontId="9" fillId="4" borderId="2" xfId="0" applyNumberFormat="1" applyFont="1" applyFill="1" applyBorder="1" applyAlignment="1">
      <alignment horizontal="center" vertical="center"/>
    </xf>
    <xf numFmtId="3" fontId="9" fillId="0" borderId="0" xfId="0" applyNumberFormat="1" applyFont="1" applyBorder="1"/>
    <xf numFmtId="3" fontId="13" fillId="0" borderId="18" xfId="0" applyNumberFormat="1" applyFont="1" applyBorder="1"/>
    <xf numFmtId="44" fontId="13" fillId="7" borderId="14" xfId="0" applyNumberFormat="1" applyFont="1" applyFill="1" applyBorder="1" applyProtection="1">
      <protection locked="0"/>
    </xf>
    <xf numFmtId="3" fontId="13" fillId="15" borderId="23" xfId="0" applyNumberFormat="1" applyFont="1" applyFill="1" applyBorder="1"/>
    <xf numFmtId="3" fontId="13" fillId="15" borderId="25" xfId="0" applyNumberFormat="1" applyFont="1" applyFill="1" applyBorder="1"/>
    <xf numFmtId="3" fontId="13" fillId="15" borderId="55" xfId="0" applyNumberFormat="1" applyFont="1" applyFill="1" applyBorder="1"/>
    <xf numFmtId="3" fontId="7" fillId="0" borderId="0" xfId="0" applyNumberFormat="1" applyFont="1" applyBorder="1"/>
    <xf numFmtId="44" fontId="13" fillId="0" borderId="12" xfId="0" applyNumberFormat="1" applyFont="1" applyBorder="1" applyProtection="1">
      <protection locked="0"/>
    </xf>
    <xf numFmtId="3" fontId="13" fillId="15" borderId="20" xfId="0" applyNumberFormat="1" applyFont="1" applyFill="1" applyBorder="1"/>
    <xf numFmtId="44" fontId="20" fillId="0" borderId="22" xfId="0" applyNumberFormat="1" applyFont="1" applyBorder="1" applyProtection="1">
      <protection locked="0"/>
    </xf>
    <xf numFmtId="44" fontId="13" fillId="15" borderId="14" xfId="0" applyNumberFormat="1" applyFont="1" applyFill="1" applyBorder="1" applyProtection="1">
      <protection locked="0"/>
    </xf>
    <xf numFmtId="44" fontId="13" fillId="15" borderId="0" xfId="0" applyNumberFormat="1" applyFont="1" applyFill="1" applyBorder="1" applyProtection="1">
      <protection locked="0"/>
    </xf>
    <xf numFmtId="44" fontId="13" fillId="15" borderId="19" xfId="0" applyNumberFormat="1" applyFont="1" applyFill="1" applyBorder="1" applyProtection="1">
      <protection locked="0"/>
    </xf>
    <xf numFmtId="44" fontId="20" fillId="15" borderId="22" xfId="0" applyNumberFormat="1" applyFont="1" applyFill="1" applyBorder="1" applyProtection="1">
      <protection locked="0"/>
    </xf>
    <xf numFmtId="44" fontId="13" fillId="15" borderId="23" xfId="0" applyNumberFormat="1" applyFont="1" applyFill="1" applyBorder="1" applyProtection="1">
      <protection locked="0"/>
    </xf>
    <xf numFmtId="44" fontId="20" fillId="15" borderId="23" xfId="0" applyNumberFormat="1" applyFont="1" applyFill="1" applyBorder="1" applyProtection="1">
      <protection locked="0"/>
    </xf>
    <xf numFmtId="0" fontId="10" fillId="13" borderId="39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center"/>
    </xf>
    <xf numFmtId="0" fontId="26" fillId="13" borderId="33" xfId="0" applyFont="1" applyFill="1" applyBorder="1" applyAlignment="1">
      <alignment horizontal="center" vertical="center"/>
    </xf>
    <xf numFmtId="0" fontId="26" fillId="13" borderId="56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3" fontId="22" fillId="0" borderId="44" xfId="0" applyNumberFormat="1" applyFont="1" applyBorder="1" applyAlignment="1">
      <alignment horizontal="center" wrapText="1"/>
    </xf>
    <xf numFmtId="3" fontId="9" fillId="0" borderId="42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 wrapText="1"/>
    </xf>
    <xf numFmtId="3" fontId="9" fillId="0" borderId="16" xfId="0" applyNumberFormat="1" applyFont="1" applyBorder="1" applyAlignment="1">
      <alignment horizontal="center" wrapText="1"/>
    </xf>
    <xf numFmtId="0" fontId="0" fillId="0" borderId="2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38" xfId="0" applyBorder="1" applyAlignment="1">
      <alignment horizontal="left" wrapText="1"/>
    </xf>
    <xf numFmtId="0" fontId="25" fillId="12" borderId="17" xfId="0" applyFont="1" applyFill="1" applyBorder="1" applyAlignment="1">
      <alignment horizontal="center" vertical="center"/>
    </xf>
    <xf numFmtId="0" fontId="25" fillId="12" borderId="49" xfId="0" applyFont="1" applyFill="1" applyBorder="1" applyAlignment="1">
      <alignment horizontal="center" vertical="center"/>
    </xf>
    <xf numFmtId="0" fontId="25" fillId="12" borderId="51" xfId="0" applyFont="1" applyFill="1" applyBorder="1" applyAlignment="1">
      <alignment horizontal="center" vertical="center"/>
    </xf>
    <xf numFmtId="0" fontId="25" fillId="14" borderId="17" xfId="0" applyFont="1" applyFill="1" applyBorder="1" applyAlignment="1">
      <alignment horizontal="center" vertical="center"/>
    </xf>
    <xf numFmtId="0" fontId="25" fillId="14" borderId="52" xfId="0" applyFont="1" applyFill="1" applyBorder="1" applyAlignment="1">
      <alignment horizontal="center" vertical="center"/>
    </xf>
    <xf numFmtId="0" fontId="25" fillId="14" borderId="51" xfId="0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center"/>
    </xf>
    <xf numFmtId="166" fontId="4" fillId="3" borderId="0" xfId="0" applyNumberFormat="1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horizontal="right"/>
    </xf>
    <xf numFmtId="0" fontId="0" fillId="2" borderId="0" xfId="0" applyFill="1" applyAlignment="1" applyProtection="1">
      <alignment horizontal="center"/>
    </xf>
  </cellXfs>
  <cellStyles count="5">
    <cellStyle name="Currency 2" xfId="2" xr:uid="{AF45431D-2298-42D1-8EE7-B8BF14A08680}"/>
    <cellStyle name="Procent" xfId="3" builtinId="5"/>
    <cellStyle name="Standaard" xfId="0" builtinId="0"/>
    <cellStyle name="Standaard 2" xfId="1" xr:uid="{40392588-68EC-4D41-A9FA-55C47A44139E}"/>
    <cellStyle name="Valuta 2" xfId="4" xr:uid="{DC15E94F-A9D7-436A-AF7C-634DD454276F}"/>
  </cellStyles>
  <dxfs count="2">
    <dxf>
      <fill>
        <patternFill>
          <bgColor rgb="FF00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FFFFCC"/>
      <color rgb="FF00FF00"/>
      <color rgb="FFFF0000"/>
      <color rgb="FF09A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'6. Formule Prijzenblad ABC'!$I$9:$J$9</c:f>
              <c:numCache>
                <c:formatCode>General</c:formatCode>
                <c:ptCount val="2"/>
                <c:pt idx="0">
                  <c:v>0</c:v>
                </c:pt>
                <c:pt idx="1">
                  <c:v>400000</c:v>
                </c:pt>
              </c:numCache>
            </c:numRef>
          </c:xVal>
          <c:yVal>
            <c:numRef>
              <c:f>'6. Formule Prijzenblad ABC'!$I$10:$J$10</c:f>
              <c:numCache>
                <c:formatCode>General</c:formatCode>
                <c:ptCount val="2"/>
                <c:pt idx="0">
                  <c:v>270</c:v>
                </c:pt>
                <c:pt idx="1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2-405E-A6D5-ABAB6D0EB673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'6. Formule Prijzenblad ABC'!$J$9:$K$9</c:f>
              <c:numCache>
                <c:formatCode>General</c:formatCode>
                <c:ptCount val="2"/>
                <c:pt idx="0">
                  <c:v>400000</c:v>
                </c:pt>
                <c:pt idx="1">
                  <c:v>650000</c:v>
                </c:pt>
              </c:numCache>
            </c:numRef>
          </c:xVal>
          <c:yVal>
            <c:numRef>
              <c:f>'6. Formule Prijzenblad ABC'!$J$10:$K$10</c:f>
              <c:numCache>
                <c:formatCode>General</c:formatCode>
                <c:ptCount val="2"/>
                <c:pt idx="0">
                  <c:v>270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52-405E-A6D5-ABAB6D0EB673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52-405E-A6D5-ABAB6D0EB673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2-405E-A6D5-ABAB6D0EB67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'6. Formule Prijzenblad ABC'!$M$9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'6. Formule Prijzenblad ABC'!$M$10</c:f>
              <c:numCache>
                <c:formatCode>0</c:formatCode>
                <c:ptCount val="1"/>
                <c:pt idx="0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52-405E-A6D5-ABAB6D0EB673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'6. Formule Prijzenblad ABC'!$L$12:$M$12</c:f>
              <c:numCache>
                <c:formatCode>General</c:formatCode>
                <c:ptCount val="2"/>
                <c:pt idx="0">
                  <c:v>0</c:v>
                </c:pt>
                <c:pt idx="1">
                  <c:v>400000</c:v>
                </c:pt>
              </c:numCache>
            </c:numRef>
          </c:xVal>
          <c:yVal>
            <c:numRef>
              <c:f>'6. Formule Prijzenblad ABC'!$L$13:$M$13</c:f>
              <c:numCache>
                <c:formatCode>General</c:formatCode>
                <c:ptCount val="2"/>
                <c:pt idx="0">
                  <c:v>270</c:v>
                </c:pt>
                <c:pt idx="1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52-405E-A6D5-ABAB6D0EB673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'6. Formule Prijzenblad ABC'!$M$12:$N$12</c:f>
              <c:numCache>
                <c:formatCode>General</c:formatCode>
                <c:ptCount val="2"/>
                <c:pt idx="0">
                  <c:v>400000</c:v>
                </c:pt>
                <c:pt idx="1">
                  <c:v>400000</c:v>
                </c:pt>
              </c:numCache>
            </c:numRef>
          </c:xVal>
          <c:yVal>
            <c:numRef>
              <c:f>'6. Formule Prijzenblad ABC'!$M$13:$N$13</c:f>
              <c:numCache>
                <c:formatCode>General</c:formatCode>
                <c:ptCount val="2"/>
                <c:pt idx="0">
                  <c:v>270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052-405E-A6D5-ABAB6D0EB67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4</xdr:row>
      <xdr:rowOff>0</xdr:rowOff>
    </xdr:from>
    <xdr:to>
      <xdr:col>15</xdr:col>
      <xdr:colOff>609599</xdr:colOff>
      <xdr:row>28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CCD0-0E41-4C1E-BE67-602B901444A6}">
  <dimension ref="B1:B17"/>
  <sheetViews>
    <sheetView tabSelected="1" workbookViewId="0">
      <selection activeCell="F9" sqref="F9"/>
    </sheetView>
  </sheetViews>
  <sheetFormatPr defaultRowHeight="14.5" x14ac:dyDescent="0.35"/>
  <cols>
    <col min="1" max="1" width="4.453125" customWidth="1"/>
    <col min="2" max="2" width="94.453125" customWidth="1"/>
  </cols>
  <sheetData>
    <row r="1" spans="2:2" ht="23.5" x14ac:dyDescent="0.55000000000000004">
      <c r="B1" s="128" t="s">
        <v>211</v>
      </c>
    </row>
    <row r="2" spans="2:2" ht="23.5" x14ac:dyDescent="0.55000000000000004">
      <c r="B2" s="129"/>
    </row>
    <row r="3" spans="2:2" x14ac:dyDescent="0.35">
      <c r="B3" s="130" t="s">
        <v>137</v>
      </c>
    </row>
    <row r="4" spans="2:2" x14ac:dyDescent="0.35">
      <c r="B4" s="131" t="s">
        <v>138</v>
      </c>
    </row>
    <row r="5" spans="2:2" ht="29" x14ac:dyDescent="0.35">
      <c r="B5" s="132" t="s">
        <v>175</v>
      </c>
    </row>
    <row r="6" spans="2:2" ht="29" x14ac:dyDescent="0.35">
      <c r="B6" s="133" t="s">
        <v>139</v>
      </c>
    </row>
    <row r="7" spans="2:2" x14ac:dyDescent="0.35">
      <c r="B7" s="134" t="s">
        <v>140</v>
      </c>
    </row>
    <row r="8" spans="2:2" x14ac:dyDescent="0.35">
      <c r="B8" s="135" t="s">
        <v>144</v>
      </c>
    </row>
    <row r="9" spans="2:2" ht="43.5" x14ac:dyDescent="0.35">
      <c r="B9" s="134" t="s">
        <v>141</v>
      </c>
    </row>
    <row r="10" spans="2:2" s="53" customFormat="1" ht="29" x14ac:dyDescent="0.35">
      <c r="B10" s="136" t="s">
        <v>145</v>
      </c>
    </row>
    <row r="11" spans="2:2" x14ac:dyDescent="0.35">
      <c r="B11" s="134" t="s">
        <v>142</v>
      </c>
    </row>
    <row r="12" spans="2:2" x14ac:dyDescent="0.35">
      <c r="B12" s="134" t="s">
        <v>143</v>
      </c>
    </row>
    <row r="13" spans="2:2" ht="29" x14ac:dyDescent="0.35">
      <c r="B13" s="134" t="s">
        <v>148</v>
      </c>
    </row>
    <row r="14" spans="2:2" ht="30.65" customHeight="1" x14ac:dyDescent="0.35">
      <c r="B14" s="196" t="s">
        <v>195</v>
      </c>
    </row>
    <row r="15" spans="2:2" s="198" customFormat="1" ht="29" x14ac:dyDescent="0.35">
      <c r="B15" s="196" t="s">
        <v>194</v>
      </c>
    </row>
    <row r="16" spans="2:2" ht="29" x14ac:dyDescent="0.35">
      <c r="B16" s="197" t="s">
        <v>201</v>
      </c>
    </row>
    <row r="17" spans="2:2" x14ac:dyDescent="0.35">
      <c r="B17" s="19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E26E-2E1C-4751-88F8-2023A952EABC}">
  <dimension ref="A1:F26"/>
  <sheetViews>
    <sheetView workbookViewId="0">
      <selection activeCell="D7" sqref="D7"/>
    </sheetView>
  </sheetViews>
  <sheetFormatPr defaultRowHeight="14.5" x14ac:dyDescent="0.35"/>
  <cols>
    <col min="1" max="1" width="8.7265625" style="198"/>
    <col min="2" max="2" width="19.81640625" customWidth="1"/>
    <col min="3" max="3" width="57.1796875" customWidth="1"/>
    <col min="4" max="4" width="32.1796875" customWidth="1"/>
    <col min="5" max="5" width="10.54296875" customWidth="1"/>
  </cols>
  <sheetData>
    <row r="1" spans="2:6" ht="23.5" x14ac:dyDescent="0.55000000000000004">
      <c r="B1" s="251" t="s">
        <v>207</v>
      </c>
      <c r="C1" s="251"/>
      <c r="D1" s="251"/>
      <c r="E1" s="251"/>
      <c r="F1" s="137"/>
    </row>
    <row r="3" spans="2:6" ht="21" customHeight="1" x14ac:dyDescent="0.35">
      <c r="B3" s="205" t="s">
        <v>185</v>
      </c>
      <c r="C3" s="205" t="s">
        <v>176</v>
      </c>
      <c r="D3" s="205" t="s">
        <v>184</v>
      </c>
      <c r="E3" s="205" t="s">
        <v>183</v>
      </c>
    </row>
    <row r="4" spans="2:6" s="198" customFormat="1" ht="21" customHeight="1" x14ac:dyDescent="0.35">
      <c r="B4" s="210" t="s">
        <v>11</v>
      </c>
      <c r="C4" s="207" t="s">
        <v>41</v>
      </c>
      <c r="D4" s="208">
        <f>'2. Producten'!F15</f>
        <v>0</v>
      </c>
      <c r="E4" s="204">
        <v>0</v>
      </c>
    </row>
    <row r="5" spans="2:6" s="198" customFormat="1" ht="21" customHeight="1" x14ac:dyDescent="0.35">
      <c r="B5" s="210" t="s">
        <v>12</v>
      </c>
      <c r="C5" s="209" t="s">
        <v>182</v>
      </c>
      <c r="D5" s="208">
        <f>'3. Afvalstromen en huur'!S78</f>
        <v>0</v>
      </c>
      <c r="E5" s="204">
        <v>0</v>
      </c>
    </row>
    <row r="6" spans="2:6" s="198" customFormat="1" ht="21" customHeight="1" x14ac:dyDescent="0.35">
      <c r="B6" s="210" t="s">
        <v>181</v>
      </c>
      <c r="C6" s="209" t="s">
        <v>189</v>
      </c>
      <c r="D6" s="208">
        <f>'5. Overige kosten'!E6</f>
        <v>0</v>
      </c>
      <c r="E6" s="204">
        <v>0</v>
      </c>
    </row>
    <row r="7" spans="2:6" s="198" customFormat="1" ht="28" customHeight="1" x14ac:dyDescent="0.35">
      <c r="B7" s="250" t="s">
        <v>191</v>
      </c>
      <c r="C7" s="250"/>
      <c r="D7" s="211">
        <f>SUM(D4:D6)</f>
        <v>0</v>
      </c>
      <c r="E7" s="222"/>
    </row>
    <row r="9" spans="2:6" s="198" customFormat="1" x14ac:dyDescent="0.35"/>
    <row r="10" spans="2:6" s="198" customFormat="1" ht="21" customHeight="1" x14ac:dyDescent="0.35">
      <c r="B10" s="205" t="s">
        <v>185</v>
      </c>
      <c r="C10" s="205" t="s">
        <v>176</v>
      </c>
      <c r="D10" s="205" t="s">
        <v>184</v>
      </c>
      <c r="E10" s="205" t="s">
        <v>183</v>
      </c>
    </row>
    <row r="11" spans="2:6" s="198" customFormat="1" ht="21" customHeight="1" x14ac:dyDescent="0.35">
      <c r="B11" s="206" t="s">
        <v>187</v>
      </c>
      <c r="C11" s="207" t="s">
        <v>192</v>
      </c>
      <c r="D11" s="208">
        <f>'5. Overige kosten'!E13</f>
        <v>0</v>
      </c>
      <c r="E11" s="204">
        <v>0</v>
      </c>
    </row>
    <row r="12" spans="2:6" s="198" customFormat="1" ht="28" customHeight="1" x14ac:dyDescent="0.35">
      <c r="B12" s="250" t="s">
        <v>191</v>
      </c>
      <c r="C12" s="250"/>
      <c r="D12" s="211">
        <f>SUM(D11)</f>
        <v>0</v>
      </c>
      <c r="E12" s="222"/>
    </row>
    <row r="13" spans="2:6" s="198" customFormat="1" x14ac:dyDescent="0.35"/>
    <row r="14" spans="2:6" s="198" customFormat="1" ht="15" thickBot="1" x14ac:dyDescent="0.4"/>
    <row r="15" spans="2:6" s="198" customFormat="1" ht="40.5" customHeight="1" thickBot="1" x14ac:dyDescent="0.4">
      <c r="B15" s="252" t="s">
        <v>193</v>
      </c>
      <c r="C15" s="253"/>
      <c r="D15" s="233">
        <f>D12+D7</f>
        <v>0</v>
      </c>
      <c r="E15" s="232"/>
    </row>
    <row r="16" spans="2:6" s="198" customFormat="1" x14ac:dyDescent="0.35"/>
    <row r="17" spans="2:3" s="198" customFormat="1" x14ac:dyDescent="0.35"/>
    <row r="19" spans="2:3" x14ac:dyDescent="0.35">
      <c r="B19" s="46" t="s">
        <v>16</v>
      </c>
      <c r="C19" s="47"/>
    </row>
    <row r="20" spans="2:3" x14ac:dyDescent="0.35">
      <c r="B20" s="46"/>
      <c r="C20" s="48"/>
    </row>
    <row r="21" spans="2:3" x14ac:dyDescent="0.35">
      <c r="B21" s="46" t="s">
        <v>43</v>
      </c>
      <c r="C21" s="47"/>
    </row>
    <row r="22" spans="2:3" x14ac:dyDescent="0.35">
      <c r="B22" s="46"/>
      <c r="C22" s="48"/>
    </row>
    <row r="23" spans="2:3" x14ac:dyDescent="0.35">
      <c r="B23" s="46" t="s">
        <v>44</v>
      </c>
      <c r="C23" s="47"/>
    </row>
    <row r="24" spans="2:3" x14ac:dyDescent="0.35">
      <c r="B24" s="46"/>
      <c r="C24" s="48"/>
    </row>
    <row r="25" spans="2:3" x14ac:dyDescent="0.35">
      <c r="B25" s="46" t="s">
        <v>45</v>
      </c>
      <c r="C25" s="47"/>
    </row>
    <row r="26" spans="2:3" x14ac:dyDescent="0.35">
      <c r="C26" s="48"/>
    </row>
  </sheetData>
  <sheetProtection algorithmName="SHA-512" hashValue="epqxxC/0mh8pyOrvm36YwXf8qtfoOE9390h6nW8iyDF2mXxsVGELNLvJnqzUSljDyTh50kZTde/+q5sz+CLsRg==" saltValue="8QRIr45XAogyLVDoJqtbCA==" spinCount="100000" sheet="1" objects="1" scenarios="1"/>
  <mergeCells count="4">
    <mergeCell ref="B7:C7"/>
    <mergeCell ref="B1:E1"/>
    <mergeCell ref="B12:C12"/>
    <mergeCell ref="B15:C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9488-3C4A-490B-9CBF-B1BB1DC243BF}">
  <dimension ref="A1:N19"/>
  <sheetViews>
    <sheetView workbookViewId="0">
      <selection activeCell="H10" sqref="H10"/>
    </sheetView>
  </sheetViews>
  <sheetFormatPr defaultRowHeight="14.5" x14ac:dyDescent="0.35"/>
  <cols>
    <col min="2" max="2" width="20.81640625" customWidth="1"/>
    <col min="3" max="3" width="41.453125" bestFit="1" customWidth="1"/>
    <col min="4" max="4" width="15.7265625" bestFit="1" customWidth="1"/>
    <col min="5" max="6" width="19.26953125" customWidth="1"/>
  </cols>
  <sheetData>
    <row r="1" spans="1:14" ht="23.5" x14ac:dyDescent="0.55000000000000004">
      <c r="A1" s="251" t="s">
        <v>208</v>
      </c>
      <c r="B1" s="251"/>
      <c r="C1" s="251"/>
      <c r="D1" s="251"/>
      <c r="E1" s="251"/>
      <c r="F1" s="251"/>
      <c r="G1" s="137"/>
      <c r="H1" s="137"/>
      <c r="I1" s="137"/>
      <c r="M1" s="11"/>
      <c r="N1" s="12"/>
    </row>
    <row r="3" spans="1:14" ht="15" thickBot="1" x14ac:dyDescent="0.4"/>
    <row r="4" spans="1:14" ht="44" thickBot="1" x14ac:dyDescent="0.4">
      <c r="A4" s="254" t="s">
        <v>11</v>
      </c>
      <c r="B4" s="13" t="s">
        <v>25</v>
      </c>
      <c r="C4" s="14"/>
      <c r="D4" s="15" t="s">
        <v>26</v>
      </c>
      <c r="E4" s="16" t="s">
        <v>27</v>
      </c>
      <c r="F4" s="17" t="s">
        <v>28</v>
      </c>
    </row>
    <row r="5" spans="1:14" x14ac:dyDescent="0.35">
      <c r="A5" s="255"/>
      <c r="B5" s="18" t="s">
        <v>29</v>
      </c>
      <c r="C5" s="19" t="s">
        <v>30</v>
      </c>
      <c r="D5" s="20">
        <v>13</v>
      </c>
      <c r="E5" s="139">
        <v>0</v>
      </c>
      <c r="F5" s="21">
        <f>E5*D5</f>
        <v>0</v>
      </c>
    </row>
    <row r="6" spans="1:14" x14ac:dyDescent="0.35">
      <c r="A6" s="255"/>
      <c r="B6" s="18"/>
      <c r="C6" s="19" t="s">
        <v>31</v>
      </c>
      <c r="D6" s="22">
        <v>1800</v>
      </c>
      <c r="E6" s="139">
        <v>0</v>
      </c>
      <c r="F6" s="21">
        <f>D6*E6</f>
        <v>0</v>
      </c>
    </row>
    <row r="7" spans="1:14" x14ac:dyDescent="0.35">
      <c r="A7" s="255"/>
      <c r="B7" s="18"/>
      <c r="C7" s="19" t="s">
        <v>32</v>
      </c>
      <c r="D7" s="22">
        <v>109</v>
      </c>
      <c r="E7" s="139">
        <v>0</v>
      </c>
      <c r="F7" s="21">
        <f t="shared" ref="F7:F12" si="0">D7*E7</f>
        <v>0</v>
      </c>
    </row>
    <row r="8" spans="1:14" ht="15" thickBot="1" x14ac:dyDescent="0.4">
      <c r="A8" s="255"/>
      <c r="B8" s="23"/>
      <c r="C8" s="24" t="s">
        <v>33</v>
      </c>
      <c r="D8" s="22">
        <v>12</v>
      </c>
      <c r="E8" s="140">
        <v>0</v>
      </c>
      <c r="F8" s="25">
        <f t="shared" si="0"/>
        <v>0</v>
      </c>
    </row>
    <row r="9" spans="1:14" x14ac:dyDescent="0.35">
      <c r="A9" s="255"/>
      <c r="B9" s="26" t="s">
        <v>34</v>
      </c>
      <c r="C9" s="27" t="s">
        <v>35</v>
      </c>
      <c r="D9" s="28">
        <f>29*243</f>
        <v>7047</v>
      </c>
      <c r="E9" s="141">
        <v>0</v>
      </c>
      <c r="F9" s="29">
        <f t="shared" si="0"/>
        <v>0</v>
      </c>
    </row>
    <row r="10" spans="1:14" x14ac:dyDescent="0.35">
      <c r="A10" s="255"/>
      <c r="B10" s="18"/>
      <c r="C10" s="19" t="s">
        <v>36</v>
      </c>
      <c r="D10" s="30">
        <f>128*279</f>
        <v>35712</v>
      </c>
      <c r="E10" s="139">
        <v>0</v>
      </c>
      <c r="F10" s="21">
        <f t="shared" si="0"/>
        <v>0</v>
      </c>
    </row>
    <row r="11" spans="1:14" x14ac:dyDescent="0.35">
      <c r="A11" s="255"/>
      <c r="B11" s="18"/>
      <c r="C11" s="19" t="s">
        <v>37</v>
      </c>
      <c r="D11" s="30">
        <v>20</v>
      </c>
      <c r="E11" s="139">
        <v>0</v>
      </c>
      <c r="F11" s="21">
        <f t="shared" si="0"/>
        <v>0</v>
      </c>
    </row>
    <row r="12" spans="1:14" ht="29.5" thickBot="1" x14ac:dyDescent="0.4">
      <c r="A12" s="255"/>
      <c r="B12" s="23"/>
      <c r="C12" s="31" t="s">
        <v>38</v>
      </c>
      <c r="D12" s="32">
        <v>2</v>
      </c>
      <c r="E12" s="139">
        <v>0</v>
      </c>
      <c r="F12" s="21">
        <f t="shared" si="0"/>
        <v>0</v>
      </c>
    </row>
    <row r="13" spans="1:14" ht="15" thickBot="1" x14ac:dyDescent="0.4">
      <c r="A13" s="255"/>
      <c r="B13" s="33"/>
      <c r="C13" s="34" t="s">
        <v>39</v>
      </c>
      <c r="D13" s="35"/>
      <c r="E13" s="36"/>
      <c r="F13" s="37">
        <f>SUM(F5:F12)</f>
        <v>0</v>
      </c>
    </row>
    <row r="14" spans="1:14" ht="29.5" thickBot="1" x14ac:dyDescent="0.4">
      <c r="A14" s="255"/>
      <c r="B14" s="38"/>
      <c r="C14" s="39" t="s">
        <v>40</v>
      </c>
      <c r="D14" s="40"/>
      <c r="E14" s="41"/>
      <c r="F14" s="138">
        <v>0</v>
      </c>
    </row>
    <row r="15" spans="1:14" ht="19" thickBot="1" x14ac:dyDescent="0.5">
      <c r="A15" s="256"/>
      <c r="B15" s="42" t="s">
        <v>41</v>
      </c>
      <c r="C15" s="13" t="s">
        <v>42</v>
      </c>
      <c r="D15" s="43"/>
      <c r="E15" s="44"/>
      <c r="F15" s="45">
        <f>(F13*F14)</f>
        <v>0</v>
      </c>
    </row>
    <row r="19" spans="3:3" x14ac:dyDescent="0.35">
      <c r="C19" s="48"/>
    </row>
  </sheetData>
  <sheetProtection algorithmName="SHA-512" hashValue="4kTTXVp4Fto1pnJMN7Kq2FinqXCNUf3NmywWac0n+xSLj4cCGVwK0Z18udsetU8r+qm9/dMY8HVOtVpvKNCnHg==" saltValue="E7bgE+Zngc7LM9sLKuNytQ==" spinCount="100000" sheet="1" objects="1" scenarios="1"/>
  <mergeCells count="2">
    <mergeCell ref="A4:A15"/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1432-021C-4B8E-985C-CFAA4EC16AD8}">
  <dimension ref="A1:U80"/>
  <sheetViews>
    <sheetView topLeftCell="D1" zoomScale="92" zoomScaleNormal="92" workbookViewId="0">
      <selection activeCell="W14" sqref="W14"/>
    </sheetView>
  </sheetViews>
  <sheetFormatPr defaultColWidth="8.7265625" defaultRowHeight="14.5" x14ac:dyDescent="0.35"/>
  <cols>
    <col min="1" max="1" width="7.1796875" style="53" customWidth="1"/>
    <col min="2" max="2" width="17.453125" style="53" customWidth="1"/>
    <col min="3" max="3" width="49.81640625" style="53" customWidth="1"/>
    <col min="4" max="4" width="18.1796875" style="54" bestFit="1" customWidth="1"/>
    <col min="5" max="5" width="15.1796875" style="55" customWidth="1"/>
    <col min="6" max="6" width="19.1796875" style="55" customWidth="1"/>
    <col min="7" max="7" width="13.7265625" style="56" bestFit="1" customWidth="1"/>
    <col min="8" max="10" width="13.26953125" style="55" customWidth="1"/>
    <col min="11" max="11" width="16.54296875" style="55" customWidth="1"/>
    <col min="12" max="12" width="29.1796875" style="55" customWidth="1"/>
    <col min="13" max="13" width="10.1796875" style="57" customWidth="1"/>
    <col min="14" max="14" width="10.7265625" style="56" customWidth="1"/>
    <col min="15" max="15" width="16.1796875" style="55" bestFit="1" customWidth="1"/>
    <col min="16" max="16" width="15.54296875" style="55" customWidth="1"/>
    <col min="17" max="18" width="2.7265625" style="57" customWidth="1"/>
    <col min="19" max="19" width="23" style="55" customWidth="1"/>
    <col min="20" max="16384" width="8.7265625" style="53"/>
  </cols>
  <sheetData>
    <row r="1" spans="1:19" ht="23.5" x14ac:dyDescent="0.55000000000000004">
      <c r="A1" s="49"/>
      <c r="B1" s="50"/>
      <c r="C1" s="50"/>
      <c r="D1" s="50"/>
      <c r="E1" s="50" t="s">
        <v>209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  <c r="S1" s="52"/>
    </row>
    <row r="2" spans="1:19" ht="15" thickBot="1" x14ac:dyDescent="0.4"/>
    <row r="3" spans="1:19" ht="45" customHeight="1" x14ac:dyDescent="0.35">
      <c r="A3" s="257" t="s">
        <v>12</v>
      </c>
      <c r="B3" s="181"/>
      <c r="C3" s="58"/>
      <c r="D3" s="260" t="s">
        <v>46</v>
      </c>
      <c r="E3" s="261"/>
      <c r="F3" s="261"/>
      <c r="G3" s="262" t="s">
        <v>172</v>
      </c>
      <c r="H3" s="263"/>
      <c r="I3" s="263"/>
      <c r="J3" s="263"/>
      <c r="K3" s="263"/>
      <c r="L3" s="182"/>
      <c r="M3" s="220"/>
      <c r="N3" s="183"/>
      <c r="O3" s="264" t="s">
        <v>47</v>
      </c>
      <c r="P3" s="265"/>
      <c r="Q3" s="180"/>
      <c r="R3" s="59"/>
      <c r="S3" s="60" t="s">
        <v>48</v>
      </c>
    </row>
    <row r="4" spans="1:19" ht="15" thickBot="1" x14ac:dyDescent="0.4">
      <c r="A4" s="258"/>
      <c r="B4" s="184"/>
      <c r="C4" s="88"/>
      <c r="D4" s="185" t="s">
        <v>49</v>
      </c>
      <c r="E4" s="186" t="s">
        <v>50</v>
      </c>
      <c r="F4" s="186" t="s">
        <v>51</v>
      </c>
      <c r="G4" s="234" t="s">
        <v>52</v>
      </c>
      <c r="H4" s="187" t="s">
        <v>53</v>
      </c>
      <c r="I4" s="188" t="s">
        <v>205</v>
      </c>
      <c r="J4" s="188" t="s">
        <v>206</v>
      </c>
      <c r="K4" s="188" t="s">
        <v>51</v>
      </c>
      <c r="L4" s="187" t="s">
        <v>150</v>
      </c>
      <c r="M4" s="189" t="s">
        <v>54</v>
      </c>
      <c r="N4" s="190" t="s">
        <v>55</v>
      </c>
      <c r="O4" s="191" t="s">
        <v>56</v>
      </c>
      <c r="P4" s="192" t="s">
        <v>51</v>
      </c>
      <c r="Q4" s="61"/>
      <c r="R4" s="62"/>
      <c r="S4" s="63" t="s">
        <v>57</v>
      </c>
    </row>
    <row r="5" spans="1:19" x14ac:dyDescent="0.35">
      <c r="A5" s="258"/>
      <c r="B5" s="64" t="s">
        <v>58</v>
      </c>
      <c r="C5" s="58" t="s">
        <v>59</v>
      </c>
      <c r="D5" s="65">
        <v>820.6</v>
      </c>
      <c r="E5" s="66">
        <v>0</v>
      </c>
      <c r="F5" s="66">
        <f>(D5*E5)</f>
        <v>0</v>
      </c>
      <c r="G5" s="235">
        <v>109</v>
      </c>
      <c r="H5" s="236">
        <v>0</v>
      </c>
      <c r="I5" s="239"/>
      <c r="J5" s="239"/>
      <c r="K5" s="66">
        <f>(G5*H5)</f>
        <v>0</v>
      </c>
      <c r="L5" s="164" t="s">
        <v>162</v>
      </c>
      <c r="M5" s="97"/>
      <c r="N5" s="96"/>
      <c r="O5" s="150"/>
      <c r="P5" s="70"/>
      <c r="Q5" s="71"/>
      <c r="R5" s="72"/>
      <c r="S5" s="73">
        <f>F5+K5</f>
        <v>0</v>
      </c>
    </row>
    <row r="6" spans="1:19" x14ac:dyDescent="0.35">
      <c r="A6" s="258"/>
      <c r="B6" s="74"/>
      <c r="C6" s="176" t="s">
        <v>174</v>
      </c>
      <c r="D6" s="75">
        <v>72.86</v>
      </c>
      <c r="E6" s="76">
        <v>0</v>
      </c>
      <c r="F6" s="76">
        <f>(D6*E6)</f>
        <v>0</v>
      </c>
      <c r="G6" s="99">
        <v>52</v>
      </c>
      <c r="H6" s="175">
        <v>0</v>
      </c>
      <c r="I6" s="83">
        <v>524</v>
      </c>
      <c r="J6" s="175">
        <v>0</v>
      </c>
      <c r="K6" s="76">
        <f>(G6*H6)+(J6*I6)</f>
        <v>0</v>
      </c>
      <c r="L6" s="158" t="s">
        <v>164</v>
      </c>
      <c r="M6" s="148"/>
      <c r="N6" s="99"/>
      <c r="O6" s="84"/>
      <c r="P6" s="79"/>
      <c r="Q6" s="80"/>
      <c r="R6" s="81"/>
      <c r="S6" s="82">
        <f>F6+K6</f>
        <v>0</v>
      </c>
    </row>
    <row r="7" spans="1:19" x14ac:dyDescent="0.35">
      <c r="A7" s="258"/>
      <c r="B7" s="74"/>
      <c r="C7" s="176" t="s">
        <v>60</v>
      </c>
      <c r="D7" s="75">
        <v>114.16</v>
      </c>
      <c r="E7" s="76">
        <v>0</v>
      </c>
      <c r="F7" s="76">
        <f>(D7*E7)</f>
        <v>0</v>
      </c>
      <c r="G7" s="99">
        <v>156</v>
      </c>
      <c r="H7" s="175">
        <v>0</v>
      </c>
      <c r="I7" s="238"/>
      <c r="J7" s="238"/>
      <c r="K7" s="76">
        <f t="shared" ref="K7:K17" si="0">(G7*H7)</f>
        <v>0</v>
      </c>
      <c r="L7" s="158" t="s">
        <v>163</v>
      </c>
      <c r="M7" s="148"/>
      <c r="N7" s="99"/>
      <c r="O7" s="84"/>
      <c r="P7" s="79"/>
      <c r="Q7" s="80"/>
      <c r="R7" s="81"/>
      <c r="S7" s="82">
        <f>F7+K7</f>
        <v>0</v>
      </c>
    </row>
    <row r="8" spans="1:19" x14ac:dyDescent="0.35">
      <c r="A8" s="258"/>
      <c r="B8" s="74"/>
      <c r="C8" s="176" t="s">
        <v>61</v>
      </c>
      <c r="D8" s="75">
        <v>9.99</v>
      </c>
      <c r="E8" s="77">
        <v>0</v>
      </c>
      <c r="F8" s="76">
        <f t="shared" ref="F8:F17" si="1">(D8*E8)</f>
        <v>0</v>
      </c>
      <c r="G8" s="99">
        <v>11</v>
      </c>
      <c r="H8" s="175">
        <v>0</v>
      </c>
      <c r="I8" s="238"/>
      <c r="J8" s="238"/>
      <c r="K8" s="76">
        <f t="shared" si="0"/>
        <v>0</v>
      </c>
      <c r="L8" s="158" t="s">
        <v>161</v>
      </c>
      <c r="M8" s="148"/>
      <c r="N8" s="99"/>
      <c r="O8" s="84"/>
      <c r="P8" s="79"/>
      <c r="Q8" s="80"/>
      <c r="R8" s="81"/>
      <c r="S8" s="82">
        <f t="shared" ref="S8:S16" si="2">F8+K8</f>
        <v>0</v>
      </c>
    </row>
    <row r="9" spans="1:19" x14ac:dyDescent="0.35">
      <c r="A9" s="258"/>
      <c r="B9" s="74"/>
      <c r="C9" s="176" t="s">
        <v>62</v>
      </c>
      <c r="D9" s="75">
        <v>2.0099999999999998</v>
      </c>
      <c r="E9" s="77">
        <v>0</v>
      </c>
      <c r="F9" s="76">
        <f t="shared" si="1"/>
        <v>0</v>
      </c>
      <c r="G9" s="99">
        <v>21</v>
      </c>
      <c r="H9" s="175">
        <v>0</v>
      </c>
      <c r="I9" s="238"/>
      <c r="J9" s="238"/>
      <c r="K9" s="76">
        <f t="shared" si="0"/>
        <v>0</v>
      </c>
      <c r="L9" s="158" t="s">
        <v>155</v>
      </c>
      <c r="M9" s="148"/>
      <c r="N9" s="99"/>
      <c r="O9" s="84"/>
      <c r="P9" s="79"/>
      <c r="Q9" s="80"/>
      <c r="R9" s="81"/>
      <c r="S9" s="82">
        <f t="shared" si="2"/>
        <v>0</v>
      </c>
    </row>
    <row r="10" spans="1:19" x14ac:dyDescent="0.35">
      <c r="A10" s="258"/>
      <c r="B10" s="74"/>
      <c r="C10" s="176" t="s">
        <v>63</v>
      </c>
      <c r="D10" s="75">
        <v>11.76</v>
      </c>
      <c r="E10" s="77">
        <v>0</v>
      </c>
      <c r="F10" s="76">
        <f t="shared" si="1"/>
        <v>0</v>
      </c>
      <c r="G10" s="99">
        <v>11</v>
      </c>
      <c r="H10" s="175">
        <v>0</v>
      </c>
      <c r="I10" s="238"/>
      <c r="J10" s="238"/>
      <c r="K10" s="76">
        <f t="shared" si="0"/>
        <v>0</v>
      </c>
      <c r="L10" s="158" t="s">
        <v>156</v>
      </c>
      <c r="M10" s="148"/>
      <c r="N10" s="99"/>
      <c r="O10" s="84"/>
      <c r="P10" s="79"/>
      <c r="Q10" s="80"/>
      <c r="R10" s="81"/>
      <c r="S10" s="82">
        <f t="shared" si="2"/>
        <v>0</v>
      </c>
    </row>
    <row r="11" spans="1:19" x14ac:dyDescent="0.35">
      <c r="A11" s="258"/>
      <c r="B11" s="74"/>
      <c r="C11" s="176" t="s">
        <v>64</v>
      </c>
      <c r="D11" s="75">
        <v>5.3</v>
      </c>
      <c r="E11" s="77">
        <v>0</v>
      </c>
      <c r="F11" s="76">
        <f t="shared" si="1"/>
        <v>0</v>
      </c>
      <c r="G11" s="99">
        <v>15</v>
      </c>
      <c r="H11" s="151">
        <v>0</v>
      </c>
      <c r="I11" s="238"/>
      <c r="J11" s="238"/>
      <c r="K11" s="76">
        <f t="shared" si="0"/>
        <v>0</v>
      </c>
      <c r="L11" s="158" t="s">
        <v>162</v>
      </c>
      <c r="M11" s="148"/>
      <c r="N11" s="99"/>
      <c r="O11" s="84"/>
      <c r="P11" s="79"/>
      <c r="Q11" s="80"/>
      <c r="R11" s="81"/>
      <c r="S11" s="82">
        <f t="shared" si="2"/>
        <v>0</v>
      </c>
    </row>
    <row r="12" spans="1:19" x14ac:dyDescent="0.35">
      <c r="A12" s="258"/>
      <c r="B12" s="74"/>
      <c r="C12" s="176" t="s">
        <v>65</v>
      </c>
      <c r="D12" s="75">
        <v>10.53</v>
      </c>
      <c r="E12" s="77">
        <v>0</v>
      </c>
      <c r="F12" s="76">
        <f t="shared" si="1"/>
        <v>0</v>
      </c>
      <c r="G12" s="99">
        <v>52</v>
      </c>
      <c r="H12" s="151">
        <v>0</v>
      </c>
      <c r="I12" s="238"/>
      <c r="J12" s="238"/>
      <c r="K12" s="76">
        <f t="shared" si="0"/>
        <v>0</v>
      </c>
      <c r="L12" s="158" t="s">
        <v>157</v>
      </c>
      <c r="M12" s="148"/>
      <c r="N12" s="99"/>
      <c r="O12" s="84"/>
      <c r="P12" s="79"/>
      <c r="Q12" s="80"/>
      <c r="R12" s="81"/>
      <c r="S12" s="82">
        <f t="shared" si="2"/>
        <v>0</v>
      </c>
    </row>
    <row r="13" spans="1:19" x14ac:dyDescent="0.35">
      <c r="A13" s="258"/>
      <c r="B13" s="74"/>
      <c r="C13" s="176" t="s">
        <v>66</v>
      </c>
      <c r="D13" s="75">
        <v>0.27</v>
      </c>
      <c r="E13" s="77">
        <v>0</v>
      </c>
      <c r="F13" s="76">
        <f t="shared" si="1"/>
        <v>0</v>
      </c>
      <c r="G13" s="99">
        <v>52</v>
      </c>
      <c r="H13" s="151">
        <v>0</v>
      </c>
      <c r="I13" s="238"/>
      <c r="J13" s="238"/>
      <c r="K13" s="76">
        <f t="shared" si="0"/>
        <v>0</v>
      </c>
      <c r="L13" s="158" t="s">
        <v>157</v>
      </c>
      <c r="M13" s="148"/>
      <c r="N13" s="99"/>
      <c r="O13" s="84"/>
      <c r="P13" s="79"/>
      <c r="Q13" s="80"/>
      <c r="R13" s="81"/>
      <c r="S13" s="82">
        <f t="shared" si="2"/>
        <v>0</v>
      </c>
    </row>
    <row r="14" spans="1:19" x14ac:dyDescent="0.35">
      <c r="A14" s="258"/>
      <c r="B14" s="74"/>
      <c r="C14" s="176" t="s">
        <v>67</v>
      </c>
      <c r="D14" s="75">
        <v>4.04</v>
      </c>
      <c r="E14" s="77">
        <v>0</v>
      </c>
      <c r="F14" s="76">
        <f t="shared" si="1"/>
        <v>0</v>
      </c>
      <c r="G14" s="99">
        <v>3</v>
      </c>
      <c r="H14" s="151">
        <v>0</v>
      </c>
      <c r="I14" s="238"/>
      <c r="J14" s="238"/>
      <c r="K14" s="76">
        <f t="shared" si="0"/>
        <v>0</v>
      </c>
      <c r="L14" s="158" t="s">
        <v>161</v>
      </c>
      <c r="M14" s="148"/>
      <c r="N14" s="99" t="s">
        <v>68</v>
      </c>
      <c r="O14" s="84"/>
      <c r="P14" s="79"/>
      <c r="Q14" s="80"/>
      <c r="R14" s="81"/>
      <c r="S14" s="82">
        <f t="shared" si="2"/>
        <v>0</v>
      </c>
    </row>
    <row r="15" spans="1:19" x14ac:dyDescent="0.35">
      <c r="A15" s="258"/>
      <c r="B15" s="74"/>
      <c r="C15" s="176" t="s">
        <v>69</v>
      </c>
      <c r="D15" s="75">
        <v>22.58</v>
      </c>
      <c r="E15" s="77">
        <v>0</v>
      </c>
      <c r="F15" s="76">
        <f t="shared" si="1"/>
        <v>0</v>
      </c>
      <c r="G15" s="99">
        <v>11</v>
      </c>
      <c r="H15" s="151">
        <v>0</v>
      </c>
      <c r="I15" s="238"/>
      <c r="J15" s="238"/>
      <c r="K15" s="76">
        <f t="shared" si="0"/>
        <v>0</v>
      </c>
      <c r="L15" s="158" t="s">
        <v>158</v>
      </c>
      <c r="M15" s="148"/>
      <c r="N15" s="99"/>
      <c r="O15" s="84"/>
      <c r="P15" s="79"/>
      <c r="Q15" s="80"/>
      <c r="R15" s="81"/>
      <c r="S15" s="82">
        <f t="shared" si="2"/>
        <v>0</v>
      </c>
    </row>
    <row r="16" spans="1:19" x14ac:dyDescent="0.35">
      <c r="A16" s="258"/>
      <c r="B16" s="74"/>
      <c r="C16" s="176" t="s">
        <v>70</v>
      </c>
      <c r="D16" s="75">
        <v>2.89</v>
      </c>
      <c r="E16" s="77">
        <v>0</v>
      </c>
      <c r="F16" s="76">
        <f t="shared" si="1"/>
        <v>0</v>
      </c>
      <c r="G16" s="99">
        <v>19</v>
      </c>
      <c r="H16" s="151">
        <v>0</v>
      </c>
      <c r="I16" s="238"/>
      <c r="J16" s="238"/>
      <c r="K16" s="76">
        <f t="shared" si="0"/>
        <v>0</v>
      </c>
      <c r="L16" s="158" t="s">
        <v>160</v>
      </c>
      <c r="M16" s="148"/>
      <c r="N16" s="99"/>
      <c r="O16" s="84"/>
      <c r="P16" s="79"/>
      <c r="Q16" s="80"/>
      <c r="R16" s="81"/>
      <c r="S16" s="82">
        <f t="shared" si="2"/>
        <v>0</v>
      </c>
    </row>
    <row r="17" spans="1:21" x14ac:dyDescent="0.35">
      <c r="A17" s="258"/>
      <c r="B17" s="74"/>
      <c r="C17" s="176" t="s">
        <v>71</v>
      </c>
      <c r="D17" s="75">
        <v>18.71</v>
      </c>
      <c r="E17" s="77">
        <v>0</v>
      </c>
      <c r="F17" s="76">
        <f t="shared" si="1"/>
        <v>0</v>
      </c>
      <c r="G17" s="99">
        <v>54</v>
      </c>
      <c r="H17" s="151">
        <v>0</v>
      </c>
      <c r="I17" s="238"/>
      <c r="J17" s="238"/>
      <c r="K17" s="76">
        <f t="shared" si="0"/>
        <v>0</v>
      </c>
      <c r="L17" s="158" t="s">
        <v>159</v>
      </c>
      <c r="M17" s="148"/>
      <c r="N17" s="99" t="s">
        <v>72</v>
      </c>
      <c r="O17" s="84"/>
      <c r="P17" s="79"/>
      <c r="Q17" s="80"/>
      <c r="R17" s="81"/>
      <c r="S17" s="82">
        <f>F17+K17</f>
        <v>0</v>
      </c>
    </row>
    <row r="18" spans="1:21" x14ac:dyDescent="0.35">
      <c r="A18" s="258"/>
      <c r="B18" s="74"/>
      <c r="C18" s="176"/>
      <c r="D18" s="75"/>
      <c r="E18" s="78"/>
      <c r="F18" s="145"/>
      <c r="G18" s="99"/>
      <c r="H18" s="84"/>
      <c r="I18" s="83"/>
      <c r="J18" s="143"/>
      <c r="K18" s="145"/>
      <c r="L18" s="78"/>
      <c r="M18" s="162"/>
      <c r="N18" s="99"/>
      <c r="O18" s="84"/>
      <c r="P18" s="79"/>
      <c r="Q18" s="80"/>
      <c r="R18" s="81"/>
      <c r="S18" s="82"/>
    </row>
    <row r="19" spans="1:21" x14ac:dyDescent="0.35">
      <c r="A19" s="258"/>
      <c r="B19" s="74"/>
      <c r="C19" s="176" t="s">
        <v>73</v>
      </c>
      <c r="D19" s="75"/>
      <c r="E19" s="78"/>
      <c r="F19" s="145"/>
      <c r="G19" s="99"/>
      <c r="H19" s="84"/>
      <c r="I19" s="83"/>
      <c r="J19" s="143"/>
      <c r="K19" s="146"/>
      <c r="L19" s="85"/>
      <c r="M19" s="162">
        <v>5</v>
      </c>
      <c r="N19" s="99" t="s">
        <v>74</v>
      </c>
      <c r="O19" s="151">
        <v>0</v>
      </c>
      <c r="P19" s="86">
        <f>((M19*O19)*12)</f>
        <v>0</v>
      </c>
      <c r="Q19" s="80"/>
      <c r="R19" s="81"/>
      <c r="S19" s="82">
        <f>P19</f>
        <v>0</v>
      </c>
    </row>
    <row r="20" spans="1:21" x14ac:dyDescent="0.35">
      <c r="A20" s="258"/>
      <c r="B20" s="74"/>
      <c r="C20" s="176" t="s">
        <v>75</v>
      </c>
      <c r="D20" s="75"/>
      <c r="E20" s="78"/>
      <c r="F20" s="145"/>
      <c r="G20" s="99"/>
      <c r="H20" s="84"/>
      <c r="I20" s="83"/>
      <c r="J20" s="143"/>
      <c r="K20" s="145"/>
      <c r="L20" s="78"/>
      <c r="M20" s="162">
        <v>20</v>
      </c>
      <c r="N20" s="99" t="s">
        <v>76</v>
      </c>
      <c r="O20" s="151">
        <v>0</v>
      </c>
      <c r="P20" s="86">
        <f t="shared" ref="P20:P26" si="3">((M20*O20)*12)</f>
        <v>0</v>
      </c>
      <c r="Q20" s="80"/>
      <c r="R20" s="81"/>
      <c r="S20" s="82">
        <f t="shared" ref="S20:S30" si="4">P20</f>
        <v>0</v>
      </c>
    </row>
    <row r="21" spans="1:21" x14ac:dyDescent="0.35">
      <c r="A21" s="258"/>
      <c r="B21" s="74"/>
      <c r="C21" s="177" t="s">
        <v>151</v>
      </c>
      <c r="D21" s="75"/>
      <c r="E21" s="78"/>
      <c r="F21" s="145"/>
      <c r="G21" s="99"/>
      <c r="H21" s="84"/>
      <c r="I21" s="83"/>
      <c r="J21" s="143"/>
      <c r="K21" s="145"/>
      <c r="L21" s="78"/>
      <c r="M21" s="178">
        <v>2391</v>
      </c>
      <c r="N21" s="153" t="s">
        <v>77</v>
      </c>
      <c r="O21" s="154"/>
      <c r="P21" s="155"/>
      <c r="Q21" s="80"/>
      <c r="R21" s="81"/>
      <c r="S21" s="82"/>
    </row>
    <row r="22" spans="1:21" x14ac:dyDescent="0.35">
      <c r="A22" s="258"/>
      <c r="B22" s="74"/>
      <c r="C22" s="176" t="s">
        <v>78</v>
      </c>
      <c r="D22" s="75"/>
      <c r="E22" s="78"/>
      <c r="F22" s="145"/>
      <c r="G22" s="99"/>
      <c r="H22" s="84"/>
      <c r="I22" s="83"/>
      <c r="J22" s="143"/>
      <c r="K22" s="145"/>
      <c r="L22" s="78"/>
      <c r="M22" s="162">
        <v>3</v>
      </c>
      <c r="N22" s="99" t="s">
        <v>76</v>
      </c>
      <c r="O22" s="151">
        <v>0</v>
      </c>
      <c r="P22" s="86">
        <f t="shared" si="3"/>
        <v>0</v>
      </c>
      <c r="Q22" s="80"/>
      <c r="R22" s="81"/>
      <c r="S22" s="82">
        <f t="shared" si="4"/>
        <v>0</v>
      </c>
    </row>
    <row r="23" spans="1:21" x14ac:dyDescent="0.35">
      <c r="A23" s="258"/>
      <c r="B23" s="74"/>
      <c r="C23" s="176" t="s">
        <v>79</v>
      </c>
      <c r="D23" s="75"/>
      <c r="E23" s="78"/>
      <c r="F23" s="145"/>
      <c r="G23" s="99"/>
      <c r="H23" s="84"/>
      <c r="I23" s="83"/>
      <c r="J23" s="143"/>
      <c r="K23" s="145"/>
      <c r="L23" s="78"/>
      <c r="M23" s="162">
        <v>1</v>
      </c>
      <c r="N23" s="99" t="s">
        <v>80</v>
      </c>
      <c r="O23" s="151">
        <v>0</v>
      </c>
      <c r="P23" s="86">
        <f t="shared" si="3"/>
        <v>0</v>
      </c>
      <c r="Q23" s="80"/>
      <c r="R23" s="81"/>
      <c r="S23" s="82">
        <f t="shared" si="4"/>
        <v>0</v>
      </c>
    </row>
    <row r="24" spans="1:21" x14ac:dyDescent="0.35">
      <c r="A24" s="258"/>
      <c r="B24" s="74"/>
      <c r="C24" s="176" t="s">
        <v>79</v>
      </c>
      <c r="D24" s="75"/>
      <c r="E24" s="78"/>
      <c r="F24" s="145"/>
      <c r="G24" s="99"/>
      <c r="H24" s="84"/>
      <c r="I24" s="83"/>
      <c r="J24" s="143"/>
      <c r="K24" s="145"/>
      <c r="L24" s="78"/>
      <c r="M24" s="162">
        <v>1</v>
      </c>
      <c r="N24" s="99" t="s">
        <v>74</v>
      </c>
      <c r="O24" s="151">
        <v>0</v>
      </c>
      <c r="P24" s="86">
        <f t="shared" si="3"/>
        <v>0</v>
      </c>
      <c r="Q24" s="80"/>
      <c r="R24" s="81"/>
      <c r="S24" s="82">
        <f t="shared" si="4"/>
        <v>0</v>
      </c>
    </row>
    <row r="25" spans="1:21" x14ac:dyDescent="0.35">
      <c r="A25" s="258"/>
      <c r="B25" s="74"/>
      <c r="C25" s="176" t="s">
        <v>81</v>
      </c>
      <c r="D25" s="75"/>
      <c r="E25" s="78"/>
      <c r="F25" s="145"/>
      <c r="G25" s="99"/>
      <c r="H25" s="84"/>
      <c r="I25" s="83"/>
      <c r="J25" s="143"/>
      <c r="K25" s="145"/>
      <c r="L25" s="78"/>
      <c r="M25" s="162">
        <v>8</v>
      </c>
      <c r="N25" s="99" t="s">
        <v>80</v>
      </c>
      <c r="O25" s="151">
        <v>0</v>
      </c>
      <c r="P25" s="86">
        <f t="shared" si="3"/>
        <v>0</v>
      </c>
      <c r="Q25" s="80"/>
      <c r="R25" s="81"/>
      <c r="S25" s="82">
        <f t="shared" si="4"/>
        <v>0</v>
      </c>
    </row>
    <row r="26" spans="1:21" x14ac:dyDescent="0.35">
      <c r="A26" s="258"/>
      <c r="B26" s="74"/>
      <c r="C26" s="176" t="s">
        <v>82</v>
      </c>
      <c r="D26" s="75"/>
      <c r="E26" s="78"/>
      <c r="F26" s="145"/>
      <c r="G26" s="99"/>
      <c r="H26" s="84"/>
      <c r="I26" s="83"/>
      <c r="J26" s="143"/>
      <c r="K26" s="145"/>
      <c r="L26" s="78"/>
      <c r="M26" s="162">
        <v>1</v>
      </c>
      <c r="N26" s="99" t="s">
        <v>74</v>
      </c>
      <c r="O26" s="151">
        <v>0</v>
      </c>
      <c r="P26" s="86">
        <f t="shared" si="3"/>
        <v>0</v>
      </c>
      <c r="Q26" s="80"/>
      <c r="R26" s="81"/>
      <c r="S26" s="82">
        <f t="shared" si="4"/>
        <v>0</v>
      </c>
    </row>
    <row r="27" spans="1:21" x14ac:dyDescent="0.35">
      <c r="A27" s="258"/>
      <c r="B27" s="74"/>
      <c r="C27" s="176" t="s">
        <v>83</v>
      </c>
      <c r="D27" s="75"/>
      <c r="E27" s="78"/>
      <c r="F27" s="145"/>
      <c r="G27" s="99"/>
      <c r="H27" s="84"/>
      <c r="I27" s="83"/>
      <c r="J27" s="143"/>
      <c r="K27" s="145"/>
      <c r="L27" s="78"/>
      <c r="M27" s="162">
        <v>4</v>
      </c>
      <c r="N27" s="99" t="s">
        <v>84</v>
      </c>
      <c r="O27" s="151">
        <v>0</v>
      </c>
      <c r="P27" s="86">
        <f>((M27*O27)*12)</f>
        <v>0</v>
      </c>
      <c r="Q27" s="80"/>
      <c r="R27" s="81"/>
      <c r="S27" s="82">
        <f t="shared" si="4"/>
        <v>0</v>
      </c>
    </row>
    <row r="28" spans="1:21" x14ac:dyDescent="0.35">
      <c r="A28" s="258"/>
      <c r="B28" s="74"/>
      <c r="C28" s="177" t="s">
        <v>85</v>
      </c>
      <c r="D28" s="75"/>
      <c r="E28" s="78"/>
      <c r="F28" s="145"/>
      <c r="G28" s="99"/>
      <c r="H28" s="84"/>
      <c r="I28" s="83"/>
      <c r="J28" s="143"/>
      <c r="K28" s="145"/>
      <c r="L28" s="78"/>
      <c r="M28" s="162">
        <v>4</v>
      </c>
      <c r="N28" s="157" t="s">
        <v>84</v>
      </c>
      <c r="O28" s="154"/>
      <c r="P28" s="155"/>
      <c r="Q28" s="80"/>
      <c r="R28" s="81"/>
      <c r="S28" s="82"/>
    </row>
    <row r="29" spans="1:21" x14ac:dyDescent="0.35">
      <c r="A29" s="258"/>
      <c r="B29" s="74"/>
      <c r="C29" s="176"/>
      <c r="D29" s="75"/>
      <c r="E29" s="143"/>
      <c r="F29" s="145"/>
      <c r="G29" s="99"/>
      <c r="H29" s="143"/>
      <c r="I29" s="83"/>
      <c r="J29" s="143"/>
      <c r="K29" s="145"/>
      <c r="L29" s="78"/>
      <c r="M29" s="162"/>
      <c r="N29" s="99"/>
      <c r="O29" s="152" t="s">
        <v>149</v>
      </c>
      <c r="P29" s="179" t="s">
        <v>51</v>
      </c>
      <c r="Q29" s="80"/>
      <c r="R29" s="81"/>
      <c r="S29" s="82"/>
    </row>
    <row r="30" spans="1:21" ht="15" thickBot="1" x14ac:dyDescent="0.4">
      <c r="A30" s="258"/>
      <c r="B30" s="74"/>
      <c r="C30" s="176" t="s">
        <v>86</v>
      </c>
      <c r="D30" s="106"/>
      <c r="E30" s="143"/>
      <c r="F30" s="145"/>
      <c r="G30" s="99"/>
      <c r="H30" s="143"/>
      <c r="I30" s="83"/>
      <c r="J30" s="143"/>
      <c r="K30" s="145"/>
      <c r="L30" s="78"/>
      <c r="M30" s="240">
        <v>4</v>
      </c>
      <c r="N30" s="99"/>
      <c r="O30" s="151">
        <v>0</v>
      </c>
      <c r="P30" s="86">
        <f>(4*O30)*2</f>
        <v>0</v>
      </c>
      <c r="Q30" s="80"/>
      <c r="R30" s="81"/>
      <c r="S30" s="82">
        <f t="shared" si="4"/>
        <v>0</v>
      </c>
      <c r="T30" s="95"/>
    </row>
    <row r="31" spans="1:21" x14ac:dyDescent="0.35">
      <c r="A31" s="258"/>
      <c r="B31" s="64" t="s">
        <v>87</v>
      </c>
      <c r="C31" s="27" t="s">
        <v>88</v>
      </c>
      <c r="D31" s="65">
        <v>37.659999999999997</v>
      </c>
      <c r="E31" s="67">
        <v>0</v>
      </c>
      <c r="F31" s="236">
        <f t="shared" ref="F31:F64" si="5">(D31*E31)</f>
        <v>0</v>
      </c>
      <c r="G31" s="96">
        <v>52</v>
      </c>
      <c r="H31" s="236">
        <v>0</v>
      </c>
      <c r="I31" s="242"/>
      <c r="J31" s="244"/>
      <c r="K31" s="67">
        <f>(G31*H31)</f>
        <v>0</v>
      </c>
      <c r="L31" s="164" t="s">
        <v>154</v>
      </c>
      <c r="M31" s="97"/>
      <c r="N31" s="96"/>
      <c r="O31" s="69"/>
      <c r="P31" s="241"/>
      <c r="Q31" s="71"/>
      <c r="R31" s="72"/>
      <c r="S31" s="82">
        <f>F31+K31+P31</f>
        <v>0</v>
      </c>
      <c r="T31" s="95"/>
      <c r="U31" s="98"/>
    </row>
    <row r="32" spans="1:21" x14ac:dyDescent="0.35">
      <c r="A32" s="258"/>
      <c r="B32" s="74"/>
      <c r="C32" s="19" t="s">
        <v>89</v>
      </c>
      <c r="D32" s="75">
        <v>224.9</v>
      </c>
      <c r="E32" s="77">
        <v>0</v>
      </c>
      <c r="F32" s="175">
        <f t="shared" si="5"/>
        <v>0</v>
      </c>
      <c r="G32" s="99">
        <v>150</v>
      </c>
      <c r="H32" s="175">
        <v>0</v>
      </c>
      <c r="I32" s="237"/>
      <c r="J32" s="245"/>
      <c r="K32" s="77">
        <f>(G32*H32)</f>
        <v>0</v>
      </c>
      <c r="L32" s="158" t="s">
        <v>162</v>
      </c>
      <c r="M32" s="148"/>
      <c r="N32" s="99"/>
      <c r="O32" s="78"/>
      <c r="P32" s="100"/>
      <c r="Q32" s="80"/>
      <c r="R32" s="81"/>
      <c r="S32" s="82">
        <f>F32+K32+P32</f>
        <v>0</v>
      </c>
      <c r="U32" s="98"/>
    </row>
    <row r="33" spans="1:21" x14ac:dyDescent="0.35">
      <c r="A33" s="258"/>
      <c r="B33" s="74"/>
      <c r="C33" s="19" t="s">
        <v>90</v>
      </c>
      <c r="D33" s="75">
        <v>10</v>
      </c>
      <c r="E33" s="77">
        <v>0</v>
      </c>
      <c r="F33" s="175">
        <f t="shared" si="5"/>
        <v>0</v>
      </c>
      <c r="G33" s="99">
        <v>60</v>
      </c>
      <c r="H33" s="175">
        <v>0</v>
      </c>
      <c r="I33" s="237"/>
      <c r="J33" s="245"/>
      <c r="K33" s="77">
        <f>(G33*H33)</f>
        <v>0</v>
      </c>
      <c r="L33" s="158" t="s">
        <v>165</v>
      </c>
      <c r="M33" s="148"/>
      <c r="N33" s="99"/>
      <c r="O33" s="78"/>
      <c r="P33" s="100"/>
      <c r="Q33" s="80"/>
      <c r="R33" s="81"/>
      <c r="S33" s="82">
        <f>F33+K33+P33</f>
        <v>0</v>
      </c>
      <c r="U33" s="98"/>
    </row>
    <row r="34" spans="1:21" x14ac:dyDescent="0.35">
      <c r="A34" s="258"/>
      <c r="B34" s="74"/>
      <c r="C34" s="19"/>
      <c r="D34" s="75"/>
      <c r="E34" s="78"/>
      <c r="F34" s="143"/>
      <c r="G34" s="99"/>
      <c r="H34" s="143"/>
      <c r="I34" s="99"/>
      <c r="J34" s="143"/>
      <c r="K34" s="78"/>
      <c r="L34" s="149"/>
      <c r="M34" s="148"/>
      <c r="N34" s="99"/>
      <c r="O34" s="78"/>
      <c r="P34" s="100"/>
      <c r="Q34" s="80"/>
      <c r="R34" s="81"/>
      <c r="S34" s="82"/>
      <c r="U34" s="98"/>
    </row>
    <row r="35" spans="1:21" x14ac:dyDescent="0.35">
      <c r="A35" s="258"/>
      <c r="B35" s="74"/>
      <c r="C35" s="19"/>
      <c r="D35" s="75"/>
      <c r="E35" s="78"/>
      <c r="F35" s="143"/>
      <c r="G35" s="99"/>
      <c r="H35" s="143"/>
      <c r="I35" s="99"/>
      <c r="J35" s="143"/>
      <c r="K35" s="78"/>
      <c r="L35" s="78"/>
      <c r="M35" s="148"/>
      <c r="N35" s="99"/>
      <c r="O35" s="78"/>
      <c r="P35" s="100"/>
      <c r="Q35" s="80"/>
      <c r="R35" s="81"/>
      <c r="S35" s="82"/>
      <c r="U35" s="98"/>
    </row>
    <row r="36" spans="1:21" x14ac:dyDescent="0.35">
      <c r="A36" s="258"/>
      <c r="B36" s="74"/>
      <c r="C36" s="19" t="s">
        <v>91</v>
      </c>
      <c r="D36" s="75"/>
      <c r="E36" s="78"/>
      <c r="F36" s="143"/>
      <c r="G36" s="99"/>
      <c r="H36" s="143"/>
      <c r="I36" s="99"/>
      <c r="J36" s="143"/>
      <c r="K36" s="78"/>
      <c r="L36" s="78"/>
      <c r="M36" s="176">
        <v>4</v>
      </c>
      <c r="N36" s="99" t="s">
        <v>80</v>
      </c>
      <c r="O36" s="77">
        <v>0</v>
      </c>
      <c r="P36" s="86">
        <f>((M36*O36)*12)</f>
        <v>0</v>
      </c>
      <c r="Q36" s="80"/>
      <c r="R36" s="81"/>
      <c r="S36" s="82">
        <f>P36</f>
        <v>0</v>
      </c>
      <c r="U36" s="98"/>
    </row>
    <row r="37" spans="1:21" x14ac:dyDescent="0.35">
      <c r="A37" s="258"/>
      <c r="B37" s="74"/>
      <c r="C37" s="19" t="s">
        <v>152</v>
      </c>
      <c r="D37" s="75"/>
      <c r="E37" s="78"/>
      <c r="F37" s="143"/>
      <c r="G37" s="99"/>
      <c r="H37" s="143"/>
      <c r="I37" s="99"/>
      <c r="J37" s="143"/>
      <c r="K37" s="78"/>
      <c r="L37" s="78"/>
      <c r="M37" s="160">
        <v>1</v>
      </c>
      <c r="N37" s="99" t="s">
        <v>92</v>
      </c>
      <c r="O37" s="77">
        <v>0</v>
      </c>
      <c r="P37" s="86">
        <f t="shared" ref="P37:P39" si="6">((M37*O37)*12)</f>
        <v>0</v>
      </c>
      <c r="Q37" s="80"/>
      <c r="R37" s="81"/>
      <c r="S37" s="82">
        <f t="shared" ref="S37:S39" si="7">P37</f>
        <v>0</v>
      </c>
      <c r="U37" s="98"/>
    </row>
    <row r="38" spans="1:21" x14ac:dyDescent="0.35">
      <c r="A38" s="258"/>
      <c r="B38" s="74"/>
      <c r="C38" s="19" t="s">
        <v>93</v>
      </c>
      <c r="D38" s="75"/>
      <c r="E38" s="78"/>
      <c r="F38" s="143"/>
      <c r="G38" s="99"/>
      <c r="H38" s="143"/>
      <c r="I38" s="99"/>
      <c r="J38" s="143"/>
      <c r="K38" s="78"/>
      <c r="L38" s="78"/>
      <c r="M38" s="160">
        <v>5</v>
      </c>
      <c r="N38" s="99" t="s">
        <v>94</v>
      </c>
      <c r="O38" s="77">
        <v>0</v>
      </c>
      <c r="P38" s="86">
        <f t="shared" si="6"/>
        <v>0</v>
      </c>
      <c r="Q38" s="80"/>
      <c r="R38" s="81"/>
      <c r="S38" s="82">
        <f t="shared" si="7"/>
        <v>0</v>
      </c>
      <c r="U38" s="98"/>
    </row>
    <row r="39" spans="1:21" ht="15" thickBot="1" x14ac:dyDescent="0.4">
      <c r="A39" s="258"/>
      <c r="B39" s="74"/>
      <c r="C39" s="19" t="s">
        <v>93</v>
      </c>
      <c r="D39" s="75"/>
      <c r="E39" s="78"/>
      <c r="F39" s="143"/>
      <c r="G39" s="99"/>
      <c r="H39" s="143"/>
      <c r="I39" s="99"/>
      <c r="J39" s="143"/>
      <c r="K39" s="78"/>
      <c r="L39" s="78"/>
      <c r="M39" s="160">
        <v>1</v>
      </c>
      <c r="N39" s="99" t="s">
        <v>74</v>
      </c>
      <c r="O39" s="77">
        <v>0</v>
      </c>
      <c r="P39" s="86">
        <f t="shared" si="6"/>
        <v>0</v>
      </c>
      <c r="Q39" s="80"/>
      <c r="R39" s="81"/>
      <c r="S39" s="82">
        <f t="shared" si="7"/>
        <v>0</v>
      </c>
      <c r="U39" s="98"/>
    </row>
    <row r="40" spans="1:21" x14ac:dyDescent="0.35">
      <c r="A40" s="258"/>
      <c r="B40" s="64" t="s">
        <v>29</v>
      </c>
      <c r="C40" s="27" t="s">
        <v>95</v>
      </c>
      <c r="D40" s="163">
        <v>30.8</v>
      </c>
      <c r="E40" s="67">
        <v>0</v>
      </c>
      <c r="F40" s="67">
        <f>E40*D40</f>
        <v>0</v>
      </c>
      <c r="G40" s="68">
        <v>11</v>
      </c>
      <c r="H40" s="67">
        <v>0</v>
      </c>
      <c r="I40" s="242"/>
      <c r="J40" s="246"/>
      <c r="K40" s="66">
        <f>(G40*H40)</f>
        <v>0</v>
      </c>
      <c r="L40" s="164" t="s">
        <v>170</v>
      </c>
      <c r="M40" s="165"/>
      <c r="N40" s="96"/>
      <c r="O40" s="69"/>
      <c r="P40" s="70"/>
      <c r="Q40" s="71"/>
      <c r="R40" s="72"/>
      <c r="S40" s="82">
        <f>F40+K40+P40</f>
        <v>0</v>
      </c>
    </row>
    <row r="41" spans="1:21" x14ac:dyDescent="0.35">
      <c r="A41" s="258"/>
      <c r="B41" s="74"/>
      <c r="C41" s="19"/>
      <c r="D41" s="166"/>
      <c r="E41" s="78"/>
      <c r="F41" s="78"/>
      <c r="G41" s="162"/>
      <c r="H41" s="78"/>
      <c r="I41" s="99"/>
      <c r="J41" s="145"/>
      <c r="K41" s="145"/>
      <c r="L41" s="159"/>
      <c r="M41" s="148"/>
      <c r="N41" s="99"/>
      <c r="O41" s="78"/>
      <c r="P41" s="79"/>
      <c r="Q41" s="80"/>
      <c r="R41" s="81"/>
      <c r="S41" s="82"/>
    </row>
    <row r="42" spans="1:21" x14ac:dyDescent="0.35">
      <c r="A42" s="258"/>
      <c r="B42" s="74"/>
      <c r="C42" s="19" t="s">
        <v>96</v>
      </c>
      <c r="D42" s="166">
        <v>0.13</v>
      </c>
      <c r="E42" s="103">
        <v>0</v>
      </c>
      <c r="F42" s="77">
        <f>(D42*E42)</f>
        <v>0</v>
      </c>
      <c r="G42" s="162">
        <v>0</v>
      </c>
      <c r="H42" s="104"/>
      <c r="I42" s="237"/>
      <c r="J42" s="247"/>
      <c r="K42" s="145"/>
      <c r="L42" s="159" t="s">
        <v>166</v>
      </c>
      <c r="M42" s="148"/>
      <c r="N42" s="99"/>
      <c r="O42" s="78"/>
      <c r="P42" s="79"/>
      <c r="Q42" s="80"/>
      <c r="R42" s="81"/>
      <c r="S42" s="82">
        <f t="shared" ref="S42:S66" si="8">F42+K42+P42</f>
        <v>0</v>
      </c>
    </row>
    <row r="43" spans="1:21" x14ac:dyDescent="0.35">
      <c r="A43" s="258"/>
      <c r="B43" s="74"/>
      <c r="C43" s="19" t="s">
        <v>97</v>
      </c>
      <c r="D43" s="166">
        <v>0.01</v>
      </c>
      <c r="E43" s="103">
        <v>0</v>
      </c>
      <c r="F43" s="77">
        <f>(D43*E43)</f>
        <v>0</v>
      </c>
      <c r="G43" s="162">
        <v>0</v>
      </c>
      <c r="H43" s="104"/>
      <c r="I43" s="237"/>
      <c r="J43" s="247"/>
      <c r="K43" s="145"/>
      <c r="L43" s="159" t="s">
        <v>166</v>
      </c>
      <c r="M43" s="148"/>
      <c r="N43" s="99"/>
      <c r="O43" s="78"/>
      <c r="P43" s="79"/>
      <c r="Q43" s="80"/>
      <c r="R43" s="81"/>
      <c r="S43" s="82">
        <f t="shared" si="8"/>
        <v>0</v>
      </c>
    </row>
    <row r="44" spans="1:21" x14ac:dyDescent="0.35">
      <c r="A44" s="258"/>
      <c r="B44" s="74"/>
      <c r="C44" s="19" t="s">
        <v>98</v>
      </c>
      <c r="D44" s="166">
        <v>1.01</v>
      </c>
      <c r="E44" s="103">
        <v>0</v>
      </c>
      <c r="F44" s="77">
        <f t="shared" si="5"/>
        <v>0</v>
      </c>
      <c r="G44" s="162">
        <v>0</v>
      </c>
      <c r="H44" s="104"/>
      <c r="I44" s="237"/>
      <c r="J44" s="247"/>
      <c r="K44" s="145"/>
      <c r="L44" s="159" t="s">
        <v>166</v>
      </c>
      <c r="M44" s="148"/>
      <c r="N44" s="99"/>
      <c r="O44" s="78"/>
      <c r="P44" s="79"/>
      <c r="Q44" s="80"/>
      <c r="R44" s="81"/>
      <c r="S44" s="82">
        <f t="shared" si="8"/>
        <v>0</v>
      </c>
    </row>
    <row r="45" spans="1:21" x14ac:dyDescent="0.35">
      <c r="A45" s="258"/>
      <c r="B45" s="74"/>
      <c r="C45" s="19" t="s">
        <v>99</v>
      </c>
      <c r="D45" s="166">
        <v>0.2</v>
      </c>
      <c r="E45" s="103">
        <v>0</v>
      </c>
      <c r="F45" s="77">
        <f t="shared" si="5"/>
        <v>0</v>
      </c>
      <c r="G45" s="162">
        <v>0</v>
      </c>
      <c r="H45" s="104"/>
      <c r="I45" s="237"/>
      <c r="J45" s="247"/>
      <c r="K45" s="145"/>
      <c r="L45" s="159" t="s">
        <v>166</v>
      </c>
      <c r="M45" s="148"/>
      <c r="N45" s="99"/>
      <c r="O45" s="78"/>
      <c r="P45" s="79"/>
      <c r="Q45" s="80"/>
      <c r="R45" s="81"/>
      <c r="S45" s="82">
        <f t="shared" si="8"/>
        <v>0</v>
      </c>
    </row>
    <row r="46" spans="1:21" x14ac:dyDescent="0.35">
      <c r="A46" s="258"/>
      <c r="B46" s="74"/>
      <c r="C46" s="19" t="s">
        <v>100</v>
      </c>
      <c r="D46" s="166">
        <v>0.64</v>
      </c>
      <c r="E46" s="103">
        <v>0</v>
      </c>
      <c r="F46" s="77">
        <f t="shared" si="5"/>
        <v>0</v>
      </c>
      <c r="G46" s="162">
        <v>0</v>
      </c>
      <c r="H46" s="104"/>
      <c r="I46" s="237"/>
      <c r="J46" s="247"/>
      <c r="K46" s="145"/>
      <c r="L46" s="159" t="s">
        <v>166</v>
      </c>
      <c r="M46" s="148"/>
      <c r="N46" s="99"/>
      <c r="O46" s="78"/>
      <c r="P46" s="79"/>
      <c r="Q46" s="80"/>
      <c r="R46" s="81"/>
      <c r="S46" s="82">
        <f t="shared" si="8"/>
        <v>0</v>
      </c>
    </row>
    <row r="47" spans="1:21" x14ac:dyDescent="0.35">
      <c r="A47" s="258"/>
      <c r="B47" s="74"/>
      <c r="C47" s="19" t="s">
        <v>101</v>
      </c>
      <c r="D47" s="166">
        <v>1</v>
      </c>
      <c r="E47" s="103">
        <v>0</v>
      </c>
      <c r="F47" s="77">
        <f t="shared" si="5"/>
        <v>0</v>
      </c>
      <c r="G47" s="162">
        <v>0</v>
      </c>
      <c r="H47" s="104"/>
      <c r="I47" s="237"/>
      <c r="J47" s="247"/>
      <c r="K47" s="145"/>
      <c r="L47" s="159" t="s">
        <v>166</v>
      </c>
      <c r="M47" s="148"/>
      <c r="N47" s="99" t="s">
        <v>72</v>
      </c>
      <c r="O47" s="78"/>
      <c r="P47" s="79"/>
      <c r="Q47" s="80"/>
      <c r="R47" s="81"/>
      <c r="S47" s="82">
        <f t="shared" si="8"/>
        <v>0</v>
      </c>
    </row>
    <row r="48" spans="1:21" x14ac:dyDescent="0.35">
      <c r="A48" s="258"/>
      <c r="B48" s="74"/>
      <c r="C48" s="19" t="s">
        <v>102</v>
      </c>
      <c r="D48" s="166">
        <v>2.04</v>
      </c>
      <c r="E48" s="103">
        <v>0</v>
      </c>
      <c r="F48" s="77">
        <f t="shared" si="5"/>
        <v>0</v>
      </c>
      <c r="G48" s="162">
        <v>0</v>
      </c>
      <c r="H48" s="104"/>
      <c r="I48" s="237"/>
      <c r="J48" s="247"/>
      <c r="K48" s="145"/>
      <c r="L48" s="159" t="s">
        <v>166</v>
      </c>
      <c r="M48" s="148"/>
      <c r="N48" s="99"/>
      <c r="O48" s="78"/>
      <c r="P48" s="79"/>
      <c r="Q48" s="80"/>
      <c r="R48" s="81"/>
      <c r="S48" s="82">
        <f t="shared" si="8"/>
        <v>0</v>
      </c>
    </row>
    <row r="49" spans="1:19" x14ac:dyDescent="0.35">
      <c r="A49" s="258"/>
      <c r="B49" s="74"/>
      <c r="C49" s="19" t="s">
        <v>103</v>
      </c>
      <c r="D49" s="166">
        <v>6.2E-2</v>
      </c>
      <c r="E49" s="103">
        <v>0</v>
      </c>
      <c r="F49" s="77">
        <f t="shared" si="5"/>
        <v>0</v>
      </c>
      <c r="G49" s="162">
        <v>0</v>
      </c>
      <c r="H49" s="104"/>
      <c r="I49" s="237"/>
      <c r="J49" s="247"/>
      <c r="K49" s="145"/>
      <c r="L49" s="159" t="s">
        <v>166</v>
      </c>
      <c r="M49" s="148"/>
      <c r="N49" s="99"/>
      <c r="O49" s="78"/>
      <c r="P49" s="79"/>
      <c r="Q49" s="80"/>
      <c r="R49" s="81"/>
      <c r="S49" s="82">
        <f t="shared" si="8"/>
        <v>0</v>
      </c>
    </row>
    <row r="50" spans="1:19" x14ac:dyDescent="0.35">
      <c r="A50" s="258"/>
      <c r="B50" s="74"/>
      <c r="C50" s="19" t="s">
        <v>104</v>
      </c>
      <c r="D50" s="166">
        <v>1.36</v>
      </c>
      <c r="E50" s="103">
        <v>0</v>
      </c>
      <c r="F50" s="77">
        <f t="shared" si="5"/>
        <v>0</v>
      </c>
      <c r="G50" s="162">
        <v>0</v>
      </c>
      <c r="H50" s="104"/>
      <c r="I50" s="237"/>
      <c r="J50" s="247"/>
      <c r="K50" s="145"/>
      <c r="L50" s="159" t="s">
        <v>166</v>
      </c>
      <c r="M50" s="148"/>
      <c r="N50" s="99"/>
      <c r="O50" s="78"/>
      <c r="P50" s="79"/>
      <c r="Q50" s="80"/>
      <c r="R50" s="81"/>
      <c r="S50" s="82">
        <f t="shared" si="8"/>
        <v>0</v>
      </c>
    </row>
    <row r="51" spans="1:19" x14ac:dyDescent="0.35">
      <c r="A51" s="258"/>
      <c r="B51" s="74"/>
      <c r="C51" s="19" t="s">
        <v>105</v>
      </c>
      <c r="D51" s="166">
        <v>5.1100000000000003</v>
      </c>
      <c r="E51" s="103">
        <v>0</v>
      </c>
      <c r="F51" s="77">
        <f t="shared" si="5"/>
        <v>0</v>
      </c>
      <c r="G51" s="162">
        <v>0</v>
      </c>
      <c r="H51" s="104"/>
      <c r="I51" s="237"/>
      <c r="J51" s="247"/>
      <c r="K51" s="145"/>
      <c r="L51" s="159" t="s">
        <v>167</v>
      </c>
      <c r="M51" s="148"/>
      <c r="N51" s="99"/>
      <c r="O51" s="78"/>
      <c r="P51" s="79"/>
      <c r="Q51" s="80"/>
      <c r="R51" s="81"/>
      <c r="S51" s="82">
        <f t="shared" si="8"/>
        <v>0</v>
      </c>
    </row>
    <row r="52" spans="1:19" x14ac:dyDescent="0.35">
      <c r="A52" s="258"/>
      <c r="B52" s="74"/>
      <c r="C52" s="19" t="s">
        <v>106</v>
      </c>
      <c r="D52" s="166">
        <v>1.0999999999999999E-2</v>
      </c>
      <c r="E52" s="103">
        <v>0</v>
      </c>
      <c r="F52" s="77">
        <f t="shared" si="5"/>
        <v>0</v>
      </c>
      <c r="G52" s="162">
        <v>0</v>
      </c>
      <c r="H52" s="104"/>
      <c r="I52" s="237"/>
      <c r="J52" s="247"/>
      <c r="K52" s="145"/>
      <c r="L52" s="159" t="s">
        <v>166</v>
      </c>
      <c r="M52" s="148"/>
      <c r="N52" s="99"/>
      <c r="O52" s="78"/>
      <c r="P52" s="79"/>
      <c r="Q52" s="80"/>
      <c r="R52" s="81"/>
      <c r="S52" s="82">
        <f t="shared" si="8"/>
        <v>0</v>
      </c>
    </row>
    <row r="53" spans="1:19" x14ac:dyDescent="0.35">
      <c r="A53" s="258"/>
      <c r="B53" s="74"/>
      <c r="C53" s="19" t="s">
        <v>107</v>
      </c>
      <c r="D53" s="166">
        <v>0.09</v>
      </c>
      <c r="E53" s="103">
        <v>0</v>
      </c>
      <c r="F53" s="77">
        <f t="shared" si="5"/>
        <v>0</v>
      </c>
      <c r="G53" s="162">
        <v>0</v>
      </c>
      <c r="H53" s="104"/>
      <c r="I53" s="237"/>
      <c r="J53" s="247"/>
      <c r="K53" s="145"/>
      <c r="L53" s="159" t="s">
        <v>168</v>
      </c>
      <c r="M53" s="148"/>
      <c r="N53" s="99"/>
      <c r="O53" s="78"/>
      <c r="P53" s="79"/>
      <c r="Q53" s="80"/>
      <c r="R53" s="81"/>
      <c r="S53" s="82">
        <f t="shared" si="8"/>
        <v>0</v>
      </c>
    </row>
    <row r="54" spans="1:19" x14ac:dyDescent="0.35">
      <c r="A54" s="258"/>
      <c r="B54" s="74"/>
      <c r="C54" s="19" t="s">
        <v>108</v>
      </c>
      <c r="D54" s="166">
        <v>0.05</v>
      </c>
      <c r="E54" s="103">
        <v>0</v>
      </c>
      <c r="F54" s="77">
        <f t="shared" si="5"/>
        <v>0</v>
      </c>
      <c r="G54" s="162">
        <v>0</v>
      </c>
      <c r="H54" s="104"/>
      <c r="I54" s="237"/>
      <c r="J54" s="247"/>
      <c r="K54" s="145"/>
      <c r="L54" s="159" t="s">
        <v>168</v>
      </c>
      <c r="M54" s="148"/>
      <c r="N54" s="99"/>
      <c r="O54" s="78"/>
      <c r="P54" s="79"/>
      <c r="Q54" s="80"/>
      <c r="R54" s="81"/>
      <c r="S54" s="82">
        <f t="shared" si="8"/>
        <v>0</v>
      </c>
    </row>
    <row r="55" spans="1:19" x14ac:dyDescent="0.35">
      <c r="A55" s="258"/>
      <c r="B55" s="74"/>
      <c r="C55" s="19" t="s">
        <v>109</v>
      </c>
      <c r="D55" s="166">
        <v>0.01</v>
      </c>
      <c r="E55" s="103">
        <v>0</v>
      </c>
      <c r="F55" s="77">
        <f t="shared" si="5"/>
        <v>0</v>
      </c>
      <c r="G55" s="162">
        <v>0</v>
      </c>
      <c r="H55" s="104"/>
      <c r="I55" s="237"/>
      <c r="J55" s="247"/>
      <c r="K55" s="145"/>
      <c r="L55" s="159" t="s">
        <v>166</v>
      </c>
      <c r="M55" s="148"/>
      <c r="N55" s="99"/>
      <c r="O55" s="78"/>
      <c r="P55" s="79"/>
      <c r="Q55" s="80"/>
      <c r="R55" s="81"/>
      <c r="S55" s="82">
        <f t="shared" si="8"/>
        <v>0</v>
      </c>
    </row>
    <row r="56" spans="1:19" x14ac:dyDescent="0.35">
      <c r="A56" s="258"/>
      <c r="B56" s="74"/>
      <c r="C56" s="19" t="s">
        <v>110</v>
      </c>
      <c r="D56" s="166">
        <v>12.71</v>
      </c>
      <c r="E56" s="103">
        <v>0</v>
      </c>
      <c r="F56" s="77">
        <f t="shared" si="5"/>
        <v>0</v>
      </c>
      <c r="G56" s="162">
        <v>0</v>
      </c>
      <c r="H56" s="104"/>
      <c r="I56" s="237"/>
      <c r="J56" s="247"/>
      <c r="K56" s="145"/>
      <c r="L56" s="159" t="s">
        <v>168</v>
      </c>
      <c r="M56" s="148"/>
      <c r="N56" s="99"/>
      <c r="O56" s="78"/>
      <c r="P56" s="79"/>
      <c r="Q56" s="80"/>
      <c r="R56" s="81"/>
      <c r="S56" s="82">
        <f t="shared" si="8"/>
        <v>0</v>
      </c>
    </row>
    <row r="57" spans="1:19" x14ac:dyDescent="0.35">
      <c r="A57" s="258"/>
      <c r="B57" s="74"/>
      <c r="C57" s="19" t="s">
        <v>111</v>
      </c>
      <c r="D57" s="166">
        <v>0.95</v>
      </c>
      <c r="E57" s="103">
        <v>0</v>
      </c>
      <c r="F57" s="77">
        <f t="shared" si="5"/>
        <v>0</v>
      </c>
      <c r="G57" s="162">
        <v>0</v>
      </c>
      <c r="H57" s="104"/>
      <c r="I57" s="237"/>
      <c r="J57" s="247"/>
      <c r="K57" s="145"/>
      <c r="L57" s="159" t="s">
        <v>166</v>
      </c>
      <c r="M57" s="148"/>
      <c r="N57" s="99"/>
      <c r="O57" s="78"/>
      <c r="P57" s="79"/>
      <c r="Q57" s="80"/>
      <c r="R57" s="81"/>
      <c r="S57" s="82">
        <f t="shared" si="8"/>
        <v>0</v>
      </c>
    </row>
    <row r="58" spans="1:19" x14ac:dyDescent="0.35">
      <c r="A58" s="258"/>
      <c r="B58" s="74"/>
      <c r="C58" s="19" t="s">
        <v>112</v>
      </c>
      <c r="D58" s="166">
        <v>16</v>
      </c>
      <c r="E58" s="103">
        <v>0</v>
      </c>
      <c r="F58" s="77">
        <f t="shared" si="5"/>
        <v>0</v>
      </c>
      <c r="G58" s="162">
        <v>0</v>
      </c>
      <c r="H58" s="104"/>
      <c r="I58" s="237"/>
      <c r="J58" s="247"/>
      <c r="K58" s="145"/>
      <c r="L58" s="159" t="s">
        <v>166</v>
      </c>
      <c r="M58" s="148"/>
      <c r="N58" s="99"/>
      <c r="O58" s="78"/>
      <c r="P58" s="79"/>
      <c r="Q58" s="80"/>
      <c r="R58" s="81"/>
      <c r="S58" s="82">
        <f t="shared" si="8"/>
        <v>0</v>
      </c>
    </row>
    <row r="59" spans="1:19" x14ac:dyDescent="0.35">
      <c r="A59" s="258"/>
      <c r="B59" s="74"/>
      <c r="C59" s="19" t="s">
        <v>113</v>
      </c>
      <c r="D59" s="166">
        <v>0.17</v>
      </c>
      <c r="E59" s="103">
        <v>0</v>
      </c>
      <c r="F59" s="77">
        <f t="shared" si="5"/>
        <v>0</v>
      </c>
      <c r="G59" s="162">
        <v>0</v>
      </c>
      <c r="H59" s="104"/>
      <c r="I59" s="237"/>
      <c r="J59" s="247"/>
      <c r="K59" s="145"/>
      <c r="L59" s="159" t="s">
        <v>166</v>
      </c>
      <c r="M59" s="148"/>
      <c r="N59" s="99"/>
      <c r="O59" s="78"/>
      <c r="P59" s="79"/>
      <c r="Q59" s="80"/>
      <c r="R59" s="81"/>
      <c r="S59" s="82">
        <f t="shared" si="8"/>
        <v>0</v>
      </c>
    </row>
    <row r="60" spans="1:19" x14ac:dyDescent="0.35">
      <c r="A60" s="258"/>
      <c r="B60" s="74"/>
      <c r="C60" s="19" t="s">
        <v>114</v>
      </c>
      <c r="D60" s="166">
        <v>0.63</v>
      </c>
      <c r="E60" s="103">
        <v>0</v>
      </c>
      <c r="F60" s="77">
        <f t="shared" si="5"/>
        <v>0</v>
      </c>
      <c r="G60" s="162">
        <v>0</v>
      </c>
      <c r="H60" s="104"/>
      <c r="I60" s="237"/>
      <c r="J60" s="247"/>
      <c r="K60" s="145"/>
      <c r="L60" s="159" t="s">
        <v>168</v>
      </c>
      <c r="M60" s="148"/>
      <c r="N60" s="99"/>
      <c r="O60" s="78"/>
      <c r="P60" s="79"/>
      <c r="Q60" s="80"/>
      <c r="R60" s="81"/>
      <c r="S60" s="82">
        <f t="shared" si="8"/>
        <v>0</v>
      </c>
    </row>
    <row r="61" spans="1:19" x14ac:dyDescent="0.35">
      <c r="A61" s="258"/>
      <c r="B61" s="74"/>
      <c r="C61" s="19" t="s">
        <v>115</v>
      </c>
      <c r="D61" s="166">
        <v>0.65</v>
      </c>
      <c r="E61" s="103">
        <v>0</v>
      </c>
      <c r="F61" s="77">
        <f t="shared" si="5"/>
        <v>0</v>
      </c>
      <c r="G61" s="162">
        <v>0</v>
      </c>
      <c r="H61" s="104"/>
      <c r="I61" s="237"/>
      <c r="J61" s="247"/>
      <c r="K61" s="145"/>
      <c r="L61" s="159" t="s">
        <v>169</v>
      </c>
      <c r="M61" s="148"/>
      <c r="N61" s="99"/>
      <c r="O61" s="78"/>
      <c r="P61" s="79"/>
      <c r="Q61" s="80"/>
      <c r="R61" s="81"/>
      <c r="S61" s="82">
        <f t="shared" si="8"/>
        <v>0</v>
      </c>
    </row>
    <row r="62" spans="1:19" x14ac:dyDescent="0.35">
      <c r="A62" s="258"/>
      <c r="B62" s="74"/>
      <c r="C62" s="19" t="s">
        <v>116</v>
      </c>
      <c r="D62" s="166">
        <v>0.63</v>
      </c>
      <c r="E62" s="103">
        <v>0</v>
      </c>
      <c r="F62" s="77">
        <f t="shared" si="5"/>
        <v>0</v>
      </c>
      <c r="G62" s="162">
        <v>0</v>
      </c>
      <c r="H62" s="104"/>
      <c r="I62" s="237"/>
      <c r="J62" s="247"/>
      <c r="K62" s="145"/>
      <c r="L62" s="159" t="s">
        <v>166</v>
      </c>
      <c r="M62" s="148"/>
      <c r="N62" s="99"/>
      <c r="O62" s="78"/>
      <c r="P62" s="79"/>
      <c r="Q62" s="80"/>
      <c r="R62" s="81"/>
      <c r="S62" s="82">
        <f t="shared" si="8"/>
        <v>0</v>
      </c>
    </row>
    <row r="63" spans="1:19" x14ac:dyDescent="0.35">
      <c r="A63" s="258"/>
      <c r="B63" s="74"/>
      <c r="C63" s="19" t="s">
        <v>117</v>
      </c>
      <c r="D63" s="105">
        <f>23.72-8.64</f>
        <v>15.079999999999998</v>
      </c>
      <c r="E63" s="103">
        <v>0</v>
      </c>
      <c r="F63" s="77">
        <f t="shared" si="5"/>
        <v>0</v>
      </c>
      <c r="G63" s="162">
        <v>0</v>
      </c>
      <c r="H63" s="104"/>
      <c r="I63" s="237"/>
      <c r="J63" s="247"/>
      <c r="K63" s="145"/>
      <c r="L63" s="159" t="s">
        <v>166</v>
      </c>
      <c r="M63" s="148"/>
      <c r="N63" s="99"/>
      <c r="O63" s="78"/>
      <c r="P63" s="79"/>
      <c r="Q63" s="80"/>
      <c r="R63" s="81"/>
      <c r="S63" s="82">
        <f t="shared" si="8"/>
        <v>0</v>
      </c>
    </row>
    <row r="64" spans="1:19" x14ac:dyDescent="0.35">
      <c r="A64" s="258"/>
      <c r="B64" s="74"/>
      <c r="C64" s="19" t="s">
        <v>118</v>
      </c>
      <c r="D64" s="105">
        <v>8.6</v>
      </c>
      <c r="E64" s="103">
        <v>0</v>
      </c>
      <c r="F64" s="77">
        <f t="shared" si="5"/>
        <v>0</v>
      </c>
      <c r="G64" s="162">
        <v>0</v>
      </c>
      <c r="H64" s="104"/>
      <c r="I64" s="237"/>
      <c r="J64" s="247"/>
      <c r="K64" s="145"/>
      <c r="L64" s="159" t="s">
        <v>166</v>
      </c>
      <c r="M64" s="148"/>
      <c r="N64" s="99"/>
      <c r="O64" s="78"/>
      <c r="P64" s="79"/>
      <c r="Q64" s="80"/>
      <c r="R64" s="81"/>
      <c r="S64" s="82">
        <f t="shared" si="8"/>
        <v>0</v>
      </c>
    </row>
    <row r="65" spans="1:20" x14ac:dyDescent="0.35">
      <c r="A65" s="258"/>
      <c r="B65" s="74"/>
      <c r="C65" s="19" t="s">
        <v>119</v>
      </c>
      <c r="D65" s="166">
        <v>0.06</v>
      </c>
      <c r="E65" s="103">
        <v>0</v>
      </c>
      <c r="F65" s="77">
        <f>(D65*E65)</f>
        <v>0</v>
      </c>
      <c r="G65" s="162">
        <v>0</v>
      </c>
      <c r="H65" s="104"/>
      <c r="I65" s="237"/>
      <c r="J65" s="247"/>
      <c r="K65" s="145"/>
      <c r="L65" s="159" t="s">
        <v>166</v>
      </c>
      <c r="M65" s="148"/>
      <c r="N65" s="99"/>
      <c r="O65" s="78"/>
      <c r="P65" s="79"/>
      <c r="Q65" s="80"/>
      <c r="R65" s="81"/>
      <c r="S65" s="82">
        <f t="shared" si="8"/>
        <v>0</v>
      </c>
    </row>
    <row r="66" spans="1:20" x14ac:dyDescent="0.35">
      <c r="A66" s="258"/>
      <c r="B66" s="74"/>
      <c r="C66" s="19" t="s">
        <v>120</v>
      </c>
      <c r="D66" s="166">
        <v>1.115</v>
      </c>
      <c r="E66" s="103">
        <v>0</v>
      </c>
      <c r="F66" s="77">
        <f>(D66*E66)</f>
        <v>0</v>
      </c>
      <c r="G66" s="162">
        <v>0</v>
      </c>
      <c r="H66" s="104"/>
      <c r="I66" s="237"/>
      <c r="J66" s="247"/>
      <c r="K66" s="145"/>
      <c r="L66" s="159" t="s">
        <v>167</v>
      </c>
      <c r="M66" s="148"/>
      <c r="N66" s="99"/>
      <c r="O66" s="78"/>
      <c r="P66" s="79"/>
      <c r="Q66" s="80"/>
      <c r="R66" s="81"/>
      <c r="S66" s="82">
        <f t="shared" si="8"/>
        <v>0</v>
      </c>
    </row>
    <row r="67" spans="1:20" x14ac:dyDescent="0.35">
      <c r="A67" s="258"/>
      <c r="B67" s="74"/>
      <c r="C67" s="19"/>
      <c r="D67" s="166"/>
      <c r="E67" s="104"/>
      <c r="F67" s="78"/>
      <c r="G67" s="162"/>
      <c r="H67" s="104"/>
      <c r="I67" s="99"/>
      <c r="J67" s="243"/>
      <c r="K67" s="145"/>
      <c r="L67" s="78"/>
      <c r="M67" s="148"/>
      <c r="N67" s="99"/>
      <c r="O67" s="78"/>
      <c r="P67" s="79"/>
      <c r="Q67" s="80"/>
      <c r="R67" s="81"/>
      <c r="S67" s="82"/>
    </row>
    <row r="68" spans="1:20" x14ac:dyDescent="0.35">
      <c r="A68" s="258"/>
      <c r="B68" s="74"/>
      <c r="C68" s="19" t="s">
        <v>121</v>
      </c>
      <c r="D68" s="166"/>
      <c r="E68" s="78"/>
      <c r="F68" s="78"/>
      <c r="G68" s="162">
        <v>52</v>
      </c>
      <c r="H68" s="103">
        <v>0</v>
      </c>
      <c r="I68" s="237"/>
      <c r="J68" s="247"/>
      <c r="K68" s="76">
        <f>(G68*H68)</f>
        <v>0</v>
      </c>
      <c r="L68" s="77"/>
      <c r="M68" s="148"/>
      <c r="N68" s="99"/>
      <c r="O68" s="78"/>
      <c r="P68" s="79"/>
      <c r="Q68" s="80"/>
      <c r="R68" s="81"/>
      <c r="S68" s="82">
        <f>F68+K68+P68</f>
        <v>0</v>
      </c>
    </row>
    <row r="69" spans="1:20" x14ac:dyDescent="0.35">
      <c r="A69" s="258"/>
      <c r="B69" s="74"/>
      <c r="C69" s="19"/>
      <c r="D69" s="166"/>
      <c r="E69" s="104"/>
      <c r="F69" s="78"/>
      <c r="G69" s="162"/>
      <c r="H69" s="104"/>
      <c r="I69" s="99"/>
      <c r="J69" s="243"/>
      <c r="K69" s="145"/>
      <c r="L69" s="78"/>
      <c r="M69" s="148"/>
      <c r="N69" s="99"/>
      <c r="O69" s="78"/>
      <c r="P69" s="79"/>
      <c r="Q69" s="80"/>
      <c r="R69" s="81"/>
      <c r="S69" s="82"/>
    </row>
    <row r="70" spans="1:20" x14ac:dyDescent="0.35">
      <c r="A70" s="258"/>
      <c r="B70" s="74"/>
      <c r="C70" s="19" t="s">
        <v>122</v>
      </c>
      <c r="D70" s="166"/>
      <c r="E70" s="104"/>
      <c r="F70" s="78"/>
      <c r="G70" s="162"/>
      <c r="H70" s="104"/>
      <c r="I70" s="99"/>
      <c r="J70" s="243"/>
      <c r="K70" s="145"/>
      <c r="L70" s="78"/>
      <c r="M70" s="162">
        <v>13</v>
      </c>
      <c r="N70" s="99" t="s">
        <v>84</v>
      </c>
      <c r="O70" s="77">
        <v>0</v>
      </c>
      <c r="P70" s="86">
        <f>(O70*M70)*12</f>
        <v>0</v>
      </c>
      <c r="Q70" s="80"/>
      <c r="R70" s="81"/>
      <c r="S70" s="82">
        <f>P70</f>
        <v>0</v>
      </c>
    </row>
    <row r="71" spans="1:20" x14ac:dyDescent="0.35">
      <c r="A71" s="258"/>
      <c r="B71" s="74"/>
      <c r="C71" s="156" t="s">
        <v>123</v>
      </c>
      <c r="D71" s="166"/>
      <c r="E71" s="104"/>
      <c r="F71" s="78"/>
      <c r="G71" s="162"/>
      <c r="H71" s="78"/>
      <c r="I71" s="99"/>
      <c r="J71" s="145"/>
      <c r="K71" s="145"/>
      <c r="L71" s="78"/>
      <c r="M71" s="167">
        <v>1</v>
      </c>
      <c r="N71" s="157" t="s">
        <v>124</v>
      </c>
      <c r="O71" s="149"/>
      <c r="P71" s="155"/>
      <c r="Q71" s="80"/>
      <c r="R71" s="81"/>
      <c r="S71" s="82"/>
    </row>
    <row r="72" spans="1:20" ht="15" thickBot="1" x14ac:dyDescent="0.4">
      <c r="A72" s="258"/>
      <c r="B72" s="87"/>
      <c r="C72" s="168" t="s">
        <v>123</v>
      </c>
      <c r="D72" s="169"/>
      <c r="E72" s="170"/>
      <c r="F72" s="91"/>
      <c r="G72" s="93"/>
      <c r="H72" s="91"/>
      <c r="I72" s="101"/>
      <c r="J72" s="147"/>
      <c r="K72" s="147"/>
      <c r="L72" s="91"/>
      <c r="M72" s="171">
        <v>1</v>
      </c>
      <c r="N72" s="172" t="s">
        <v>125</v>
      </c>
      <c r="O72" s="173"/>
      <c r="P72" s="174"/>
      <c r="Q72" s="80"/>
      <c r="R72" s="81"/>
      <c r="S72" s="82"/>
    </row>
    <row r="73" spans="1:20" x14ac:dyDescent="0.35">
      <c r="A73" s="258"/>
      <c r="B73" s="74" t="s">
        <v>126</v>
      </c>
      <c r="C73" s="19" t="s">
        <v>127</v>
      </c>
      <c r="D73" s="106">
        <v>376.64</v>
      </c>
      <c r="E73" s="77">
        <v>0</v>
      </c>
      <c r="F73" s="161">
        <f>(D73*E73)</f>
        <v>0</v>
      </c>
      <c r="G73" s="83">
        <v>107</v>
      </c>
      <c r="H73" s="77">
        <v>0</v>
      </c>
      <c r="I73" s="238"/>
      <c r="J73" s="248"/>
      <c r="K73" s="77">
        <f>(G73*H73)</f>
        <v>0</v>
      </c>
      <c r="L73" s="193" t="s">
        <v>171</v>
      </c>
      <c r="M73" s="162"/>
      <c r="N73" s="83"/>
      <c r="O73" s="78"/>
      <c r="P73" s="100"/>
      <c r="Q73" s="71"/>
      <c r="R73" s="72"/>
      <c r="S73" s="82">
        <f>F73+K73+P73</f>
        <v>0</v>
      </c>
    </row>
    <row r="74" spans="1:20" x14ac:dyDescent="0.35">
      <c r="A74" s="258"/>
      <c r="B74" s="74"/>
      <c r="C74" s="19" t="s">
        <v>128</v>
      </c>
      <c r="D74" s="106">
        <f>(0.1+4.28)</f>
        <v>4.38</v>
      </c>
      <c r="E74" s="103">
        <v>0</v>
      </c>
      <c r="F74" s="86">
        <f>(D74*E74)</f>
        <v>0</v>
      </c>
      <c r="G74" s="83">
        <f>12+13</f>
        <v>25</v>
      </c>
      <c r="H74" s="103">
        <v>0</v>
      </c>
      <c r="I74" s="238"/>
      <c r="J74" s="249"/>
      <c r="K74" s="77">
        <f>(G74*H74)</f>
        <v>0</v>
      </c>
      <c r="L74" s="193" t="s">
        <v>171</v>
      </c>
      <c r="M74" s="56"/>
      <c r="N74" s="83"/>
      <c r="O74" s="78"/>
      <c r="P74" s="100"/>
      <c r="Q74" s="80"/>
      <c r="R74" s="81"/>
      <c r="S74" s="82">
        <f>F74+K74+P74</f>
        <v>0</v>
      </c>
    </row>
    <row r="75" spans="1:20" x14ac:dyDescent="0.35">
      <c r="A75" s="258"/>
      <c r="B75" s="74"/>
      <c r="C75" s="19"/>
      <c r="D75" s="106"/>
      <c r="E75" s="78"/>
      <c r="F75" s="100"/>
      <c r="G75" s="83"/>
      <c r="H75" s="78"/>
      <c r="I75" s="83"/>
      <c r="J75" s="78"/>
      <c r="K75" s="78"/>
      <c r="L75" s="143"/>
      <c r="M75" s="56"/>
      <c r="N75" s="83"/>
      <c r="O75" s="78"/>
      <c r="P75" s="100"/>
      <c r="Q75" s="80"/>
      <c r="R75" s="81"/>
      <c r="S75" s="82"/>
    </row>
    <row r="76" spans="1:20" ht="15" thickBot="1" x14ac:dyDescent="0.4">
      <c r="A76" s="258"/>
      <c r="B76" s="87"/>
      <c r="C76" s="24" t="s">
        <v>153</v>
      </c>
      <c r="D76" s="89"/>
      <c r="E76" s="91"/>
      <c r="F76" s="107"/>
      <c r="G76" s="92"/>
      <c r="H76" s="91"/>
      <c r="I76" s="92"/>
      <c r="J76" s="91"/>
      <c r="K76" s="91"/>
      <c r="L76" s="90"/>
      <c r="M76" s="93">
        <v>2</v>
      </c>
      <c r="N76" s="92" t="s">
        <v>129</v>
      </c>
      <c r="O76" s="94">
        <v>0</v>
      </c>
      <c r="P76" s="102">
        <f>(O76*M76)*12</f>
        <v>0</v>
      </c>
      <c r="Q76" s="80"/>
      <c r="R76" s="81"/>
      <c r="S76" s="108">
        <f>P76</f>
        <v>0</v>
      </c>
    </row>
    <row r="77" spans="1:20" ht="15" thickBot="1" x14ac:dyDescent="0.4">
      <c r="A77" s="258"/>
    </row>
    <row r="78" spans="1:20" ht="37" customHeight="1" thickBot="1" x14ac:dyDescent="0.5">
      <c r="A78" s="259"/>
      <c r="B78" s="109" t="s">
        <v>130</v>
      </c>
      <c r="C78" s="110" t="s">
        <v>42</v>
      </c>
      <c r="D78" s="111">
        <f>SUM(D5:D76)</f>
        <v>1848.3980000000001</v>
      </c>
      <c r="E78" s="112"/>
      <c r="F78" s="112">
        <f>SUM(F5:F76)</f>
        <v>0</v>
      </c>
      <c r="G78" s="113">
        <f>SUM(G5:G77)</f>
        <v>1023</v>
      </c>
      <c r="H78" s="112"/>
      <c r="I78" s="144"/>
      <c r="J78" s="144"/>
      <c r="K78" s="114">
        <f>SUM(K5:K76)</f>
        <v>0</v>
      </c>
      <c r="L78" s="144"/>
      <c r="M78" s="115"/>
      <c r="N78" s="116"/>
      <c r="O78" s="112"/>
      <c r="P78" s="112">
        <f>SUM(P5:P76)</f>
        <v>0</v>
      </c>
      <c r="Q78" s="117"/>
      <c r="R78" s="117"/>
      <c r="S78" s="118">
        <f>SUM(S5:S76)</f>
        <v>0</v>
      </c>
      <c r="T78" s="119"/>
    </row>
    <row r="80" spans="1:20" x14ac:dyDescent="0.35">
      <c r="G80" s="57"/>
      <c r="M80" s="56"/>
      <c r="N80" s="57"/>
      <c r="Q80" s="53"/>
      <c r="R80" s="53"/>
    </row>
  </sheetData>
  <sheetProtection algorithmName="SHA-512" hashValue="5CCHRBR7odvtZxwQPDdL1TVXf2h01Fh4glujWPOPy26SseI/S7Tsdt5ZJfqKodC+zQEgk+t6mjhL+aAGzrKQXA==" saltValue="seJ23A9P0dVi7Yg1IPKhlw==" spinCount="100000" sheet="1" objects="1" scenarios="1"/>
  <mergeCells count="4">
    <mergeCell ref="A3:A78"/>
    <mergeCell ref="D3:F3"/>
    <mergeCell ref="G3:K3"/>
    <mergeCell ref="O3:P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3C85-10DB-40B7-B0C6-4C60A6F901A0}">
  <dimension ref="A1:C18"/>
  <sheetViews>
    <sheetView workbookViewId="0">
      <selection activeCell="A7" sqref="A7"/>
    </sheetView>
  </sheetViews>
  <sheetFormatPr defaultRowHeight="14.5" x14ac:dyDescent="0.35"/>
  <cols>
    <col min="1" max="1" width="47.453125" customWidth="1"/>
    <col min="2" max="2" width="27.54296875" customWidth="1"/>
    <col min="3" max="3" width="21.7265625" customWidth="1"/>
  </cols>
  <sheetData>
    <row r="1" spans="1:3" ht="18.5" x14ac:dyDescent="0.45">
      <c r="A1" s="120" t="s">
        <v>131</v>
      </c>
      <c r="B1" s="121"/>
      <c r="C1" s="122"/>
    </row>
    <row r="2" spans="1:3" ht="33.65" customHeight="1" x14ac:dyDescent="0.35">
      <c r="A2" s="266" t="s">
        <v>132</v>
      </c>
      <c r="B2" s="267"/>
      <c r="C2" s="268"/>
    </row>
    <row r="3" spans="1:3" ht="19" customHeight="1" x14ac:dyDescent="0.35">
      <c r="A3" s="266" t="s">
        <v>133</v>
      </c>
      <c r="B3" s="267"/>
      <c r="C3" s="268"/>
    </row>
    <row r="4" spans="1:3" ht="21" customHeight="1" x14ac:dyDescent="0.35">
      <c r="A4" s="269" t="s">
        <v>134</v>
      </c>
      <c r="B4" s="270"/>
      <c r="C4" s="271"/>
    </row>
    <row r="5" spans="1:3" x14ac:dyDescent="0.35">
      <c r="A5" s="123"/>
      <c r="B5" s="123"/>
      <c r="C5" s="123"/>
    </row>
    <row r="7" spans="1:3" ht="43.5" x14ac:dyDescent="0.35">
      <c r="A7" s="124" t="s">
        <v>135</v>
      </c>
      <c r="B7" s="194" t="s">
        <v>173</v>
      </c>
      <c r="C7" s="125" t="s">
        <v>136</v>
      </c>
    </row>
    <row r="8" spans="1:3" x14ac:dyDescent="0.35">
      <c r="A8" s="126"/>
      <c r="B8" s="126"/>
      <c r="C8" s="127">
        <v>0</v>
      </c>
    </row>
    <row r="9" spans="1:3" x14ac:dyDescent="0.35">
      <c r="A9" s="126"/>
      <c r="B9" s="126"/>
      <c r="C9" s="127">
        <v>0</v>
      </c>
    </row>
    <row r="10" spans="1:3" x14ac:dyDescent="0.35">
      <c r="A10" s="126"/>
      <c r="B10" s="126"/>
      <c r="C10" s="127">
        <v>0</v>
      </c>
    </row>
    <row r="11" spans="1:3" x14ac:dyDescent="0.35">
      <c r="A11" s="126"/>
      <c r="B11" s="126"/>
      <c r="C11" s="127">
        <v>0</v>
      </c>
    </row>
    <row r="12" spans="1:3" x14ac:dyDescent="0.35">
      <c r="A12" s="126"/>
      <c r="B12" s="126"/>
      <c r="C12" s="127">
        <v>0</v>
      </c>
    </row>
    <row r="13" spans="1:3" x14ac:dyDescent="0.35">
      <c r="A13" s="126"/>
      <c r="B13" s="126"/>
      <c r="C13" s="127">
        <v>0</v>
      </c>
    </row>
    <row r="14" spans="1:3" x14ac:dyDescent="0.35">
      <c r="A14" s="126"/>
      <c r="B14" s="126"/>
      <c r="C14" s="127">
        <v>0</v>
      </c>
    </row>
    <row r="15" spans="1:3" x14ac:dyDescent="0.35">
      <c r="A15" s="126"/>
      <c r="B15" s="126"/>
      <c r="C15" s="127">
        <v>0</v>
      </c>
    </row>
    <row r="16" spans="1:3" x14ac:dyDescent="0.35">
      <c r="A16" s="126"/>
      <c r="B16" s="126"/>
      <c r="C16" s="127">
        <v>0</v>
      </c>
    </row>
    <row r="17" spans="1:3" x14ac:dyDescent="0.35">
      <c r="A17" s="126"/>
      <c r="B17" s="126"/>
      <c r="C17" s="127">
        <v>0</v>
      </c>
    </row>
    <row r="18" spans="1:3" x14ac:dyDescent="0.35">
      <c r="A18" s="126"/>
      <c r="B18" s="126"/>
      <c r="C18" s="127">
        <v>0</v>
      </c>
    </row>
  </sheetData>
  <mergeCells count="3">
    <mergeCell ref="A2:C2"/>
    <mergeCell ref="A3:C3"/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1A58-1756-4FCB-8AD1-77447C22193C}">
  <dimension ref="A1:E16"/>
  <sheetViews>
    <sheetView workbookViewId="0">
      <selection activeCell="E13" sqref="E13"/>
    </sheetView>
  </sheetViews>
  <sheetFormatPr defaultRowHeight="14.5" x14ac:dyDescent="0.35"/>
  <cols>
    <col min="2" max="2" width="39.1796875" customWidth="1"/>
    <col min="3" max="3" width="14.453125" customWidth="1"/>
    <col min="4" max="4" width="22.26953125" customWidth="1"/>
    <col min="5" max="5" width="20.54296875" customWidth="1"/>
  </cols>
  <sheetData>
    <row r="1" spans="1:5" ht="23.5" x14ac:dyDescent="0.55000000000000004">
      <c r="A1" s="251" t="s">
        <v>210</v>
      </c>
      <c r="B1" s="251"/>
      <c r="C1" s="251"/>
      <c r="D1" s="251"/>
      <c r="E1" s="251"/>
    </row>
    <row r="3" spans="1:5" ht="15" thickBot="1" x14ac:dyDescent="0.4"/>
    <row r="4" spans="1:5" ht="15" thickBot="1" x14ac:dyDescent="0.4">
      <c r="A4" s="272" t="s">
        <v>181</v>
      </c>
      <c r="B4" s="199" t="s">
        <v>176</v>
      </c>
      <c r="C4" s="200" t="s">
        <v>177</v>
      </c>
      <c r="D4" s="213" t="s">
        <v>178</v>
      </c>
      <c r="E4" s="214" t="s">
        <v>179</v>
      </c>
    </row>
    <row r="5" spans="1:5" s="202" customFormat="1" ht="42.65" customHeight="1" thickBot="1" x14ac:dyDescent="0.4">
      <c r="A5" s="273"/>
      <c r="B5" s="219" t="s">
        <v>196</v>
      </c>
      <c r="C5" s="201" t="s">
        <v>180</v>
      </c>
      <c r="D5" s="215">
        <v>0</v>
      </c>
      <c r="E5" s="216">
        <f>D5*12</f>
        <v>0</v>
      </c>
    </row>
    <row r="6" spans="1:5" ht="19" thickBot="1" x14ac:dyDescent="0.5">
      <c r="A6" s="274"/>
      <c r="B6" s="221" t="s">
        <v>189</v>
      </c>
      <c r="C6" s="217"/>
      <c r="D6" s="218"/>
      <c r="E6" s="212">
        <f>E5</f>
        <v>0</v>
      </c>
    </row>
    <row r="7" spans="1:5" x14ac:dyDescent="0.35">
      <c r="E7" s="203"/>
    </row>
    <row r="8" spans="1:5" s="198" customFormat="1" x14ac:dyDescent="0.35">
      <c r="B8" s="198" t="s">
        <v>199</v>
      </c>
      <c r="E8" s="203"/>
    </row>
    <row r="9" spans="1:5" s="198" customFormat="1" x14ac:dyDescent="0.35">
      <c r="E9" s="203"/>
    </row>
    <row r="10" spans="1:5" ht="15" thickBot="1" x14ac:dyDescent="0.4"/>
    <row r="11" spans="1:5" ht="15" thickBot="1" x14ac:dyDescent="0.4">
      <c r="A11" s="275" t="s">
        <v>187</v>
      </c>
      <c r="B11" s="223" t="s">
        <v>176</v>
      </c>
      <c r="C11" s="224" t="s">
        <v>177</v>
      </c>
      <c r="D11" s="213" t="s">
        <v>178</v>
      </c>
      <c r="E11" s="214" t="s">
        <v>179</v>
      </c>
    </row>
    <row r="12" spans="1:5" ht="42" customHeight="1" thickBot="1" x14ac:dyDescent="0.4">
      <c r="A12" s="276"/>
      <c r="B12" s="228" t="s">
        <v>197</v>
      </c>
      <c r="C12" s="229" t="s">
        <v>186</v>
      </c>
      <c r="D12" s="230">
        <v>0</v>
      </c>
      <c r="E12" s="231">
        <f>D12*450</f>
        <v>0</v>
      </c>
    </row>
    <row r="13" spans="1:5" ht="19" thickBot="1" x14ac:dyDescent="0.5">
      <c r="A13" s="277"/>
      <c r="B13" s="221" t="s">
        <v>188</v>
      </c>
      <c r="C13" s="225"/>
      <c r="D13" s="226"/>
      <c r="E13" s="227">
        <f>SUM(E12)</f>
        <v>0</v>
      </c>
    </row>
    <row r="15" spans="1:5" x14ac:dyDescent="0.35">
      <c r="B15" t="s">
        <v>198</v>
      </c>
    </row>
    <row r="16" spans="1:5" x14ac:dyDescent="0.35">
      <c r="B16" t="s">
        <v>190</v>
      </c>
    </row>
  </sheetData>
  <sheetProtection algorithmName="SHA-512" hashValue="ZBc1c9q/UolzIHhBRnkAs//Spy87qXROtwHW7ZuXnFdBlM6quI5f0+zeaRMvXBXeHlrV+nJC1cqOuU/tKFdzVQ==" saltValue="zXA39V/PEkES6bB0V7M7sg==" spinCount="100000" sheet="1" objects="1" scenarios="1"/>
  <mergeCells count="3">
    <mergeCell ref="A4:A6"/>
    <mergeCell ref="A1:E1"/>
    <mergeCell ref="A11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35"/>
  <sheetViews>
    <sheetView workbookViewId="0">
      <selection activeCell="G34" sqref="G34"/>
    </sheetView>
  </sheetViews>
  <sheetFormatPr defaultColWidth="9.1796875" defaultRowHeight="14.5" x14ac:dyDescent="0.35"/>
  <cols>
    <col min="1" max="1" width="21.26953125" style="4" customWidth="1"/>
    <col min="2" max="2" width="17.1796875" style="4" customWidth="1"/>
    <col min="3" max="3" width="13.7265625" style="4" customWidth="1"/>
    <col min="4" max="4" width="22.81640625" style="4" customWidth="1"/>
    <col min="5" max="5" width="4.1796875" style="4" customWidth="1"/>
    <col min="6" max="16384" width="9.1796875" style="4"/>
  </cols>
  <sheetData>
    <row r="3" spans="1:20" s="2" customFormat="1" x14ac:dyDescent="0.35">
      <c r="A3" s="278" t="s">
        <v>146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1"/>
      <c r="R3" s="1"/>
      <c r="S3" s="1"/>
      <c r="T3" s="1"/>
    </row>
    <row r="5" spans="1:20" x14ac:dyDescent="0.35">
      <c r="A5" s="3" t="s">
        <v>16</v>
      </c>
      <c r="B5" s="281" t="s">
        <v>147</v>
      </c>
      <c r="C5" s="281"/>
      <c r="D5" s="281"/>
      <c r="E5" s="2"/>
    </row>
    <row r="6" spans="1:20" x14ac:dyDescent="0.35">
      <c r="A6" s="5"/>
      <c r="B6" s="282"/>
      <c r="C6" s="282"/>
      <c r="D6" s="282"/>
      <c r="E6" s="2"/>
    </row>
    <row r="7" spans="1:20" x14ac:dyDescent="0.35">
      <c r="E7" s="2"/>
    </row>
    <row r="8" spans="1:20" x14ac:dyDescent="0.35">
      <c r="A8" s="283" t="s">
        <v>202</v>
      </c>
      <c r="B8" s="283"/>
      <c r="C8" s="283"/>
      <c r="D8" s="283"/>
      <c r="E8" s="2"/>
      <c r="I8" s="4" t="s">
        <v>3</v>
      </c>
      <c r="J8" s="4" t="s">
        <v>4</v>
      </c>
    </row>
    <row r="9" spans="1:20" x14ac:dyDescent="0.35">
      <c r="A9" s="4" t="s">
        <v>0</v>
      </c>
      <c r="B9" s="10">
        <v>400000</v>
      </c>
      <c r="C9" s="6" t="s">
        <v>5</v>
      </c>
      <c r="D9" s="4" t="s">
        <v>17</v>
      </c>
      <c r="E9" s="2"/>
      <c r="I9" s="4">
        <v>0</v>
      </c>
      <c r="J9" s="4">
        <f>PrKn</f>
        <v>400000</v>
      </c>
      <c r="K9" s="4">
        <f>PrMax</f>
        <v>650000</v>
      </c>
      <c r="M9" s="4">
        <f>PrIn</f>
        <v>0</v>
      </c>
    </row>
    <row r="10" spans="1:20" x14ac:dyDescent="0.35">
      <c r="A10" s="4" t="s">
        <v>1</v>
      </c>
      <c r="B10" s="10">
        <v>270</v>
      </c>
      <c r="C10" s="6" t="s">
        <v>6</v>
      </c>
      <c r="D10" s="4" t="s">
        <v>18</v>
      </c>
      <c r="E10" s="2"/>
      <c r="I10" s="4">
        <f>MaxPnt</f>
        <v>270</v>
      </c>
      <c r="J10" s="4">
        <f>PuKn</f>
        <v>270</v>
      </c>
      <c r="K10" s="4">
        <v>0</v>
      </c>
      <c r="M10" s="7">
        <f>IF(PrIn&lt;=PrMax,A25,0)</f>
        <v>270</v>
      </c>
    </row>
    <row r="11" spans="1:20" x14ac:dyDescent="0.35">
      <c r="A11" s="4" t="s">
        <v>2</v>
      </c>
      <c r="B11" s="10">
        <v>650000</v>
      </c>
      <c r="C11" s="6" t="s">
        <v>5</v>
      </c>
      <c r="D11" s="4" t="s">
        <v>19</v>
      </c>
      <c r="E11" s="2"/>
    </row>
    <row r="12" spans="1:20" x14ac:dyDescent="0.35">
      <c r="A12" s="4" t="s">
        <v>15</v>
      </c>
      <c r="B12" s="10">
        <v>270</v>
      </c>
      <c r="C12" s="6" t="s">
        <v>6</v>
      </c>
      <c r="E12" s="2"/>
      <c r="L12" s="4">
        <v>0</v>
      </c>
      <c r="M12" s="4">
        <f>PrKn</f>
        <v>400000</v>
      </c>
      <c r="N12" s="4">
        <f>PrKn</f>
        <v>400000</v>
      </c>
    </row>
    <row r="13" spans="1:20" x14ac:dyDescent="0.35">
      <c r="E13" s="2"/>
      <c r="L13" s="4">
        <f>PuKn</f>
        <v>270</v>
      </c>
      <c r="M13" s="4">
        <f>PuKn</f>
        <v>270</v>
      </c>
      <c r="N13" s="4">
        <v>0</v>
      </c>
    </row>
    <row r="14" spans="1:20" x14ac:dyDescent="0.35">
      <c r="A14" s="283" t="s">
        <v>7</v>
      </c>
      <c r="B14" s="283"/>
      <c r="C14" s="283"/>
      <c r="D14" s="283"/>
      <c r="E14" s="2"/>
    </row>
    <row r="15" spans="1:20" x14ac:dyDescent="0.35">
      <c r="A15" s="4" t="s">
        <v>200</v>
      </c>
      <c r="B15" s="142">
        <f>'1. Inschrijfprijs'!D7</f>
        <v>0</v>
      </c>
      <c r="C15" s="6" t="s">
        <v>5</v>
      </c>
      <c r="E15" s="2"/>
    </row>
    <row r="16" spans="1:20" x14ac:dyDescent="0.35">
      <c r="E16" s="2"/>
    </row>
    <row r="17" spans="1:5" x14ac:dyDescent="0.35">
      <c r="A17" s="283" t="s">
        <v>8</v>
      </c>
      <c r="B17" s="283"/>
      <c r="C17" s="283"/>
      <c r="D17" s="283"/>
      <c r="E17" s="2"/>
    </row>
    <row r="18" spans="1:5" x14ac:dyDescent="0.35">
      <c r="A18" s="4" t="s">
        <v>14</v>
      </c>
      <c r="E18" s="2"/>
    </row>
    <row r="19" spans="1:5" x14ac:dyDescent="0.35">
      <c r="E19" s="2"/>
    </row>
    <row r="20" spans="1:5" x14ac:dyDescent="0.35">
      <c r="B20" s="8" t="s">
        <v>11</v>
      </c>
      <c r="C20" s="8" t="s">
        <v>12</v>
      </c>
      <c r="E20" s="2"/>
    </row>
    <row r="21" spans="1:5" x14ac:dyDescent="0.35">
      <c r="A21" s="4" t="s">
        <v>9</v>
      </c>
      <c r="B21" s="9">
        <f>(PuKn-MaxPnt)/PrKn</f>
        <v>0</v>
      </c>
      <c r="C21" s="9">
        <f>MaxPnt</f>
        <v>270</v>
      </c>
      <c r="E21" s="2"/>
    </row>
    <row r="22" spans="1:5" x14ac:dyDescent="0.35">
      <c r="A22" s="4" t="s">
        <v>10</v>
      </c>
      <c r="B22" s="9">
        <f>(0-PuKn)/(PrMax-PrKn)</f>
        <v>-1.08E-3</v>
      </c>
      <c r="C22" s="9">
        <f>PrMax*PuKn/(PrMax-PrKn)</f>
        <v>702</v>
      </c>
      <c r="E22" s="2"/>
    </row>
    <row r="23" spans="1:5" x14ac:dyDescent="0.35">
      <c r="E23" s="2"/>
    </row>
    <row r="24" spans="1:5" x14ac:dyDescent="0.35">
      <c r="A24" s="278" t="s">
        <v>13</v>
      </c>
      <c r="B24" s="278"/>
      <c r="C24" s="278"/>
      <c r="D24" s="278"/>
      <c r="E24" s="2"/>
    </row>
    <row r="25" spans="1:5" x14ac:dyDescent="0.35">
      <c r="A25" s="279">
        <f>IF(PrIn&lt;=PrKn,ROUND((PuKn-MaxPnt)/PrKn*PrIn+MaxPnt,3),IF(PrIn&gt;=PrMax,"0",ROUND(((0-PuKn)/(PrMax-PrKn))*PrIn+PrMax*PuKn/(PrMax-PrKn),3)))</f>
        <v>270</v>
      </c>
      <c r="B25" s="279"/>
      <c r="C25" s="279"/>
      <c r="D25" s="279"/>
      <c r="E25" s="2"/>
    </row>
    <row r="26" spans="1:5" ht="15" customHeight="1" x14ac:dyDescent="0.35">
      <c r="A26" s="279"/>
      <c r="B26" s="279"/>
      <c r="C26" s="279"/>
      <c r="D26" s="279"/>
      <c r="E26" s="2"/>
    </row>
    <row r="27" spans="1:5" ht="15" customHeight="1" x14ac:dyDescent="0.35">
      <c r="A27" s="280" t="s">
        <v>6</v>
      </c>
      <c r="B27" s="280"/>
      <c r="C27" s="280"/>
      <c r="D27" s="280"/>
      <c r="E27" s="2"/>
    </row>
    <row r="28" spans="1:5" ht="15" customHeight="1" x14ac:dyDescent="0.35">
      <c r="A28" s="280"/>
      <c r="B28" s="280"/>
      <c r="C28" s="280"/>
      <c r="D28" s="280"/>
      <c r="E28" s="2"/>
    </row>
    <row r="30" spans="1:5" x14ac:dyDescent="0.35">
      <c r="A30" s="4" t="s">
        <v>24</v>
      </c>
    </row>
    <row r="31" spans="1:5" x14ac:dyDescent="0.35">
      <c r="A31" s="4" t="s">
        <v>22</v>
      </c>
    </row>
    <row r="33" spans="1:2" x14ac:dyDescent="0.35">
      <c r="A33" s="4" t="s">
        <v>23</v>
      </c>
    </row>
    <row r="34" spans="1:2" x14ac:dyDescent="0.35">
      <c r="A34" s="4" t="s">
        <v>11</v>
      </c>
      <c r="B34" s="4" t="s">
        <v>20</v>
      </c>
    </row>
    <row r="35" spans="1:2" x14ac:dyDescent="0.35">
      <c r="A35" s="4" t="s">
        <v>12</v>
      </c>
      <c r="B35" s="4" t="s">
        <v>21</v>
      </c>
    </row>
  </sheetData>
  <sheetProtection algorithmName="SHA-512" hashValue="Jnh3Zz/SzJaOFJkvlSv53k2epKluMepmOS03a5WufWT1h3zgWntcli1aCr6skvSmvpHApyUgIt5/7lc4E9Pa6g==" saltValue="1s8bzHvgNgZUYR2Y6VFB9Q==" spinCount="100000" sheet="1" objects="1" scenarios="1"/>
  <mergeCells count="9">
    <mergeCell ref="A24:D24"/>
    <mergeCell ref="A25:D26"/>
    <mergeCell ref="A27:D28"/>
    <mergeCell ref="A3:P3"/>
    <mergeCell ref="B5:D5"/>
    <mergeCell ref="B6:D6"/>
    <mergeCell ref="A8:D8"/>
    <mergeCell ref="A14:D14"/>
    <mergeCell ref="A17:D17"/>
  </mergeCells>
  <conditionalFormatting sqref="A27:D28">
    <cfRule type="containsText" dxfId="1" priority="1" operator="containsText" text="punten">
      <formula>NOT(ISERROR(SEARCH("punten",A27)))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A241-9639-4193-9C0F-8FFA4E41F1CA}">
  <dimension ref="A3:T35"/>
  <sheetViews>
    <sheetView workbookViewId="0">
      <selection activeCell="K11" sqref="K11"/>
    </sheetView>
  </sheetViews>
  <sheetFormatPr defaultColWidth="9.1796875" defaultRowHeight="14.5" x14ac:dyDescent="0.35"/>
  <cols>
    <col min="1" max="1" width="21.26953125" style="4" customWidth="1"/>
    <col min="2" max="2" width="17.1796875" style="4" customWidth="1"/>
    <col min="3" max="3" width="13.7265625" style="4" customWidth="1"/>
    <col min="4" max="4" width="22.81640625" style="4" customWidth="1"/>
    <col min="5" max="5" width="4.1796875" style="4" customWidth="1"/>
    <col min="6" max="16384" width="9.1796875" style="4"/>
  </cols>
  <sheetData>
    <row r="3" spans="1:20" s="2" customFormat="1" x14ac:dyDescent="0.35">
      <c r="A3" s="278" t="s">
        <v>146</v>
      </c>
      <c r="B3" s="278"/>
      <c r="C3" s="278"/>
      <c r="D3" s="27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5" spans="1:20" x14ac:dyDescent="0.35">
      <c r="A5" s="3" t="s">
        <v>16</v>
      </c>
      <c r="B5" s="281" t="s">
        <v>147</v>
      </c>
      <c r="C5" s="281"/>
      <c r="D5" s="281"/>
      <c r="E5" s="2"/>
    </row>
    <row r="6" spans="1:20" x14ac:dyDescent="0.35">
      <c r="A6" s="5"/>
      <c r="B6" s="282"/>
      <c r="C6" s="282"/>
      <c r="D6" s="282"/>
      <c r="E6" s="2"/>
    </row>
    <row r="7" spans="1:20" x14ac:dyDescent="0.35">
      <c r="E7" s="2"/>
    </row>
    <row r="8" spans="1:20" x14ac:dyDescent="0.35">
      <c r="A8" s="283" t="s">
        <v>204</v>
      </c>
      <c r="B8" s="283"/>
      <c r="C8" s="283"/>
      <c r="D8" s="283"/>
      <c r="E8" s="2"/>
    </row>
    <row r="9" spans="1:20" x14ac:dyDescent="0.35">
      <c r="A9" s="4" t="s">
        <v>0</v>
      </c>
      <c r="B9" s="10">
        <v>40500</v>
      </c>
      <c r="C9" s="6" t="s">
        <v>5</v>
      </c>
      <c r="D9" s="4" t="s">
        <v>17</v>
      </c>
      <c r="E9" s="2"/>
    </row>
    <row r="10" spans="1:20" x14ac:dyDescent="0.35">
      <c r="A10" s="4" t="s">
        <v>1</v>
      </c>
      <c r="B10" s="10">
        <v>30</v>
      </c>
      <c r="C10" s="6" t="s">
        <v>6</v>
      </c>
      <c r="D10" s="4" t="s">
        <v>18</v>
      </c>
      <c r="E10" s="2"/>
    </row>
    <row r="11" spans="1:20" x14ac:dyDescent="0.35">
      <c r="A11" s="4" t="s">
        <v>2</v>
      </c>
      <c r="B11" s="10">
        <v>67500</v>
      </c>
      <c r="C11" s="6" t="s">
        <v>5</v>
      </c>
      <c r="D11" s="4" t="s">
        <v>19</v>
      </c>
      <c r="E11" s="2"/>
    </row>
    <row r="12" spans="1:20" x14ac:dyDescent="0.35">
      <c r="A12" s="4" t="s">
        <v>15</v>
      </c>
      <c r="B12" s="10">
        <v>30</v>
      </c>
      <c r="C12" s="6" t="s">
        <v>6</v>
      </c>
      <c r="E12" s="2"/>
    </row>
    <row r="13" spans="1:20" x14ac:dyDescent="0.35">
      <c r="E13" s="2"/>
    </row>
    <row r="14" spans="1:20" x14ac:dyDescent="0.35">
      <c r="A14" s="283" t="s">
        <v>7</v>
      </c>
      <c r="B14" s="283"/>
      <c r="C14" s="283"/>
      <c r="D14" s="283"/>
      <c r="E14" s="2"/>
    </row>
    <row r="15" spans="1:20" x14ac:dyDescent="0.35">
      <c r="A15" s="4" t="s">
        <v>203</v>
      </c>
      <c r="B15" s="142">
        <f>'5. Overige kosten'!E13</f>
        <v>0</v>
      </c>
      <c r="C15" s="6" t="s">
        <v>5</v>
      </c>
      <c r="E15" s="2"/>
    </row>
    <row r="16" spans="1:20" x14ac:dyDescent="0.35">
      <c r="E16" s="2"/>
    </row>
    <row r="17" spans="1:5" x14ac:dyDescent="0.35">
      <c r="A17" s="283" t="s">
        <v>8</v>
      </c>
      <c r="B17" s="283"/>
      <c r="C17" s="283"/>
      <c r="D17" s="283"/>
      <c r="E17" s="2"/>
    </row>
    <row r="18" spans="1:5" x14ac:dyDescent="0.35">
      <c r="A18" s="4" t="s">
        <v>14</v>
      </c>
      <c r="E18" s="2"/>
    </row>
    <row r="19" spans="1:5" x14ac:dyDescent="0.35">
      <c r="E19" s="2"/>
    </row>
    <row r="20" spans="1:5" x14ac:dyDescent="0.35">
      <c r="B20" s="8" t="s">
        <v>11</v>
      </c>
      <c r="C20" s="8" t="s">
        <v>12</v>
      </c>
      <c r="E20" s="2"/>
    </row>
    <row r="21" spans="1:5" x14ac:dyDescent="0.35">
      <c r="A21" s="4" t="s">
        <v>9</v>
      </c>
      <c r="B21" s="9">
        <f>(B10-B12)/B9</f>
        <v>0</v>
      </c>
      <c r="C21" s="9">
        <f>B12</f>
        <v>30</v>
      </c>
      <c r="E21" s="2"/>
    </row>
    <row r="22" spans="1:5" x14ac:dyDescent="0.35">
      <c r="A22" s="4" t="s">
        <v>10</v>
      </c>
      <c r="B22" s="9">
        <f>(0-B10)/(B11-B9)</f>
        <v>-1.1111111111111111E-3</v>
      </c>
      <c r="C22" s="9">
        <f>B11*B10/(B10-B9)</f>
        <v>-50.037064492216459</v>
      </c>
      <c r="E22" s="2"/>
    </row>
    <row r="23" spans="1:5" x14ac:dyDescent="0.35">
      <c r="E23" s="2"/>
    </row>
    <row r="24" spans="1:5" x14ac:dyDescent="0.35">
      <c r="A24" s="278" t="s">
        <v>13</v>
      </c>
      <c r="B24" s="278"/>
      <c r="C24" s="278"/>
      <c r="D24" s="278"/>
      <c r="E24" s="2"/>
    </row>
    <row r="25" spans="1:5" x14ac:dyDescent="0.35">
      <c r="A25" s="279">
        <f>IF(B15&lt;=B9,ROUND((B10-B12)/B9*B15+B12,3),IF(B15&gt;=B11,"0",ROUND(((0-B10)/(B11-B9))*B15+B11*B10/(B11-B9),3)))</f>
        <v>30</v>
      </c>
      <c r="B25" s="279"/>
      <c r="C25" s="279"/>
      <c r="D25" s="279"/>
      <c r="E25" s="2"/>
    </row>
    <row r="26" spans="1:5" ht="15" customHeight="1" x14ac:dyDescent="0.35">
      <c r="A26" s="279"/>
      <c r="B26" s="279"/>
      <c r="C26" s="279"/>
      <c r="D26" s="279"/>
      <c r="E26" s="2"/>
    </row>
    <row r="27" spans="1:5" ht="15" customHeight="1" x14ac:dyDescent="0.35">
      <c r="A27" s="280" t="s">
        <v>6</v>
      </c>
      <c r="B27" s="280"/>
      <c r="C27" s="280"/>
      <c r="D27" s="280"/>
      <c r="E27" s="2"/>
    </row>
    <row r="28" spans="1:5" ht="15" customHeight="1" x14ac:dyDescent="0.35">
      <c r="A28" s="280"/>
      <c r="B28" s="280"/>
      <c r="C28" s="280"/>
      <c r="D28" s="280"/>
      <c r="E28" s="2"/>
    </row>
    <row r="30" spans="1:5" x14ac:dyDescent="0.35">
      <c r="A30" s="4" t="s">
        <v>24</v>
      </c>
    </row>
    <row r="31" spans="1:5" x14ac:dyDescent="0.35">
      <c r="A31" s="4" t="s">
        <v>22</v>
      </c>
    </row>
    <row r="33" spans="1:2" x14ac:dyDescent="0.35">
      <c r="A33" s="4" t="s">
        <v>23</v>
      </c>
    </row>
    <row r="34" spans="1:2" x14ac:dyDescent="0.35">
      <c r="A34" s="4" t="s">
        <v>11</v>
      </c>
      <c r="B34" s="4" t="s">
        <v>20</v>
      </c>
    </row>
    <row r="35" spans="1:2" x14ac:dyDescent="0.35">
      <c r="A35" s="4" t="s">
        <v>12</v>
      </c>
      <c r="B35" s="4" t="s">
        <v>21</v>
      </c>
    </row>
  </sheetData>
  <sheetProtection algorithmName="SHA-512" hashValue="dcuihd6Hd3hCLi4ycWdP4COCqutD2l4s4nJTo+U4WD2YBmQ0HTJ1/cZz2bQebCq/4fX91JTlUJy235ZLSwgiow==" saltValue="aKuBoYS1IJevRHoUO8QqRA==" spinCount="100000" sheet="1" objects="1" scenarios="1"/>
  <mergeCells count="9">
    <mergeCell ref="A24:D24"/>
    <mergeCell ref="A25:D26"/>
    <mergeCell ref="A27:D28"/>
    <mergeCell ref="A3:D3"/>
    <mergeCell ref="B5:D5"/>
    <mergeCell ref="B6:D6"/>
    <mergeCell ref="A8:D8"/>
    <mergeCell ref="A14:D14"/>
    <mergeCell ref="A17:D17"/>
  </mergeCells>
  <conditionalFormatting sqref="A27:D28">
    <cfRule type="containsText" dxfId="0" priority="1" operator="containsText" text="punten">
      <formula>NOT(ISERROR(SEARCH("punten",A27)))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9" ma:contentTypeDescription="Een nieuw document maken." ma:contentTypeScope="" ma:versionID="17067d57cd94e8156bb84629e3d9ae3b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05223597282599d0cee78f69fb6f948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800046-7397-48E4-9FB5-1C664A1BC97D}">
  <ds:schemaRefs>
    <ds:schemaRef ds:uri="http://schemas.microsoft.com/office/2006/metadata/properties"/>
    <ds:schemaRef ds:uri="http://schemas.microsoft.com/office/infopath/2007/PartnerControls"/>
    <ds:schemaRef ds:uri="d5c4f9c5-7087-46a8-9743-af9d69eae959"/>
    <ds:schemaRef ds:uri="618a91e7-62b8-4c23-b6bc-655e59ab04f6"/>
    <ds:schemaRef ds:uri="77452795-824a-4340-ad82-136edb6f119d"/>
    <ds:schemaRef ds:uri="fa2fa439-2837-4dd7-ac30-9f5ce114794e"/>
  </ds:schemaRefs>
</ds:datastoreItem>
</file>

<file path=customXml/itemProps2.xml><?xml version="1.0" encoding="utf-8"?>
<ds:datastoreItem xmlns:ds="http://schemas.openxmlformats.org/officeDocument/2006/customXml" ds:itemID="{983A744E-BCE9-499E-929E-AF356D4CC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52795-824a-4340-ad82-136edb6f119d"/>
    <ds:schemaRef ds:uri="fa2fa439-2837-4dd7-ac30-9f5ce1147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82D094-D5B8-4DA7-A62E-47D851393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5</vt:i4>
      </vt:variant>
    </vt:vector>
  </HeadingPairs>
  <TitlesOfParts>
    <vt:vector size="13" baseType="lpstr">
      <vt:lpstr>Invul instructie</vt:lpstr>
      <vt:lpstr>1. Inschrijfprijs</vt:lpstr>
      <vt:lpstr>2. Producten</vt:lpstr>
      <vt:lpstr>3. Afvalstromen en huur</vt:lpstr>
      <vt:lpstr>4. Alternatieve verwerking </vt:lpstr>
      <vt:lpstr>5. Overige kosten</vt:lpstr>
      <vt:lpstr>6. Formule Prijzenblad ABC</vt:lpstr>
      <vt:lpstr>7. Formule Prijzenblad D</vt:lpstr>
      <vt:lpstr>'6. Formule Prijzenblad ABC'!MaxPnt</vt:lpstr>
      <vt:lpstr>'6. Formule Prijzenblad ABC'!PrIn</vt:lpstr>
      <vt:lpstr>'6. Formule Prijzenblad ABC'!PrKn</vt:lpstr>
      <vt:lpstr>'6. Formule Prijzenblad ABC'!PrMax</vt:lpstr>
      <vt:lpstr>'6. Formule Prijzenblad ABC'!PuKn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diederik.bauw@inkopenvoor.nl</dc:creator>
  <cp:lastModifiedBy>Dokkum, J.A. (FB-INKOOP)</cp:lastModifiedBy>
  <cp:lastPrinted>2023-07-12T14:09:11Z</cp:lastPrinted>
  <dcterms:created xsi:type="dcterms:W3CDTF">2015-01-19T14:52:11Z</dcterms:created>
  <dcterms:modified xsi:type="dcterms:W3CDTF">2024-10-23T09:04:10Z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  <property fmtid="{D5CDD505-2E9C-101B-9397-08002B2CF9AE}" pid="3" name="MediaServiceImageTags">
    <vt:lpwstr/>
  </property>
</Properties>
</file>