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Stichting Kopwerk\Aanbesteding 2025\Uitlever\"/>
    </mc:Choice>
  </mc:AlternateContent>
  <xr:revisionPtr revIDLastSave="0" documentId="13_ncr:1_{01D68F55-3CEA-4104-A437-72C8B4E1C04E}" xr6:coauthVersionLast="47" xr6:coauthVersionMax="47" xr10:uidLastSave="{00000000-0000-0000-0000-000000000000}"/>
  <bookViews>
    <workbookView xWindow="-120" yWindow="-120" windowWidth="29040" windowHeight="15720" firstSheet="7" activeTab="12" xr2:uid="{9DD54E48-4FE5-491A-8560-F24E0D24B41E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Ruimtesn werkdag vakantie" sheetId="16" r:id="rId6"/>
    <sheet name="Kostenplaatsinfo" sheetId="6" r:id="rId7"/>
    <sheet name="Kostenplaatsen" sheetId="7" r:id="rId8"/>
    <sheet name="Totaalblad Kostenplaatsen" sheetId="8" r:id="rId9"/>
    <sheet name="Additioneel werk" sheetId="9" r:id="rId10"/>
    <sheet name="Additioneel werk per kp-loc" sheetId="10" r:id="rId11"/>
    <sheet name="Afroep" sheetId="11" r:id="rId12"/>
    <sheet name="Afroep incidenteel" sheetId="12" r:id="rId13"/>
    <sheet name="Regiewerk" sheetId="13" r:id="rId14"/>
    <sheet name="Glas" sheetId="14" r:id="rId15"/>
    <sheet name="Totaal" sheetId="15" r:id="rId16"/>
  </sheets>
  <definedNames>
    <definedName name="_xlnm._FilterDatabase" localSheetId="4" hidden="1">'Ruimten werkdag'!$A$3:$S$279</definedName>
    <definedName name="_xlnm.Print_Titles" localSheetId="9">'Additioneel werk'!$1:$3</definedName>
    <definedName name="_xlnm.Print_Titles" localSheetId="10">'Additioneel werk per kp-loc'!$1:$3</definedName>
    <definedName name="_xlnm.Print_Titles" localSheetId="11">Afroep!$1:$3</definedName>
    <definedName name="_xlnm.Print_Titles" localSheetId="12">'Afroep incidenteel'!$1:$3</definedName>
    <definedName name="_xlnm.Print_Titles" localSheetId="2">Categorienormen!$1:$3</definedName>
    <definedName name="_xlnm.Print_Titles" localSheetId="14">Glas!$1:$3</definedName>
    <definedName name="_xlnm.Print_Titles" localSheetId="7">Kostenplaatsen!$1:$3</definedName>
    <definedName name="_xlnm.Print_Titles" localSheetId="6">Kostenplaatsinfo!$A:$D,Kostenplaatsinfo!$1:$4</definedName>
    <definedName name="_xlnm.Print_Titles" localSheetId="13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5">Totaal!$1:$3</definedName>
    <definedName name="_xlnm.Print_Titles" localSheetId="8">'Totaalblad Kostenplaatsen'!$1:$3</definedName>
    <definedName name="catdw_1_AHB_1">Categorienormen!$F$18</definedName>
    <definedName name="catdw_1_AHV_40">Categorienormen!$F$19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EHB_1">Categorienormen!$F$20</definedName>
    <definedName name="catdw_1_EHV_40">Categorienormen!$F$21</definedName>
    <definedName name="catdw_1_EZB_1">Categorienormen!$F$22</definedName>
    <definedName name="catdw_1_EZV_40">Categorienormen!$F$23</definedName>
    <definedName name="catdw_1_GHB_1">Categorienormen!$F$24</definedName>
    <definedName name="catdw_1_GHV_40">Categorienormen!$F$25</definedName>
    <definedName name="catdw_1_LHB_1">Categorienormen!$F$10</definedName>
    <definedName name="catdw_1_LHV_40">Categorienormen!$F$11</definedName>
    <definedName name="catdw_1_LZB_1">Categorienormen!$F$12</definedName>
    <definedName name="catdw_1_LZV_40">Categorienormen!$F$13</definedName>
    <definedName name="catdw_1_PHB_1">Categorienormen!$F$26</definedName>
    <definedName name="catdw_1_PHV_40">Categorienormen!$F$27</definedName>
    <definedName name="catdw_1_PMHB_1">Categorienormen!$F$14</definedName>
    <definedName name="catdw_1_PMHV_40">Categorienormen!$F$15</definedName>
    <definedName name="catdw_1_SHB_1">Categorienormen!$F$16</definedName>
    <definedName name="catdw_1_SHV_40">Categorienormen!$F$17</definedName>
    <definedName name="catdw_1_THB_1">Categorienormen!$F$28</definedName>
    <definedName name="catdw_1_THV_40">Categorienormen!$F$29</definedName>
    <definedName name="catdw_1_VHB_1">Categorienormen!$F$30</definedName>
    <definedName name="catdw_1_VHV_40">Categorienormen!$F$31</definedName>
    <definedName name="catdw_1_VZB_1">Categorienormen!$F$32</definedName>
    <definedName name="catdw_1_VZV_40">Categorienormen!$F$33</definedName>
    <definedName name="catfd_1_AHB_1">Categorienormen!$C$18</definedName>
    <definedName name="catfd_1_AHV_40">Categorienormen!$C$19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EHB_1">Categorienormen!$C$20</definedName>
    <definedName name="catfd_1_EHV_40">Categorienormen!$C$21</definedName>
    <definedName name="catfd_1_EZB_1">Categorienormen!$C$22</definedName>
    <definedName name="catfd_1_EZV_40">Categorienormen!$C$23</definedName>
    <definedName name="catfd_1_GHB_1">Categorienormen!$C$24</definedName>
    <definedName name="catfd_1_GHV_40">Categorienormen!$C$25</definedName>
    <definedName name="catfd_1_LHB_1">Categorienormen!$C$10</definedName>
    <definedName name="catfd_1_LHV_40">Categorienormen!$C$11</definedName>
    <definedName name="catfd_1_LZB_1">Categorienormen!$C$12</definedName>
    <definedName name="catfd_1_LZV_40">Categorienormen!$C$13</definedName>
    <definedName name="catfd_1_PHB_1">Categorienormen!$C$26</definedName>
    <definedName name="catfd_1_PHV_40">Categorienormen!$C$27</definedName>
    <definedName name="catfd_1_PMHB_1">Categorienormen!$C$14</definedName>
    <definedName name="catfd_1_PMHV_40">Categorienormen!$C$15</definedName>
    <definedName name="catfd_1_SHB_1">Categorienormen!$C$16</definedName>
    <definedName name="catfd_1_SHV_40">Categorienormen!$C$17</definedName>
    <definedName name="catfd_1_THB_1">Categorienormen!$C$28</definedName>
    <definedName name="catfd_1_THV_40">Categorienormen!$C$29</definedName>
    <definedName name="catfd_1_VHB_1">Categorienormen!$C$30</definedName>
    <definedName name="catfd_1_VHV_40">Categorienormen!$C$31</definedName>
    <definedName name="catfd_1_VZB_1">Categorienormen!$C$32</definedName>
    <definedName name="catfd_1_VZV_40">Categorienormen!$C$33</definedName>
    <definedName name="catpn_1_AHB_1">Categorienormen!$E$18</definedName>
    <definedName name="catpn_1_AHV_40">Categorienormen!$E$19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EHB_1">Categorienormen!$E$20</definedName>
    <definedName name="catpn_1_EHV_40">Categorienormen!$E$21</definedName>
    <definedName name="catpn_1_EZB_1">Categorienormen!$E$22</definedName>
    <definedName name="catpn_1_EZV_40">Categorienormen!$E$23</definedName>
    <definedName name="catpn_1_GHB_1">Categorienormen!$E$24</definedName>
    <definedName name="catpn_1_GHV_40">Categorienormen!$E$25</definedName>
    <definedName name="catpn_1_LHB_1">Categorienormen!$E$10</definedName>
    <definedName name="catpn_1_LHV_40">Categorienormen!$E$11</definedName>
    <definedName name="catpn_1_LZB_1">Categorienormen!$E$12</definedName>
    <definedName name="catpn_1_LZV_40">Categorienormen!$E$13</definedName>
    <definedName name="catpn_1_PHB_1">Categorienormen!$E$26</definedName>
    <definedName name="catpn_1_PHV_40">Categorienormen!$E$27</definedName>
    <definedName name="catpn_1_PMHB_1">Categorienormen!$E$14</definedName>
    <definedName name="catpn_1_PMHV_40">Categorienormen!$E$15</definedName>
    <definedName name="catpn_1_SHB_1">Categorienormen!$E$16</definedName>
    <definedName name="catpn_1_SHV_40">Categorienormen!$E$17</definedName>
    <definedName name="catpn_1_THB_1">Categorienormen!$E$28</definedName>
    <definedName name="catpn_1_THV_40">Categorienormen!$E$29</definedName>
    <definedName name="catpn_1_VHB_1">Categorienormen!$E$30</definedName>
    <definedName name="catpn_1_VHV_40">Categorienormen!$E$31</definedName>
    <definedName name="catpn_1_VZB_1">Categorienormen!$E$32</definedName>
    <definedName name="catpn_1_VZV_40">Categorienormen!$E$33</definedName>
    <definedName name="cattf_1_AHB_1">Categorienormen!$H$18</definedName>
    <definedName name="cattf_1_AHV_40">Categorienormen!$H$19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EHB_1">Categorienormen!$H$20</definedName>
    <definedName name="cattf_1_EHV_40">Categorienormen!$H$21</definedName>
    <definedName name="cattf_1_EZB_1">Categorienormen!$H$22</definedName>
    <definedName name="cattf_1_EZV_40">Categorienormen!$H$23</definedName>
    <definedName name="cattf_1_GHB_1">Categorienormen!$H$24</definedName>
    <definedName name="cattf_1_GHV_40">Categorienormen!$H$25</definedName>
    <definedName name="cattf_1_LHB_1">Categorienormen!$H$10</definedName>
    <definedName name="cattf_1_LHV_40">Categorienormen!$H$11</definedName>
    <definedName name="cattf_1_LZB_1">Categorienormen!$H$12</definedName>
    <definedName name="cattf_1_LZV_40">Categorienormen!$H$13</definedName>
    <definedName name="cattf_1_PHB_1">Categorienormen!$H$26</definedName>
    <definedName name="cattf_1_PHV_40">Categorienormen!$H$27</definedName>
    <definedName name="cattf_1_PMHB_1">Categorienormen!$H$14</definedName>
    <definedName name="cattf_1_PMHV_40">Categorienormen!$H$15</definedName>
    <definedName name="cattf_1_SHB_1">Categorienormen!$H$16</definedName>
    <definedName name="cattf_1_SHV_40">Categorienormen!$H$17</definedName>
    <definedName name="cattf_1_THB_1">Categorienormen!$H$28</definedName>
    <definedName name="cattf_1_THV_40">Categorienormen!$H$29</definedName>
    <definedName name="cattf_1_VHB_1">Categorienormen!$H$30</definedName>
    <definedName name="cattf_1_VHV_40">Categorienormen!$H$31</definedName>
    <definedName name="cattf_1_VZB_1">Categorienormen!$H$32</definedName>
    <definedName name="cattf_1_VZV_40">Categorienormen!$H$33</definedName>
    <definedName name="dagenperjaar1">Omreken!$B$9</definedName>
    <definedName name="dagenperweek1">Omreken!$B$10</definedName>
    <definedName name="dagsoorttabel1">Omreken!$A$13:$B$29</definedName>
    <definedName name="gemuurtarief1">'Regulier werk'!$I$30</definedName>
    <definedName name="kengetaltabel1">Kostenplaatsinfo!$G$5:$G$26</definedName>
    <definedName name="object1_gemuurtarief1">'Ruimten werkdag'!$O$26</definedName>
    <definedName name="object1_opptabel1">Kostenplaatsinfo!$I$5:$I$26</definedName>
    <definedName name="object1_prijsdag1">'Ruimten werkdag'!$Q$26</definedName>
    <definedName name="object1_prijsjaar1">'Ruimten werkdag'!$S$26</definedName>
    <definedName name="object1_urendag1">'Ruimten werkdag'!$P$26</definedName>
    <definedName name="object1_urenjaar1">'Ruimten werkdag'!$R$26</definedName>
    <definedName name="object10_opptabel1">Kostenplaatsinfo!$R$5:$R$26</definedName>
    <definedName name="object11_gemuurtarief1">'Ruimten werkdag'!$O$221</definedName>
    <definedName name="object11_opptabel1">Kostenplaatsinfo!$S$5:$S$26</definedName>
    <definedName name="object11_prijsdag1">'Ruimten werkdag'!$Q$221</definedName>
    <definedName name="object11_prijsjaar1">'Ruimten werkdag'!$S$221</definedName>
    <definedName name="object11_urendag1">'Ruimten werkdag'!$P$221</definedName>
    <definedName name="object11_urenjaar1">'Ruimten werkdag'!$R$221</definedName>
    <definedName name="object12_opptabel1">Kostenplaatsinfo!$T$5:$T$26</definedName>
    <definedName name="object13_gemuurtarief1">'Ruimten werkdag'!$O$262</definedName>
    <definedName name="object13_opptabel1">Kostenplaatsinfo!$U$5:$U$26</definedName>
    <definedName name="object13_prijsdag1">'Ruimten werkdag'!$Q$262</definedName>
    <definedName name="object13_prijsjaar1">'Ruimten werkdag'!$S$262</definedName>
    <definedName name="object13_urendag1">'Ruimten werkdag'!$P$262</definedName>
    <definedName name="object13_urenjaar1">'Ruimten werkdag'!$R$262</definedName>
    <definedName name="object14_gemuurtarief1">'Ruimten werkdag'!$O$279</definedName>
    <definedName name="object14_opptabel1">Kostenplaatsinfo!$V$5:$V$26</definedName>
    <definedName name="object14_prijsdag1">'Ruimten werkdag'!$Q$279</definedName>
    <definedName name="object14_prijsjaar1">'Ruimten werkdag'!$S$279</definedName>
    <definedName name="object14_urendag1">'Ruimten werkdag'!$P$279</definedName>
    <definedName name="object14_urenjaar1">'Ruimten werkdag'!$R$279</definedName>
    <definedName name="object2_gemuurtarief1">'Ruimten werkdag'!$O$56</definedName>
    <definedName name="object2_opptabel1">Kostenplaatsinfo!$J$5:$J$26</definedName>
    <definedName name="object2_prijsdag1">'Ruimten werkdag'!$Q$56</definedName>
    <definedName name="object2_prijsjaar1">'Ruimten werkdag'!$S$56</definedName>
    <definedName name="object2_urendag1">'Ruimten werkdag'!$P$56</definedName>
    <definedName name="object2_urenjaar1">'Ruimten werkdag'!$R$56</definedName>
    <definedName name="object3_gemuurtarief1">'Ruimten werkdag'!$O$97</definedName>
    <definedName name="object3_opptabel1">Kostenplaatsinfo!$K$5:$K$26</definedName>
    <definedName name="object3_prijsdag1">'Ruimten werkdag'!$Q$97</definedName>
    <definedName name="object3_prijsjaar1">'Ruimten werkdag'!$S$97</definedName>
    <definedName name="object3_urendag1">'Ruimten werkdag'!$P$97</definedName>
    <definedName name="object3_urenjaar1">'Ruimten werkdag'!$R$97</definedName>
    <definedName name="object4_gemuurtarief1">'Ruimten werkdag'!$O$268</definedName>
    <definedName name="object4_opptabel1">Kostenplaatsinfo!$L$5:$L$26</definedName>
    <definedName name="object4_prijsdag1">'Ruimten werkdag'!$Q$268</definedName>
    <definedName name="object4_prijsjaar1">'Ruimten werkdag'!$S$268</definedName>
    <definedName name="object4_urendag1">'Ruimten werkdag'!$P$268</definedName>
    <definedName name="object4_urenjaar1">'Ruimten werkdag'!$R$268</definedName>
    <definedName name="object5_gemuurtarief1">'Ruimten werkdag'!$O$128</definedName>
    <definedName name="object5_opptabel1">Kostenplaatsinfo!$M$5:$M$26</definedName>
    <definedName name="object5_prijsdag1">'Ruimten werkdag'!$Q$128</definedName>
    <definedName name="object5_prijsjaar1">'Ruimten werkdag'!$S$128</definedName>
    <definedName name="object5_urendag1">'Ruimten werkdag'!$P$128</definedName>
    <definedName name="object5_urenjaar1">'Ruimten werkdag'!$R$128</definedName>
    <definedName name="object6_gemuurtarief1">'Ruimten werkdag'!$O$274</definedName>
    <definedName name="object6_opptabel1">Kostenplaatsinfo!$N$5:$N$26</definedName>
    <definedName name="object6_prijsdag1">'Ruimten werkdag'!$Q$274</definedName>
    <definedName name="object6_prijsjaar1">'Ruimten werkdag'!$S$274</definedName>
    <definedName name="object6_urendag1">'Ruimten werkdag'!$P$274</definedName>
    <definedName name="object6_urenjaar1">'Ruimten werkdag'!$R$274</definedName>
    <definedName name="object7_gemuurtarief1">'Ruimten werkdag'!$O$164</definedName>
    <definedName name="object7_opptabel1">Kostenplaatsinfo!$O$5:$O$26</definedName>
    <definedName name="object7_prijsdag1">'Ruimten werkdag'!$Q$164</definedName>
    <definedName name="object7_prijsjaar1">'Ruimten werkdag'!$S$164</definedName>
    <definedName name="object7_urendag1">'Ruimten werkdag'!$P$164</definedName>
    <definedName name="object7_urenjaar1">'Ruimten werkdag'!$R$164</definedName>
    <definedName name="object8_opptabel1">Kostenplaatsinfo!$P$5:$P$26</definedName>
    <definedName name="object9_gemuurtarief1">'Ruimten werkdag'!$O$189</definedName>
    <definedName name="object9_opptabel1">Kostenplaatsinfo!$Q$5:$Q$26</definedName>
    <definedName name="object9_prijsdag1">'Ruimten werkdag'!$Q$189</definedName>
    <definedName name="object9_prijsjaar1">'Ruimten werkdag'!$S$189</definedName>
    <definedName name="object9_urendag1">'Ruimten werkdag'!$P$189</definedName>
    <definedName name="object9_urenjaar1">'Ruimten werkdag'!$R$189</definedName>
    <definedName name="objectprijs1_1">Kostenplaatsen!$L$6</definedName>
    <definedName name="objectprijs10_1">Kostenplaatsen!$L$15</definedName>
    <definedName name="objectprijs11_1">Kostenplaatsen!$L$16</definedName>
    <definedName name="objectprijs12_1">Kostenplaatsen!$L$17</definedName>
    <definedName name="objectprijs13_1">Kostenplaatsen!$L$18</definedName>
    <definedName name="objectprijs14_1">Kostenplaatsen!$L$19</definedName>
    <definedName name="objectprijs2_1">Kostenplaatsen!$L$7</definedName>
    <definedName name="objectprijs3_1">Kostenplaatsen!$L$8</definedName>
    <definedName name="objectprijs4_1">Kostenplaatsen!$L$9</definedName>
    <definedName name="objectprijs5_1">Kostenplaatsen!$L$10</definedName>
    <definedName name="objectprijs6_1">Kostenplaatsen!$L$11</definedName>
    <definedName name="objectprijs7_1">Kostenplaatsen!$L$12</definedName>
    <definedName name="objectprijs8_1">Kostenplaatsen!$L$13</definedName>
    <definedName name="objectprijs9_1">Kostenplaatsen!$L$14</definedName>
    <definedName name="objecturen1_1">Kostenplaatsen!$K$6</definedName>
    <definedName name="objecturen10_1">Kostenplaatsen!$K$15</definedName>
    <definedName name="objecturen11_1">Kostenplaatsen!$K$16</definedName>
    <definedName name="objecturen12_1">Kostenplaatsen!$K$17</definedName>
    <definedName name="objecturen13_1">Kostenplaatsen!$K$18</definedName>
    <definedName name="objecturen14_1">Kostenplaatsen!$K$19</definedName>
    <definedName name="objecturen2_1">Kostenplaatsen!$K$7</definedName>
    <definedName name="objecturen3_1">Kostenplaatsen!$K$8</definedName>
    <definedName name="objecturen4_1">Kostenplaatsen!$K$9</definedName>
    <definedName name="objecturen5_1">Kostenplaatsen!$K$10</definedName>
    <definedName name="objecturen6_1">Kostenplaatsen!$K$11</definedName>
    <definedName name="objecturen7_1">Kostenplaatsen!$K$12</definedName>
    <definedName name="objecturen8_1">Kostenplaatsen!$K$13</definedName>
    <definedName name="objecturen9_1">Kostenplaatsen!$K$14</definedName>
    <definedName name="prijsdag1">'Regulier werk'!$K$28</definedName>
    <definedName name="prijsjaar">'Regulier werk'!$M$33</definedName>
    <definedName name="prijsjaar1">'Regulier werk'!$M$28</definedName>
    <definedName name="prijsjaaradditioneel">'Additioneel werk'!$K$9</definedName>
    <definedName name="prijsjaaradditioneel1">'Additioneel werk'!$K$7</definedName>
    <definedName name="prijsjaarafroep">Afroep!$K$9</definedName>
    <definedName name="prijsjaarafroep1">Afroep!$K$7</definedName>
    <definedName name="prijsjaarglas">Glas!$K$15</definedName>
    <definedName name="prijsjaarglas1">Glas!$K$13</definedName>
    <definedName name="prijsjaarregie">Regiewerk!$K$12</definedName>
    <definedName name="prijsjaarregie1">Regiewerk!$K$10</definedName>
    <definedName name="prijsjaartotaal">Kostenplaatsen!$L$23</definedName>
    <definedName name="prijsjaartotaal1">Kostenplaatsen!$L$20</definedName>
    <definedName name="prijsjaartotaaloverzicht">'Totaalblad Kostenplaatsen'!$E$19</definedName>
    <definedName name="prijsmaandtotaal1">Kostenplaatsen!$M$20</definedName>
    <definedName name="prodnorm0">Glas!$H$12</definedName>
    <definedName name="prodnorm1">'Additioneel werk per kp-loc'!$I$54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Kostenplaatsinfo!$E$5:$E$26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Tariefopbouw!$D$53</definedName>
    <definedName name="Tariefopbouw6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Kostenplaatsinfo!$H$5:$H$26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Tariefopbouw!$E$50</definedName>
    <definedName name="TariefUitvoering6">Tariefopbouw!$G$50</definedName>
    <definedName name="urendag1">'Regulier werk'!$J$28</definedName>
    <definedName name="urenjaar">'Regulier werk'!$L$33</definedName>
    <definedName name="urenjaar1">'Regulier werk'!$L$28</definedName>
    <definedName name="urenjaartotaal">Kostenplaatsen!$K$23</definedName>
    <definedName name="urenjaartotaal1">Kostenplaatsen!$K$20</definedName>
    <definedName name="urenjaartotaaloverzicht">'Totaalblad Kostenplaatsen'!$D$19</definedName>
    <definedName name="uurfactortabel1">Kostenplaatsinfo!$F$5:$F$26</definedName>
    <definedName name="uurtarief0">Glas!$I$12</definedName>
    <definedName name="uurtarief1">'Additioneel werk per kp-loc'!$H$54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18">'Regulier werk'!$I$22</definedName>
    <definedName name="uurtarief19">'Regulier werk'!$I$23</definedName>
    <definedName name="uurtarief2">'Regulier werk'!$I$6</definedName>
    <definedName name="uurtarief20">'Regulier werk'!$I$24</definedName>
    <definedName name="uurtarief21">'Regulier werk'!$I$25</definedName>
    <definedName name="uurtarief22">'Regulier werk'!$I$26</definedName>
    <definedName name="uurtarief23">'Regulier werk'!$I$27</definedName>
    <definedName name="uurtarief3">'Regulier werk'!$I$7</definedName>
    <definedName name="uurtarief4">'Regulier werk'!$I$8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afroep">Totaal!$C$6</definedName>
    <definedName name="vp_glas">Totaal!$C$8</definedName>
    <definedName name="vp_regie">Totaal!$C$7</definedName>
    <definedName name="vp_variant">Totaal!$C$13</definedName>
    <definedName name="vu_regulier">Totaal!$B$4</definedName>
    <definedName name="vu_variant">Totaal!$B$10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6" l="1"/>
  <c r="A1" i="7"/>
  <c r="A1" i="8"/>
  <c r="A1" i="9"/>
  <c r="A1" i="10"/>
  <c r="A1" i="11"/>
  <c r="A1" i="12"/>
  <c r="A1" i="13"/>
  <c r="A1" i="14"/>
  <c r="A1" i="15"/>
  <c r="J12" i="14"/>
  <c r="J11" i="14"/>
  <c r="J10" i="14"/>
  <c r="J9" i="14"/>
  <c r="J8" i="14"/>
  <c r="J7" i="14"/>
  <c r="J6" i="14"/>
  <c r="I54" i="10"/>
  <c r="I50" i="10"/>
  <c r="I46" i="10"/>
  <c r="I42" i="10"/>
  <c r="I38" i="10"/>
  <c r="I34" i="10"/>
  <c r="I30" i="10"/>
  <c r="I26" i="10"/>
  <c r="I22" i="10"/>
  <c r="I18" i="10"/>
  <c r="I14" i="10"/>
  <c r="I10" i="10"/>
  <c r="I6" i="10"/>
  <c r="J6" i="9"/>
  <c r="A1" i="5"/>
  <c r="I27" i="4"/>
  <c r="G27" i="4"/>
  <c r="I26" i="4"/>
  <c r="G26" i="4"/>
  <c r="G25" i="4"/>
  <c r="I24" i="4"/>
  <c r="G24" i="4"/>
  <c r="I23" i="4"/>
  <c r="G23" i="4"/>
  <c r="G22" i="4"/>
  <c r="I21" i="4"/>
  <c r="G21" i="4"/>
  <c r="I20" i="4"/>
  <c r="G20" i="4"/>
  <c r="I19" i="4"/>
  <c r="G19" i="4"/>
  <c r="I18" i="4"/>
  <c r="G18" i="4"/>
  <c r="I17" i="4"/>
  <c r="G17" i="4"/>
  <c r="G16" i="4"/>
  <c r="I15" i="4"/>
  <c r="G15" i="4"/>
  <c r="I14" i="4"/>
  <c r="G14" i="4"/>
  <c r="G13" i="4"/>
  <c r="I12" i="4"/>
  <c r="G12" i="4"/>
  <c r="I11" i="4"/>
  <c r="G11" i="4"/>
  <c r="I10" i="4"/>
  <c r="G10" i="4"/>
  <c r="G9" i="4"/>
  <c r="I8" i="4"/>
  <c r="G8" i="4"/>
  <c r="I7" i="4"/>
  <c r="G7" i="4"/>
  <c r="I6" i="4"/>
  <c r="G6" i="4"/>
  <c r="A1" i="4"/>
  <c r="A1" i="3"/>
  <c r="A60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5" i="6" l="1"/>
  <c r="E23" i="6"/>
  <c r="E22" i="6"/>
  <c r="E20" i="6"/>
  <c r="E19" i="6"/>
  <c r="E18" i="6"/>
  <c r="E17" i="6"/>
  <c r="E14" i="6"/>
  <c r="E11" i="6"/>
  <c r="E10" i="6"/>
  <c r="E9" i="6"/>
  <c r="E7" i="6"/>
  <c r="E6" i="6"/>
  <c r="E5" i="6"/>
  <c r="L267" i="5"/>
  <c r="L266" i="5"/>
  <c r="L264" i="5"/>
  <c r="L261" i="5"/>
  <c r="L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1" i="5"/>
  <c r="L240" i="5"/>
  <c r="L239" i="5"/>
  <c r="L238" i="5"/>
  <c r="L237" i="5"/>
  <c r="L236" i="5"/>
  <c r="L235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16" i="5"/>
  <c r="L215" i="5"/>
  <c r="L214" i="5"/>
  <c r="L213" i="5"/>
  <c r="L212" i="5"/>
  <c r="L211" i="5"/>
  <c r="L210" i="5"/>
  <c r="L209" i="5"/>
  <c r="L208" i="5"/>
  <c r="L207" i="5"/>
  <c r="L206" i="5"/>
  <c r="L205" i="5"/>
  <c r="L204" i="5"/>
  <c r="L203" i="5"/>
  <c r="L201" i="5"/>
  <c r="L200" i="5"/>
  <c r="L199" i="5"/>
  <c r="L198" i="5"/>
  <c r="L197" i="5"/>
  <c r="L196" i="5"/>
  <c r="L195" i="5"/>
  <c r="L194" i="5"/>
  <c r="L193" i="5"/>
  <c r="L192" i="5"/>
  <c r="L191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3" i="5"/>
  <c r="L162" i="5"/>
  <c r="L161" i="5"/>
  <c r="L160" i="5"/>
  <c r="L159" i="5"/>
  <c r="L158" i="5"/>
  <c r="L156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7" i="5"/>
  <c r="L126" i="5"/>
  <c r="L124" i="5"/>
  <c r="L123" i="5"/>
  <c r="L122" i="5"/>
  <c r="L121" i="5"/>
  <c r="L120" i="5"/>
  <c r="L119" i="5"/>
  <c r="L118" i="5"/>
  <c r="L117" i="5"/>
  <c r="L116" i="5"/>
  <c r="L115" i="5"/>
  <c r="L113" i="5"/>
  <c r="L112" i="5"/>
  <c r="L111" i="5"/>
  <c r="L110" i="5"/>
  <c r="L109" i="5"/>
  <c r="L108" i="5"/>
  <c r="L107" i="5"/>
  <c r="L105" i="5"/>
  <c r="L104" i="5"/>
  <c r="L103" i="5"/>
  <c r="L102" i="5"/>
  <c r="L101" i="5"/>
  <c r="L100" i="5"/>
  <c r="L99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F26" i="4"/>
  <c r="F24" i="4"/>
  <c r="F23" i="4"/>
  <c r="F21" i="4"/>
  <c r="F20" i="4"/>
  <c r="F19" i="4"/>
  <c r="F18" i="4"/>
  <c r="F15" i="4"/>
  <c r="F12" i="4"/>
  <c r="F11" i="4"/>
  <c r="F10" i="4"/>
  <c r="F8" i="4"/>
  <c r="F7" i="4"/>
  <c r="F6" i="4"/>
  <c r="E13" i="6"/>
  <c r="L270" i="5"/>
  <c r="F14" i="4"/>
  <c r="E16" i="6"/>
  <c r="L278" i="5"/>
  <c r="L276" i="5"/>
  <c r="L273" i="5"/>
  <c r="L272" i="5"/>
  <c r="F17" i="4"/>
  <c r="E26" i="6"/>
  <c r="E24" i="6"/>
  <c r="E21" i="6"/>
  <c r="E15" i="6"/>
  <c r="E12" i="6"/>
  <c r="E8" i="6"/>
  <c r="L220" i="5"/>
  <c r="L219" i="5"/>
  <c r="L218" i="5"/>
  <c r="L217" i="5"/>
  <c r="L202" i="5"/>
  <c r="L188" i="5"/>
  <c r="L187" i="5"/>
  <c r="L114" i="5"/>
  <c r="F27" i="4"/>
  <c r="F25" i="4"/>
  <c r="F22" i="4"/>
  <c r="F16" i="4"/>
  <c r="F13" i="4"/>
  <c r="F9" i="4"/>
  <c r="C7" i="13"/>
  <c r="C6" i="13"/>
  <c r="C6" i="11"/>
  <c r="C12" i="14"/>
  <c r="K12" i="14" s="1"/>
  <c r="L12" i="14" s="1"/>
  <c r="C10" i="14"/>
  <c r="K10" i="14" s="1"/>
  <c r="L10" i="14" s="1"/>
  <c r="C9" i="14"/>
  <c r="K9" i="14" s="1"/>
  <c r="L9" i="14" s="1"/>
  <c r="C8" i="14"/>
  <c r="K8" i="14" s="1"/>
  <c r="L8" i="14" s="1"/>
  <c r="C7" i="14"/>
  <c r="K7" i="14" s="1"/>
  <c r="L7" i="14" s="1"/>
  <c r="C6" i="14"/>
  <c r="K6" i="14" s="1"/>
  <c r="C9" i="13"/>
  <c r="C8" i="13"/>
  <c r="C11" i="14"/>
  <c r="K11" i="14" s="1"/>
  <c r="L11" i="14" s="1"/>
  <c r="C54" i="10"/>
  <c r="C50" i="10"/>
  <c r="C46" i="10"/>
  <c r="C42" i="10"/>
  <c r="C38" i="10"/>
  <c r="C34" i="10"/>
  <c r="C30" i="10"/>
  <c r="C26" i="10"/>
  <c r="C22" i="10"/>
  <c r="C18" i="10"/>
  <c r="C14" i="10"/>
  <c r="C10" i="10"/>
  <c r="C6" i="10"/>
  <c r="C6" i="9"/>
  <c r="K6" i="9" s="1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240" i="5"/>
  <c r="P240" i="5" s="1"/>
  <c r="R240" i="5" s="1"/>
  <c r="M215" i="5"/>
  <c r="P215" i="5" s="1"/>
  <c r="R215" i="5" s="1"/>
  <c r="M147" i="5"/>
  <c r="P147" i="5" s="1"/>
  <c r="R147" i="5" s="1"/>
  <c r="M115" i="5"/>
  <c r="P115" i="5" s="1"/>
  <c r="R115" i="5" s="1"/>
  <c r="M65" i="5"/>
  <c r="P65" i="5" s="1"/>
  <c r="R65" i="5" s="1"/>
  <c r="M40" i="5"/>
  <c r="P40" i="5" s="1"/>
  <c r="R40" i="5" s="1"/>
  <c r="M24" i="5"/>
  <c r="P24" i="5" s="1"/>
  <c r="R24" i="5" s="1"/>
  <c r="J6" i="4"/>
  <c r="H5" i="6"/>
  <c r="O240" i="5"/>
  <c r="Q240" i="5" s="1"/>
  <c r="O215" i="5"/>
  <c r="Q215" i="5" s="1"/>
  <c r="O147" i="5"/>
  <c r="Q147" i="5" s="1"/>
  <c r="O115" i="5"/>
  <c r="Q115" i="5" s="1"/>
  <c r="O65" i="5"/>
  <c r="Q65" i="5" s="1"/>
  <c r="O40" i="5"/>
  <c r="Q40" i="5" s="1"/>
  <c r="O24" i="5"/>
  <c r="Q24" i="5" s="1"/>
  <c r="K6" i="4"/>
  <c r="G6" i="6"/>
  <c r="M244" i="5"/>
  <c r="P244" i="5" s="1"/>
  <c r="R244" i="5" s="1"/>
  <c r="M235" i="5"/>
  <c r="P235" i="5" s="1"/>
  <c r="R235" i="5" s="1"/>
  <c r="M229" i="5"/>
  <c r="P229" i="5" s="1"/>
  <c r="R229" i="5" s="1"/>
  <c r="M228" i="5"/>
  <c r="P228" i="5" s="1"/>
  <c r="R228" i="5" s="1"/>
  <c r="M214" i="5"/>
  <c r="P214" i="5" s="1"/>
  <c r="R214" i="5" s="1"/>
  <c r="M212" i="5"/>
  <c r="P212" i="5" s="1"/>
  <c r="R212" i="5" s="1"/>
  <c r="M200" i="5"/>
  <c r="P200" i="5" s="1"/>
  <c r="R200" i="5" s="1"/>
  <c r="M192" i="5"/>
  <c r="P192" i="5" s="1"/>
  <c r="R192" i="5" s="1"/>
  <c r="M191" i="5"/>
  <c r="P191" i="5" s="1"/>
  <c r="M171" i="5"/>
  <c r="P171" i="5" s="1"/>
  <c r="R171" i="5" s="1"/>
  <c r="M150" i="5"/>
  <c r="P150" i="5" s="1"/>
  <c r="R150" i="5" s="1"/>
  <c r="M149" i="5"/>
  <c r="P149" i="5" s="1"/>
  <c r="R149" i="5" s="1"/>
  <c r="M142" i="5"/>
  <c r="P142" i="5" s="1"/>
  <c r="R142" i="5" s="1"/>
  <c r="M141" i="5"/>
  <c r="P141" i="5" s="1"/>
  <c r="R141" i="5" s="1"/>
  <c r="M119" i="5"/>
  <c r="P119" i="5" s="1"/>
  <c r="R119" i="5" s="1"/>
  <c r="M118" i="5"/>
  <c r="P118" i="5" s="1"/>
  <c r="R118" i="5" s="1"/>
  <c r="M80" i="5"/>
  <c r="P80" i="5" s="1"/>
  <c r="R80" i="5" s="1"/>
  <c r="M79" i="5"/>
  <c r="P79" i="5" s="1"/>
  <c r="R79" i="5" s="1"/>
  <c r="M59" i="5"/>
  <c r="P59" i="5" s="1"/>
  <c r="R59" i="5" s="1"/>
  <c r="M50" i="5"/>
  <c r="P50" i="5" s="1"/>
  <c r="R50" i="5" s="1"/>
  <c r="M47" i="5"/>
  <c r="P47" i="5" s="1"/>
  <c r="R47" i="5" s="1"/>
  <c r="M34" i="5"/>
  <c r="P34" i="5" s="1"/>
  <c r="R34" i="5" s="1"/>
  <c r="M25" i="5"/>
  <c r="P25" i="5" s="1"/>
  <c r="R25" i="5" s="1"/>
  <c r="M15" i="5"/>
  <c r="P15" i="5" s="1"/>
  <c r="R15" i="5" s="1"/>
  <c r="M14" i="5"/>
  <c r="P14" i="5" s="1"/>
  <c r="R14" i="5" s="1"/>
  <c r="J7" i="4"/>
  <c r="L7" i="4" s="1"/>
  <c r="M7" i="4" s="1"/>
  <c r="H6" i="6"/>
  <c r="O244" i="5"/>
  <c r="Q244" i="5" s="1"/>
  <c r="O235" i="5"/>
  <c r="Q235" i="5" s="1"/>
  <c r="O229" i="5"/>
  <c r="Q229" i="5" s="1"/>
  <c r="O228" i="5"/>
  <c r="Q228" i="5" s="1"/>
  <c r="O214" i="5"/>
  <c r="Q214" i="5" s="1"/>
  <c r="O212" i="5"/>
  <c r="Q212" i="5" s="1"/>
  <c r="O200" i="5"/>
  <c r="Q200" i="5" s="1"/>
  <c r="O192" i="5"/>
  <c r="Q192" i="5" s="1"/>
  <c r="O191" i="5"/>
  <c r="Q191" i="5" s="1"/>
  <c r="Q221" i="5" s="1"/>
  <c r="O171" i="5"/>
  <c r="Q171" i="5" s="1"/>
  <c r="O150" i="5"/>
  <c r="Q150" i="5" s="1"/>
  <c r="O149" i="5"/>
  <c r="Q149" i="5" s="1"/>
  <c r="O142" i="5"/>
  <c r="Q142" i="5" s="1"/>
  <c r="O141" i="5"/>
  <c r="Q141" i="5" s="1"/>
  <c r="O119" i="5"/>
  <c r="Q119" i="5" s="1"/>
  <c r="O118" i="5"/>
  <c r="Q118" i="5" s="1"/>
  <c r="O80" i="5"/>
  <c r="Q80" i="5" s="1"/>
  <c r="O79" i="5"/>
  <c r="Q79" i="5" s="1"/>
  <c r="O59" i="5"/>
  <c r="Q59" i="5" s="1"/>
  <c r="O50" i="5"/>
  <c r="Q50" i="5" s="1"/>
  <c r="O47" i="5"/>
  <c r="Q47" i="5" s="1"/>
  <c r="O34" i="5"/>
  <c r="Q34" i="5" s="1"/>
  <c r="O25" i="5"/>
  <c r="Q25" i="5" s="1"/>
  <c r="O15" i="5"/>
  <c r="Q15" i="5" s="1"/>
  <c r="O14" i="5"/>
  <c r="Q14" i="5" s="1"/>
  <c r="K7" i="4"/>
  <c r="G7" i="6"/>
  <c r="M163" i="5"/>
  <c r="P163" i="5" s="1"/>
  <c r="R163" i="5" s="1"/>
  <c r="M127" i="5"/>
  <c r="P127" i="5" s="1"/>
  <c r="R127" i="5" s="1"/>
  <c r="J8" i="4"/>
  <c r="L8" i="4" s="1"/>
  <c r="M8" i="4" s="1"/>
  <c r="H7" i="6"/>
  <c r="O163" i="5"/>
  <c r="Q163" i="5" s="1"/>
  <c r="O127" i="5"/>
  <c r="Q127" i="5" s="1"/>
  <c r="K8" i="4"/>
  <c r="G8" i="6"/>
  <c r="M187" i="5"/>
  <c r="P187" i="5" s="1"/>
  <c r="R187" i="5" s="1"/>
  <c r="J9" i="4"/>
  <c r="L9" i="4" s="1"/>
  <c r="G9" i="6"/>
  <c r="M37" i="5"/>
  <c r="P37" i="5" s="1"/>
  <c r="R37" i="5" s="1"/>
  <c r="J10" i="4"/>
  <c r="L10" i="4" s="1"/>
  <c r="M10" i="4" s="1"/>
  <c r="H9" i="6"/>
  <c r="O37" i="5"/>
  <c r="Q37" i="5" s="1"/>
  <c r="K10" i="4"/>
  <c r="G10" i="6"/>
  <c r="M257" i="5"/>
  <c r="P257" i="5" s="1"/>
  <c r="R257" i="5" s="1"/>
  <c r="M256" i="5"/>
  <c r="P256" i="5" s="1"/>
  <c r="R256" i="5" s="1"/>
  <c r="M249" i="5"/>
  <c r="P249" i="5" s="1"/>
  <c r="R249" i="5" s="1"/>
  <c r="M223" i="5"/>
  <c r="P223" i="5" s="1"/>
  <c r="M213" i="5"/>
  <c r="P213" i="5" s="1"/>
  <c r="R213" i="5" s="1"/>
  <c r="M208" i="5"/>
  <c r="P208" i="5" s="1"/>
  <c r="R208" i="5" s="1"/>
  <c r="M195" i="5"/>
  <c r="P195" i="5" s="1"/>
  <c r="R195" i="5" s="1"/>
  <c r="M176" i="5"/>
  <c r="P176" i="5" s="1"/>
  <c r="R176" i="5" s="1"/>
  <c r="M152" i="5"/>
  <c r="P152" i="5" s="1"/>
  <c r="R152" i="5" s="1"/>
  <c r="M136" i="5"/>
  <c r="P136" i="5" s="1"/>
  <c r="R136" i="5" s="1"/>
  <c r="M121" i="5"/>
  <c r="P121" i="5" s="1"/>
  <c r="R121" i="5" s="1"/>
  <c r="M112" i="5"/>
  <c r="P112" i="5" s="1"/>
  <c r="R112" i="5" s="1"/>
  <c r="M104" i="5"/>
  <c r="P104" i="5" s="1"/>
  <c r="R104" i="5" s="1"/>
  <c r="M88" i="5"/>
  <c r="P88" i="5" s="1"/>
  <c r="R88" i="5" s="1"/>
  <c r="M61" i="5"/>
  <c r="P61" i="5" s="1"/>
  <c r="R61" i="5" s="1"/>
  <c r="M58" i="5"/>
  <c r="P58" i="5" s="1"/>
  <c r="M51" i="5"/>
  <c r="P51" i="5" s="1"/>
  <c r="R51" i="5" s="1"/>
  <c r="M38" i="5"/>
  <c r="P38" i="5" s="1"/>
  <c r="R38" i="5" s="1"/>
  <c r="M33" i="5"/>
  <c r="P33" i="5" s="1"/>
  <c r="R33" i="5" s="1"/>
  <c r="M16" i="5"/>
  <c r="P16" i="5" s="1"/>
  <c r="R16" i="5" s="1"/>
  <c r="M11" i="5"/>
  <c r="P11" i="5" s="1"/>
  <c r="R11" i="5" s="1"/>
  <c r="J11" i="4"/>
  <c r="L11" i="4" s="1"/>
  <c r="M11" i="4" s="1"/>
  <c r="H10" i="6"/>
  <c r="O257" i="5"/>
  <c r="Q257" i="5" s="1"/>
  <c r="O256" i="5"/>
  <c r="Q256" i="5" s="1"/>
  <c r="O249" i="5"/>
  <c r="Q249" i="5" s="1"/>
  <c r="O223" i="5"/>
  <c r="Q223" i="5" s="1"/>
  <c r="Q262" i="5" s="1"/>
  <c r="O213" i="5"/>
  <c r="Q213" i="5" s="1"/>
  <c r="O208" i="5"/>
  <c r="Q208" i="5" s="1"/>
  <c r="O195" i="5"/>
  <c r="Q195" i="5" s="1"/>
  <c r="O176" i="5"/>
  <c r="Q176" i="5" s="1"/>
  <c r="O152" i="5"/>
  <c r="Q152" i="5" s="1"/>
  <c r="O136" i="5"/>
  <c r="Q136" i="5" s="1"/>
  <c r="O121" i="5"/>
  <c r="Q121" i="5" s="1"/>
  <c r="O112" i="5"/>
  <c r="Q112" i="5" s="1"/>
  <c r="O104" i="5"/>
  <c r="Q104" i="5" s="1"/>
  <c r="O88" i="5"/>
  <c r="Q88" i="5" s="1"/>
  <c r="O61" i="5"/>
  <c r="Q61" i="5" s="1"/>
  <c r="O58" i="5"/>
  <c r="Q58" i="5" s="1"/>
  <c r="Q97" i="5" s="1"/>
  <c r="O51" i="5"/>
  <c r="Q51" i="5" s="1"/>
  <c r="O38" i="5"/>
  <c r="Q38" i="5" s="1"/>
  <c r="O33" i="5"/>
  <c r="Q33" i="5" s="1"/>
  <c r="O16" i="5"/>
  <c r="Q16" i="5" s="1"/>
  <c r="O11" i="5"/>
  <c r="Q11" i="5" s="1"/>
  <c r="K11" i="4"/>
  <c r="G11" i="6"/>
  <c r="M266" i="5"/>
  <c r="P266" i="5" s="1"/>
  <c r="M248" i="5"/>
  <c r="P248" i="5" s="1"/>
  <c r="R248" i="5" s="1"/>
  <c r="M201" i="5"/>
  <c r="P201" i="5" s="1"/>
  <c r="R201" i="5" s="1"/>
  <c r="M166" i="5"/>
  <c r="P166" i="5" s="1"/>
  <c r="M113" i="5"/>
  <c r="P113" i="5" s="1"/>
  <c r="R113" i="5" s="1"/>
  <c r="M60" i="5"/>
  <c r="P60" i="5" s="1"/>
  <c r="R60" i="5" s="1"/>
  <c r="M28" i="5"/>
  <c r="P28" i="5" s="1"/>
  <c r="M5" i="5"/>
  <c r="P5" i="5" s="1"/>
  <c r="J12" i="4"/>
  <c r="L12" i="4" s="1"/>
  <c r="M12" i="4" s="1"/>
  <c r="H11" i="6"/>
  <c r="O266" i="5"/>
  <c r="Q266" i="5" s="1"/>
  <c r="Q268" i="5" s="1"/>
  <c r="O248" i="5"/>
  <c r="Q248" i="5" s="1"/>
  <c r="O201" i="5"/>
  <c r="Q201" i="5" s="1"/>
  <c r="O166" i="5"/>
  <c r="Q166" i="5" s="1"/>
  <c r="Q189" i="5" s="1"/>
  <c r="O113" i="5"/>
  <c r="Q113" i="5" s="1"/>
  <c r="O60" i="5"/>
  <c r="Q60" i="5" s="1"/>
  <c r="O28" i="5"/>
  <c r="Q28" i="5" s="1"/>
  <c r="Q56" i="5" s="1"/>
  <c r="O5" i="5"/>
  <c r="Q5" i="5" s="1"/>
  <c r="Q26" i="5" s="1"/>
  <c r="K12" i="4"/>
  <c r="G12" i="6"/>
  <c r="M202" i="5"/>
  <c r="P202" i="5" s="1"/>
  <c r="R202" i="5" s="1"/>
  <c r="M114" i="5"/>
  <c r="P114" i="5" s="1"/>
  <c r="R114" i="5" s="1"/>
  <c r="J13" i="4"/>
  <c r="L13" i="4" s="1"/>
  <c r="G13" i="6"/>
  <c r="M270" i="5"/>
  <c r="P270" i="5" s="1"/>
  <c r="R270" i="5" s="1"/>
  <c r="J14" i="4"/>
  <c r="L14" i="4" s="1"/>
  <c r="M14" i="4" s="1"/>
  <c r="H13" i="6"/>
  <c r="O270" i="5"/>
  <c r="Q270" i="5" s="1"/>
  <c r="K14" i="4"/>
  <c r="G14" i="6"/>
  <c r="M267" i="5"/>
  <c r="P267" i="5" s="1"/>
  <c r="R267" i="5" s="1"/>
  <c r="M264" i="5"/>
  <c r="P264" i="5" s="1"/>
  <c r="R264" i="5" s="1"/>
  <c r="M258" i="5"/>
  <c r="P258" i="5" s="1"/>
  <c r="R258" i="5" s="1"/>
  <c r="M255" i="5"/>
  <c r="P255" i="5" s="1"/>
  <c r="R255" i="5" s="1"/>
  <c r="M253" i="5"/>
  <c r="P253" i="5" s="1"/>
  <c r="R253" i="5" s="1"/>
  <c r="M252" i="5"/>
  <c r="P252" i="5" s="1"/>
  <c r="R252" i="5" s="1"/>
  <c r="M238" i="5"/>
  <c r="P238" i="5" s="1"/>
  <c r="R238" i="5" s="1"/>
  <c r="M237" i="5"/>
  <c r="P237" i="5" s="1"/>
  <c r="R237" i="5" s="1"/>
  <c r="M234" i="5"/>
  <c r="P234" i="5" s="1"/>
  <c r="R234" i="5" s="1"/>
  <c r="M232" i="5"/>
  <c r="P232" i="5" s="1"/>
  <c r="R232" i="5" s="1"/>
  <c r="M231" i="5"/>
  <c r="P231" i="5" s="1"/>
  <c r="R231" i="5" s="1"/>
  <c r="M226" i="5"/>
  <c r="P226" i="5" s="1"/>
  <c r="R226" i="5" s="1"/>
  <c r="M225" i="5"/>
  <c r="P225" i="5" s="1"/>
  <c r="R225" i="5" s="1"/>
  <c r="M210" i="5"/>
  <c r="P210" i="5" s="1"/>
  <c r="R210" i="5" s="1"/>
  <c r="M209" i="5"/>
  <c r="P209" i="5" s="1"/>
  <c r="R209" i="5" s="1"/>
  <c r="M206" i="5"/>
  <c r="P206" i="5" s="1"/>
  <c r="R206" i="5" s="1"/>
  <c r="M205" i="5"/>
  <c r="P205" i="5" s="1"/>
  <c r="R205" i="5" s="1"/>
  <c r="M194" i="5"/>
  <c r="P194" i="5" s="1"/>
  <c r="R194" i="5" s="1"/>
  <c r="M180" i="5"/>
  <c r="P180" i="5" s="1"/>
  <c r="R180" i="5" s="1"/>
  <c r="M179" i="5"/>
  <c r="P179" i="5" s="1"/>
  <c r="R179" i="5" s="1"/>
  <c r="M178" i="5"/>
  <c r="P178" i="5" s="1"/>
  <c r="R178" i="5" s="1"/>
  <c r="M177" i="5"/>
  <c r="P177" i="5" s="1"/>
  <c r="R177" i="5" s="1"/>
  <c r="M173" i="5"/>
  <c r="P173" i="5" s="1"/>
  <c r="R173" i="5" s="1"/>
  <c r="M155" i="5"/>
  <c r="P155" i="5" s="1"/>
  <c r="R155" i="5" s="1"/>
  <c r="M140" i="5"/>
  <c r="P140" i="5" s="1"/>
  <c r="R140" i="5" s="1"/>
  <c r="M139" i="5"/>
  <c r="P139" i="5" s="1"/>
  <c r="R139" i="5" s="1"/>
  <c r="M135" i="5"/>
  <c r="P135" i="5" s="1"/>
  <c r="R135" i="5" s="1"/>
  <c r="M134" i="5"/>
  <c r="P134" i="5" s="1"/>
  <c r="R134" i="5" s="1"/>
  <c r="M130" i="5"/>
  <c r="P130" i="5" s="1"/>
  <c r="M123" i="5"/>
  <c r="P123" i="5" s="1"/>
  <c r="R123" i="5" s="1"/>
  <c r="M107" i="5"/>
  <c r="P107" i="5" s="1"/>
  <c r="R107" i="5" s="1"/>
  <c r="M101" i="5"/>
  <c r="P101" i="5" s="1"/>
  <c r="R101" i="5" s="1"/>
  <c r="M100" i="5"/>
  <c r="P100" i="5" s="1"/>
  <c r="R100" i="5" s="1"/>
  <c r="M99" i="5"/>
  <c r="P99" i="5" s="1"/>
  <c r="M94" i="5"/>
  <c r="P94" i="5" s="1"/>
  <c r="R94" i="5" s="1"/>
  <c r="M93" i="5"/>
  <c r="P93" i="5" s="1"/>
  <c r="R93" i="5" s="1"/>
  <c r="M91" i="5"/>
  <c r="P91" i="5" s="1"/>
  <c r="R91" i="5" s="1"/>
  <c r="M90" i="5"/>
  <c r="P90" i="5" s="1"/>
  <c r="R90" i="5" s="1"/>
  <c r="M86" i="5"/>
  <c r="P86" i="5" s="1"/>
  <c r="R86" i="5" s="1"/>
  <c r="M85" i="5"/>
  <c r="P85" i="5" s="1"/>
  <c r="R85" i="5" s="1"/>
  <c r="M77" i="5"/>
  <c r="P77" i="5" s="1"/>
  <c r="R77" i="5" s="1"/>
  <c r="M76" i="5"/>
  <c r="P76" i="5" s="1"/>
  <c r="R76" i="5" s="1"/>
  <c r="M69" i="5"/>
  <c r="P69" i="5" s="1"/>
  <c r="R69" i="5" s="1"/>
  <c r="M68" i="5"/>
  <c r="P68" i="5" s="1"/>
  <c r="R68" i="5" s="1"/>
  <c r="M63" i="5"/>
  <c r="P63" i="5" s="1"/>
  <c r="R63" i="5" s="1"/>
  <c r="M62" i="5"/>
  <c r="P62" i="5" s="1"/>
  <c r="R62" i="5" s="1"/>
  <c r="M52" i="5"/>
  <c r="P52" i="5" s="1"/>
  <c r="R52" i="5" s="1"/>
  <c r="M49" i="5"/>
  <c r="P49" i="5" s="1"/>
  <c r="R49" i="5" s="1"/>
  <c r="M48" i="5"/>
  <c r="P48" i="5" s="1"/>
  <c r="R48" i="5" s="1"/>
  <c r="M44" i="5"/>
  <c r="P44" i="5" s="1"/>
  <c r="R44" i="5" s="1"/>
  <c r="M31" i="5"/>
  <c r="P31" i="5" s="1"/>
  <c r="R31" i="5" s="1"/>
  <c r="M22" i="5"/>
  <c r="P22" i="5" s="1"/>
  <c r="R22" i="5" s="1"/>
  <c r="M21" i="5"/>
  <c r="P21" i="5" s="1"/>
  <c r="R21" i="5" s="1"/>
  <c r="M19" i="5"/>
  <c r="P19" i="5" s="1"/>
  <c r="R19" i="5" s="1"/>
  <c r="M18" i="5"/>
  <c r="P18" i="5" s="1"/>
  <c r="R18" i="5" s="1"/>
  <c r="M17" i="5"/>
  <c r="P17" i="5" s="1"/>
  <c r="R17" i="5" s="1"/>
  <c r="M8" i="5"/>
  <c r="P8" i="5" s="1"/>
  <c r="R8" i="5" s="1"/>
  <c r="M6" i="5"/>
  <c r="P6" i="5" s="1"/>
  <c r="R6" i="5" s="1"/>
  <c r="J15" i="4"/>
  <c r="L15" i="4" s="1"/>
  <c r="M15" i="4" s="1"/>
  <c r="H14" i="6"/>
  <c r="O267" i="5"/>
  <c r="Q267" i="5" s="1"/>
  <c r="O264" i="5"/>
  <c r="Q264" i="5" s="1"/>
  <c r="O258" i="5"/>
  <c r="Q258" i="5" s="1"/>
  <c r="O255" i="5"/>
  <c r="Q255" i="5" s="1"/>
  <c r="O253" i="5"/>
  <c r="Q253" i="5" s="1"/>
  <c r="O252" i="5"/>
  <c r="Q252" i="5" s="1"/>
  <c r="O238" i="5"/>
  <c r="Q238" i="5" s="1"/>
  <c r="O237" i="5"/>
  <c r="Q237" i="5" s="1"/>
  <c r="O234" i="5"/>
  <c r="Q234" i="5" s="1"/>
  <c r="O232" i="5"/>
  <c r="Q232" i="5" s="1"/>
  <c r="O231" i="5"/>
  <c r="Q231" i="5" s="1"/>
  <c r="O226" i="5"/>
  <c r="Q226" i="5" s="1"/>
  <c r="O225" i="5"/>
  <c r="Q225" i="5" s="1"/>
  <c r="O210" i="5"/>
  <c r="Q210" i="5" s="1"/>
  <c r="O209" i="5"/>
  <c r="Q209" i="5" s="1"/>
  <c r="O206" i="5"/>
  <c r="Q206" i="5" s="1"/>
  <c r="O205" i="5"/>
  <c r="Q205" i="5" s="1"/>
  <c r="O194" i="5"/>
  <c r="Q194" i="5" s="1"/>
  <c r="O180" i="5"/>
  <c r="Q180" i="5" s="1"/>
  <c r="O179" i="5"/>
  <c r="Q179" i="5" s="1"/>
  <c r="O178" i="5"/>
  <c r="Q178" i="5" s="1"/>
  <c r="O177" i="5"/>
  <c r="Q177" i="5" s="1"/>
  <c r="O173" i="5"/>
  <c r="Q173" i="5" s="1"/>
  <c r="O155" i="5"/>
  <c r="Q155" i="5" s="1"/>
  <c r="O140" i="5"/>
  <c r="Q140" i="5" s="1"/>
  <c r="O139" i="5"/>
  <c r="Q139" i="5" s="1"/>
  <c r="O135" i="5"/>
  <c r="Q135" i="5" s="1"/>
  <c r="O134" i="5"/>
  <c r="Q134" i="5" s="1"/>
  <c r="O130" i="5"/>
  <c r="Q130" i="5" s="1"/>
  <c r="Q164" i="5" s="1"/>
  <c r="O123" i="5"/>
  <c r="Q123" i="5" s="1"/>
  <c r="O107" i="5"/>
  <c r="Q107" i="5" s="1"/>
  <c r="O101" i="5"/>
  <c r="Q101" i="5" s="1"/>
  <c r="O100" i="5"/>
  <c r="Q100" i="5" s="1"/>
  <c r="O99" i="5"/>
  <c r="Q99" i="5" s="1"/>
  <c r="Q128" i="5" s="1"/>
  <c r="O94" i="5"/>
  <c r="Q94" i="5" s="1"/>
  <c r="O93" i="5"/>
  <c r="Q93" i="5" s="1"/>
  <c r="O91" i="5"/>
  <c r="Q91" i="5" s="1"/>
  <c r="O90" i="5"/>
  <c r="Q90" i="5" s="1"/>
  <c r="O86" i="5"/>
  <c r="Q86" i="5" s="1"/>
  <c r="O85" i="5"/>
  <c r="Q85" i="5" s="1"/>
  <c r="O77" i="5"/>
  <c r="Q77" i="5" s="1"/>
  <c r="O76" i="5"/>
  <c r="Q76" i="5" s="1"/>
  <c r="O69" i="5"/>
  <c r="Q69" i="5" s="1"/>
  <c r="O68" i="5"/>
  <c r="Q68" i="5" s="1"/>
  <c r="O63" i="5"/>
  <c r="Q63" i="5" s="1"/>
  <c r="O62" i="5"/>
  <c r="Q62" i="5" s="1"/>
  <c r="O52" i="5"/>
  <c r="Q52" i="5" s="1"/>
  <c r="O49" i="5"/>
  <c r="Q49" i="5" s="1"/>
  <c r="O48" i="5"/>
  <c r="Q48" i="5" s="1"/>
  <c r="O44" i="5"/>
  <c r="Q44" i="5" s="1"/>
  <c r="O31" i="5"/>
  <c r="Q31" i="5" s="1"/>
  <c r="O22" i="5"/>
  <c r="Q22" i="5" s="1"/>
  <c r="O21" i="5"/>
  <c r="Q21" i="5" s="1"/>
  <c r="O19" i="5"/>
  <c r="Q19" i="5" s="1"/>
  <c r="O18" i="5"/>
  <c r="Q18" i="5" s="1"/>
  <c r="O17" i="5"/>
  <c r="Q17" i="5" s="1"/>
  <c r="O8" i="5"/>
  <c r="Q8" i="5" s="1"/>
  <c r="O6" i="5"/>
  <c r="Q6" i="5" s="1"/>
  <c r="K15" i="4"/>
  <c r="G15" i="6"/>
  <c r="M219" i="5"/>
  <c r="P219" i="5" s="1"/>
  <c r="R219" i="5" s="1"/>
  <c r="M218" i="5"/>
  <c r="P218" i="5" s="1"/>
  <c r="R218" i="5" s="1"/>
  <c r="J16" i="4"/>
  <c r="L16" i="4" s="1"/>
  <c r="G16" i="6"/>
  <c r="M278" i="5"/>
  <c r="P278" i="5" s="1"/>
  <c r="M276" i="5"/>
  <c r="P276" i="5" s="1"/>
  <c r="R276" i="5" s="1"/>
  <c r="M273" i="5"/>
  <c r="P273" i="5" s="1"/>
  <c r="R273" i="5" s="1"/>
  <c r="M272" i="5"/>
  <c r="P272" i="5" s="1"/>
  <c r="J17" i="4"/>
  <c r="L17" i="4" s="1"/>
  <c r="M17" i="4" s="1"/>
  <c r="H16" i="6"/>
  <c r="O278" i="5"/>
  <c r="Q278" i="5" s="1"/>
  <c r="Q279" i="5" s="1"/>
  <c r="O276" i="5"/>
  <c r="Q276" i="5" s="1"/>
  <c r="O273" i="5"/>
  <c r="Q273" i="5" s="1"/>
  <c r="O272" i="5"/>
  <c r="Q272" i="5" s="1"/>
  <c r="Q274" i="5" s="1"/>
  <c r="K17" i="4"/>
  <c r="G17" i="6"/>
  <c r="M162" i="5"/>
  <c r="P162" i="5" s="1"/>
  <c r="R162" i="5" s="1"/>
  <c r="M161" i="5"/>
  <c r="P161" i="5" s="1"/>
  <c r="R161" i="5" s="1"/>
  <c r="M92" i="5"/>
  <c r="P92" i="5" s="1"/>
  <c r="R92" i="5" s="1"/>
  <c r="J18" i="4"/>
  <c r="L18" i="4" s="1"/>
  <c r="M18" i="4" s="1"/>
  <c r="H17" i="6"/>
  <c r="O162" i="5"/>
  <c r="Q162" i="5" s="1"/>
  <c r="O161" i="5"/>
  <c r="Q161" i="5" s="1"/>
  <c r="O92" i="5"/>
  <c r="Q92" i="5" s="1"/>
  <c r="K18" i="4"/>
  <c r="G18" i="6"/>
  <c r="M245" i="5"/>
  <c r="P245" i="5" s="1"/>
  <c r="R245" i="5" s="1"/>
  <c r="M204" i="5"/>
  <c r="P204" i="5" s="1"/>
  <c r="R204" i="5" s="1"/>
  <c r="M172" i="5"/>
  <c r="P172" i="5" s="1"/>
  <c r="R172" i="5" s="1"/>
  <c r="M151" i="5"/>
  <c r="P151" i="5" s="1"/>
  <c r="R151" i="5" s="1"/>
  <c r="M117" i="5"/>
  <c r="P117" i="5" s="1"/>
  <c r="R117" i="5" s="1"/>
  <c r="M78" i="5"/>
  <c r="P78" i="5" s="1"/>
  <c r="R78" i="5" s="1"/>
  <c r="M36" i="5"/>
  <c r="P36" i="5" s="1"/>
  <c r="R36" i="5" s="1"/>
  <c r="J19" i="4"/>
  <c r="L19" i="4" s="1"/>
  <c r="M19" i="4" s="1"/>
  <c r="H18" i="6"/>
  <c r="O245" i="5"/>
  <c r="Q245" i="5" s="1"/>
  <c r="O204" i="5"/>
  <c r="Q204" i="5" s="1"/>
  <c r="O172" i="5"/>
  <c r="Q172" i="5" s="1"/>
  <c r="O151" i="5"/>
  <c r="Q151" i="5" s="1"/>
  <c r="O117" i="5"/>
  <c r="Q117" i="5" s="1"/>
  <c r="O78" i="5"/>
  <c r="Q78" i="5" s="1"/>
  <c r="O36" i="5"/>
  <c r="Q36" i="5" s="1"/>
  <c r="K19" i="4"/>
  <c r="G19" i="6"/>
  <c r="M41" i="5"/>
  <c r="P41" i="5" s="1"/>
  <c r="R41" i="5" s="1"/>
  <c r="M12" i="5"/>
  <c r="P12" i="5" s="1"/>
  <c r="R12" i="5" s="1"/>
  <c r="J20" i="4"/>
  <c r="L20" i="4" s="1"/>
  <c r="M20" i="4" s="1"/>
  <c r="H19" i="6"/>
  <c r="O41" i="5"/>
  <c r="Q41" i="5" s="1"/>
  <c r="O12" i="5"/>
  <c r="Q12" i="5" s="1"/>
  <c r="K20" i="4"/>
  <c r="G20" i="6"/>
  <c r="M261" i="5"/>
  <c r="P261" i="5" s="1"/>
  <c r="R261" i="5" s="1"/>
  <c r="M260" i="5"/>
  <c r="P260" i="5" s="1"/>
  <c r="R260" i="5" s="1"/>
  <c r="M259" i="5"/>
  <c r="P259" i="5" s="1"/>
  <c r="R259" i="5" s="1"/>
  <c r="M251" i="5"/>
  <c r="P251" i="5" s="1"/>
  <c r="R251" i="5" s="1"/>
  <c r="M250" i="5"/>
  <c r="P250" i="5" s="1"/>
  <c r="R250" i="5" s="1"/>
  <c r="M243" i="5"/>
  <c r="P243" i="5" s="1"/>
  <c r="R243" i="5" s="1"/>
  <c r="M242" i="5"/>
  <c r="P242" i="5" s="1"/>
  <c r="R242" i="5" s="1"/>
  <c r="M239" i="5"/>
  <c r="P239" i="5" s="1"/>
  <c r="R239" i="5" s="1"/>
  <c r="M236" i="5"/>
  <c r="P236" i="5" s="1"/>
  <c r="R236" i="5" s="1"/>
  <c r="M233" i="5"/>
  <c r="P233" i="5" s="1"/>
  <c r="R233" i="5" s="1"/>
  <c r="M230" i="5"/>
  <c r="P230" i="5" s="1"/>
  <c r="R230" i="5" s="1"/>
  <c r="M227" i="5"/>
  <c r="P227" i="5" s="1"/>
  <c r="R227" i="5" s="1"/>
  <c r="M224" i="5"/>
  <c r="P224" i="5" s="1"/>
  <c r="R224" i="5" s="1"/>
  <c r="M216" i="5"/>
  <c r="P216" i="5" s="1"/>
  <c r="R216" i="5" s="1"/>
  <c r="M211" i="5"/>
  <c r="P211" i="5" s="1"/>
  <c r="R211" i="5" s="1"/>
  <c r="M207" i="5"/>
  <c r="P207" i="5" s="1"/>
  <c r="R207" i="5" s="1"/>
  <c r="M198" i="5"/>
  <c r="P198" i="5" s="1"/>
  <c r="R198" i="5" s="1"/>
  <c r="M184" i="5"/>
  <c r="P184" i="5" s="1"/>
  <c r="R184" i="5" s="1"/>
  <c r="M182" i="5"/>
  <c r="P182" i="5" s="1"/>
  <c r="R182" i="5" s="1"/>
  <c r="M175" i="5"/>
  <c r="P175" i="5" s="1"/>
  <c r="R175" i="5" s="1"/>
  <c r="M170" i="5"/>
  <c r="P170" i="5" s="1"/>
  <c r="R170" i="5" s="1"/>
  <c r="M169" i="5"/>
  <c r="P169" i="5" s="1"/>
  <c r="R169" i="5" s="1"/>
  <c r="M168" i="5"/>
  <c r="P168" i="5" s="1"/>
  <c r="R168" i="5" s="1"/>
  <c r="M167" i="5"/>
  <c r="P167" i="5" s="1"/>
  <c r="R167" i="5" s="1"/>
  <c r="M160" i="5"/>
  <c r="P160" i="5" s="1"/>
  <c r="R160" i="5" s="1"/>
  <c r="M159" i="5"/>
  <c r="P159" i="5" s="1"/>
  <c r="R159" i="5" s="1"/>
  <c r="M156" i="5"/>
  <c r="P156" i="5" s="1"/>
  <c r="R156" i="5" s="1"/>
  <c r="M154" i="5"/>
  <c r="P154" i="5" s="1"/>
  <c r="R154" i="5" s="1"/>
  <c r="M145" i="5"/>
  <c r="P145" i="5" s="1"/>
  <c r="R145" i="5" s="1"/>
  <c r="M144" i="5"/>
  <c r="P144" i="5" s="1"/>
  <c r="R144" i="5" s="1"/>
  <c r="M132" i="5"/>
  <c r="P132" i="5" s="1"/>
  <c r="R132" i="5" s="1"/>
  <c r="M126" i="5"/>
  <c r="P126" i="5" s="1"/>
  <c r="R126" i="5" s="1"/>
  <c r="M124" i="5"/>
  <c r="P124" i="5" s="1"/>
  <c r="R124" i="5" s="1"/>
  <c r="M111" i="5"/>
  <c r="P111" i="5" s="1"/>
  <c r="R111" i="5" s="1"/>
  <c r="M110" i="5"/>
  <c r="P110" i="5" s="1"/>
  <c r="R110" i="5" s="1"/>
  <c r="M108" i="5"/>
  <c r="P108" i="5" s="1"/>
  <c r="R108" i="5" s="1"/>
  <c r="M105" i="5"/>
  <c r="P105" i="5" s="1"/>
  <c r="R105" i="5" s="1"/>
  <c r="M95" i="5"/>
  <c r="P95" i="5" s="1"/>
  <c r="R95" i="5" s="1"/>
  <c r="M89" i="5"/>
  <c r="P89" i="5" s="1"/>
  <c r="R89" i="5" s="1"/>
  <c r="M84" i="5"/>
  <c r="P84" i="5" s="1"/>
  <c r="R84" i="5" s="1"/>
  <c r="M83" i="5"/>
  <c r="P83" i="5" s="1"/>
  <c r="R83" i="5" s="1"/>
  <c r="M81" i="5"/>
  <c r="P81" i="5" s="1"/>
  <c r="R81" i="5" s="1"/>
  <c r="M74" i="5"/>
  <c r="P74" i="5" s="1"/>
  <c r="R74" i="5" s="1"/>
  <c r="M73" i="5"/>
  <c r="P73" i="5" s="1"/>
  <c r="R73" i="5" s="1"/>
  <c r="M72" i="5"/>
  <c r="P72" i="5" s="1"/>
  <c r="R72" i="5" s="1"/>
  <c r="M71" i="5"/>
  <c r="P71" i="5" s="1"/>
  <c r="R71" i="5" s="1"/>
  <c r="M70" i="5"/>
  <c r="P70" i="5" s="1"/>
  <c r="R70" i="5" s="1"/>
  <c r="M67" i="5"/>
  <c r="P67" i="5" s="1"/>
  <c r="R67" i="5" s="1"/>
  <c r="M66" i="5"/>
  <c r="P66" i="5" s="1"/>
  <c r="R66" i="5" s="1"/>
  <c r="M64" i="5"/>
  <c r="P64" i="5" s="1"/>
  <c r="R64" i="5" s="1"/>
  <c r="M43" i="5"/>
  <c r="P43" i="5" s="1"/>
  <c r="R43" i="5" s="1"/>
  <c r="M42" i="5"/>
  <c r="P42" i="5" s="1"/>
  <c r="R42" i="5" s="1"/>
  <c r="M30" i="5"/>
  <c r="P30" i="5" s="1"/>
  <c r="R30" i="5" s="1"/>
  <c r="M29" i="5"/>
  <c r="P29" i="5" s="1"/>
  <c r="R29" i="5" s="1"/>
  <c r="M20" i="5"/>
  <c r="P20" i="5" s="1"/>
  <c r="R20" i="5" s="1"/>
  <c r="M13" i="5"/>
  <c r="P13" i="5" s="1"/>
  <c r="R13" i="5" s="1"/>
  <c r="M9" i="5"/>
  <c r="P9" i="5" s="1"/>
  <c r="R9" i="5" s="1"/>
  <c r="M7" i="5"/>
  <c r="P7" i="5" s="1"/>
  <c r="R7" i="5" s="1"/>
  <c r="J21" i="4"/>
  <c r="L21" i="4" s="1"/>
  <c r="M21" i="4" s="1"/>
  <c r="H20" i="6"/>
  <c r="O261" i="5"/>
  <c r="Q261" i="5" s="1"/>
  <c r="O260" i="5"/>
  <c r="Q260" i="5" s="1"/>
  <c r="O259" i="5"/>
  <c r="Q259" i="5" s="1"/>
  <c r="O251" i="5"/>
  <c r="Q251" i="5" s="1"/>
  <c r="O250" i="5"/>
  <c r="Q250" i="5" s="1"/>
  <c r="O243" i="5"/>
  <c r="Q243" i="5" s="1"/>
  <c r="O242" i="5"/>
  <c r="Q242" i="5" s="1"/>
  <c r="O239" i="5"/>
  <c r="Q239" i="5" s="1"/>
  <c r="O236" i="5"/>
  <c r="Q236" i="5" s="1"/>
  <c r="O233" i="5"/>
  <c r="Q233" i="5" s="1"/>
  <c r="O230" i="5"/>
  <c r="Q230" i="5" s="1"/>
  <c r="O227" i="5"/>
  <c r="Q227" i="5" s="1"/>
  <c r="O224" i="5"/>
  <c r="Q224" i="5" s="1"/>
  <c r="O216" i="5"/>
  <c r="Q216" i="5" s="1"/>
  <c r="O211" i="5"/>
  <c r="Q211" i="5" s="1"/>
  <c r="O207" i="5"/>
  <c r="Q207" i="5" s="1"/>
  <c r="O198" i="5"/>
  <c r="Q198" i="5" s="1"/>
  <c r="O184" i="5"/>
  <c r="Q184" i="5" s="1"/>
  <c r="O182" i="5"/>
  <c r="Q182" i="5" s="1"/>
  <c r="O175" i="5"/>
  <c r="Q175" i="5" s="1"/>
  <c r="O170" i="5"/>
  <c r="Q170" i="5" s="1"/>
  <c r="O169" i="5"/>
  <c r="Q169" i="5" s="1"/>
  <c r="O168" i="5"/>
  <c r="Q168" i="5" s="1"/>
  <c r="O167" i="5"/>
  <c r="Q167" i="5" s="1"/>
  <c r="O160" i="5"/>
  <c r="Q160" i="5" s="1"/>
  <c r="O159" i="5"/>
  <c r="Q159" i="5" s="1"/>
  <c r="O156" i="5"/>
  <c r="Q156" i="5" s="1"/>
  <c r="O154" i="5"/>
  <c r="Q154" i="5" s="1"/>
  <c r="O145" i="5"/>
  <c r="Q145" i="5" s="1"/>
  <c r="O144" i="5"/>
  <c r="Q144" i="5" s="1"/>
  <c r="O132" i="5"/>
  <c r="Q132" i="5" s="1"/>
  <c r="O126" i="5"/>
  <c r="Q126" i="5" s="1"/>
  <c r="O124" i="5"/>
  <c r="Q124" i="5" s="1"/>
  <c r="O111" i="5"/>
  <c r="Q111" i="5" s="1"/>
  <c r="O110" i="5"/>
  <c r="Q110" i="5" s="1"/>
  <c r="O108" i="5"/>
  <c r="Q108" i="5" s="1"/>
  <c r="O105" i="5"/>
  <c r="Q105" i="5" s="1"/>
  <c r="O95" i="5"/>
  <c r="Q95" i="5" s="1"/>
  <c r="O89" i="5"/>
  <c r="Q89" i="5" s="1"/>
  <c r="O84" i="5"/>
  <c r="Q84" i="5" s="1"/>
  <c r="O83" i="5"/>
  <c r="Q83" i="5" s="1"/>
  <c r="O81" i="5"/>
  <c r="Q81" i="5" s="1"/>
  <c r="O74" i="5"/>
  <c r="Q74" i="5" s="1"/>
  <c r="O73" i="5"/>
  <c r="Q73" i="5" s="1"/>
  <c r="O72" i="5"/>
  <c r="Q72" i="5" s="1"/>
  <c r="O71" i="5"/>
  <c r="Q71" i="5" s="1"/>
  <c r="O70" i="5"/>
  <c r="Q70" i="5" s="1"/>
  <c r="O67" i="5"/>
  <c r="Q67" i="5" s="1"/>
  <c r="O66" i="5"/>
  <c r="Q66" i="5" s="1"/>
  <c r="O64" i="5"/>
  <c r="Q64" i="5" s="1"/>
  <c r="O43" i="5"/>
  <c r="Q43" i="5" s="1"/>
  <c r="O42" i="5"/>
  <c r="Q42" i="5" s="1"/>
  <c r="O30" i="5"/>
  <c r="Q30" i="5" s="1"/>
  <c r="O29" i="5"/>
  <c r="Q29" i="5" s="1"/>
  <c r="O20" i="5"/>
  <c r="Q20" i="5" s="1"/>
  <c r="O13" i="5"/>
  <c r="Q13" i="5" s="1"/>
  <c r="O9" i="5"/>
  <c r="Q9" i="5" s="1"/>
  <c r="O7" i="5"/>
  <c r="Q7" i="5" s="1"/>
  <c r="K21" i="4"/>
  <c r="G21" i="6"/>
  <c r="M220" i="5"/>
  <c r="P220" i="5" s="1"/>
  <c r="R220" i="5" s="1"/>
  <c r="J22" i="4"/>
  <c r="L22" i="4" s="1"/>
  <c r="G22" i="6"/>
  <c r="M203" i="5"/>
  <c r="P203" i="5" s="1"/>
  <c r="R203" i="5" s="1"/>
  <c r="M186" i="5"/>
  <c r="P186" i="5" s="1"/>
  <c r="R186" i="5" s="1"/>
  <c r="M138" i="5"/>
  <c r="P138" i="5" s="1"/>
  <c r="R138" i="5" s="1"/>
  <c r="M55" i="5"/>
  <c r="P55" i="5" s="1"/>
  <c r="R55" i="5" s="1"/>
  <c r="J23" i="4"/>
  <c r="L23" i="4" s="1"/>
  <c r="M23" i="4" s="1"/>
  <c r="H22" i="6"/>
  <c r="O203" i="5"/>
  <c r="Q203" i="5" s="1"/>
  <c r="O186" i="5"/>
  <c r="Q186" i="5" s="1"/>
  <c r="O138" i="5"/>
  <c r="Q138" i="5" s="1"/>
  <c r="O55" i="5"/>
  <c r="Q55" i="5" s="1"/>
  <c r="K23" i="4"/>
  <c r="G23" i="6"/>
  <c r="M254" i="5"/>
  <c r="P254" i="5" s="1"/>
  <c r="R254" i="5" s="1"/>
  <c r="M247" i="5"/>
  <c r="P247" i="5" s="1"/>
  <c r="R247" i="5" s="1"/>
  <c r="M246" i="5"/>
  <c r="P246" i="5" s="1"/>
  <c r="R246" i="5" s="1"/>
  <c r="M241" i="5"/>
  <c r="P241" i="5" s="1"/>
  <c r="R241" i="5" s="1"/>
  <c r="M199" i="5"/>
  <c r="P199" i="5" s="1"/>
  <c r="R199" i="5" s="1"/>
  <c r="M196" i="5"/>
  <c r="P196" i="5" s="1"/>
  <c r="R196" i="5" s="1"/>
  <c r="M193" i="5"/>
  <c r="P193" i="5" s="1"/>
  <c r="R193" i="5" s="1"/>
  <c r="M185" i="5"/>
  <c r="P185" i="5" s="1"/>
  <c r="R185" i="5" s="1"/>
  <c r="M181" i="5"/>
  <c r="P181" i="5" s="1"/>
  <c r="R181" i="5" s="1"/>
  <c r="M174" i="5"/>
  <c r="P174" i="5" s="1"/>
  <c r="R174" i="5" s="1"/>
  <c r="M153" i="5"/>
  <c r="P153" i="5" s="1"/>
  <c r="R153" i="5" s="1"/>
  <c r="M148" i="5"/>
  <c r="P148" i="5" s="1"/>
  <c r="R148" i="5" s="1"/>
  <c r="M143" i="5"/>
  <c r="P143" i="5" s="1"/>
  <c r="R143" i="5" s="1"/>
  <c r="M133" i="5"/>
  <c r="P133" i="5" s="1"/>
  <c r="R133" i="5" s="1"/>
  <c r="M122" i="5"/>
  <c r="P122" i="5" s="1"/>
  <c r="R122" i="5" s="1"/>
  <c r="M120" i="5"/>
  <c r="P120" i="5" s="1"/>
  <c r="R120" i="5" s="1"/>
  <c r="M116" i="5"/>
  <c r="P116" i="5" s="1"/>
  <c r="R116" i="5" s="1"/>
  <c r="M109" i="5"/>
  <c r="P109" i="5" s="1"/>
  <c r="R109" i="5" s="1"/>
  <c r="M103" i="5"/>
  <c r="P103" i="5" s="1"/>
  <c r="R103" i="5" s="1"/>
  <c r="M102" i="5"/>
  <c r="P102" i="5" s="1"/>
  <c r="R102" i="5" s="1"/>
  <c r="M96" i="5"/>
  <c r="P96" i="5" s="1"/>
  <c r="R96" i="5" s="1"/>
  <c r="M87" i="5"/>
  <c r="P87" i="5" s="1"/>
  <c r="R87" i="5" s="1"/>
  <c r="M82" i="5"/>
  <c r="P82" i="5" s="1"/>
  <c r="R82" i="5" s="1"/>
  <c r="M75" i="5"/>
  <c r="P75" i="5" s="1"/>
  <c r="R75" i="5" s="1"/>
  <c r="M54" i="5"/>
  <c r="P54" i="5" s="1"/>
  <c r="R54" i="5" s="1"/>
  <c r="M46" i="5"/>
  <c r="P46" i="5" s="1"/>
  <c r="R46" i="5" s="1"/>
  <c r="M45" i="5"/>
  <c r="P45" i="5" s="1"/>
  <c r="R45" i="5" s="1"/>
  <c r="M39" i="5"/>
  <c r="P39" i="5" s="1"/>
  <c r="R39" i="5" s="1"/>
  <c r="M35" i="5"/>
  <c r="P35" i="5" s="1"/>
  <c r="R35" i="5" s="1"/>
  <c r="M32" i="5"/>
  <c r="P32" i="5" s="1"/>
  <c r="R32" i="5" s="1"/>
  <c r="M23" i="5"/>
  <c r="P23" i="5" s="1"/>
  <c r="R23" i="5" s="1"/>
  <c r="M10" i="5"/>
  <c r="P10" i="5" s="1"/>
  <c r="R10" i="5" s="1"/>
  <c r="J24" i="4"/>
  <c r="L24" i="4" s="1"/>
  <c r="M24" i="4" s="1"/>
  <c r="H23" i="6"/>
  <c r="O254" i="5"/>
  <c r="Q254" i="5" s="1"/>
  <c r="O247" i="5"/>
  <c r="Q247" i="5" s="1"/>
  <c r="O246" i="5"/>
  <c r="Q246" i="5" s="1"/>
  <c r="O241" i="5"/>
  <c r="Q241" i="5" s="1"/>
  <c r="O199" i="5"/>
  <c r="Q199" i="5" s="1"/>
  <c r="O196" i="5"/>
  <c r="Q196" i="5" s="1"/>
  <c r="O193" i="5"/>
  <c r="Q193" i="5" s="1"/>
  <c r="O185" i="5"/>
  <c r="Q185" i="5" s="1"/>
  <c r="O181" i="5"/>
  <c r="Q181" i="5" s="1"/>
  <c r="O174" i="5"/>
  <c r="Q174" i="5" s="1"/>
  <c r="O153" i="5"/>
  <c r="Q153" i="5" s="1"/>
  <c r="O148" i="5"/>
  <c r="Q148" i="5" s="1"/>
  <c r="O143" i="5"/>
  <c r="Q143" i="5" s="1"/>
  <c r="O133" i="5"/>
  <c r="Q133" i="5" s="1"/>
  <c r="O122" i="5"/>
  <c r="Q122" i="5" s="1"/>
  <c r="O120" i="5"/>
  <c r="Q120" i="5" s="1"/>
  <c r="O116" i="5"/>
  <c r="Q116" i="5" s="1"/>
  <c r="O109" i="5"/>
  <c r="Q109" i="5" s="1"/>
  <c r="O103" i="5"/>
  <c r="Q103" i="5" s="1"/>
  <c r="O102" i="5"/>
  <c r="Q102" i="5" s="1"/>
  <c r="O96" i="5"/>
  <c r="Q96" i="5" s="1"/>
  <c r="O87" i="5"/>
  <c r="Q87" i="5" s="1"/>
  <c r="O82" i="5"/>
  <c r="Q82" i="5" s="1"/>
  <c r="O75" i="5"/>
  <c r="Q75" i="5" s="1"/>
  <c r="O54" i="5"/>
  <c r="Q54" i="5" s="1"/>
  <c r="O46" i="5"/>
  <c r="Q46" i="5" s="1"/>
  <c r="O45" i="5"/>
  <c r="Q45" i="5" s="1"/>
  <c r="O39" i="5"/>
  <c r="Q39" i="5" s="1"/>
  <c r="O35" i="5"/>
  <c r="Q35" i="5" s="1"/>
  <c r="O32" i="5"/>
  <c r="Q32" i="5" s="1"/>
  <c r="O23" i="5"/>
  <c r="Q23" i="5" s="1"/>
  <c r="O10" i="5"/>
  <c r="Q10" i="5" s="1"/>
  <c r="K24" i="4"/>
  <c r="G24" i="6"/>
  <c r="M217" i="5"/>
  <c r="P217" i="5" s="1"/>
  <c r="R217" i="5" s="1"/>
  <c r="J25" i="4"/>
  <c r="L25" i="4" s="1"/>
  <c r="G25" i="6"/>
  <c r="M197" i="5"/>
  <c r="P197" i="5" s="1"/>
  <c r="R197" i="5" s="1"/>
  <c r="M183" i="5"/>
  <c r="P183" i="5" s="1"/>
  <c r="R183" i="5" s="1"/>
  <c r="M158" i="5"/>
  <c r="P158" i="5" s="1"/>
  <c r="R158" i="5" s="1"/>
  <c r="M146" i="5"/>
  <c r="P146" i="5" s="1"/>
  <c r="R146" i="5" s="1"/>
  <c r="M137" i="5"/>
  <c r="P137" i="5" s="1"/>
  <c r="R137" i="5" s="1"/>
  <c r="M131" i="5"/>
  <c r="P131" i="5" s="1"/>
  <c r="R131" i="5" s="1"/>
  <c r="M53" i="5"/>
  <c r="P53" i="5" s="1"/>
  <c r="R53" i="5" s="1"/>
  <c r="J26" i="4"/>
  <c r="L26" i="4" s="1"/>
  <c r="M26" i="4" s="1"/>
  <c r="H25" i="6"/>
  <c r="O197" i="5"/>
  <c r="Q197" i="5" s="1"/>
  <c r="O183" i="5"/>
  <c r="Q183" i="5" s="1"/>
  <c r="O158" i="5"/>
  <c r="Q158" i="5" s="1"/>
  <c r="O146" i="5"/>
  <c r="Q146" i="5" s="1"/>
  <c r="O137" i="5"/>
  <c r="Q137" i="5" s="1"/>
  <c r="O131" i="5"/>
  <c r="Q131" i="5" s="1"/>
  <c r="O53" i="5"/>
  <c r="Q53" i="5" s="1"/>
  <c r="K26" i="4"/>
  <c r="G26" i="6"/>
  <c r="M188" i="5"/>
  <c r="P188" i="5" s="1"/>
  <c r="R188" i="5" s="1"/>
  <c r="J27" i="4"/>
  <c r="L27" i="4" s="1"/>
  <c r="M27" i="4" s="1"/>
  <c r="H26" i="6"/>
  <c r="O188" i="5"/>
  <c r="Q188" i="5" s="1"/>
  <c r="K27" i="4"/>
  <c r="S188" i="5" l="1"/>
  <c r="S53" i="5"/>
  <c r="S131" i="5"/>
  <c r="S137" i="5"/>
  <c r="S146" i="5"/>
  <c r="S158" i="5"/>
  <c r="S183" i="5"/>
  <c r="S197" i="5"/>
  <c r="S10" i="5"/>
  <c r="S23" i="5"/>
  <c r="S32" i="5"/>
  <c r="S35" i="5"/>
  <c r="S39" i="5"/>
  <c r="S45" i="5"/>
  <c r="S46" i="5"/>
  <c r="S54" i="5"/>
  <c r="S75" i="5"/>
  <c r="S82" i="5"/>
  <c r="S87" i="5"/>
  <c r="S96" i="5"/>
  <c r="S102" i="5"/>
  <c r="S103" i="5"/>
  <c r="S109" i="5"/>
  <c r="S116" i="5"/>
  <c r="S120" i="5"/>
  <c r="S122" i="5"/>
  <c r="S133" i="5"/>
  <c r="S143" i="5"/>
  <c r="S148" i="5"/>
  <c r="S153" i="5"/>
  <c r="S174" i="5"/>
  <c r="S181" i="5"/>
  <c r="S185" i="5"/>
  <c r="S193" i="5"/>
  <c r="S196" i="5"/>
  <c r="S199" i="5"/>
  <c r="S241" i="5"/>
  <c r="S246" i="5"/>
  <c r="S247" i="5"/>
  <c r="S254" i="5"/>
  <c r="S55" i="5"/>
  <c r="S138" i="5"/>
  <c r="S186" i="5"/>
  <c r="S203" i="5"/>
  <c r="S7" i="5"/>
  <c r="S9" i="5"/>
  <c r="S13" i="5"/>
  <c r="S20" i="5"/>
  <c r="S29" i="5"/>
  <c r="S30" i="5"/>
  <c r="S42" i="5"/>
  <c r="S43" i="5"/>
  <c r="S64" i="5"/>
  <c r="S66" i="5"/>
  <c r="S67" i="5"/>
  <c r="S70" i="5"/>
  <c r="S71" i="5"/>
  <c r="S72" i="5"/>
  <c r="S73" i="5"/>
  <c r="S74" i="5"/>
  <c r="S81" i="5"/>
  <c r="S83" i="5"/>
  <c r="S84" i="5"/>
  <c r="S89" i="5"/>
  <c r="S95" i="5"/>
  <c r="S105" i="5"/>
  <c r="S108" i="5"/>
  <c r="S110" i="5"/>
  <c r="S111" i="5"/>
  <c r="S124" i="5"/>
  <c r="S126" i="5"/>
  <c r="S132" i="5"/>
  <c r="S144" i="5"/>
  <c r="S145" i="5"/>
  <c r="S154" i="5"/>
  <c r="S156" i="5"/>
  <c r="S159" i="5"/>
  <c r="S160" i="5"/>
  <c r="S167" i="5"/>
  <c r="S168" i="5"/>
  <c r="S169" i="5"/>
  <c r="S170" i="5"/>
  <c r="S175" i="5"/>
  <c r="S182" i="5"/>
  <c r="S184" i="5"/>
  <c r="S198" i="5"/>
  <c r="S207" i="5"/>
  <c r="S211" i="5"/>
  <c r="S216" i="5"/>
  <c r="S224" i="5"/>
  <c r="S227" i="5"/>
  <c r="S230" i="5"/>
  <c r="S233" i="5"/>
  <c r="S236" i="5"/>
  <c r="S239" i="5"/>
  <c r="S242" i="5"/>
  <c r="S243" i="5"/>
  <c r="S250" i="5"/>
  <c r="S251" i="5"/>
  <c r="S259" i="5"/>
  <c r="S260" i="5"/>
  <c r="S261" i="5"/>
  <c r="S12" i="5"/>
  <c r="S41" i="5"/>
  <c r="S36" i="5"/>
  <c r="S78" i="5"/>
  <c r="S117" i="5"/>
  <c r="S151" i="5"/>
  <c r="S172" i="5"/>
  <c r="S204" i="5"/>
  <c r="S245" i="5"/>
  <c r="S92" i="5"/>
  <c r="S161" i="5"/>
  <c r="S162" i="5"/>
  <c r="P274" i="5"/>
  <c r="R272" i="5"/>
  <c r="S273" i="5"/>
  <c r="S276" i="5"/>
  <c r="P279" i="5"/>
  <c r="R278" i="5"/>
  <c r="S6" i="5"/>
  <c r="S8" i="5"/>
  <c r="S17" i="5"/>
  <c r="S18" i="5"/>
  <c r="S19" i="5"/>
  <c r="S21" i="5"/>
  <c r="S22" i="5"/>
  <c r="S31" i="5"/>
  <c r="S44" i="5"/>
  <c r="S48" i="5"/>
  <c r="S49" i="5"/>
  <c r="S52" i="5"/>
  <c r="S62" i="5"/>
  <c r="S63" i="5"/>
  <c r="S68" i="5"/>
  <c r="S69" i="5"/>
  <c r="S76" i="5"/>
  <c r="S77" i="5"/>
  <c r="S85" i="5"/>
  <c r="S86" i="5"/>
  <c r="S90" i="5"/>
  <c r="S91" i="5"/>
  <c r="S93" i="5"/>
  <c r="S94" i="5"/>
  <c r="P128" i="5"/>
  <c r="R99" i="5"/>
  <c r="S100" i="5"/>
  <c r="S101" i="5"/>
  <c r="S107" i="5"/>
  <c r="S123" i="5"/>
  <c r="P164" i="5"/>
  <c r="R130" i="5"/>
  <c r="S134" i="5"/>
  <c r="S135" i="5"/>
  <c r="S139" i="5"/>
  <c r="S140" i="5"/>
  <c r="S155" i="5"/>
  <c r="S173" i="5"/>
  <c r="S177" i="5"/>
  <c r="S178" i="5"/>
  <c r="S179" i="5"/>
  <c r="S180" i="5"/>
  <c r="S194" i="5"/>
  <c r="S205" i="5"/>
  <c r="S206" i="5"/>
  <c r="S209" i="5"/>
  <c r="S210" i="5"/>
  <c r="S225" i="5"/>
  <c r="S226" i="5"/>
  <c r="S231" i="5"/>
  <c r="S232" i="5"/>
  <c r="S234" i="5"/>
  <c r="S237" i="5"/>
  <c r="S238" i="5"/>
  <c r="S252" i="5"/>
  <c r="S253" i="5"/>
  <c r="S255" i="5"/>
  <c r="S258" i="5"/>
  <c r="S264" i="5"/>
  <c r="S267" i="5"/>
  <c r="S270" i="5"/>
  <c r="P26" i="5"/>
  <c r="R5" i="5"/>
  <c r="P56" i="5"/>
  <c r="R28" i="5"/>
  <c r="S60" i="5"/>
  <c r="S113" i="5"/>
  <c r="P189" i="5"/>
  <c r="R166" i="5"/>
  <c r="S201" i="5"/>
  <c r="S248" i="5"/>
  <c r="P268" i="5"/>
  <c r="R266" i="5"/>
  <c r="S11" i="5"/>
  <c r="S16" i="5"/>
  <c r="S33" i="5"/>
  <c r="S38" i="5"/>
  <c r="S51" i="5"/>
  <c r="P97" i="5"/>
  <c r="R58" i="5"/>
  <c r="S61" i="5"/>
  <c r="S88" i="5"/>
  <c r="S104" i="5"/>
  <c r="S112" i="5"/>
  <c r="S121" i="5"/>
  <c r="S136" i="5"/>
  <c r="S152" i="5"/>
  <c r="S176" i="5"/>
  <c r="S195" i="5"/>
  <c r="S208" i="5"/>
  <c r="S213" i="5"/>
  <c r="P262" i="5"/>
  <c r="R223" i="5"/>
  <c r="S249" i="5"/>
  <c r="S256" i="5"/>
  <c r="S257" i="5"/>
  <c r="S37" i="5"/>
  <c r="S127" i="5"/>
  <c r="S163" i="5"/>
  <c r="S14" i="5"/>
  <c r="S15" i="5"/>
  <c r="S25" i="5"/>
  <c r="S34" i="5"/>
  <c r="S47" i="5"/>
  <c r="S50" i="5"/>
  <c r="S59" i="5"/>
  <c r="S79" i="5"/>
  <c r="S80" i="5"/>
  <c r="S118" i="5"/>
  <c r="S119" i="5"/>
  <c r="S141" i="5"/>
  <c r="S142" i="5"/>
  <c r="S149" i="5"/>
  <c r="S150" i="5"/>
  <c r="S171" i="5"/>
  <c r="P221" i="5"/>
  <c r="R191" i="5"/>
  <c r="S192" i="5"/>
  <c r="S200" i="5"/>
  <c r="S212" i="5"/>
  <c r="S214" i="5"/>
  <c r="S228" i="5"/>
  <c r="S229" i="5"/>
  <c r="S235" i="5"/>
  <c r="S244" i="5"/>
  <c r="J28" i="4"/>
  <c r="L6" i="4"/>
  <c r="S24" i="5"/>
  <c r="S40" i="5"/>
  <c r="S65" i="5"/>
  <c r="S115" i="5"/>
  <c r="S147" i="5"/>
  <c r="S215" i="5"/>
  <c r="S240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7" i="9"/>
  <c r="L6" i="9"/>
  <c r="K13" i="14"/>
  <c r="L6" i="14"/>
  <c r="K15" i="14" l="1"/>
  <c r="L13" i="14"/>
  <c r="K9" i="9"/>
  <c r="L7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28" i="4"/>
  <c r="M6" i="4"/>
  <c r="R221" i="5"/>
  <c r="O221" i="5" s="1"/>
  <c r="S191" i="5"/>
  <c r="S221" i="5" s="1"/>
  <c r="R262" i="5"/>
  <c r="O262" i="5" s="1"/>
  <c r="S223" i="5"/>
  <c r="S262" i="5" s="1"/>
  <c r="R97" i="5"/>
  <c r="O97" i="5" s="1"/>
  <c r="S58" i="5"/>
  <c r="S97" i="5" s="1"/>
  <c r="R268" i="5"/>
  <c r="O268" i="5" s="1"/>
  <c r="S266" i="5"/>
  <c r="S268" i="5" s="1"/>
  <c r="R189" i="5"/>
  <c r="O189" i="5" s="1"/>
  <c r="S166" i="5"/>
  <c r="S189" i="5" s="1"/>
  <c r="R56" i="5"/>
  <c r="O56" i="5" s="1"/>
  <c r="S28" i="5"/>
  <c r="S56" i="5" s="1"/>
  <c r="R26" i="5"/>
  <c r="O26" i="5" s="1"/>
  <c r="S5" i="5"/>
  <c r="S26" i="5" s="1"/>
  <c r="R164" i="5"/>
  <c r="O164" i="5" s="1"/>
  <c r="S130" i="5"/>
  <c r="S164" i="5" s="1"/>
  <c r="R128" i="5"/>
  <c r="O128" i="5" s="1"/>
  <c r="S99" i="5"/>
  <c r="S128" i="5" s="1"/>
  <c r="R279" i="5"/>
  <c r="O279" i="5" s="1"/>
  <c r="S278" i="5"/>
  <c r="S279" i="5" s="1"/>
  <c r="R274" i="5"/>
  <c r="O274" i="5" s="1"/>
  <c r="S272" i="5"/>
  <c r="S274" i="5" s="1"/>
  <c r="L33" i="4" l="1"/>
  <c r="I30" i="4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5" i="15"/>
  <c r="L9" i="9"/>
  <c r="C8" i="15"/>
  <c r="D8" i="15" s="1"/>
  <c r="L15" i="14"/>
  <c r="D5" i="15" l="1"/>
  <c r="C34" i="2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D19" i="7"/>
  <c r="I19" i="7" s="1"/>
  <c r="D18" i="7"/>
  <c r="I18" i="7" s="1"/>
  <c r="D17" i="7"/>
  <c r="I17" i="7" s="1"/>
  <c r="D16" i="7"/>
  <c r="I16" i="7" s="1"/>
  <c r="D15" i="7"/>
  <c r="I15" i="7" s="1"/>
  <c r="D14" i="7"/>
  <c r="I14" i="7" s="1"/>
  <c r="D13" i="7"/>
  <c r="I13" i="7" s="1"/>
  <c r="D12" i="7"/>
  <c r="I12" i="7" s="1"/>
  <c r="D11" i="7"/>
  <c r="I11" i="7" s="1"/>
  <c r="D10" i="7"/>
  <c r="I10" i="7" s="1"/>
  <c r="D9" i="7"/>
  <c r="I9" i="7" s="1"/>
  <c r="D8" i="7"/>
  <c r="I8" i="7" s="1"/>
  <c r="D7" i="7"/>
  <c r="I7" i="7" s="1"/>
  <c r="D6" i="7"/>
  <c r="I6" i="7" s="1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G57" i="2" l="1"/>
  <c r="E57" i="2"/>
  <c r="C57" i="2"/>
  <c r="G58" i="2"/>
  <c r="E58" i="2"/>
  <c r="C58" i="2"/>
  <c r="G60" i="2"/>
  <c r="E60" i="2"/>
  <c r="C60" i="2"/>
  <c r="C50" i="2"/>
  <c r="B53" i="2"/>
  <c r="H9" i="3"/>
  <c r="I9" i="4"/>
  <c r="H8" i="6"/>
  <c r="H25" i="3"/>
  <c r="I13" i="4"/>
  <c r="H12" i="6"/>
  <c r="H11" i="3"/>
  <c r="I16" i="4"/>
  <c r="H15" i="6"/>
  <c r="H17" i="3"/>
  <c r="I22" i="4"/>
  <c r="H21" i="6"/>
  <c r="H31" i="3"/>
  <c r="I25" i="4"/>
  <c r="H24" i="6"/>
  <c r="H19" i="7"/>
  <c r="J19" i="7"/>
  <c r="L19" i="7"/>
  <c r="M19" i="7"/>
  <c r="E17" i="8"/>
  <c r="F17" i="8"/>
  <c r="G17" i="8"/>
  <c r="E19" i="7"/>
  <c r="G19" i="7"/>
  <c r="K19" i="7"/>
  <c r="D17" i="8"/>
  <c r="H18" i="7"/>
  <c r="J18" i="7"/>
  <c r="L18" i="7"/>
  <c r="M18" i="7"/>
  <c r="E16" i="8"/>
  <c r="F16" i="8"/>
  <c r="G16" i="8"/>
  <c r="E18" i="7"/>
  <c r="G18" i="7"/>
  <c r="K18" i="7"/>
  <c r="D16" i="8"/>
  <c r="H17" i="7"/>
  <c r="J17" i="7"/>
  <c r="L17" i="7"/>
  <c r="M17" i="7"/>
  <c r="E15" i="8"/>
  <c r="F15" i="8"/>
  <c r="G15" i="8"/>
  <c r="E17" i="7"/>
  <c r="G17" i="7"/>
  <c r="K17" i="7"/>
  <c r="D15" i="8"/>
  <c r="H16" i="7"/>
  <c r="J16" i="7"/>
  <c r="L16" i="7"/>
  <c r="M16" i="7"/>
  <c r="E14" i="8"/>
  <c r="F14" i="8"/>
  <c r="G14" i="8"/>
  <c r="E16" i="7"/>
  <c r="G16" i="7"/>
  <c r="K16" i="7"/>
  <c r="D14" i="8"/>
  <c r="H15" i="7"/>
  <c r="J15" i="7"/>
  <c r="L15" i="7"/>
  <c r="M15" i="7"/>
  <c r="E13" i="8"/>
  <c r="F13" i="8"/>
  <c r="G13" i="8"/>
  <c r="E15" i="7"/>
  <c r="G15" i="7"/>
  <c r="K15" i="7"/>
  <c r="D13" i="8"/>
  <c r="H14" i="7"/>
  <c r="J14" i="7"/>
  <c r="L14" i="7"/>
  <c r="M14" i="7"/>
  <c r="E12" i="8"/>
  <c r="F12" i="8"/>
  <c r="G12" i="8"/>
  <c r="E14" i="7"/>
  <c r="G14" i="7"/>
  <c r="K14" i="7"/>
  <c r="D12" i="8"/>
  <c r="H13" i="7"/>
  <c r="J13" i="7"/>
  <c r="L13" i="7"/>
  <c r="M13" i="7"/>
  <c r="E11" i="8"/>
  <c r="F11" i="8"/>
  <c r="G11" i="8"/>
  <c r="E13" i="7"/>
  <c r="G13" i="7"/>
  <c r="K13" i="7"/>
  <c r="D11" i="8"/>
  <c r="H12" i="7"/>
  <c r="J12" i="7"/>
  <c r="L12" i="7"/>
  <c r="M12" i="7"/>
  <c r="E10" i="8"/>
  <c r="F10" i="8"/>
  <c r="G10" i="8"/>
  <c r="E12" i="7"/>
  <c r="G12" i="7"/>
  <c r="K12" i="7"/>
  <c r="D10" i="8"/>
  <c r="H11" i="7"/>
  <c r="J11" i="7"/>
  <c r="L11" i="7"/>
  <c r="M11" i="7"/>
  <c r="E9" i="8"/>
  <c r="F9" i="8"/>
  <c r="G9" i="8"/>
  <c r="E11" i="7"/>
  <c r="G11" i="7"/>
  <c r="K11" i="7"/>
  <c r="D9" i="8"/>
  <c r="H10" i="7"/>
  <c r="J10" i="7"/>
  <c r="L10" i="7"/>
  <c r="M10" i="7"/>
  <c r="E8" i="8"/>
  <c r="F8" i="8"/>
  <c r="G8" i="8"/>
  <c r="E10" i="7"/>
  <c r="G10" i="7"/>
  <c r="K10" i="7"/>
  <c r="D8" i="8"/>
  <c r="H9" i="7"/>
  <c r="J9" i="7"/>
  <c r="L9" i="7"/>
  <c r="M9" i="7"/>
  <c r="E7" i="8"/>
  <c r="F7" i="8"/>
  <c r="G7" i="8"/>
  <c r="E9" i="7"/>
  <c r="G9" i="7"/>
  <c r="K9" i="7"/>
  <c r="D7" i="8"/>
  <c r="H8" i="7"/>
  <c r="J8" i="7"/>
  <c r="L8" i="7"/>
  <c r="M8" i="7"/>
  <c r="E6" i="8"/>
  <c r="F6" i="8"/>
  <c r="G6" i="8"/>
  <c r="E8" i="7"/>
  <c r="G8" i="7"/>
  <c r="K8" i="7"/>
  <c r="D6" i="8"/>
  <c r="H7" i="7"/>
  <c r="J7" i="7"/>
  <c r="L7" i="7"/>
  <c r="M7" i="7"/>
  <c r="E5" i="8"/>
  <c r="F5" i="8"/>
  <c r="G5" i="8"/>
  <c r="E7" i="7"/>
  <c r="G7" i="7"/>
  <c r="K7" i="7"/>
  <c r="D5" i="8"/>
  <c r="H6" i="7"/>
  <c r="J6" i="7"/>
  <c r="L6" i="7"/>
  <c r="M6" i="7"/>
  <c r="M20" i="7"/>
  <c r="M23" i="7"/>
  <c r="M25" i="7"/>
  <c r="L20" i="7"/>
  <c r="L23" i="7"/>
  <c r="L25" i="7"/>
  <c r="E4" i="8"/>
  <c r="F4" i="8"/>
  <c r="G4" i="8"/>
  <c r="G19" i="8"/>
  <c r="F19" i="8"/>
  <c r="E19" i="8"/>
  <c r="C4" i="15"/>
  <c r="D4" i="15"/>
  <c r="C59" i="2"/>
  <c r="B61" i="2"/>
  <c r="G6" i="11"/>
  <c r="I6" i="11"/>
  <c r="J6" i="11"/>
  <c r="K6" i="11"/>
  <c r="K7" i="11"/>
  <c r="K9" i="11"/>
  <c r="C6" i="15"/>
  <c r="G6" i="13"/>
  <c r="I6" i="13"/>
  <c r="J6" i="13"/>
  <c r="K6" i="13"/>
  <c r="E59" i="2"/>
  <c r="D61" i="2"/>
  <c r="G7" i="13"/>
  <c r="I7" i="13"/>
  <c r="J7" i="13"/>
  <c r="K7" i="13"/>
  <c r="G8" i="13"/>
  <c r="I8" i="13"/>
  <c r="J8" i="13"/>
  <c r="K8" i="13"/>
  <c r="G9" i="13"/>
  <c r="I9" i="13"/>
  <c r="J9" i="13"/>
  <c r="K9" i="13"/>
  <c r="K10" i="13"/>
  <c r="K12" i="13"/>
  <c r="C7" i="15"/>
  <c r="C10" i="15"/>
  <c r="D10" i="15"/>
  <c r="E6" i="7"/>
  <c r="G6" i="7"/>
  <c r="K6" i="7"/>
  <c r="K20" i="7"/>
  <c r="K23" i="7"/>
  <c r="D4" i="8"/>
  <c r="D19" i="8"/>
  <c r="B4" i="15"/>
  <c r="B10" i="15"/>
  <c r="G59" i="2"/>
  <c r="F61" i="2"/>
  <c r="G6" i="9"/>
  <c r="H6" i="10"/>
  <c r="H10" i="10"/>
  <c r="H14" i="10"/>
  <c r="H18" i="10"/>
  <c r="H22" i="10"/>
  <c r="H26" i="10"/>
  <c r="H30" i="10"/>
  <c r="H34" i="10"/>
  <c r="H38" i="10"/>
  <c r="H42" i="10"/>
  <c r="H46" i="10"/>
  <c r="H50" i="10"/>
  <c r="H54" i="10"/>
  <c r="G50" i="2"/>
  <c r="F53" i="2"/>
  <c r="E50" i="2"/>
  <c r="D53" i="2"/>
  <c r="H6" i="3"/>
  <c r="H7" i="3"/>
  <c r="H8" i="3"/>
  <c r="K9" i="4"/>
  <c r="O187" i="5"/>
  <c r="Q187" i="5"/>
  <c r="H10" i="3"/>
  <c r="K16" i="4"/>
  <c r="O218" i="5"/>
  <c r="Q218" i="5"/>
  <c r="O219" i="5"/>
  <c r="Q219" i="5"/>
  <c r="H12" i="3"/>
  <c r="H13" i="3"/>
  <c r="H14" i="3"/>
  <c r="H15" i="3"/>
  <c r="H16" i="3"/>
  <c r="K22" i="4"/>
  <c r="O220" i="5"/>
  <c r="Q220" i="5"/>
  <c r="H18" i="3"/>
  <c r="H19" i="3"/>
  <c r="H20" i="3"/>
  <c r="H21" i="3"/>
  <c r="H22" i="3"/>
  <c r="H23" i="3"/>
  <c r="H24" i="3"/>
  <c r="K13" i="4"/>
  <c r="O114" i="5"/>
  <c r="Q114" i="5"/>
  <c r="O202" i="5"/>
  <c r="Q202" i="5"/>
  <c r="H26" i="3"/>
  <c r="H27" i="3"/>
  <c r="H28" i="3"/>
  <c r="H29" i="3"/>
  <c r="H30" i="3"/>
  <c r="K25" i="4"/>
  <c r="O217" i="5"/>
  <c r="Q217" i="5"/>
  <c r="H32" i="3"/>
  <c r="H33" i="3"/>
  <c r="L7" i="13"/>
  <c r="L6" i="13"/>
  <c r="L10" i="13"/>
  <c r="L12" i="13"/>
  <c r="D7" i="15"/>
  <c r="L6" i="11"/>
  <c r="L7" i="11"/>
  <c r="L9" i="11"/>
  <c r="D6" i="15"/>
  <c r="L9" i="13"/>
  <c r="L8" i="13"/>
  <c r="S187" i="5"/>
  <c r="M9" i="4"/>
  <c r="S202" i="5"/>
  <c r="S114" i="5"/>
  <c r="M13" i="4"/>
  <c r="S219" i="5"/>
  <c r="S218" i="5"/>
  <c r="M16" i="4"/>
  <c r="S220" i="5"/>
  <c r="M22" i="4"/>
  <c r="S217" i="5"/>
  <c r="M25" i="4"/>
  <c r="K6" i="10"/>
  <c r="K7" i="10"/>
  <c r="K10" i="10"/>
  <c r="K11" i="10"/>
  <c r="K14" i="10"/>
  <c r="K15" i="10"/>
  <c r="K18" i="10"/>
  <c r="K19" i="10"/>
  <c r="K22" i="10"/>
  <c r="K23" i="10"/>
  <c r="K26" i="10"/>
  <c r="K27" i="10"/>
  <c r="K30" i="10"/>
  <c r="K31" i="10"/>
  <c r="K34" i="10"/>
  <c r="K35" i="10"/>
  <c r="K38" i="10"/>
  <c r="K39" i="10"/>
  <c r="K42" i="10"/>
  <c r="K43" i="10"/>
  <c r="K46" i="10"/>
  <c r="K47" i="10"/>
  <c r="K50" i="10"/>
  <c r="K51" i="10"/>
  <c r="K54" i="10"/>
  <c r="K55" i="10"/>
  <c r="K28" i="4"/>
  <c r="L6" i="10"/>
  <c r="M6" i="10"/>
  <c r="L7" i="10"/>
  <c r="M7" i="10"/>
  <c r="L10" i="10"/>
  <c r="M10" i="10"/>
  <c r="L11" i="10"/>
  <c r="M11" i="10"/>
  <c r="L14" i="10"/>
  <c r="M14" i="10"/>
  <c r="L15" i="10"/>
  <c r="M15" i="10"/>
  <c r="L18" i="10"/>
  <c r="M18" i="10"/>
  <c r="L19" i="10"/>
  <c r="M19" i="10"/>
  <c r="L22" i="10"/>
  <c r="M22" i="10"/>
  <c r="L23" i="10"/>
  <c r="M23" i="10"/>
  <c r="L26" i="10"/>
  <c r="M26" i="10"/>
  <c r="L27" i="10"/>
  <c r="M27" i="10"/>
  <c r="L30" i="10"/>
  <c r="M30" i="10"/>
  <c r="L31" i="10"/>
  <c r="M31" i="10"/>
  <c r="L34" i="10"/>
  <c r="M34" i="10"/>
  <c r="L35" i="10"/>
  <c r="M35" i="10"/>
  <c r="L38" i="10"/>
  <c r="M38" i="10"/>
  <c r="L39" i="10"/>
  <c r="M39" i="10"/>
  <c r="L42" i="10"/>
  <c r="M42" i="10"/>
  <c r="L43" i="10"/>
  <c r="M43" i="10"/>
  <c r="L46" i="10"/>
  <c r="M46" i="10"/>
  <c r="L47" i="10"/>
  <c r="M47" i="10"/>
  <c r="L50" i="10"/>
  <c r="M50" i="10"/>
  <c r="L51" i="10"/>
  <c r="M51" i="10"/>
  <c r="L54" i="10"/>
  <c r="M54" i="10"/>
  <c r="L55" i="10"/>
  <c r="M55" i="10"/>
  <c r="M28" i="4"/>
  <c r="M33" i="4"/>
  <c r="C13" i="15"/>
</calcChain>
</file>

<file path=xl/sharedStrings.xml><?xml version="1.0" encoding="utf-8"?>
<sst xmlns="http://schemas.openxmlformats.org/spreadsheetml/2006/main" count="3991" uniqueCount="608">
  <si>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</si>
  <si>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</si>
  <si>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</si>
  <si>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</si>
  <si>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</si>
  <si>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</si>
  <si>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</si>
  <si>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</si>
  <si>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</si>
  <si>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</si>
  <si>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</si>
  <si>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</si>
  <si>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160J</t>
  </si>
  <si>
    <t>3W</t>
  </si>
  <si>
    <t>2W</t>
  </si>
  <si>
    <t>80J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</si>
  <si>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</si>
  <si>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</si>
  <si>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</si>
  <si>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</si>
  <si>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</si>
  <si>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</si>
  <si>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</si>
  <si>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</si>
  <si>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</si>
  <si>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</si>
  <si>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</si>
  <si>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</si>
  <si>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</si>
  <si>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</si>
  <si>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</si>
  <si>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</si>
  <si>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</si>
  <si>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</si>
  <si>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</si>
  <si>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</si>
  <si>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</si>
  <si>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</si>
  <si>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</si>
  <si>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</si>
  <si>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</si>
  <si>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</si>
  <si>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</si>
  <si>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</si>
  <si>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</si>
  <si>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</si>
  <si>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</si>
  <si>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</si>
  <si>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</si>
  <si>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</si>
  <si>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</si>
  <si>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</si>
  <si>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</si>
  <si>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</si>
  <si>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</si>
  <si>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</si>
  <si>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</si>
  <si>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</si>
  <si>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</si>
  <si>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</si>
  <si>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</si>
  <si>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</si>
  <si>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</si>
  <si>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</si>
  <si>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</si>
  <si>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</si>
  <si>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</si>
  <si>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</si>
  <si>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</si>
  <si>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</si>
  <si>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</si>
  <si>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</si>
  <si>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</si>
  <si>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</si>
  <si>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</si>
  <si>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</si>
  <si>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</si>
  <si>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</si>
  <si>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</si>
  <si>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</si>
  <si>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</si>
  <si>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</si>
  <si>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</si>
  <si>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</si>
  <si>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</si>
  <si>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</si>
  <si>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</si>
  <si>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</si>
  <si>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Regie</t>
  </si>
  <si>
    <t>Regie specialist</t>
  </si>
  <si>
    <t>Regie specialist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</si>
  <si>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</si>
  <si>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</si>
  <si>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</si>
  <si>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</si>
  <si>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</si>
  <si>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</si>
  <si>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</si>
  <si>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</si>
  <si>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</si>
  <si>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</si>
  <si>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</si>
  <si>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</si>
  <si>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</si>
  <si>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</si>
  <si>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</si>
  <si>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</si>
  <si>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</si>
  <si>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</si>
  <si>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</si>
  <si>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</si>
  <si>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</si>
  <si>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</si>
  <si>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</si>
  <si>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</si>
  <si>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</si>
  <si>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</si>
  <si>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</si>
  <si>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</si>
  <si>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</si>
  <si>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</si>
  <si>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</si>
  <si>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</si>
  <si>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</si>
  <si>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SHB</t>
  </si>
  <si>
    <t xml:space="preserve">S    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</si>
  <si>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</si>
  <si>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</si>
  <si>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</si>
  <si>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</si>
  <si>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</si>
  <si>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</si>
  <si>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</si>
  <si>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</si>
  <si>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</si>
  <si>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</si>
  <si>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</si>
  <si>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</si>
  <si>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</si>
  <si>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</si>
  <si>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</si>
  <si>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</si>
  <si>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GHB</t>
  </si>
  <si>
    <t>Gymzaal/sportruimte hard (basis)</t>
  </si>
  <si>
    <t>GHV</t>
  </si>
  <si>
    <t>Gymzaal/sportruimte hard (volledig)</t>
  </si>
  <si>
    <t>PHB</t>
  </si>
  <si>
    <t>Pantry/keuken hard (basis)</t>
  </si>
  <si>
    <t>PHV</t>
  </si>
  <si>
    <t>Pantry/keuken hard (volledig)</t>
  </si>
  <si>
    <t>THB</t>
  </si>
  <si>
    <t>Trap hard (basis)</t>
  </si>
  <si>
    <t>THV</t>
  </si>
  <si>
    <t>Trap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</si>
  <si>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</si>
  <si>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</si>
  <si>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</si>
  <si>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</si>
  <si>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</si>
  <si>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</si>
  <si>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</si>
  <si>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</si>
  <si>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</si>
  <si>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</si>
  <si>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</si>
  <si>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</si>
  <si>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</si>
  <si>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</si>
  <si>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</si>
  <si>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</si>
  <si>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</si>
  <si>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</si>
  <si>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</si>
  <si>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</si>
  <si>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</si>
  <si>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</si>
  <si>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</si>
  <si>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EH</t>
  </si>
  <si>
    <t>Entree harde vloer</t>
  </si>
  <si>
    <t>EZ</t>
  </si>
  <si>
    <t>Entree zachte vloer</t>
  </si>
  <si>
    <t>GH</t>
  </si>
  <si>
    <t>Gymzaal/sportruimte/toestelberging harde vloer</t>
  </si>
  <si>
    <t>LH</t>
  </si>
  <si>
    <t>Leslokaal/studieruimte harde vloer</t>
  </si>
  <si>
    <t>LZ</t>
  </si>
  <si>
    <t>Leslokaal/studieruimte zachte vloer</t>
  </si>
  <si>
    <t>PH</t>
  </si>
  <si>
    <t>Pantry/keuken harde vloer</t>
  </si>
  <si>
    <t>PMH</t>
  </si>
  <si>
    <t>Praktijklokaal minimaal harde vloer</t>
  </si>
  <si>
    <t>SH</t>
  </si>
  <si>
    <t>Sanitaire ruimte/toiletten harde vloer</t>
  </si>
  <si>
    <t>TH</t>
  </si>
  <si>
    <t>Trap harde vloer</t>
  </si>
  <si>
    <t>VH</t>
  </si>
  <si>
    <t>Verkeersruimte/garderobe/reprografie harde vloer</t>
  </si>
  <si>
    <t>VZ</t>
  </si>
  <si>
    <t>Verkeersruimte/garderobe/reprografie zachte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</si>
  <si>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</si>
  <si>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</si>
  <si>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</si>
  <si>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</si>
  <si>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</si>
  <si>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</si>
  <si>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</si>
  <si>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</si>
  <si>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</si>
  <si>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</si>
  <si>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</si>
  <si>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10            12 - Kostenplaats: Kopwerk; Locatie: Montessorischool De Wegwijzer</t>
  </si>
  <si>
    <t>12</t>
  </si>
  <si>
    <t>00</t>
  </si>
  <si>
    <t>0.01</t>
  </si>
  <si>
    <t>speelzaal</t>
  </si>
  <si>
    <t>sportvloer</t>
  </si>
  <si>
    <t>0.03</t>
  </si>
  <si>
    <t>kleuterlokalen</t>
  </si>
  <si>
    <t>pvc</t>
  </si>
  <si>
    <t>0.04</t>
  </si>
  <si>
    <t>toiletten onderbouw</t>
  </si>
  <si>
    <t>0.05</t>
  </si>
  <si>
    <t>kleuterloklaen</t>
  </si>
  <si>
    <t>0.06</t>
  </si>
  <si>
    <t>0.07</t>
  </si>
  <si>
    <t>gangen/hallen</t>
  </si>
  <si>
    <t>0.08</t>
  </si>
  <si>
    <t>entree</t>
  </si>
  <si>
    <t>tapijt</t>
  </si>
  <si>
    <t>0.09</t>
  </si>
  <si>
    <t>handvaardigheid/keuken</t>
  </si>
  <si>
    <t>0.10</t>
  </si>
  <si>
    <t>toiletten</t>
  </si>
  <si>
    <t>0.11</t>
  </si>
  <si>
    <t>kantoren/leerkrachtruimten</t>
  </si>
  <si>
    <t>0.12</t>
  </si>
  <si>
    <t>0.13</t>
  </si>
  <si>
    <t>0.14</t>
  </si>
  <si>
    <t>leslokalen</t>
  </si>
  <si>
    <t>0.15</t>
  </si>
  <si>
    <t>0.16</t>
  </si>
  <si>
    <t>0.17</t>
  </si>
  <si>
    <t>0.18</t>
  </si>
  <si>
    <t>0.19</t>
  </si>
  <si>
    <t>kantoor</t>
  </si>
  <si>
    <t>0.20</t>
  </si>
  <si>
    <t>0.21</t>
  </si>
  <si>
    <t>aula</t>
  </si>
  <si>
    <t>0.23</t>
  </si>
  <si>
    <t>teamkamer/leerkrachtruimten</t>
  </si>
  <si>
    <t>Totaal werkdag</t>
  </si>
  <si>
    <t>10            13 - Kostenplaats: Kopwerk; Locatie: Het Mozaïek - Spaans Leger</t>
  </si>
  <si>
    <t>13</t>
  </si>
  <si>
    <t>gietvloer</t>
  </si>
  <si>
    <t>linoleum</t>
  </si>
  <si>
    <t>steen</t>
  </si>
  <si>
    <t>keuken/pantry</t>
  </si>
  <si>
    <t>steen (glad)</t>
  </si>
  <si>
    <t>0.14a</t>
  </si>
  <si>
    <t>inloopmat</t>
  </si>
  <si>
    <t>handvaardigheid</t>
  </si>
  <si>
    <t>0.22</t>
  </si>
  <si>
    <t>repro</t>
  </si>
  <si>
    <t>0.24</t>
  </si>
  <si>
    <t>0.25</t>
  </si>
  <si>
    <t>0.26</t>
  </si>
  <si>
    <t>0.27</t>
  </si>
  <si>
    <t>0.28</t>
  </si>
  <si>
    <t>01</t>
  </si>
  <si>
    <t>1.01</t>
  </si>
  <si>
    <t>1.02</t>
  </si>
  <si>
    <t>1.03</t>
  </si>
  <si>
    <t>1.05</t>
  </si>
  <si>
    <t>trappen</t>
  </si>
  <si>
    <t>10            14 - Kostenplaats: Kopwerk; Locatie: Het Mozaïek - Toereppel</t>
  </si>
  <si>
    <t>14</t>
  </si>
  <si>
    <t>0.02</t>
  </si>
  <si>
    <t>toiletten kleuters</t>
  </si>
  <si>
    <t>aula kleuters</t>
  </si>
  <si>
    <t>0.09a</t>
  </si>
  <si>
    <t>toilet miva</t>
  </si>
  <si>
    <t>0.29</t>
  </si>
  <si>
    <t>0.30</t>
  </si>
  <si>
    <t>0.31</t>
  </si>
  <si>
    <t>0.32</t>
  </si>
  <si>
    <t>0.33</t>
  </si>
  <si>
    <t>0.34</t>
  </si>
  <si>
    <t>0.35</t>
  </si>
  <si>
    <t>PC</t>
  </si>
  <si>
    <t>P.01</t>
  </si>
  <si>
    <t>P.01a</t>
  </si>
  <si>
    <t>P.02</t>
  </si>
  <si>
    <t>P.03</t>
  </si>
  <si>
    <t>P.04</t>
  </si>
  <si>
    <t>10            15 - Kostenplaats: Kopwerk; Locatie: Gideonschool</t>
  </si>
  <si>
    <t>15</t>
  </si>
  <si>
    <t>Lokaal</t>
  </si>
  <si>
    <t>Gang</t>
  </si>
  <si>
    <t>Entree</t>
  </si>
  <si>
    <t>Toilet</t>
  </si>
  <si>
    <t>tegel</t>
  </si>
  <si>
    <t>Berging</t>
  </si>
  <si>
    <t>N.I.O.</t>
  </si>
  <si>
    <t>Toilet/miva</t>
  </si>
  <si>
    <t>Gymzaal</t>
  </si>
  <si>
    <t>0.16a</t>
  </si>
  <si>
    <t>Toestelberging</t>
  </si>
  <si>
    <t>Aula</t>
  </si>
  <si>
    <t>Podium</t>
  </si>
  <si>
    <t>hout</t>
  </si>
  <si>
    <t>Pantry/keuken</t>
  </si>
  <si>
    <t>Vergaderkamer</t>
  </si>
  <si>
    <t>Kantoor</t>
  </si>
  <si>
    <t>10            16 - Kostenplaats: Kopwerk; Locatie: De Wegwijzer - Opperdoes</t>
  </si>
  <si>
    <t>16</t>
  </si>
  <si>
    <t>Repro</t>
  </si>
  <si>
    <t>Trap</t>
  </si>
  <si>
    <t>Multifunctionele ruimte</t>
  </si>
  <si>
    <t>Teamkamer</t>
  </si>
  <si>
    <t>Pantry</t>
  </si>
  <si>
    <t>1.04</t>
  </si>
  <si>
    <t>1.06</t>
  </si>
  <si>
    <t>10            17 - Kostenplaats: Kopwerk; Locatie: Idenburg</t>
  </si>
  <si>
    <t>17</t>
  </si>
  <si>
    <t>Hal</t>
  </si>
  <si>
    <t>Miva</t>
  </si>
  <si>
    <t>10            18 - Kostenplaats: Kopwerk; Locatie: Het Koggeschip</t>
  </si>
  <si>
    <t>18</t>
  </si>
  <si>
    <t>Huiskamer</t>
  </si>
  <si>
    <t>0.06a</t>
  </si>
  <si>
    <t>Speellokaal</t>
  </si>
  <si>
    <t>0.10a</t>
  </si>
  <si>
    <t>0.20a</t>
  </si>
  <si>
    <t>10            19 - Kostenplaats: Kopwerk; Locatie: Kuyperschool</t>
  </si>
  <si>
    <t>19</t>
  </si>
  <si>
    <t>Keuken</t>
  </si>
  <si>
    <t>0.50</t>
  </si>
  <si>
    <t>0.51</t>
  </si>
  <si>
    <t>0.51a</t>
  </si>
  <si>
    <t>0.52</t>
  </si>
  <si>
    <t>0.53</t>
  </si>
  <si>
    <t>0.54</t>
  </si>
  <si>
    <t>0.55</t>
  </si>
  <si>
    <t>11            18 - Kostenplaats: KDV; Locatie: Het Koggeschip</t>
  </si>
  <si>
    <t>Lokaal BSO</t>
  </si>
  <si>
    <t>12            14 - Kostenplaats: BSO; Locatie: Het Mozaïek - Toereppel</t>
  </si>
  <si>
    <t>0.36</t>
  </si>
  <si>
    <t>BSO ruimte</t>
  </si>
  <si>
    <t>12            16 - Kostenplaats: BSO; Locatie: De Wegwijzer - Opperdoes</t>
  </si>
  <si>
    <t>BSO</t>
  </si>
  <si>
    <t>14            15 - Kostenplaats: Kappio; Locatie: Gideonschool</t>
  </si>
  <si>
    <t>0.05a</t>
  </si>
  <si>
    <t>14            17 - Kostenplaats: Kappio; Locatie: Idenburg</t>
  </si>
  <si>
    <t>14            19 - Kostenplaats: Kappio; Locatie: Kuyperschool</t>
  </si>
  <si>
    <t>Omrekentabel t.b.v. Invultabel Kostenplaatsen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</si>
  <si>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</si>
  <si>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</si>
  <si>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</si>
  <si>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</si>
  <si>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</si>
  <si>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</si>
  <si>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>10            12</t>
  </si>
  <si>
    <t>10            13</t>
  </si>
  <si>
    <t>10            14</t>
  </si>
  <si>
    <t>12            14</t>
  </si>
  <si>
    <t>10            15</t>
  </si>
  <si>
    <t>14            15</t>
  </si>
  <si>
    <t>10            16</t>
  </si>
  <si>
    <t>12            16</t>
  </si>
  <si>
    <t>10            17</t>
  </si>
  <si>
    <t>14            17</t>
  </si>
  <si>
    <t>10            18</t>
  </si>
  <si>
    <t>11            18</t>
  </si>
  <si>
    <t>10            19</t>
  </si>
  <si>
    <t>14            19</t>
  </si>
  <si>
    <t>werkdag</t>
  </si>
  <si>
    <t>NAAM</t>
  </si>
  <si>
    <t>BASIS UUR- TARIEF</t>
  </si>
  <si>
    <t>UREN/ UITVOERING</t>
  </si>
  <si>
    <t>UREN SUPPLETIE/ UITVOERING</t>
  </si>
  <si>
    <t>UREN TOTAAL/ UITVOERING</t>
  </si>
  <si>
    <t>PRIJS/ UITVOERING</t>
  </si>
  <si>
    <t>PRIJS SUPPLETIE/ UITVOERING</t>
  </si>
  <si>
    <t>PRIJS TOTAAL/ UITVOERING</t>
  </si>
  <si>
    <t>PRIJS/ MAAND (EURO)</t>
  </si>
  <si>
    <t>Kostenplaats: Kopwerk; Locatie: Montessorischool De Wegwijzer</t>
  </si>
  <si>
    <t>Kostenplaats: Kopwerk; Locatie: Het Mozaïek - Spaans Leger</t>
  </si>
  <si>
    <t>Kostenplaats: Kopwerk; Locatie: Het Mozaïek - Toereppel</t>
  </si>
  <si>
    <t>Kostenplaats: BSO; Locatie: Het Mozaïek - Toereppel</t>
  </si>
  <si>
    <t>Kostenplaats: Kopwerk; Locatie: Gideonschool</t>
  </si>
  <si>
    <t>Kostenplaats: Kappio; Locatie: Gideonschool</t>
  </si>
  <si>
    <t>Kostenplaats: Kopwerk; Locatie: De Wegwijzer - Opperdoes</t>
  </si>
  <si>
    <t>Kostenplaats: BSO; Locatie: De Wegwijzer - Opperdoes</t>
  </si>
  <si>
    <t>Kostenplaats: Kopwerk; Locatie: Idenburg</t>
  </si>
  <si>
    <t>Kostenplaats: Kappio; Locatie: Idenburg</t>
  </si>
  <si>
    <t>Kostenplaats: Kopwerk; Locatie: Het Koggeschip</t>
  </si>
  <si>
    <t>Kostenplaats: KDV; Locatie: Het Koggeschip</t>
  </si>
  <si>
    <t>Kostenplaats: Kopwerk; Locatie: Kuyperschool</t>
  </si>
  <si>
    <t>Kostenplaats: Kappio; Locatie: Kuyperschool</t>
  </si>
  <si>
    <t>Totaal regulier werk incl. suppleties (excl. BTW)</t>
  </si>
  <si>
    <t>Totaal regulier werk incl. suppleties (incl. BTW)</t>
  </si>
  <si>
    <t>KOSTENPLAATS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</si>
  <si>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</si>
  <si>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</si>
  <si>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</si>
  <si>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</si>
  <si>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</si>
  <si>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</si>
  <si>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</si>
  <si>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</si>
  <si>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</si>
  <si>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</si>
  <si>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</si>
  <si>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</si>
  <si>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</si>
  <si>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</si>
  <si>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 xml:space="preserve">10            13 - Kostenplaats: Kopwerk; Locatie: Het Mozaïek - Spaans Leger, , </t>
  </si>
  <si>
    <t xml:space="preserve">Totaal 10            13 - Kostenplaats: Kopwerk; Locatie: Het Mozaïek - Spaans Leger, , </t>
  </si>
  <si>
    <t xml:space="preserve">10            14 - Kostenplaats: Kopwerk; Locatie: Het Mozaïek - Toereppel, , </t>
  </si>
  <si>
    <t xml:space="preserve">Totaal 10            14 - Kostenplaats: Kopwerk; Locatie: Het Mozaïek - Toereppel, , </t>
  </si>
  <si>
    <t xml:space="preserve">12            14 - Kostenplaats: BSO; Locatie: Het Mozaïek - Toereppel, , </t>
  </si>
  <si>
    <t xml:space="preserve">Totaal 12            14 - Kostenplaats: BSO; Locatie: Het Mozaïek - Toereppel, , </t>
  </si>
  <si>
    <t xml:space="preserve">10            15 - Kostenplaats: Kopwerk; Locatie: Gideonschool, , </t>
  </si>
  <si>
    <t xml:space="preserve">Totaal 10            15 - Kostenplaats: Kopwerk; Locatie: Gideonschool, , </t>
  </si>
  <si>
    <t xml:space="preserve">14            15 - Kostenplaats: Kappio; Locatie: Gideonschool, , </t>
  </si>
  <si>
    <t xml:space="preserve">Totaal 14            15 - Kostenplaats: Kappio; Locatie: Gideonschool, , </t>
  </si>
  <si>
    <t xml:space="preserve">10            16 - Kostenplaats: Kopwerk; Locatie: De Wegwijzer - Opperdoes, , </t>
  </si>
  <si>
    <t xml:space="preserve">Totaal 10            16 - Kostenplaats: Kopwerk; Locatie: De Wegwijzer - Opperdoes, , </t>
  </si>
  <si>
    <t xml:space="preserve">12            16 - Kostenplaats: BSO; Locatie: De Wegwijzer - Opperdoes, , </t>
  </si>
  <si>
    <t xml:space="preserve">Totaal 12            16 - Kostenplaats: BSO; Locatie: De Wegwijzer - Opperdoes, , </t>
  </si>
  <si>
    <t xml:space="preserve">10            17 - Kostenplaats: Kopwerk; Locatie: Idenburg, , </t>
  </si>
  <si>
    <t xml:space="preserve">Totaal 10            17 - Kostenplaats: Kopwerk; Locatie: Idenburg, , </t>
  </si>
  <si>
    <t xml:space="preserve">14            17 - Kostenplaats: Kappio; Locatie: Idenburg, , </t>
  </si>
  <si>
    <t xml:space="preserve">Totaal 14            17 - Kostenplaats: Kappio; Locatie: Idenburg, , </t>
  </si>
  <si>
    <t xml:space="preserve">10            18 - Kostenplaats: Kopwerk; Locatie: Het Koggeschip, , </t>
  </si>
  <si>
    <t xml:space="preserve">Totaal 10            18 - Kostenplaats: Kopwerk; Locatie: Het Koggeschip, , </t>
  </si>
  <si>
    <t xml:space="preserve">11            18 - Kostenplaats: KDV; Locatie: Het Koggeschip, , </t>
  </si>
  <si>
    <t xml:space="preserve">Totaal 11            18 - Kostenplaats: KDV; Locatie: Het Koggeschip, , </t>
  </si>
  <si>
    <t xml:space="preserve">10            19 - Kostenplaats: Kopwerk; Locatie: Kuyperschool, , </t>
  </si>
  <si>
    <t xml:space="preserve">Totaal 10            19 - Kostenplaats: Kopwerk; Locatie: Kuyperschool, , </t>
  </si>
  <si>
    <t xml:space="preserve">14            19 - Kostenplaats: Kappio; Locatie: Kuyperschool, , </t>
  </si>
  <si>
    <t xml:space="preserve">Totaal 14            19 - Kostenplaats: Kappio; Locatie: Kuyperschool, , </t>
  </si>
  <si>
    <t>9200</t>
  </si>
  <si>
    <t>Uurtarief vervanging eigen beheer</t>
  </si>
  <si>
    <t>prijs per uur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</si>
  <si>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</si>
  <si>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</si>
  <si>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</si>
  <si>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</si>
  <si>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</si>
  <si>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</si>
  <si>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</si>
  <si>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</si>
  <si>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</si>
  <si>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</si>
  <si>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</si>
  <si>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</si>
  <si>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</si>
  <si>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</si>
  <si>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</si>
  <si>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</si>
  <si>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</si>
  <si>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</si>
  <si>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</si>
  <si>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</si>
  <si>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</si>
  <si>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</si>
  <si>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</si>
  <si>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</si>
  <si>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</si>
  <si>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</si>
  <si>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</si>
  <si>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</si>
  <si>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</si>
  <si>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</si>
  <si>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</si>
  <si>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</si>
  <si>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</si>
  <si>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</si>
  <si>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</si>
  <si>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</si>
  <si>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</si>
  <si>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</si>
  <si>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</si>
  <si>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</si>
  <si>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</si>
  <si>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</si>
  <si>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</si>
  <si>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</si>
  <si>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</si>
  <si>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</si>
  <si>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</si>
  <si>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</si>
  <si>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</si>
  <si>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</si>
  <si>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</si>
  <si>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</si>
  <si>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</si>
  <si>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</si>
  <si>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</si>
  <si>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</si>
  <si>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</si>
  <si>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</si>
  <si>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</si>
  <si>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</si>
  <si>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</si>
  <si>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</si>
  <si>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</si>
  <si>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</si>
  <si>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</si>
  <si>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</si>
  <si>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</si>
  <si>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</si>
  <si>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</si>
  <si>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</si>
  <si>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</si>
  <si>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</si>
  <si>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</si>
  <si>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</si>
  <si>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</si>
  <si>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</si>
  <si>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</si>
  <si>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</si>
  <si>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</si>
  <si>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</si>
  <si>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</si>
  <si>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</si>
  <si>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</si>
  <si>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</si>
  <si>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</si>
  <si>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</si>
  <si>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</si>
  <si>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</si>
  <si>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</si>
  <si>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</si>
  <si>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</si>
  <si>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</si>
  <si>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</si>
  <si>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</si>
  <si>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</si>
  <si>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</si>
  <si>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</si>
  <si>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</si>
  <si>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</si>
  <si>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</si>
  <si>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</si>
  <si>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</si>
  <si>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</si>
  <si>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</si>
  <si>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</si>
  <si>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</si>
  <si>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</si>
  <si>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</si>
  <si>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</si>
  <si>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</si>
  <si>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</si>
  <si>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</si>
  <si>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</si>
  <si>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</si>
  <si>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</si>
  <si>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</si>
  <si>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</si>
  <si>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</si>
  <si>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</si>
  <si>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</si>
  <si>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</si>
  <si>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</si>
  <si>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</si>
  <si>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</si>
  <si>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</si>
  <si>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</si>
  <si>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</si>
  <si>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</si>
  <si>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</si>
  <si>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</si>
  <si>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9500</t>
  </si>
  <si>
    <t>Uurtarief medewerker bouwschoonmaak</t>
  </si>
  <si>
    <t>9501</t>
  </si>
  <si>
    <t>Uurtarief medewerker specialitisch bouwschoonmaak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</si>
  <si>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</si>
  <si>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</si>
  <si>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</si>
  <si>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</si>
  <si>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</si>
  <si>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</si>
  <si>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</si>
  <si>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8050</t>
  </si>
  <si>
    <t>Dakkoepels buitenzijde</t>
  </si>
  <si>
    <t>8060</t>
  </si>
  <si>
    <t>Dakkoepels binnenzijde</t>
  </si>
  <si>
    <t>8090</t>
  </si>
  <si>
    <t>Reinigen boeiborden, gevelbeplating</t>
  </si>
  <si>
    <t>8200</t>
  </si>
  <si>
    <t>Inzet tuckerpole</t>
  </si>
  <si>
    <t>totaalprijs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</si>
  <si>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</si>
  <si>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</si>
  <si>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</si>
  <si>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</si>
  <si>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</si>
  <si>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</si>
  <si>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</si>
  <si>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Afroepwerk (geschatte frequenties)</t>
  </si>
  <si>
    <t>Regie (geschat)</t>
  </si>
  <si>
    <t>Glas (geschat)</t>
  </si>
  <si>
    <t>Totaal generaal</t>
  </si>
  <si>
    <t>VERGELIJKINGSPRIJS</t>
  </si>
  <si>
    <t>Voor dit perceel zijn geen ruimten werkdag vakantie van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</si>
</sst>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164" fontId="0" fillId="2" borderId="13" xfId="0" applyNumberFormat="1" applyFill="1" applyBorder="1"/>
    <xf numFmtId="164" fontId="0" fillId="2" borderId="14" xfId="0" applyNumberFormat="1" applyFill="1" applyBorder="1"/>
    <xf numFmtId="49" fontId="1" fillId="3" borderId="15" xfId="0" applyNumberFormat="1" applyFont="1" applyFill="1" applyBorder="1"/>
    <xf numFmtId="49" fontId="1" fillId="3" borderId="18" xfId="0" applyNumberFormat="1" applyFont="1" applyFill="1" applyBorder="1"/>
    <xf numFmtId="49" fontId="1" fillId="3" borderId="19" xfId="0" applyNumberFormat="1" applyFont="1" applyFill="1" applyBorder="1"/>
    <xf numFmtId="49" fontId="1" fillId="3" borderId="20" xfId="0" applyNumberFormat="1" applyFont="1" applyFill="1" applyBorder="1"/>
    <xf numFmtId="49" fontId="1" fillId="3" borderId="18" xfId="0" applyNumberFormat="1" applyFont="1" applyFill="1" applyBorder="1" applyAlignment="1">
      <alignment wrapText="1"/>
    </xf>
    <xf numFmtId="49" fontId="0" fillId="3" borderId="18" xfId="0" applyNumberFormat="1" applyFill="1" applyBorder="1" applyAlignment="1">
      <alignment wrapText="1"/>
    </xf>
    <xf numFmtId="49" fontId="0" fillId="3" borderId="18" xfId="0" applyNumberFormat="1" applyFill="1" applyBorder="1"/>
    <xf numFmtId="164" fontId="0" fillId="2" borderId="19" xfId="0" applyNumberFormat="1" applyFill="1" applyBorder="1"/>
    <xf numFmtId="164" fontId="0" fillId="2" borderId="20" xfId="0" applyNumberFormat="1" applyFill="1" applyBorder="1"/>
    <xf numFmtId="10" fontId="0" fillId="0" borderId="19" xfId="0" applyNumberFormat="1" applyBorder="1" applyProtection="1">
      <protection locked="0"/>
    </xf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10" fontId="0" fillId="4" borderId="19" xfId="0" applyNumberFormat="1" applyFill="1" applyBorder="1" applyProtection="1">
      <protection locked="0"/>
    </xf>
    <xf numFmtId="49" fontId="1" fillId="3" borderId="21" xfId="0" applyNumberFormat="1" applyFont="1" applyFill="1" applyBorder="1"/>
    <xf numFmtId="10" fontId="0" fillId="4" borderId="22" xfId="0" applyNumberFormat="1" applyFill="1" applyBorder="1" applyProtection="1">
      <protection locked="0"/>
    </xf>
    <xf numFmtId="164" fontId="0" fillId="2" borderId="22" xfId="0" applyNumberFormat="1" applyFill="1" applyBorder="1"/>
    <xf numFmtId="164" fontId="0" fillId="2" borderId="23" xfId="0" applyNumberFormat="1" applyFill="1" applyBorder="1"/>
    <xf numFmtId="0" fontId="0" fillId="2" borderId="18" xfId="0" applyFill="1" applyBorder="1" applyAlignment="1">
      <alignment wrapText="1"/>
    </xf>
    <xf numFmtId="10" fontId="0" fillId="2" borderId="19" xfId="0" applyNumberForma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4" xfId="0" applyNumberFormat="1" applyFill="1" applyBorder="1"/>
    <xf numFmtId="49" fontId="0" fillId="2" borderId="9" xfId="0" applyNumberFormat="1" applyFill="1" applyBorder="1"/>
    <xf numFmtId="164" fontId="0" fillId="2" borderId="9" xfId="0" applyNumberFormat="1" applyFill="1" applyBorder="1"/>
    <xf numFmtId="164" fontId="0" fillId="2" borderId="5" xfId="0" applyNumberFormat="1" applyFill="1" applyBorder="1"/>
    <xf numFmtId="49" fontId="0" fillId="2" borderId="27" xfId="0" applyNumberFormat="1" applyFill="1" applyBorder="1"/>
    <xf numFmtId="1" fontId="0" fillId="2" borderId="27" xfId="0" applyNumberFormat="1" applyFill="1" applyBorder="1"/>
    <xf numFmtId="4" fontId="0" fillId="0" borderId="27" xfId="0" applyNumberFormat="1" applyBorder="1" applyProtection="1">
      <protection locked="0"/>
    </xf>
    <xf numFmtId="10" fontId="0" fillId="0" borderId="27" xfId="0" applyNumberFormat="1" applyBorder="1" applyProtection="1">
      <protection locked="0"/>
    </xf>
    <xf numFmtId="164" fontId="0" fillId="2" borderId="27" xfId="0" applyNumberFormat="1" applyFill="1" applyBorder="1"/>
    <xf numFmtId="49" fontId="0" fillId="2" borderId="28" xfId="0" applyNumberFormat="1" applyFill="1" applyBorder="1"/>
    <xf numFmtId="1" fontId="0" fillId="2" borderId="28" xfId="0" applyNumberFormat="1" applyFill="1" applyBorder="1"/>
    <xf numFmtId="4" fontId="0" fillId="0" borderId="28" xfId="0" applyNumberFormat="1" applyBorder="1" applyProtection="1">
      <protection locked="0"/>
    </xf>
    <xf numFmtId="10" fontId="0" fillId="0" borderId="28" xfId="0" applyNumberFormat="1" applyBorder="1" applyProtection="1">
      <protection locked="0"/>
    </xf>
    <xf numFmtId="164" fontId="0" fillId="2" borderId="28" xfId="0" applyNumberFormat="1" applyFill="1" applyBorder="1"/>
    <xf numFmtId="49" fontId="0" fillId="2" borderId="29" xfId="0" applyNumberFormat="1" applyFill="1" applyBorder="1"/>
    <xf numFmtId="1" fontId="0" fillId="2" borderId="29" xfId="0" applyNumberFormat="1" applyFill="1" applyBorder="1"/>
    <xf numFmtId="4" fontId="0" fillId="0" borderId="29" xfId="0" applyNumberFormat="1" applyBorder="1" applyProtection="1">
      <protection locked="0"/>
    </xf>
    <xf numFmtId="10" fontId="0" fillId="0" borderId="29" xfId="0" applyNumberFormat="1" applyBorder="1" applyProtection="1">
      <protection locked="0"/>
    </xf>
    <xf numFmtId="164" fontId="0" fillId="2" borderId="29" xfId="0" applyNumberFormat="1" applyFill="1" applyBorder="1"/>
    <xf numFmtId="4" fontId="0" fillId="2" borderId="9" xfId="0" applyNumberFormat="1" applyFill="1" applyBorder="1"/>
    <xf numFmtId="165" fontId="0" fillId="2" borderId="9" xfId="0" applyNumberFormat="1" applyFill="1" applyBorder="1"/>
    <xf numFmtId="4" fontId="0" fillId="2" borderId="27" xfId="0" applyNumberFormat="1" applyFill="1" applyBorder="1"/>
    <xf numFmtId="165" fontId="0" fillId="2" borderId="27" xfId="0" applyNumberFormat="1" applyFill="1" applyBorder="1"/>
    <xf numFmtId="4" fontId="0" fillId="2" borderId="28" xfId="0" applyNumberFormat="1" applyFill="1" applyBorder="1"/>
    <xf numFmtId="165" fontId="0" fillId="2" borderId="28" xfId="0" applyNumberFormat="1" applyFill="1" applyBorder="1"/>
    <xf numFmtId="4" fontId="0" fillId="2" borderId="29" xfId="0" applyNumberFormat="1" applyFill="1" applyBorder="1"/>
    <xf numFmtId="165" fontId="0" fillId="2" borderId="29" xfId="0" applyNumberFormat="1" applyFill="1" applyBorder="1"/>
    <xf numFmtId="0" fontId="0" fillId="3" borderId="31" xfId="0" applyFill="1" applyBorder="1"/>
    <xf numFmtId="49" fontId="0" fillId="3" borderId="24" xfId="0" applyNumberFormat="1" applyFill="1" applyBorder="1"/>
    <xf numFmtId="0" fontId="0" fillId="3" borderId="25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30" xfId="0" applyNumberFormat="1" applyFill="1" applyBorder="1"/>
    <xf numFmtId="0" fontId="0" fillId="3" borderId="24" xfId="0" applyFill="1" applyBorder="1"/>
    <xf numFmtId="0" fontId="0" fillId="3" borderId="32" xfId="0" applyFill="1" applyBorder="1"/>
    <xf numFmtId="49" fontId="0" fillId="3" borderId="33" xfId="0" applyNumberFormat="1" applyFill="1" applyBorder="1" applyAlignment="1">
      <alignment wrapText="1"/>
    </xf>
    <xf numFmtId="49" fontId="0" fillId="3" borderId="30" xfId="0" applyNumberFormat="1" applyFill="1" applyBorder="1" applyAlignment="1">
      <alignment wrapText="1"/>
    </xf>
    <xf numFmtId="0" fontId="0" fillId="3" borderId="34" xfId="0" applyFill="1" applyBorder="1"/>
    <xf numFmtId="49" fontId="0" fillId="2" borderId="9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164" fontId="0" fillId="2" borderId="16" xfId="0" applyNumberFormat="1" applyFill="1" applyBorder="1"/>
    <xf numFmtId="164" fontId="0" fillId="2" borderId="17" xfId="0" applyNumberFormat="1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2" borderId="21" xfId="0" applyNumberFormat="1" applyFill="1" applyBorder="1"/>
    <xf numFmtId="49" fontId="0" fillId="2" borderId="22" xfId="0" applyNumberFormat="1" applyFill="1" applyBorder="1"/>
    <xf numFmtId="49" fontId="0" fillId="2" borderId="22" xfId="0" applyNumberFormat="1" applyFill="1" applyBorder="1" applyAlignment="1">
      <alignment wrapText="1"/>
    </xf>
    <xf numFmtId="4" fontId="0" fillId="2" borderId="22" xfId="0" applyNumberFormat="1" applyFill="1" applyBorder="1"/>
    <xf numFmtId="165" fontId="0" fillId="2" borderId="22" xfId="0" applyNumberFormat="1" applyFill="1" applyBorder="1"/>
    <xf numFmtId="49" fontId="0" fillId="3" borderId="35" xfId="0" applyNumberFormat="1" applyFill="1" applyBorder="1"/>
    <xf numFmtId="0" fontId="0" fillId="2" borderId="19" xfId="0" applyFill="1" applyBorder="1"/>
    <xf numFmtId="49" fontId="0" fillId="2" borderId="6" xfId="0" applyNumberFormat="1" applyFill="1" applyBorder="1"/>
    <xf numFmtId="164" fontId="0" fillId="2" borderId="6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4" borderId="27" xfId="0" applyNumberFormat="1" applyFill="1" applyBorder="1" applyProtection="1">
      <protection locked="0"/>
    </xf>
    <xf numFmtId="164" fontId="0" fillId="4" borderId="27" xfId="0" applyNumberFormat="1" applyFill="1" applyBorder="1" applyProtection="1">
      <protection locked="0"/>
    </xf>
    <xf numFmtId="49" fontId="0" fillId="4" borderId="28" xfId="0" applyNumberFormat="1" applyFill="1" applyBorder="1" applyProtection="1">
      <protection locked="0"/>
    </xf>
    <xf numFmtId="164" fontId="0" fillId="4" borderId="28" xfId="0" applyNumberFormat="1" applyFill="1" applyBorder="1" applyProtection="1">
      <protection locked="0"/>
    </xf>
    <xf numFmtId="49" fontId="0" fillId="4" borderId="29" xfId="0" applyNumberFormat="1" applyFill="1" applyBorder="1" applyProtection="1">
      <protection locked="0"/>
    </xf>
    <xf numFmtId="164" fontId="0" fillId="4" borderId="29" xfId="0" applyNumberFormat="1" applyFill="1" applyBorder="1" applyProtection="1">
      <protection locked="0"/>
    </xf>
    <xf numFmtId="1" fontId="0" fillId="2" borderId="6" xfId="0" applyNumberFormat="1" applyFill="1" applyBorder="1"/>
    <xf numFmtId="4" fontId="0" fillId="4" borderId="6" xfId="0" applyNumberFormat="1" applyFill="1" applyBorder="1"/>
    <xf numFmtId="4" fontId="0" fillId="0" borderId="6" xfId="0" applyNumberFormat="1" applyBorder="1" applyProtection="1">
      <protection locked="0"/>
    </xf>
    <xf numFmtId="164" fontId="0" fillId="3" borderId="26" xfId="0" applyNumberFormat="1" applyFill="1" applyBorder="1"/>
    <xf numFmtId="0" fontId="0" fillId="3" borderId="26" xfId="0" applyFill="1" applyBorder="1"/>
    <xf numFmtId="4" fontId="0" fillId="2" borderId="6" xfId="0" applyNumberFormat="1" applyFill="1" applyBorder="1"/>
    <xf numFmtId="164" fontId="0" fillId="0" borderId="27" xfId="0" applyNumberFormat="1" applyBorder="1" applyProtection="1">
      <protection locked="0"/>
    </xf>
    <xf numFmtId="164" fontId="0" fillId="0" borderId="28" xfId="0" applyNumberFormat="1" applyBorder="1" applyProtection="1">
      <protection locked="0"/>
    </xf>
    <xf numFmtId="164" fontId="0" fillId="0" borderId="29" xfId="0" applyNumberFormat="1" applyBorder="1" applyProtection="1">
      <protection locked="0"/>
    </xf>
    <xf numFmtId="4" fontId="0" fillId="4" borderId="27" xfId="0" applyNumberFormat="1" applyFill="1" applyBorder="1"/>
    <xf numFmtId="4" fontId="0" fillId="3" borderId="27" xfId="0" applyNumberFormat="1" applyFill="1" applyBorder="1"/>
    <xf numFmtId="4" fontId="0" fillId="4" borderId="28" xfId="0" applyNumberFormat="1" applyFill="1" applyBorder="1"/>
    <xf numFmtId="4" fontId="0" fillId="3" borderId="28" xfId="0" applyNumberFormat="1" applyFill="1" applyBorder="1"/>
    <xf numFmtId="4" fontId="0" fillId="4" borderId="29" xfId="0" applyNumberFormat="1" applyFill="1" applyBorder="1"/>
    <xf numFmtId="4" fontId="0" fillId="3" borderId="29" xfId="0" applyNumberFormat="1" applyFill="1" applyBorder="1"/>
    <xf numFmtId="49" fontId="0" fillId="3" borderId="27" xfId="0" applyNumberFormat="1" applyFill="1" applyBorder="1" applyAlignment="1">
      <alignment wrapText="1"/>
    </xf>
    <xf numFmtId="49" fontId="0" fillId="3" borderId="28" xfId="0" applyNumberFormat="1" applyFill="1" applyBorder="1" applyAlignment="1">
      <alignment wrapText="1"/>
    </xf>
    <xf numFmtId="49" fontId="0" fillId="3" borderId="29" xfId="0" applyNumberFormat="1" applyFill="1" applyBorder="1" applyAlignment="1">
      <alignment wrapText="1"/>
    </xf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49" fontId="1" fillId="3" borderId="16" xfId="0" applyNumberFormat="1" applyFont="1" applyFill="1" applyBorder="1" applyAlignment="1">
      <alignment wrapText="1"/>
    </xf>
    <xf numFmtId="49" fontId="1" fillId="3" borderId="17" xfId="0" applyNumberFormat="1" applyFont="1" applyFill="1" applyBorder="1" applyAlignment="1">
      <alignment wrapText="1"/>
    </xf>
    <xf numFmtId="164" fontId="1" fillId="2" borderId="22" xfId="0" applyNumberFormat="1" applyFont="1" applyFill="1" applyBorder="1"/>
    <xf numFmtId="164" fontId="1" fillId="2" borderId="23" xfId="0" applyNumberFormat="1" applyFont="1" applyFill="1" applyBorder="1"/>
    <xf numFmtId="164" fontId="0" fillId="2" borderId="19" xfId="0" applyNumberFormat="1" applyFill="1" applyBorder="1"/>
    <xf numFmtId="164" fontId="0" fillId="2" borderId="20" xfId="0" applyNumberFormat="1" applyFill="1" applyBorder="1"/>
    <xf numFmtId="164" fontId="0" fillId="0" borderId="19" xfId="0" applyNumberFormat="1" applyBorder="1" applyProtection="1">
      <protection locked="0"/>
    </xf>
    <xf numFmtId="164" fontId="0" fillId="0" borderId="20" xfId="0" applyNumberFormat="1" applyBorder="1" applyProtection="1">
      <protection locked="0"/>
    </xf>
    <xf numFmtId="49" fontId="1" fillId="4" borderId="19" xfId="0" applyNumberFormat="1" applyFont="1" applyFill="1" applyBorder="1" applyAlignment="1">
      <alignment wrapText="1"/>
    </xf>
    <xf numFmtId="49" fontId="1" fillId="4" borderId="20" xfId="0" applyNumberFormat="1" applyFont="1" applyFill="1" applyBorder="1" applyAlignment="1">
      <alignment wrapText="1"/>
    </xf>
    <xf numFmtId="49" fontId="1" fillId="0" borderId="19" xfId="0" applyNumberFormat="1" applyFont="1" applyBorder="1" applyAlignment="1" applyProtection="1">
      <alignment wrapText="1"/>
      <protection locked="0"/>
    </xf>
    <xf numFmtId="49" fontId="1" fillId="0" borderId="20" xfId="0" applyNumberFormat="1" applyFont="1" applyBorder="1" applyAlignment="1" applyProtection="1">
      <alignment wrapText="1"/>
      <protection locked="0"/>
    </xf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9" xfId="0" applyNumberFormat="1" applyFont="1" applyFill="1" applyBorder="1"/>
    <xf numFmtId="49" fontId="1" fillId="3" borderId="20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AD63-9B95-47EA-9F3B-DB46B989A758}">
  <dimension ref="A1:B29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9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0.76923076923076927</v>
      </c>
    </row>
    <row r="16" spans="1:2" x14ac:dyDescent="0.2">
      <c r="A16" s="2" t="s">
        <v>12</v>
      </c>
      <c r="B16" s="3">
        <f t="shared" si="0"/>
        <v>0.61538461538461542</v>
      </c>
    </row>
    <row r="17" spans="1:2" x14ac:dyDescent="0.2">
      <c r="A17" s="2" t="s">
        <v>13</v>
      </c>
      <c r="B17" s="3">
        <f t="shared" si="0"/>
        <v>0.6</v>
      </c>
    </row>
    <row r="18" spans="1:2" x14ac:dyDescent="0.2">
      <c r="A18" s="2" t="s">
        <v>14</v>
      </c>
      <c r="B18" s="3">
        <f t="shared" si="0"/>
        <v>0.4</v>
      </c>
    </row>
    <row r="19" spans="1:2" x14ac:dyDescent="0.2">
      <c r="A19" s="2" t="s">
        <v>15</v>
      </c>
      <c r="B19" s="3">
        <f t="shared" si="0"/>
        <v>0.30769230769230771</v>
      </c>
    </row>
    <row r="20" spans="1:2" x14ac:dyDescent="0.2">
      <c r="A20" s="2" t="s">
        <v>16</v>
      </c>
      <c r="B20" s="3">
        <f t="shared" si="0"/>
        <v>0.2</v>
      </c>
    </row>
    <row r="21" spans="1:2" x14ac:dyDescent="0.2">
      <c r="A21" s="2" t="s">
        <v>17</v>
      </c>
      <c r="B21" s="3">
        <f t="shared" si="0"/>
        <v>0.15384615384615385</v>
      </c>
    </row>
    <row r="22" spans="1:2" x14ac:dyDescent="0.2">
      <c r="A22" s="2" t="s">
        <v>18</v>
      </c>
      <c r="B22" s="3">
        <f t="shared" si="0"/>
        <v>0.1</v>
      </c>
    </row>
    <row r="23" spans="1:2" x14ac:dyDescent="0.2">
      <c r="A23" s="2" t="s">
        <v>19</v>
      </c>
      <c r="B23" s="3">
        <f t="shared" si="0"/>
        <v>4.6153846153846156E-2</v>
      </c>
    </row>
    <row r="24" spans="1:2" x14ac:dyDescent="0.2">
      <c r="A24" s="2" t="s">
        <v>20</v>
      </c>
      <c r="B24" s="3">
        <f t="shared" si="0"/>
        <v>3.8461538461538464E-2</v>
      </c>
    </row>
    <row r="25" spans="1:2" x14ac:dyDescent="0.2">
      <c r="A25" s="2" t="s">
        <v>21</v>
      </c>
      <c r="B25" s="3">
        <f t="shared" si="0"/>
        <v>2.3076923076923078E-2</v>
      </c>
    </row>
    <row r="26" spans="1:2" x14ac:dyDescent="0.2">
      <c r="A26" s="2" t="s">
        <v>22</v>
      </c>
      <c r="B26" s="3">
        <f t="shared" si="0"/>
        <v>1.5384615384615385E-2</v>
      </c>
    </row>
    <row r="27" spans="1:2" x14ac:dyDescent="0.2">
      <c r="A27" s="2" t="s">
        <v>23</v>
      </c>
      <c r="B27" s="3">
        <f t="shared" si="0"/>
        <v>1.1538461538461539E-2</v>
      </c>
    </row>
    <row r="28" spans="1:2" x14ac:dyDescent="0.2">
      <c r="A28" s="2" t="s">
        <v>24</v>
      </c>
      <c r="B28" s="3">
        <f t="shared" si="0"/>
        <v>7.6923076923076927E-3</v>
      </c>
    </row>
    <row r="29" spans="1:2" x14ac:dyDescent="0.2">
      <c r="A29" s="6" t="s">
        <v>25</v>
      </c>
      <c r="B29" s="7">
        <f t="shared" si="0"/>
        <v>3.8461538461538464E-3</v>
      </c>
    </row>
  </sheetData>
  <sheetProtection algorithmName="SHA-512" hashValue="gWsfKug5eGUPpBgZ2eBiBloEBvGL9c1lQfYUtR6ZNEQ8CgI5dQXlxTJ8izDss+NkgrRzDJRgTNSxwwnLkcX3vA==" saltValue="FZFJl0SqGi/JfoaIGOR3WA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D755-3A9D-483F-913E-5D28C8D4340E}">
  <dimension ref="A1:L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F.2.7: ",tabeltype," additioneel werk")</f>
        <v>Bijlage F.2.7: Invultabel additioneel werk</v>
      </c>
    </row>
    <row r="3" spans="1:12" ht="38.25" x14ac:dyDescent="0.2">
      <c r="A3" s="30" t="s">
        <v>405</v>
      </c>
      <c r="B3" s="30" t="s">
        <v>7</v>
      </c>
      <c r="C3" s="30" t="s">
        <v>406</v>
      </c>
      <c r="D3" s="30" t="s">
        <v>95</v>
      </c>
      <c r="E3" s="30" t="s">
        <v>98</v>
      </c>
      <c r="F3" s="30" t="s">
        <v>407</v>
      </c>
      <c r="G3" s="30" t="s">
        <v>408</v>
      </c>
      <c r="H3" s="30" t="s">
        <v>409</v>
      </c>
      <c r="I3" s="30" t="s">
        <v>410</v>
      </c>
      <c r="J3" s="30" t="s">
        <v>411</v>
      </c>
      <c r="K3" s="30" t="s">
        <v>169</v>
      </c>
      <c r="L3" s="30" t="s">
        <v>384</v>
      </c>
    </row>
    <row r="4" spans="1:12" x14ac:dyDescent="0.2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</row>
    <row r="5" spans="1:12" x14ac:dyDescent="0.2">
      <c r="A5" s="34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12" x14ac:dyDescent="0.2">
      <c r="A6" s="100" t="s">
        <v>412</v>
      </c>
      <c r="B6" s="100" t="s">
        <v>25</v>
      </c>
      <c r="C6" s="113">
        <f>IF(ISBLANK(B6),0,IF(ISERROR(VALUE(B6)),VLOOKUP(B6,dagsoorttabel1,2,FALSE)*dagenperjaar1,VALUE(B6)))</f>
        <v>1</v>
      </c>
      <c r="D6" s="100" t="s">
        <v>413</v>
      </c>
      <c r="E6" s="100" t="s">
        <v>414</v>
      </c>
      <c r="F6" s="114">
        <v>4387.6799999999994</v>
      </c>
      <c r="G6" s="101">
        <f>Tariefopbouw4</f>
        <v>0</v>
      </c>
      <c r="H6" s="115"/>
      <c r="I6" s="68"/>
      <c r="J6" s="101">
        <f>IF(ISBLANK(H6),0,F6 / ROUND(H6,4) * ROUND(G6,2))</f>
        <v>0</v>
      </c>
      <c r="K6" s="101">
        <f>C6*J6</f>
        <v>0</v>
      </c>
      <c r="L6" s="101">
        <f>K6/12</f>
        <v>0</v>
      </c>
    </row>
    <row r="7" spans="1:12" x14ac:dyDescent="0.2">
      <c r="A7" s="65" t="s">
        <v>199</v>
      </c>
      <c r="B7" s="66"/>
      <c r="C7" s="66"/>
      <c r="D7" s="66"/>
      <c r="E7" s="66"/>
      <c r="F7" s="66"/>
      <c r="G7" s="66"/>
      <c r="H7" s="66"/>
      <c r="I7" s="66"/>
      <c r="J7" s="66"/>
      <c r="K7" s="68">
        <f>SUM(K6:K6)</f>
        <v>0</v>
      </c>
      <c r="L7" s="116">
        <f>K7/12</f>
        <v>0</v>
      </c>
    </row>
    <row r="9" spans="1:12" x14ac:dyDescent="0.2">
      <c r="A9" s="65" t="s">
        <v>415</v>
      </c>
      <c r="B9" s="66"/>
      <c r="C9" s="66"/>
      <c r="D9" s="66"/>
      <c r="E9" s="66"/>
      <c r="F9" s="66"/>
      <c r="G9" s="66"/>
      <c r="H9" s="66"/>
      <c r="I9" s="66"/>
      <c r="J9" s="66"/>
      <c r="K9" s="68">
        <f>prijsjaaradditioneel1</f>
        <v>0</v>
      </c>
      <c r="L9" s="116">
        <f>K9/12</f>
        <v>0</v>
      </c>
    </row>
  </sheetData>
  <sheetProtection algorithmName="SHA-512" hashValue="FbmvGrKAOujjyAE0s85r4Xy+3K6ZWVKkiF+LMZg9PVYgTyaiGMvAau009Y7suoyX15lWMG7oaWf7o3s9iKghMQ==" saltValue="ix8yJhAp+5oY0s3tQIEXs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FFB6F-F46B-4943-9428-B119A4500E0E}">
  <dimension ref="A1:M55"/>
  <sheetViews>
    <sheetView workbookViewId="0">
      <selection activeCell="K6" sqref="K6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F.2.8: ",tabeltype," additioneel werk per kp/loc")</f>
        <v>Bijlage F.2.8: Invultabel additioneel werk per kp/loc</v>
      </c>
    </row>
    <row r="3" spans="1:13" ht="38.25" x14ac:dyDescent="0.2">
      <c r="A3" s="30" t="s">
        <v>405</v>
      </c>
      <c r="B3" s="30" t="s">
        <v>7</v>
      </c>
      <c r="C3" s="30" t="s">
        <v>406</v>
      </c>
      <c r="D3" s="30" t="s">
        <v>355</v>
      </c>
      <c r="E3" s="30" t="s">
        <v>95</v>
      </c>
      <c r="F3" s="30" t="s">
        <v>98</v>
      </c>
      <c r="G3" s="30" t="s">
        <v>407</v>
      </c>
      <c r="H3" s="30" t="s">
        <v>408</v>
      </c>
      <c r="I3" s="30" t="s">
        <v>409</v>
      </c>
      <c r="J3" s="30" t="s">
        <v>410</v>
      </c>
      <c r="K3" s="30" t="s">
        <v>411</v>
      </c>
      <c r="L3" s="30" t="s">
        <v>169</v>
      </c>
      <c r="M3" s="30" t="s">
        <v>384</v>
      </c>
    </row>
    <row r="5" spans="1:13" x14ac:dyDescent="0.2">
      <c r="A5" s="70" t="s">
        <v>416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117"/>
    </row>
    <row r="6" spans="1:13" x14ac:dyDescent="0.2">
      <c r="A6" s="100" t="s">
        <v>412</v>
      </c>
      <c r="B6" s="100" t="s">
        <v>25</v>
      </c>
      <c r="C6" s="113">
        <f>IF(ISBLANK(B6),0,IF(ISERROR(VALUE(B6)),VLOOKUP(B6,dagsoorttabel1,2,FALSE)*dagenperjaar1,VALUE(B6)))</f>
        <v>1</v>
      </c>
      <c r="D6" s="100" t="s">
        <v>375</v>
      </c>
      <c r="E6" s="100" t="s">
        <v>413</v>
      </c>
      <c r="F6" s="100" t="s">
        <v>414</v>
      </c>
      <c r="G6" s="114">
        <v>263</v>
      </c>
      <c r="H6" s="101">
        <f>'Additioneel werk'!G6</f>
        <v>0</v>
      </c>
      <c r="I6" s="118">
        <f>'Additioneel werk'!H6</f>
        <v>0</v>
      </c>
      <c r="J6" s="68"/>
      <c r="K6" s="101" t="e">
        <f>IF(ISBLANK(I6),0,G6 / ROUND(I6,4) * ROUND(H6,2))</f>
        <v>#DIV/0!</v>
      </c>
      <c r="L6" s="101" t="e">
        <f>C6*K6</f>
        <v>#DIV/0!</v>
      </c>
      <c r="M6" s="101" t="e">
        <f>L6/12</f>
        <v>#DIV/0!</v>
      </c>
    </row>
    <row r="7" spans="1:13" x14ac:dyDescent="0.2">
      <c r="A7" s="65" t="s">
        <v>417</v>
      </c>
      <c r="B7" s="66"/>
      <c r="C7" s="66"/>
      <c r="D7" s="66"/>
      <c r="E7" s="66"/>
      <c r="F7" s="66"/>
      <c r="G7" s="66"/>
      <c r="H7" s="66"/>
      <c r="I7" s="66"/>
      <c r="J7" s="66"/>
      <c r="K7" s="68" t="e">
        <f>SUM(K6:K6)</f>
        <v>#DIV/0!</v>
      </c>
      <c r="L7" s="68" t="e">
        <f>SUM(L6:L6)</f>
        <v>#DIV/0!</v>
      </c>
      <c r="M7" s="116" t="e">
        <f>L7/12</f>
        <v>#DIV/0!</v>
      </c>
    </row>
    <row r="9" spans="1:13" x14ac:dyDescent="0.2">
      <c r="A9" s="70" t="s">
        <v>418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117"/>
    </row>
    <row r="10" spans="1:13" x14ac:dyDescent="0.2">
      <c r="A10" s="100" t="s">
        <v>412</v>
      </c>
      <c r="B10" s="100" t="s">
        <v>25</v>
      </c>
      <c r="C10" s="113">
        <f>IF(ISBLANK(B10),0,IF(ISERROR(VALUE(B10)),VLOOKUP(B10,dagsoorttabel1,2,FALSE)*dagenperjaar1,VALUE(B10)))</f>
        <v>1</v>
      </c>
      <c r="D10" s="100" t="s">
        <v>375</v>
      </c>
      <c r="E10" s="100" t="s">
        <v>413</v>
      </c>
      <c r="F10" s="100" t="s">
        <v>414</v>
      </c>
      <c r="G10" s="114">
        <v>1120.4699999999998</v>
      </c>
      <c r="H10" s="101">
        <f>'Additioneel werk'!G6</f>
        <v>0</v>
      </c>
      <c r="I10" s="118">
        <f>'Additioneel werk'!H6</f>
        <v>0</v>
      </c>
      <c r="J10" s="68"/>
      <c r="K10" s="101" t="e">
        <f>IF(ISBLANK(I10),0,G10 / ROUND(I10,4) * ROUND(H10,2))</f>
        <v>#DIV/0!</v>
      </c>
      <c r="L10" s="101" t="e">
        <f>C10*K10</f>
        <v>#DIV/0!</v>
      </c>
      <c r="M10" s="101" t="e">
        <f>L10/12</f>
        <v>#DIV/0!</v>
      </c>
    </row>
    <row r="11" spans="1:13" x14ac:dyDescent="0.2">
      <c r="A11" s="65" t="s">
        <v>419</v>
      </c>
      <c r="B11" s="66"/>
      <c r="C11" s="66"/>
      <c r="D11" s="66"/>
      <c r="E11" s="66"/>
      <c r="F11" s="66"/>
      <c r="G11" s="66"/>
      <c r="H11" s="66"/>
      <c r="I11" s="66"/>
      <c r="J11" s="66"/>
      <c r="K11" s="68" t="e">
        <f>SUM(K10:K10)</f>
        <v>#DIV/0!</v>
      </c>
      <c r="L11" s="68" t="e">
        <f>SUM(L10:L10)</f>
        <v>#DIV/0!</v>
      </c>
      <c r="M11" s="116" t="e">
        <f>L11/12</f>
        <v>#DIV/0!</v>
      </c>
    </row>
    <row r="13" spans="1:13" x14ac:dyDescent="0.2">
      <c r="A13" s="70" t="s">
        <v>420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117"/>
    </row>
    <row r="14" spans="1:13" x14ac:dyDescent="0.2">
      <c r="A14" s="100" t="s">
        <v>412</v>
      </c>
      <c r="B14" s="100" t="s">
        <v>25</v>
      </c>
      <c r="C14" s="113">
        <f>IF(ISBLANK(B14),0,IF(ISERROR(VALUE(B14)),VLOOKUP(B14,dagsoorttabel1,2,FALSE)*dagenperjaar1,VALUE(B14)))</f>
        <v>1</v>
      </c>
      <c r="D14" s="100" t="s">
        <v>375</v>
      </c>
      <c r="E14" s="100" t="s">
        <v>413</v>
      </c>
      <c r="F14" s="100" t="s">
        <v>414</v>
      </c>
      <c r="G14" s="114">
        <v>65</v>
      </c>
      <c r="H14" s="101">
        <f>'Additioneel werk'!G6</f>
        <v>0</v>
      </c>
      <c r="I14" s="118">
        <f>'Additioneel werk'!H6</f>
        <v>0</v>
      </c>
      <c r="J14" s="68"/>
      <c r="K14" s="101" t="e">
        <f>IF(ISBLANK(I14),0,G14 / ROUND(I14,4) * ROUND(H14,2))</f>
        <v>#DIV/0!</v>
      </c>
      <c r="L14" s="101" t="e">
        <f>C14*K14</f>
        <v>#DIV/0!</v>
      </c>
      <c r="M14" s="101" t="e">
        <f>L14/12</f>
        <v>#DIV/0!</v>
      </c>
    </row>
    <row r="15" spans="1:13" x14ac:dyDescent="0.2">
      <c r="A15" s="65" t="s">
        <v>421</v>
      </c>
      <c r="B15" s="66"/>
      <c r="C15" s="66"/>
      <c r="D15" s="66"/>
      <c r="E15" s="66"/>
      <c r="F15" s="66"/>
      <c r="G15" s="66"/>
      <c r="H15" s="66"/>
      <c r="I15" s="66"/>
      <c r="J15" s="66"/>
      <c r="K15" s="68" t="e">
        <f>SUM(K14:K14)</f>
        <v>#DIV/0!</v>
      </c>
      <c r="L15" s="68" t="e">
        <f>SUM(L14:L14)</f>
        <v>#DIV/0!</v>
      </c>
      <c r="M15" s="116" t="e">
        <f>L15/12</f>
        <v>#DIV/0!</v>
      </c>
    </row>
    <row r="17" spans="1:13" x14ac:dyDescent="0.2">
      <c r="A17" s="70" t="s">
        <v>422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117"/>
    </row>
    <row r="18" spans="1:13" x14ac:dyDescent="0.2">
      <c r="A18" s="100" t="s">
        <v>412</v>
      </c>
      <c r="B18" s="100" t="s">
        <v>25</v>
      </c>
      <c r="C18" s="113">
        <f>IF(ISBLANK(B18),0,IF(ISERROR(VALUE(B18)),VLOOKUP(B18,dagsoorttabel1,2,FALSE)*dagenperjaar1,VALUE(B18)))</f>
        <v>1</v>
      </c>
      <c r="D18" s="100" t="s">
        <v>375</v>
      </c>
      <c r="E18" s="100" t="s">
        <v>413</v>
      </c>
      <c r="F18" s="100" t="s">
        <v>414</v>
      </c>
      <c r="G18" s="114">
        <v>665.2299999999999</v>
      </c>
      <c r="H18" s="101">
        <f>'Additioneel werk'!G6</f>
        <v>0</v>
      </c>
      <c r="I18" s="118">
        <f>'Additioneel werk'!H6</f>
        <v>0</v>
      </c>
      <c r="J18" s="68"/>
      <c r="K18" s="101" t="e">
        <f>IF(ISBLANK(I18),0,G18 / ROUND(I18,4) * ROUND(H18,2))</f>
        <v>#DIV/0!</v>
      </c>
      <c r="L18" s="101" t="e">
        <f>C18*K18</f>
        <v>#DIV/0!</v>
      </c>
      <c r="M18" s="101" t="e">
        <f>L18/12</f>
        <v>#DIV/0!</v>
      </c>
    </row>
    <row r="19" spans="1:13" x14ac:dyDescent="0.2">
      <c r="A19" s="65" t="s">
        <v>423</v>
      </c>
      <c r="B19" s="66"/>
      <c r="C19" s="66"/>
      <c r="D19" s="66"/>
      <c r="E19" s="66"/>
      <c r="F19" s="66"/>
      <c r="G19" s="66"/>
      <c r="H19" s="66"/>
      <c r="I19" s="66"/>
      <c r="J19" s="66"/>
      <c r="K19" s="68" t="e">
        <f>SUM(K18:K18)</f>
        <v>#DIV/0!</v>
      </c>
      <c r="L19" s="68" t="e">
        <f>SUM(L18:L18)</f>
        <v>#DIV/0!</v>
      </c>
      <c r="M19" s="116" t="e">
        <f>L19/12</f>
        <v>#DIV/0!</v>
      </c>
    </row>
    <row r="21" spans="1:13" x14ac:dyDescent="0.2">
      <c r="A21" s="70" t="s">
        <v>424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117"/>
    </row>
    <row r="22" spans="1:13" x14ac:dyDescent="0.2">
      <c r="A22" s="100" t="s">
        <v>412</v>
      </c>
      <c r="B22" s="100" t="s">
        <v>25</v>
      </c>
      <c r="C22" s="113">
        <f>IF(ISBLANK(B22),0,IF(ISERROR(VALUE(B22)),VLOOKUP(B22,dagsoorttabel1,2,FALSE)*dagenperjaar1,VALUE(B22)))</f>
        <v>1</v>
      </c>
      <c r="D22" s="100" t="s">
        <v>375</v>
      </c>
      <c r="E22" s="100" t="s">
        <v>413</v>
      </c>
      <c r="F22" s="100" t="s">
        <v>414</v>
      </c>
      <c r="G22" s="114">
        <v>112.4</v>
      </c>
      <c r="H22" s="101">
        <f>'Additioneel werk'!G6</f>
        <v>0</v>
      </c>
      <c r="I22" s="118">
        <f>'Additioneel werk'!H6</f>
        <v>0</v>
      </c>
      <c r="J22" s="68"/>
      <c r="K22" s="101" t="e">
        <f>IF(ISBLANK(I22),0,G22 / ROUND(I22,4) * ROUND(H22,2))</f>
        <v>#DIV/0!</v>
      </c>
      <c r="L22" s="101" t="e">
        <f>C22*K22</f>
        <v>#DIV/0!</v>
      </c>
      <c r="M22" s="101" t="e">
        <f>L22/12</f>
        <v>#DIV/0!</v>
      </c>
    </row>
    <row r="23" spans="1:13" x14ac:dyDescent="0.2">
      <c r="A23" s="65" t="s">
        <v>425</v>
      </c>
      <c r="B23" s="66"/>
      <c r="C23" s="66"/>
      <c r="D23" s="66"/>
      <c r="E23" s="66"/>
      <c r="F23" s="66"/>
      <c r="G23" s="66"/>
      <c r="H23" s="66"/>
      <c r="I23" s="66"/>
      <c r="J23" s="66"/>
      <c r="K23" s="68" t="e">
        <f>SUM(K22:K22)</f>
        <v>#DIV/0!</v>
      </c>
      <c r="L23" s="68" t="e">
        <f>SUM(L22:L22)</f>
        <v>#DIV/0!</v>
      </c>
      <c r="M23" s="116" t="e">
        <f>L23/12</f>
        <v>#DIV/0!</v>
      </c>
    </row>
    <row r="25" spans="1:13" x14ac:dyDescent="0.2">
      <c r="A25" s="70" t="s">
        <v>426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117"/>
    </row>
    <row r="26" spans="1:13" x14ac:dyDescent="0.2">
      <c r="A26" s="100" t="s">
        <v>412</v>
      </c>
      <c r="B26" s="100" t="s">
        <v>25</v>
      </c>
      <c r="C26" s="113">
        <f>IF(ISBLANK(B26),0,IF(ISERROR(VALUE(B26)),VLOOKUP(B26,dagsoorttabel1,2,FALSE)*dagenperjaar1,VALUE(B26)))</f>
        <v>1</v>
      </c>
      <c r="D26" s="100" t="s">
        <v>375</v>
      </c>
      <c r="E26" s="100" t="s">
        <v>413</v>
      </c>
      <c r="F26" s="100" t="s">
        <v>414</v>
      </c>
      <c r="G26" s="114">
        <v>426.54</v>
      </c>
      <c r="H26" s="101">
        <f>'Additioneel werk'!G6</f>
        <v>0</v>
      </c>
      <c r="I26" s="118">
        <f>'Additioneel werk'!H6</f>
        <v>0</v>
      </c>
      <c r="J26" s="68"/>
      <c r="K26" s="101" t="e">
        <f>IF(ISBLANK(I26),0,G26 / ROUND(I26,4) * ROUND(H26,2))</f>
        <v>#DIV/0!</v>
      </c>
      <c r="L26" s="101" t="e">
        <f>C26*K26</f>
        <v>#DIV/0!</v>
      </c>
      <c r="M26" s="101" t="e">
        <f>L26/12</f>
        <v>#DIV/0!</v>
      </c>
    </row>
    <row r="27" spans="1:13" x14ac:dyDescent="0.2">
      <c r="A27" s="65" t="s">
        <v>427</v>
      </c>
      <c r="B27" s="66"/>
      <c r="C27" s="66"/>
      <c r="D27" s="66"/>
      <c r="E27" s="66"/>
      <c r="F27" s="66"/>
      <c r="G27" s="66"/>
      <c r="H27" s="66"/>
      <c r="I27" s="66"/>
      <c r="J27" s="66"/>
      <c r="K27" s="68" t="e">
        <f>SUM(K26:K26)</f>
        <v>#DIV/0!</v>
      </c>
      <c r="L27" s="68" t="e">
        <f>SUM(L26:L26)</f>
        <v>#DIV/0!</v>
      </c>
      <c r="M27" s="116" t="e">
        <f>L27/12</f>
        <v>#DIV/0!</v>
      </c>
    </row>
    <row r="29" spans="1:13" x14ac:dyDescent="0.2">
      <c r="A29" s="70" t="s">
        <v>428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117"/>
    </row>
    <row r="30" spans="1:13" x14ac:dyDescent="0.2">
      <c r="A30" s="100" t="s">
        <v>412</v>
      </c>
      <c r="B30" s="100" t="s">
        <v>25</v>
      </c>
      <c r="C30" s="113">
        <f>IF(ISBLANK(B30),0,IF(ISERROR(VALUE(B30)),VLOOKUP(B30,dagsoorttabel1,2,FALSE)*dagenperjaar1,VALUE(B30)))</f>
        <v>1</v>
      </c>
      <c r="D30" s="100" t="s">
        <v>375</v>
      </c>
      <c r="E30" s="100" t="s">
        <v>413</v>
      </c>
      <c r="F30" s="100" t="s">
        <v>414</v>
      </c>
      <c r="G30" s="114">
        <v>71</v>
      </c>
      <c r="H30" s="101">
        <f>'Additioneel werk'!G6</f>
        <v>0</v>
      </c>
      <c r="I30" s="118">
        <f>'Additioneel werk'!H6</f>
        <v>0</v>
      </c>
      <c r="J30" s="68"/>
      <c r="K30" s="101" t="e">
        <f>IF(ISBLANK(I30),0,G30 / ROUND(I30,4) * ROUND(H30,2))</f>
        <v>#DIV/0!</v>
      </c>
      <c r="L30" s="101" t="e">
        <f>C30*K30</f>
        <v>#DIV/0!</v>
      </c>
      <c r="M30" s="101" t="e">
        <f>L30/12</f>
        <v>#DIV/0!</v>
      </c>
    </row>
    <row r="31" spans="1:13" x14ac:dyDescent="0.2">
      <c r="A31" s="65" t="s">
        <v>429</v>
      </c>
      <c r="B31" s="66"/>
      <c r="C31" s="66"/>
      <c r="D31" s="66"/>
      <c r="E31" s="66"/>
      <c r="F31" s="66"/>
      <c r="G31" s="66"/>
      <c r="H31" s="66"/>
      <c r="I31" s="66"/>
      <c r="J31" s="66"/>
      <c r="K31" s="68" t="e">
        <f>SUM(K30:K30)</f>
        <v>#DIV/0!</v>
      </c>
      <c r="L31" s="68" t="e">
        <f>SUM(L30:L30)</f>
        <v>#DIV/0!</v>
      </c>
      <c r="M31" s="116" t="e">
        <f>L31/12</f>
        <v>#DIV/0!</v>
      </c>
    </row>
    <row r="33" spans="1:13" x14ac:dyDescent="0.2">
      <c r="A33" s="70" t="s">
        <v>430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117"/>
    </row>
    <row r="34" spans="1:13" x14ac:dyDescent="0.2">
      <c r="A34" s="100" t="s">
        <v>412</v>
      </c>
      <c r="B34" s="100" t="s">
        <v>25</v>
      </c>
      <c r="C34" s="113">
        <f>IF(ISBLANK(B34),0,IF(ISERROR(VALUE(B34)),VLOOKUP(B34,dagsoorttabel1,2,FALSE)*dagenperjaar1,VALUE(B34)))</f>
        <v>1</v>
      </c>
      <c r="D34" s="100" t="s">
        <v>375</v>
      </c>
      <c r="E34" s="100" t="s">
        <v>413</v>
      </c>
      <c r="F34" s="100" t="s">
        <v>414</v>
      </c>
      <c r="G34" s="114">
        <v>363.63</v>
      </c>
      <c r="H34" s="101">
        <f>'Additioneel werk'!G6</f>
        <v>0</v>
      </c>
      <c r="I34" s="118">
        <f>'Additioneel werk'!H6</f>
        <v>0</v>
      </c>
      <c r="J34" s="68"/>
      <c r="K34" s="101" t="e">
        <f>IF(ISBLANK(I34),0,G34 / ROUND(I34,4) * ROUND(H34,2))</f>
        <v>#DIV/0!</v>
      </c>
      <c r="L34" s="101" t="e">
        <f>C34*K34</f>
        <v>#DIV/0!</v>
      </c>
      <c r="M34" s="101" t="e">
        <f>L34/12</f>
        <v>#DIV/0!</v>
      </c>
    </row>
    <row r="35" spans="1:13" x14ac:dyDescent="0.2">
      <c r="A35" s="65" t="s">
        <v>431</v>
      </c>
      <c r="B35" s="66"/>
      <c r="C35" s="66"/>
      <c r="D35" s="66"/>
      <c r="E35" s="66"/>
      <c r="F35" s="66"/>
      <c r="G35" s="66"/>
      <c r="H35" s="66"/>
      <c r="I35" s="66"/>
      <c r="J35" s="66"/>
      <c r="K35" s="68" t="e">
        <f>SUM(K34:K34)</f>
        <v>#DIV/0!</v>
      </c>
      <c r="L35" s="68" t="e">
        <f>SUM(L34:L34)</f>
        <v>#DIV/0!</v>
      </c>
      <c r="M35" s="116" t="e">
        <f>L35/12</f>
        <v>#DIV/0!</v>
      </c>
    </row>
    <row r="37" spans="1:13" x14ac:dyDescent="0.2">
      <c r="A37" s="70" t="s">
        <v>432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117"/>
    </row>
    <row r="38" spans="1:13" x14ac:dyDescent="0.2">
      <c r="A38" s="100" t="s">
        <v>412</v>
      </c>
      <c r="B38" s="100" t="s">
        <v>25</v>
      </c>
      <c r="C38" s="113">
        <f>IF(ISBLANK(B38),0,IF(ISERROR(VALUE(B38)),VLOOKUP(B38,dagsoorttabel1,2,FALSE)*dagenperjaar1,VALUE(B38)))</f>
        <v>1</v>
      </c>
      <c r="D38" s="100" t="s">
        <v>375</v>
      </c>
      <c r="E38" s="100" t="s">
        <v>413</v>
      </c>
      <c r="F38" s="100" t="s">
        <v>414</v>
      </c>
      <c r="G38" s="114">
        <v>52.78</v>
      </c>
      <c r="H38" s="101">
        <f>'Additioneel werk'!G6</f>
        <v>0</v>
      </c>
      <c r="I38" s="118">
        <f>'Additioneel werk'!H6</f>
        <v>0</v>
      </c>
      <c r="J38" s="68"/>
      <c r="K38" s="101" t="e">
        <f>IF(ISBLANK(I38),0,G38 / ROUND(I38,4) * ROUND(H38,2))</f>
        <v>#DIV/0!</v>
      </c>
      <c r="L38" s="101" t="e">
        <f>C38*K38</f>
        <v>#DIV/0!</v>
      </c>
      <c r="M38" s="101" t="e">
        <f>L38/12</f>
        <v>#DIV/0!</v>
      </c>
    </row>
    <row r="39" spans="1:13" x14ac:dyDescent="0.2">
      <c r="A39" s="65" t="s">
        <v>433</v>
      </c>
      <c r="B39" s="66"/>
      <c r="C39" s="66"/>
      <c r="D39" s="66"/>
      <c r="E39" s="66"/>
      <c r="F39" s="66"/>
      <c r="G39" s="66"/>
      <c r="H39" s="66"/>
      <c r="I39" s="66"/>
      <c r="J39" s="66"/>
      <c r="K39" s="68" t="e">
        <f>SUM(K38:K38)</f>
        <v>#DIV/0!</v>
      </c>
      <c r="L39" s="68" t="e">
        <f>SUM(L38:L38)</f>
        <v>#DIV/0!</v>
      </c>
      <c r="M39" s="116" t="e">
        <f>L39/12</f>
        <v>#DIV/0!</v>
      </c>
    </row>
    <row r="41" spans="1:13" x14ac:dyDescent="0.2">
      <c r="A41" s="70" t="s">
        <v>434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117"/>
    </row>
    <row r="42" spans="1:13" x14ac:dyDescent="0.2">
      <c r="A42" s="100" t="s">
        <v>412</v>
      </c>
      <c r="B42" s="100" t="s">
        <v>25</v>
      </c>
      <c r="C42" s="113">
        <f>IF(ISBLANK(B42),0,IF(ISERROR(VALUE(B42)),VLOOKUP(B42,dagsoorttabel1,2,FALSE)*dagenperjaar1,VALUE(B42)))</f>
        <v>1</v>
      </c>
      <c r="D42" s="100" t="s">
        <v>375</v>
      </c>
      <c r="E42" s="100" t="s">
        <v>413</v>
      </c>
      <c r="F42" s="100" t="s">
        <v>414</v>
      </c>
      <c r="G42" s="114">
        <v>779.85</v>
      </c>
      <c r="H42" s="101">
        <f>'Additioneel werk'!G6</f>
        <v>0</v>
      </c>
      <c r="I42" s="118">
        <f>'Additioneel werk'!H6</f>
        <v>0</v>
      </c>
      <c r="J42" s="68"/>
      <c r="K42" s="101" t="e">
        <f>IF(ISBLANK(I42),0,G42 / ROUND(I42,4) * ROUND(H42,2))</f>
        <v>#DIV/0!</v>
      </c>
      <c r="L42" s="101" t="e">
        <f>C42*K42</f>
        <v>#DIV/0!</v>
      </c>
      <c r="M42" s="101" t="e">
        <f>L42/12</f>
        <v>#DIV/0!</v>
      </c>
    </row>
    <row r="43" spans="1:13" x14ac:dyDescent="0.2">
      <c r="A43" s="65" t="s">
        <v>435</v>
      </c>
      <c r="B43" s="66"/>
      <c r="C43" s="66"/>
      <c r="D43" s="66"/>
      <c r="E43" s="66"/>
      <c r="F43" s="66"/>
      <c r="G43" s="66"/>
      <c r="H43" s="66"/>
      <c r="I43" s="66"/>
      <c r="J43" s="66"/>
      <c r="K43" s="68" t="e">
        <f>SUM(K42:K42)</f>
        <v>#DIV/0!</v>
      </c>
      <c r="L43" s="68" t="e">
        <f>SUM(L42:L42)</f>
        <v>#DIV/0!</v>
      </c>
      <c r="M43" s="116" t="e">
        <f>L43/12</f>
        <v>#DIV/0!</v>
      </c>
    </row>
    <row r="45" spans="1:13" x14ac:dyDescent="0.2">
      <c r="A45" s="70" t="s">
        <v>436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117"/>
    </row>
    <row r="46" spans="1:13" x14ac:dyDescent="0.2">
      <c r="A46" s="100" t="s">
        <v>412</v>
      </c>
      <c r="B46" s="100" t="s">
        <v>25</v>
      </c>
      <c r="C46" s="113">
        <f>IF(ISBLANK(B46),0,IF(ISERROR(VALUE(B46)),VLOOKUP(B46,dagsoorttabel1,2,FALSE)*dagenperjaar1,VALUE(B46)))</f>
        <v>1</v>
      </c>
      <c r="D46" s="100" t="s">
        <v>375</v>
      </c>
      <c r="E46" s="100" t="s">
        <v>413</v>
      </c>
      <c r="F46" s="100" t="s">
        <v>414</v>
      </c>
      <c r="G46" s="114">
        <v>56</v>
      </c>
      <c r="H46" s="101">
        <f>'Additioneel werk'!G6</f>
        <v>0</v>
      </c>
      <c r="I46" s="118">
        <f>'Additioneel werk'!H6</f>
        <v>0</v>
      </c>
      <c r="J46" s="68"/>
      <c r="K46" s="101" t="e">
        <f>IF(ISBLANK(I46),0,G46 / ROUND(I46,4) * ROUND(H46,2))</f>
        <v>#DIV/0!</v>
      </c>
      <c r="L46" s="101" t="e">
        <f>C46*K46</f>
        <v>#DIV/0!</v>
      </c>
      <c r="M46" s="101" t="e">
        <f>L46/12</f>
        <v>#DIV/0!</v>
      </c>
    </row>
    <row r="47" spans="1:13" x14ac:dyDescent="0.2">
      <c r="A47" s="65" t="s">
        <v>437</v>
      </c>
      <c r="B47" s="66"/>
      <c r="C47" s="66"/>
      <c r="D47" s="66"/>
      <c r="E47" s="66"/>
      <c r="F47" s="66"/>
      <c r="G47" s="66"/>
      <c r="H47" s="66"/>
      <c r="I47" s="66"/>
      <c r="J47" s="66"/>
      <c r="K47" s="68" t="e">
        <f>SUM(K46:K46)</f>
        <v>#DIV/0!</v>
      </c>
      <c r="L47" s="68" t="e">
        <f>SUM(L46:L46)</f>
        <v>#DIV/0!</v>
      </c>
      <c r="M47" s="116" t="e">
        <f>L47/12</f>
        <v>#DIV/0!</v>
      </c>
    </row>
    <row r="49" spans="1:13" x14ac:dyDescent="0.2">
      <c r="A49" s="70" t="s">
        <v>438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117"/>
    </row>
    <row r="50" spans="1:13" x14ac:dyDescent="0.2">
      <c r="A50" s="100" t="s">
        <v>412</v>
      </c>
      <c r="B50" s="100" t="s">
        <v>25</v>
      </c>
      <c r="C50" s="113">
        <f>IF(ISBLANK(B50),0,IF(ISERROR(VALUE(B50)),VLOOKUP(B50,dagsoorttabel1,2,FALSE)*dagenperjaar1,VALUE(B50)))</f>
        <v>1</v>
      </c>
      <c r="D50" s="100" t="s">
        <v>375</v>
      </c>
      <c r="E50" s="100" t="s">
        <v>413</v>
      </c>
      <c r="F50" s="100" t="s">
        <v>414</v>
      </c>
      <c r="G50" s="114">
        <v>348.34999999999997</v>
      </c>
      <c r="H50" s="101">
        <f>'Additioneel werk'!G6</f>
        <v>0</v>
      </c>
      <c r="I50" s="118">
        <f>'Additioneel werk'!H6</f>
        <v>0</v>
      </c>
      <c r="J50" s="68"/>
      <c r="K50" s="101" t="e">
        <f>IF(ISBLANK(I50),0,G50 / ROUND(I50,4) * ROUND(H50,2))</f>
        <v>#DIV/0!</v>
      </c>
      <c r="L50" s="101" t="e">
        <f>C50*K50</f>
        <v>#DIV/0!</v>
      </c>
      <c r="M50" s="101" t="e">
        <f>L50/12</f>
        <v>#DIV/0!</v>
      </c>
    </row>
    <row r="51" spans="1:13" x14ac:dyDescent="0.2">
      <c r="A51" s="65" t="s">
        <v>439</v>
      </c>
      <c r="B51" s="66"/>
      <c r="C51" s="66"/>
      <c r="D51" s="66"/>
      <c r="E51" s="66"/>
      <c r="F51" s="66"/>
      <c r="G51" s="66"/>
      <c r="H51" s="66"/>
      <c r="I51" s="66"/>
      <c r="J51" s="66"/>
      <c r="K51" s="68" t="e">
        <f>SUM(K50:K50)</f>
        <v>#DIV/0!</v>
      </c>
      <c r="L51" s="68" t="e">
        <f>SUM(L50:L50)</f>
        <v>#DIV/0!</v>
      </c>
      <c r="M51" s="116" t="e">
        <f>L51/12</f>
        <v>#DIV/0!</v>
      </c>
    </row>
    <row r="53" spans="1:13" x14ac:dyDescent="0.2">
      <c r="A53" s="70" t="s">
        <v>440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117"/>
    </row>
    <row r="54" spans="1:13" x14ac:dyDescent="0.2">
      <c r="A54" s="100" t="s">
        <v>412</v>
      </c>
      <c r="B54" s="100" t="s">
        <v>25</v>
      </c>
      <c r="C54" s="113">
        <f>IF(ISBLANK(B54),0,IF(ISERROR(VALUE(B54)),VLOOKUP(B54,dagsoorttabel1,2,FALSE)*dagenperjaar1,VALUE(B54)))</f>
        <v>1</v>
      </c>
      <c r="D54" s="100" t="s">
        <v>375</v>
      </c>
      <c r="E54" s="100" t="s">
        <v>413</v>
      </c>
      <c r="F54" s="100" t="s">
        <v>414</v>
      </c>
      <c r="G54" s="114">
        <v>63.43</v>
      </c>
      <c r="H54" s="101">
        <f>'Additioneel werk'!G6</f>
        <v>0</v>
      </c>
      <c r="I54" s="118">
        <f>'Additioneel werk'!H6</f>
        <v>0</v>
      </c>
      <c r="J54" s="68"/>
      <c r="K54" s="101" t="e">
        <f>IF(ISBLANK(I54),0,G54 / ROUND(I54,4) * ROUND(H54,2))</f>
        <v>#DIV/0!</v>
      </c>
      <c r="L54" s="101" t="e">
        <f>C54*K54</f>
        <v>#DIV/0!</v>
      </c>
      <c r="M54" s="101" t="e">
        <f>L54/12</f>
        <v>#DIV/0!</v>
      </c>
    </row>
    <row r="55" spans="1:13" x14ac:dyDescent="0.2">
      <c r="A55" s="65" t="s">
        <v>441</v>
      </c>
      <c r="B55" s="66"/>
      <c r="C55" s="66"/>
      <c r="D55" s="66"/>
      <c r="E55" s="66"/>
      <c r="F55" s="66"/>
      <c r="G55" s="66"/>
      <c r="H55" s="66"/>
      <c r="I55" s="66"/>
      <c r="J55" s="66"/>
      <c r="K55" s="68" t="e">
        <f>SUM(K54:K54)</f>
        <v>#DIV/0!</v>
      </c>
      <c r="L55" s="68" t="e">
        <f>SUM(L54:L54)</f>
        <v>#DIV/0!</v>
      </c>
      <c r="M55" s="116" t="e">
        <f>L55/12</f>
        <v>#DIV/0!</v>
      </c>
    </row>
  </sheetData>
  <sheetProtection algorithmName="SHA-512" hashValue="/Do/LjU2yOfagtFE0NSsvjG4KKNcrUKTh2x2yIV9uZcw4fQhiSTKuvUaQky46PX9jAke3oqSBOeRlOhdM9jboQ==" saltValue="AGT4Nuhw8bG4RzR9NeE+/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4F1FD-ACB4-4DF8-B2ED-19F53D8C3DE8}">
  <dimension ref="A1:L9"/>
  <sheetViews>
    <sheetView workbookViewId="0">
      <selection activeCell="D14" sqref="D14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F.2.9: ",tabeltype," afroep")</f>
        <v>Bijlage F.2.9: Invultabel afroep</v>
      </c>
    </row>
    <row r="3" spans="1:12" ht="38.25" x14ac:dyDescent="0.2">
      <c r="A3" s="30" t="s">
        <v>405</v>
      </c>
      <c r="B3" s="30" t="s">
        <v>7</v>
      </c>
      <c r="C3" s="30" t="s">
        <v>406</v>
      </c>
      <c r="D3" s="30" t="s">
        <v>95</v>
      </c>
      <c r="E3" s="30" t="s">
        <v>98</v>
      </c>
      <c r="F3" s="30" t="s">
        <v>407</v>
      </c>
      <c r="G3" s="30" t="s">
        <v>408</v>
      </c>
      <c r="H3" s="30" t="s">
        <v>409</v>
      </c>
      <c r="I3" s="30" t="s">
        <v>410</v>
      </c>
      <c r="J3" s="30" t="s">
        <v>411</v>
      </c>
      <c r="K3" s="30" t="s">
        <v>169</v>
      </c>
      <c r="L3" s="30" t="s">
        <v>384</v>
      </c>
    </row>
    <row r="4" spans="1:12" x14ac:dyDescent="0.2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</row>
    <row r="5" spans="1:12" x14ac:dyDescent="0.2">
      <c r="A5" s="34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12" x14ac:dyDescent="0.2">
      <c r="A6" s="100" t="s">
        <v>442</v>
      </c>
      <c r="B6" s="100" t="s">
        <v>20</v>
      </c>
      <c r="C6" s="113">
        <f>IF(ISBLANK(B6),0,IF(ISERROR(VALUE(B6)),VLOOKUP(B6,dagsoorttabel1,2,FALSE)*dagenperjaar1,VALUE(B6)))</f>
        <v>10</v>
      </c>
      <c r="D6" s="100" t="s">
        <v>443</v>
      </c>
      <c r="E6" s="100" t="s">
        <v>444</v>
      </c>
      <c r="F6" s="114">
        <v>2</v>
      </c>
      <c r="G6" s="101">
        <f>Tariefopbouw2</f>
        <v>0</v>
      </c>
      <c r="H6" s="67"/>
      <c r="I6" s="101">
        <f>G6</f>
        <v>0</v>
      </c>
      <c r="J6" s="101">
        <f>IF(ISBLANK(F6),0,F6)*ROUND(I6,2)</f>
        <v>0</v>
      </c>
      <c r="K6" s="101">
        <f>C6*J6</f>
        <v>0</v>
      </c>
      <c r="L6" s="101">
        <f>K6/12</f>
        <v>0</v>
      </c>
    </row>
    <row r="7" spans="1:12" x14ac:dyDescent="0.2">
      <c r="A7" s="65" t="s">
        <v>199</v>
      </c>
      <c r="B7" s="66"/>
      <c r="C7" s="66"/>
      <c r="D7" s="66"/>
      <c r="E7" s="66"/>
      <c r="F7" s="66"/>
      <c r="G7" s="66"/>
      <c r="H7" s="66"/>
      <c r="I7" s="66"/>
      <c r="J7" s="66"/>
      <c r="K7" s="68">
        <f>SUM(K6:K6)</f>
        <v>0</v>
      </c>
      <c r="L7" s="116">
        <f>K7/12</f>
        <v>0</v>
      </c>
    </row>
    <row r="9" spans="1:12" x14ac:dyDescent="0.2">
      <c r="A9" s="65" t="s">
        <v>445</v>
      </c>
      <c r="B9" s="66"/>
      <c r="C9" s="66"/>
      <c r="D9" s="66"/>
      <c r="E9" s="66"/>
      <c r="F9" s="66"/>
      <c r="G9" s="66"/>
      <c r="H9" s="66"/>
      <c r="I9" s="66"/>
      <c r="J9" s="66"/>
      <c r="K9" s="68">
        <f>prijsjaarafroep1</f>
        <v>0</v>
      </c>
      <c r="L9" s="116">
        <f>K9/12</f>
        <v>0</v>
      </c>
    </row>
  </sheetData>
  <sheetProtection algorithmName="SHA-512" hashValue="j9+c+QfBnuLxXf115110N+OgBA8og1fpyDGBuOZMtJoMPsunhp3zdne/IZfPWpcUx+BhhFL/fFqy+5KU0twIZQ==" saltValue="S+/nJk8FBof1tdR3WLuB3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8F7D-3EE8-485D-AB51-9E41E0F0C0DF}">
  <dimension ref="A1:E94"/>
  <sheetViews>
    <sheetView tabSelected="1" topLeftCell="A32" workbookViewId="0">
      <selection activeCell="D18" sqref="D18"/>
    </sheetView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F.2.10: ",tabeltype," afroep incidenteel")</f>
        <v>Bijlage F.2.10: Invultabel afroep incidenteel</v>
      </c>
    </row>
    <row r="3" spans="1:5" ht="38.25" x14ac:dyDescent="0.2">
      <c r="A3" s="30" t="s">
        <v>405</v>
      </c>
      <c r="B3" s="30" t="s">
        <v>95</v>
      </c>
      <c r="C3" s="30" t="s">
        <v>98</v>
      </c>
      <c r="D3" s="30" t="s">
        <v>446</v>
      </c>
      <c r="E3" s="30" t="s">
        <v>410</v>
      </c>
    </row>
    <row r="4" spans="1:5" x14ac:dyDescent="0.2">
      <c r="A4" s="31"/>
      <c r="B4" s="32"/>
      <c r="C4" s="32"/>
      <c r="D4" s="32"/>
      <c r="E4" s="33"/>
    </row>
    <row r="5" spans="1:5" x14ac:dyDescent="0.2">
      <c r="A5" s="34" t="s">
        <v>100</v>
      </c>
      <c r="B5" s="35"/>
      <c r="C5" s="35"/>
      <c r="D5" s="35"/>
      <c r="E5" s="36"/>
    </row>
    <row r="6" spans="1:5" x14ac:dyDescent="0.2">
      <c r="A6" s="41" t="s">
        <v>447</v>
      </c>
      <c r="B6" s="41" t="s">
        <v>448</v>
      </c>
      <c r="C6" s="41" t="s">
        <v>449</v>
      </c>
      <c r="D6" s="41" t="s">
        <v>450</v>
      </c>
      <c r="E6" s="119"/>
    </row>
    <row r="7" spans="1:5" x14ac:dyDescent="0.2">
      <c r="A7" s="46" t="s">
        <v>451</v>
      </c>
      <c r="B7" s="46" t="s">
        <v>448</v>
      </c>
      <c r="C7" s="46" t="s">
        <v>449</v>
      </c>
      <c r="D7" s="46" t="s">
        <v>452</v>
      </c>
      <c r="E7" s="120"/>
    </row>
    <row r="8" spans="1:5" x14ac:dyDescent="0.2">
      <c r="A8" s="46" t="s">
        <v>453</v>
      </c>
      <c r="B8" s="46" t="s">
        <v>448</v>
      </c>
      <c r="C8" s="46" t="s">
        <v>449</v>
      </c>
      <c r="D8" s="46" t="s">
        <v>454</v>
      </c>
      <c r="E8" s="120"/>
    </row>
    <row r="9" spans="1:5" x14ac:dyDescent="0.2">
      <c r="A9" s="46" t="s">
        <v>455</v>
      </c>
      <c r="B9" s="46" t="s">
        <v>448</v>
      </c>
      <c r="C9" s="46" t="s">
        <v>449</v>
      </c>
      <c r="D9" s="46" t="s">
        <v>456</v>
      </c>
      <c r="E9" s="120"/>
    </row>
    <row r="10" spans="1:5" x14ac:dyDescent="0.2">
      <c r="A10" s="46" t="s">
        <v>457</v>
      </c>
      <c r="B10" s="46" t="s">
        <v>458</v>
      </c>
      <c r="C10" s="46" t="s">
        <v>449</v>
      </c>
      <c r="D10" s="46" t="s">
        <v>450</v>
      </c>
      <c r="E10" s="120"/>
    </row>
    <row r="11" spans="1:5" x14ac:dyDescent="0.2">
      <c r="A11" s="46" t="s">
        <v>459</v>
      </c>
      <c r="B11" s="46" t="s">
        <v>458</v>
      </c>
      <c r="C11" s="46" t="s">
        <v>449</v>
      </c>
      <c r="D11" s="46" t="s">
        <v>452</v>
      </c>
      <c r="E11" s="120"/>
    </row>
    <row r="12" spans="1:5" x14ac:dyDescent="0.2">
      <c r="A12" s="46" t="s">
        <v>460</v>
      </c>
      <c r="B12" s="46" t="s">
        <v>458</v>
      </c>
      <c r="C12" s="46" t="s">
        <v>449</v>
      </c>
      <c r="D12" s="46" t="s">
        <v>454</v>
      </c>
      <c r="E12" s="120"/>
    </row>
    <row r="13" spans="1:5" x14ac:dyDescent="0.2">
      <c r="A13" s="46" t="s">
        <v>461</v>
      </c>
      <c r="B13" s="46" t="s">
        <v>458</v>
      </c>
      <c r="C13" s="46" t="s">
        <v>449</v>
      </c>
      <c r="D13" s="46" t="s">
        <v>456</v>
      </c>
      <c r="E13" s="120"/>
    </row>
    <row r="14" spans="1:5" x14ac:dyDescent="0.2">
      <c r="A14" s="46" t="s">
        <v>462</v>
      </c>
      <c r="B14" s="46" t="s">
        <v>463</v>
      </c>
      <c r="C14" s="46" t="s">
        <v>449</v>
      </c>
      <c r="D14" s="46" t="s">
        <v>450</v>
      </c>
      <c r="E14" s="120"/>
    </row>
    <row r="15" spans="1:5" x14ac:dyDescent="0.2">
      <c r="A15" s="46" t="s">
        <v>464</v>
      </c>
      <c r="B15" s="46" t="s">
        <v>463</v>
      </c>
      <c r="C15" s="46" t="s">
        <v>449</v>
      </c>
      <c r="D15" s="46" t="s">
        <v>452</v>
      </c>
      <c r="E15" s="120"/>
    </row>
    <row r="16" spans="1:5" x14ac:dyDescent="0.2">
      <c r="A16" s="46" t="s">
        <v>465</v>
      </c>
      <c r="B16" s="46" t="s">
        <v>463</v>
      </c>
      <c r="C16" s="46" t="s">
        <v>449</v>
      </c>
      <c r="D16" s="46" t="s">
        <v>454</v>
      </c>
      <c r="E16" s="120"/>
    </row>
    <row r="17" spans="1:5" x14ac:dyDescent="0.2">
      <c r="A17" s="46" t="s">
        <v>466</v>
      </c>
      <c r="B17" s="46" t="s">
        <v>463</v>
      </c>
      <c r="C17" s="46" t="s">
        <v>449</v>
      </c>
      <c r="D17" s="46" t="s">
        <v>456</v>
      </c>
      <c r="E17" s="120"/>
    </row>
    <row r="18" spans="1:5" x14ac:dyDescent="0.2">
      <c r="A18" s="46" t="s">
        <v>467</v>
      </c>
      <c r="B18" s="46" t="s">
        <v>468</v>
      </c>
      <c r="C18" s="46" t="s">
        <v>469</v>
      </c>
      <c r="D18" s="46" t="s">
        <v>470</v>
      </c>
      <c r="E18" s="120"/>
    </row>
    <row r="19" spans="1:5" x14ac:dyDescent="0.2">
      <c r="A19" s="46" t="s">
        <v>471</v>
      </c>
      <c r="B19" s="46" t="s">
        <v>468</v>
      </c>
      <c r="C19" s="46" t="s">
        <v>469</v>
      </c>
      <c r="D19" s="46" t="s">
        <v>472</v>
      </c>
      <c r="E19" s="120"/>
    </row>
    <row r="20" spans="1:5" x14ac:dyDescent="0.2">
      <c r="A20" s="46" t="s">
        <v>473</v>
      </c>
      <c r="B20" s="46" t="s">
        <v>468</v>
      </c>
      <c r="C20" s="46" t="s">
        <v>469</v>
      </c>
      <c r="D20" s="46" t="s">
        <v>474</v>
      </c>
      <c r="E20" s="120"/>
    </row>
    <row r="21" spans="1:5" x14ac:dyDescent="0.2">
      <c r="A21" s="46" t="s">
        <v>475</v>
      </c>
      <c r="B21" s="46" t="s">
        <v>468</v>
      </c>
      <c r="C21" s="46" t="s">
        <v>469</v>
      </c>
      <c r="D21" s="46" t="s">
        <v>476</v>
      </c>
      <c r="E21" s="120"/>
    </row>
    <row r="22" spans="1:5" x14ac:dyDescent="0.2">
      <c r="A22" s="46" t="s">
        <v>477</v>
      </c>
      <c r="B22" s="46" t="s">
        <v>478</v>
      </c>
      <c r="C22" s="46" t="s">
        <v>469</v>
      </c>
      <c r="D22" s="46" t="s">
        <v>470</v>
      </c>
      <c r="E22" s="120"/>
    </row>
    <row r="23" spans="1:5" x14ac:dyDescent="0.2">
      <c r="A23" s="46" t="s">
        <v>479</v>
      </c>
      <c r="B23" s="46" t="s">
        <v>478</v>
      </c>
      <c r="C23" s="46" t="s">
        <v>469</v>
      </c>
      <c r="D23" s="46" t="s">
        <v>472</v>
      </c>
      <c r="E23" s="120"/>
    </row>
    <row r="24" spans="1:5" x14ac:dyDescent="0.2">
      <c r="A24" s="46" t="s">
        <v>480</v>
      </c>
      <c r="B24" s="46" t="s">
        <v>478</v>
      </c>
      <c r="C24" s="46" t="s">
        <v>469</v>
      </c>
      <c r="D24" s="46" t="s">
        <v>474</v>
      </c>
      <c r="E24" s="120"/>
    </row>
    <row r="25" spans="1:5" x14ac:dyDescent="0.2">
      <c r="A25" s="46" t="s">
        <v>481</v>
      </c>
      <c r="B25" s="46" t="s">
        <v>478</v>
      </c>
      <c r="C25" s="46" t="s">
        <v>469</v>
      </c>
      <c r="D25" s="46" t="s">
        <v>476</v>
      </c>
      <c r="E25" s="120"/>
    </row>
    <row r="26" spans="1:5" x14ac:dyDescent="0.2">
      <c r="A26" s="46" t="s">
        <v>482</v>
      </c>
      <c r="B26" s="46" t="s">
        <v>483</v>
      </c>
      <c r="C26" s="46" t="s">
        <v>469</v>
      </c>
      <c r="D26" s="46" t="s">
        <v>470</v>
      </c>
      <c r="E26" s="120"/>
    </row>
    <row r="27" spans="1:5" x14ac:dyDescent="0.2">
      <c r="A27" s="46" t="s">
        <v>484</v>
      </c>
      <c r="B27" s="46" t="s">
        <v>483</v>
      </c>
      <c r="C27" s="46" t="s">
        <v>469</v>
      </c>
      <c r="D27" s="46" t="s">
        <v>472</v>
      </c>
      <c r="E27" s="120"/>
    </row>
    <row r="28" spans="1:5" x14ac:dyDescent="0.2">
      <c r="A28" s="46" t="s">
        <v>485</v>
      </c>
      <c r="B28" s="46" t="s">
        <v>483</v>
      </c>
      <c r="C28" s="46" t="s">
        <v>469</v>
      </c>
      <c r="D28" s="46" t="s">
        <v>474</v>
      </c>
      <c r="E28" s="120"/>
    </row>
    <row r="29" spans="1:5" x14ac:dyDescent="0.2">
      <c r="A29" s="46" t="s">
        <v>486</v>
      </c>
      <c r="B29" s="46" t="s">
        <v>483</v>
      </c>
      <c r="C29" s="46" t="s">
        <v>469</v>
      </c>
      <c r="D29" s="46" t="s">
        <v>476</v>
      </c>
      <c r="E29" s="120"/>
    </row>
    <row r="30" spans="1:5" x14ac:dyDescent="0.2">
      <c r="A30" s="46" t="s">
        <v>487</v>
      </c>
      <c r="B30" s="46" t="s">
        <v>488</v>
      </c>
      <c r="C30" s="46" t="s">
        <v>469</v>
      </c>
      <c r="D30" s="46" t="s">
        <v>470</v>
      </c>
      <c r="E30" s="120"/>
    </row>
    <row r="31" spans="1:5" x14ac:dyDescent="0.2">
      <c r="A31" s="46" t="s">
        <v>489</v>
      </c>
      <c r="B31" s="46" t="s">
        <v>488</v>
      </c>
      <c r="C31" s="46" t="s">
        <v>469</v>
      </c>
      <c r="D31" s="46" t="s">
        <v>472</v>
      </c>
      <c r="E31" s="120"/>
    </row>
    <row r="32" spans="1:5" x14ac:dyDescent="0.2">
      <c r="A32" s="46" t="s">
        <v>490</v>
      </c>
      <c r="B32" s="46" t="s">
        <v>488</v>
      </c>
      <c r="C32" s="46" t="s">
        <v>469</v>
      </c>
      <c r="D32" s="46" t="s">
        <v>474</v>
      </c>
      <c r="E32" s="120"/>
    </row>
    <row r="33" spans="1:5" x14ac:dyDescent="0.2">
      <c r="A33" s="46" t="s">
        <v>491</v>
      </c>
      <c r="B33" s="46" t="s">
        <v>488</v>
      </c>
      <c r="C33" s="46" t="s">
        <v>469</v>
      </c>
      <c r="D33" s="46" t="s">
        <v>476</v>
      </c>
      <c r="E33" s="120"/>
    </row>
    <row r="34" spans="1:5" x14ac:dyDescent="0.2">
      <c r="A34" s="46" t="s">
        <v>492</v>
      </c>
      <c r="B34" s="46" t="s">
        <v>493</v>
      </c>
      <c r="C34" s="46" t="s">
        <v>469</v>
      </c>
      <c r="D34" s="46" t="s">
        <v>470</v>
      </c>
      <c r="E34" s="120"/>
    </row>
    <row r="35" spans="1:5" x14ac:dyDescent="0.2">
      <c r="A35" s="46" t="s">
        <v>494</v>
      </c>
      <c r="B35" s="46" t="s">
        <v>493</v>
      </c>
      <c r="C35" s="46" t="s">
        <v>469</v>
      </c>
      <c r="D35" s="46" t="s">
        <v>472</v>
      </c>
      <c r="E35" s="120"/>
    </row>
    <row r="36" spans="1:5" x14ac:dyDescent="0.2">
      <c r="A36" s="46" t="s">
        <v>495</v>
      </c>
      <c r="B36" s="46" t="s">
        <v>493</v>
      </c>
      <c r="C36" s="46" t="s">
        <v>469</v>
      </c>
      <c r="D36" s="46" t="s">
        <v>474</v>
      </c>
      <c r="E36" s="120"/>
    </row>
    <row r="37" spans="1:5" x14ac:dyDescent="0.2">
      <c r="A37" s="46" t="s">
        <v>496</v>
      </c>
      <c r="B37" s="46" t="s">
        <v>493</v>
      </c>
      <c r="C37" s="46" t="s">
        <v>469</v>
      </c>
      <c r="D37" s="46" t="s">
        <v>476</v>
      </c>
      <c r="E37" s="120"/>
    </row>
    <row r="38" spans="1:5" x14ac:dyDescent="0.2">
      <c r="A38" s="46" t="s">
        <v>497</v>
      </c>
      <c r="B38" s="46" t="s">
        <v>498</v>
      </c>
      <c r="C38" s="46" t="s">
        <v>469</v>
      </c>
      <c r="D38" s="46" t="s">
        <v>470</v>
      </c>
      <c r="E38" s="120"/>
    </row>
    <row r="39" spans="1:5" x14ac:dyDescent="0.2">
      <c r="A39" s="46" t="s">
        <v>499</v>
      </c>
      <c r="B39" s="46" t="s">
        <v>498</v>
      </c>
      <c r="C39" s="46" t="s">
        <v>469</v>
      </c>
      <c r="D39" s="46" t="s">
        <v>472</v>
      </c>
      <c r="E39" s="120"/>
    </row>
    <row r="40" spans="1:5" x14ac:dyDescent="0.2">
      <c r="A40" s="46" t="s">
        <v>500</v>
      </c>
      <c r="B40" s="46" t="s">
        <v>498</v>
      </c>
      <c r="C40" s="46" t="s">
        <v>469</v>
      </c>
      <c r="D40" s="46" t="s">
        <v>474</v>
      </c>
      <c r="E40" s="120"/>
    </row>
    <row r="41" spans="1:5" x14ac:dyDescent="0.2">
      <c r="A41" s="46" t="s">
        <v>501</v>
      </c>
      <c r="B41" s="46" t="s">
        <v>498</v>
      </c>
      <c r="C41" s="46" t="s">
        <v>469</v>
      </c>
      <c r="D41" s="46" t="s">
        <v>476</v>
      </c>
      <c r="E41" s="120"/>
    </row>
    <row r="42" spans="1:5" x14ac:dyDescent="0.2">
      <c r="A42" s="46" t="s">
        <v>502</v>
      </c>
      <c r="B42" s="46" t="s">
        <v>503</v>
      </c>
      <c r="C42" s="46" t="s">
        <v>469</v>
      </c>
      <c r="D42" s="46" t="s">
        <v>470</v>
      </c>
      <c r="E42" s="120"/>
    </row>
    <row r="43" spans="1:5" x14ac:dyDescent="0.2">
      <c r="A43" s="46" t="s">
        <v>504</v>
      </c>
      <c r="B43" s="46" t="s">
        <v>503</v>
      </c>
      <c r="C43" s="46" t="s">
        <v>469</v>
      </c>
      <c r="D43" s="46" t="s">
        <v>472</v>
      </c>
      <c r="E43" s="120"/>
    </row>
    <row r="44" spans="1:5" x14ac:dyDescent="0.2">
      <c r="A44" s="46" t="s">
        <v>505</v>
      </c>
      <c r="B44" s="46" t="s">
        <v>503</v>
      </c>
      <c r="C44" s="46" t="s">
        <v>469</v>
      </c>
      <c r="D44" s="46" t="s">
        <v>474</v>
      </c>
      <c r="E44" s="120"/>
    </row>
    <row r="45" spans="1:5" x14ac:dyDescent="0.2">
      <c r="A45" s="46" t="s">
        <v>506</v>
      </c>
      <c r="B45" s="46" t="s">
        <v>503</v>
      </c>
      <c r="C45" s="46" t="s">
        <v>469</v>
      </c>
      <c r="D45" s="46" t="s">
        <v>476</v>
      </c>
      <c r="E45" s="120"/>
    </row>
    <row r="46" spans="1:5" x14ac:dyDescent="0.2">
      <c r="A46" s="46" t="s">
        <v>507</v>
      </c>
      <c r="B46" s="46" t="s">
        <v>508</v>
      </c>
      <c r="C46" s="46" t="s">
        <v>469</v>
      </c>
      <c r="D46" s="46" t="s">
        <v>39</v>
      </c>
      <c r="E46" s="120"/>
    </row>
    <row r="47" spans="1:5" x14ac:dyDescent="0.2">
      <c r="A47" s="46" t="s">
        <v>509</v>
      </c>
      <c r="B47" s="46" t="s">
        <v>510</v>
      </c>
      <c r="C47" s="46" t="s">
        <v>444</v>
      </c>
      <c r="D47" s="46" t="s">
        <v>39</v>
      </c>
      <c r="E47" s="120"/>
    </row>
    <row r="48" spans="1:5" x14ac:dyDescent="0.2">
      <c r="A48" s="46" t="s">
        <v>511</v>
      </c>
      <c r="B48" s="46" t="s">
        <v>512</v>
      </c>
      <c r="C48" s="46" t="s">
        <v>469</v>
      </c>
      <c r="D48" s="46" t="s">
        <v>513</v>
      </c>
      <c r="E48" s="120"/>
    </row>
    <row r="49" spans="1:5" x14ac:dyDescent="0.2">
      <c r="A49" s="46" t="s">
        <v>514</v>
      </c>
      <c r="B49" s="46" t="s">
        <v>512</v>
      </c>
      <c r="C49" s="46" t="s">
        <v>469</v>
      </c>
      <c r="D49" s="46" t="s">
        <v>515</v>
      </c>
      <c r="E49" s="120"/>
    </row>
    <row r="50" spans="1:5" x14ac:dyDescent="0.2">
      <c r="A50" s="46" t="s">
        <v>516</v>
      </c>
      <c r="B50" s="46" t="s">
        <v>512</v>
      </c>
      <c r="C50" s="46" t="s">
        <v>469</v>
      </c>
      <c r="D50" s="46" t="s">
        <v>517</v>
      </c>
      <c r="E50" s="120"/>
    </row>
    <row r="51" spans="1:5" x14ac:dyDescent="0.2">
      <c r="A51" s="46" t="s">
        <v>518</v>
      </c>
      <c r="B51" s="46" t="s">
        <v>512</v>
      </c>
      <c r="C51" s="46" t="s">
        <v>469</v>
      </c>
      <c r="D51" s="46" t="s">
        <v>519</v>
      </c>
      <c r="E51" s="120"/>
    </row>
    <row r="52" spans="1:5" x14ac:dyDescent="0.2">
      <c r="A52" s="46" t="s">
        <v>520</v>
      </c>
      <c r="B52" s="46" t="s">
        <v>521</v>
      </c>
      <c r="C52" s="46" t="s">
        <v>469</v>
      </c>
      <c r="D52" s="46" t="s">
        <v>513</v>
      </c>
      <c r="E52" s="120"/>
    </row>
    <row r="53" spans="1:5" x14ac:dyDescent="0.2">
      <c r="A53" s="46" t="s">
        <v>522</v>
      </c>
      <c r="B53" s="46" t="s">
        <v>521</v>
      </c>
      <c r="C53" s="46" t="s">
        <v>469</v>
      </c>
      <c r="D53" s="46" t="s">
        <v>515</v>
      </c>
      <c r="E53" s="120"/>
    </row>
    <row r="54" spans="1:5" x14ac:dyDescent="0.2">
      <c r="A54" s="46" t="s">
        <v>523</v>
      </c>
      <c r="B54" s="46" t="s">
        <v>521</v>
      </c>
      <c r="C54" s="46" t="s">
        <v>469</v>
      </c>
      <c r="D54" s="46" t="s">
        <v>517</v>
      </c>
      <c r="E54" s="120"/>
    </row>
    <row r="55" spans="1:5" x14ac:dyDescent="0.2">
      <c r="A55" s="46" t="s">
        <v>524</v>
      </c>
      <c r="B55" s="46" t="s">
        <v>521</v>
      </c>
      <c r="C55" s="46" t="s">
        <v>469</v>
      </c>
      <c r="D55" s="46" t="s">
        <v>519</v>
      </c>
      <c r="E55" s="120"/>
    </row>
    <row r="56" spans="1:5" x14ac:dyDescent="0.2">
      <c r="A56" s="46" t="s">
        <v>525</v>
      </c>
      <c r="B56" s="46" t="s">
        <v>526</v>
      </c>
      <c r="C56" s="46" t="s">
        <v>469</v>
      </c>
      <c r="D56" s="46" t="s">
        <v>513</v>
      </c>
      <c r="E56" s="120"/>
    </row>
    <row r="57" spans="1:5" x14ac:dyDescent="0.2">
      <c r="A57" s="46" t="s">
        <v>527</v>
      </c>
      <c r="B57" s="46" t="s">
        <v>526</v>
      </c>
      <c r="C57" s="46" t="s">
        <v>469</v>
      </c>
      <c r="D57" s="46" t="s">
        <v>515</v>
      </c>
      <c r="E57" s="120"/>
    </row>
    <row r="58" spans="1:5" x14ac:dyDescent="0.2">
      <c r="A58" s="46" t="s">
        <v>528</v>
      </c>
      <c r="B58" s="46" t="s">
        <v>526</v>
      </c>
      <c r="C58" s="46" t="s">
        <v>469</v>
      </c>
      <c r="D58" s="46" t="s">
        <v>517</v>
      </c>
      <c r="E58" s="120"/>
    </row>
    <row r="59" spans="1:5" x14ac:dyDescent="0.2">
      <c r="A59" s="46" t="s">
        <v>529</v>
      </c>
      <c r="B59" s="46" t="s">
        <v>526</v>
      </c>
      <c r="C59" s="46" t="s">
        <v>469</v>
      </c>
      <c r="D59" s="46" t="s">
        <v>519</v>
      </c>
      <c r="E59" s="120"/>
    </row>
    <row r="60" spans="1:5" x14ac:dyDescent="0.2">
      <c r="A60" s="46" t="s">
        <v>530</v>
      </c>
      <c r="B60" s="46" t="s">
        <v>531</v>
      </c>
      <c r="C60" s="46" t="s">
        <v>469</v>
      </c>
      <c r="D60" s="46" t="s">
        <v>513</v>
      </c>
      <c r="E60" s="120"/>
    </row>
    <row r="61" spans="1:5" x14ac:dyDescent="0.2">
      <c r="A61" s="46" t="s">
        <v>532</v>
      </c>
      <c r="B61" s="46" t="s">
        <v>531</v>
      </c>
      <c r="C61" s="46" t="s">
        <v>469</v>
      </c>
      <c r="D61" s="46" t="s">
        <v>515</v>
      </c>
      <c r="E61" s="120"/>
    </row>
    <row r="62" spans="1:5" x14ac:dyDescent="0.2">
      <c r="A62" s="46" t="s">
        <v>533</v>
      </c>
      <c r="B62" s="46" t="s">
        <v>531</v>
      </c>
      <c r="C62" s="46" t="s">
        <v>469</v>
      </c>
      <c r="D62" s="46" t="s">
        <v>517</v>
      </c>
      <c r="E62" s="120"/>
    </row>
    <row r="63" spans="1:5" x14ac:dyDescent="0.2">
      <c r="A63" s="46" t="s">
        <v>534</v>
      </c>
      <c r="B63" s="46" t="s">
        <v>531</v>
      </c>
      <c r="C63" s="46" t="s">
        <v>469</v>
      </c>
      <c r="D63" s="46" t="s">
        <v>519</v>
      </c>
      <c r="E63" s="120"/>
    </row>
    <row r="64" spans="1:5" x14ac:dyDescent="0.2">
      <c r="A64" s="46" t="s">
        <v>535</v>
      </c>
      <c r="B64" s="46" t="s">
        <v>536</v>
      </c>
      <c r="C64" s="46" t="s">
        <v>469</v>
      </c>
      <c r="D64" s="46" t="s">
        <v>513</v>
      </c>
      <c r="E64" s="120"/>
    </row>
    <row r="65" spans="1:5" x14ac:dyDescent="0.2">
      <c r="A65" s="46" t="s">
        <v>537</v>
      </c>
      <c r="B65" s="46" t="s">
        <v>536</v>
      </c>
      <c r="C65" s="46" t="s">
        <v>469</v>
      </c>
      <c r="D65" s="46" t="s">
        <v>515</v>
      </c>
      <c r="E65" s="120"/>
    </row>
    <row r="66" spans="1:5" x14ac:dyDescent="0.2">
      <c r="A66" s="46" t="s">
        <v>538</v>
      </c>
      <c r="B66" s="46" t="s">
        <v>536</v>
      </c>
      <c r="C66" s="46" t="s">
        <v>469</v>
      </c>
      <c r="D66" s="46" t="s">
        <v>517</v>
      </c>
      <c r="E66" s="120"/>
    </row>
    <row r="67" spans="1:5" x14ac:dyDescent="0.2">
      <c r="A67" s="46" t="s">
        <v>539</v>
      </c>
      <c r="B67" s="46" t="s">
        <v>536</v>
      </c>
      <c r="C67" s="46" t="s">
        <v>469</v>
      </c>
      <c r="D67" s="46" t="s">
        <v>519</v>
      </c>
      <c r="E67" s="120"/>
    </row>
    <row r="68" spans="1:5" x14ac:dyDescent="0.2">
      <c r="A68" s="46" t="s">
        <v>540</v>
      </c>
      <c r="B68" s="46" t="s">
        <v>541</v>
      </c>
      <c r="C68" s="46" t="s">
        <v>469</v>
      </c>
      <c r="D68" s="46" t="s">
        <v>513</v>
      </c>
      <c r="E68" s="120"/>
    </row>
    <row r="69" spans="1:5" x14ac:dyDescent="0.2">
      <c r="A69" s="46" t="s">
        <v>542</v>
      </c>
      <c r="B69" s="46" t="s">
        <v>541</v>
      </c>
      <c r="C69" s="46" t="s">
        <v>469</v>
      </c>
      <c r="D69" s="46" t="s">
        <v>515</v>
      </c>
      <c r="E69" s="120"/>
    </row>
    <row r="70" spans="1:5" x14ac:dyDescent="0.2">
      <c r="A70" s="46" t="s">
        <v>543</v>
      </c>
      <c r="B70" s="46" t="s">
        <v>541</v>
      </c>
      <c r="C70" s="46" t="s">
        <v>469</v>
      </c>
      <c r="D70" s="46" t="s">
        <v>517</v>
      </c>
      <c r="E70" s="120"/>
    </row>
    <row r="71" spans="1:5" x14ac:dyDescent="0.2">
      <c r="A71" s="46" t="s">
        <v>544</v>
      </c>
      <c r="B71" s="46" t="s">
        <v>541</v>
      </c>
      <c r="C71" s="46" t="s">
        <v>469</v>
      </c>
      <c r="D71" s="46" t="s">
        <v>519</v>
      </c>
      <c r="E71" s="120"/>
    </row>
    <row r="72" spans="1:5" x14ac:dyDescent="0.2">
      <c r="A72" s="46" t="s">
        <v>545</v>
      </c>
      <c r="B72" s="46" t="s">
        <v>546</v>
      </c>
      <c r="C72" s="46" t="s">
        <v>469</v>
      </c>
      <c r="D72" s="46" t="s">
        <v>513</v>
      </c>
      <c r="E72" s="120"/>
    </row>
    <row r="73" spans="1:5" x14ac:dyDescent="0.2">
      <c r="A73" s="46" t="s">
        <v>547</v>
      </c>
      <c r="B73" s="46" t="s">
        <v>546</v>
      </c>
      <c r="C73" s="46" t="s">
        <v>469</v>
      </c>
      <c r="D73" s="46" t="s">
        <v>515</v>
      </c>
      <c r="E73" s="120"/>
    </row>
    <row r="74" spans="1:5" x14ac:dyDescent="0.2">
      <c r="A74" s="46" t="s">
        <v>548</v>
      </c>
      <c r="B74" s="46" t="s">
        <v>546</v>
      </c>
      <c r="C74" s="46" t="s">
        <v>469</v>
      </c>
      <c r="D74" s="46" t="s">
        <v>517</v>
      </c>
      <c r="E74" s="120"/>
    </row>
    <row r="75" spans="1:5" x14ac:dyDescent="0.2">
      <c r="A75" s="46" t="s">
        <v>549</v>
      </c>
      <c r="B75" s="46" t="s">
        <v>546</v>
      </c>
      <c r="C75" s="46" t="s">
        <v>469</v>
      </c>
      <c r="D75" s="46" t="s">
        <v>519</v>
      </c>
      <c r="E75" s="120"/>
    </row>
    <row r="76" spans="1:5" x14ac:dyDescent="0.2">
      <c r="A76" s="46" t="s">
        <v>550</v>
      </c>
      <c r="B76" s="46" t="s">
        <v>551</v>
      </c>
      <c r="C76" s="46" t="s">
        <v>469</v>
      </c>
      <c r="D76" s="46" t="s">
        <v>513</v>
      </c>
      <c r="E76" s="120"/>
    </row>
    <row r="77" spans="1:5" x14ac:dyDescent="0.2">
      <c r="A77" s="46" t="s">
        <v>552</v>
      </c>
      <c r="B77" s="46" t="s">
        <v>551</v>
      </c>
      <c r="C77" s="46" t="s">
        <v>469</v>
      </c>
      <c r="D77" s="46" t="s">
        <v>515</v>
      </c>
      <c r="E77" s="120"/>
    </row>
    <row r="78" spans="1:5" x14ac:dyDescent="0.2">
      <c r="A78" s="46" t="s">
        <v>553</v>
      </c>
      <c r="B78" s="46" t="s">
        <v>551</v>
      </c>
      <c r="C78" s="46" t="s">
        <v>469</v>
      </c>
      <c r="D78" s="46" t="s">
        <v>517</v>
      </c>
      <c r="E78" s="120"/>
    </row>
    <row r="79" spans="1:5" x14ac:dyDescent="0.2">
      <c r="A79" s="46" t="s">
        <v>554</v>
      </c>
      <c r="B79" s="46" t="s">
        <v>551</v>
      </c>
      <c r="C79" s="46" t="s">
        <v>469</v>
      </c>
      <c r="D79" s="46" t="s">
        <v>519</v>
      </c>
      <c r="E79" s="120"/>
    </row>
    <row r="80" spans="1:5" x14ac:dyDescent="0.2">
      <c r="A80" s="46" t="s">
        <v>555</v>
      </c>
      <c r="B80" s="46" t="s">
        <v>556</v>
      </c>
      <c r="C80" s="46" t="s">
        <v>469</v>
      </c>
      <c r="D80" s="46" t="s">
        <v>513</v>
      </c>
      <c r="E80" s="120"/>
    </row>
    <row r="81" spans="1:5" x14ac:dyDescent="0.2">
      <c r="A81" s="46" t="s">
        <v>557</v>
      </c>
      <c r="B81" s="46" t="s">
        <v>556</v>
      </c>
      <c r="C81" s="46" t="s">
        <v>469</v>
      </c>
      <c r="D81" s="46" t="s">
        <v>515</v>
      </c>
      <c r="E81" s="120"/>
    </row>
    <row r="82" spans="1:5" x14ac:dyDescent="0.2">
      <c r="A82" s="46" t="s">
        <v>558</v>
      </c>
      <c r="B82" s="46" t="s">
        <v>556</v>
      </c>
      <c r="C82" s="46" t="s">
        <v>469</v>
      </c>
      <c r="D82" s="46" t="s">
        <v>517</v>
      </c>
      <c r="E82" s="120"/>
    </row>
    <row r="83" spans="1:5" x14ac:dyDescent="0.2">
      <c r="A83" s="46" t="s">
        <v>559</v>
      </c>
      <c r="B83" s="46" t="s">
        <v>556</v>
      </c>
      <c r="C83" s="46" t="s">
        <v>469</v>
      </c>
      <c r="D83" s="46" t="s">
        <v>519</v>
      </c>
      <c r="E83" s="120"/>
    </row>
    <row r="84" spans="1:5" x14ac:dyDescent="0.2">
      <c r="A84" s="46" t="s">
        <v>560</v>
      </c>
      <c r="B84" s="46" t="s">
        <v>561</v>
      </c>
      <c r="C84" s="46" t="s">
        <v>469</v>
      </c>
      <c r="D84" s="46" t="s">
        <v>513</v>
      </c>
      <c r="E84" s="120"/>
    </row>
    <row r="85" spans="1:5" x14ac:dyDescent="0.2">
      <c r="A85" s="46" t="s">
        <v>562</v>
      </c>
      <c r="B85" s="46" t="s">
        <v>561</v>
      </c>
      <c r="C85" s="46" t="s">
        <v>469</v>
      </c>
      <c r="D85" s="46" t="s">
        <v>515</v>
      </c>
      <c r="E85" s="120"/>
    </row>
    <row r="86" spans="1:5" x14ac:dyDescent="0.2">
      <c r="A86" s="46" t="s">
        <v>563</v>
      </c>
      <c r="B86" s="46" t="s">
        <v>561</v>
      </c>
      <c r="C86" s="46" t="s">
        <v>469</v>
      </c>
      <c r="D86" s="46" t="s">
        <v>517</v>
      </c>
      <c r="E86" s="120"/>
    </row>
    <row r="87" spans="1:5" x14ac:dyDescent="0.2">
      <c r="A87" s="46" t="s">
        <v>564</v>
      </c>
      <c r="B87" s="46" t="s">
        <v>561</v>
      </c>
      <c r="C87" s="46" t="s">
        <v>469</v>
      </c>
      <c r="D87" s="46" t="s">
        <v>519</v>
      </c>
      <c r="E87" s="120"/>
    </row>
    <row r="88" spans="1:5" x14ac:dyDescent="0.2">
      <c r="A88" s="46" t="s">
        <v>565</v>
      </c>
      <c r="B88" s="46" t="s">
        <v>566</v>
      </c>
      <c r="C88" s="46" t="s">
        <v>449</v>
      </c>
      <c r="D88" s="46" t="s">
        <v>450</v>
      </c>
      <c r="E88" s="120"/>
    </row>
    <row r="89" spans="1:5" x14ac:dyDescent="0.2">
      <c r="A89" s="46" t="s">
        <v>567</v>
      </c>
      <c r="B89" s="46" t="s">
        <v>566</v>
      </c>
      <c r="C89" s="46" t="s">
        <v>449</v>
      </c>
      <c r="D89" s="46" t="s">
        <v>452</v>
      </c>
      <c r="E89" s="120"/>
    </row>
    <row r="90" spans="1:5" x14ac:dyDescent="0.2">
      <c r="A90" s="46" t="s">
        <v>568</v>
      </c>
      <c r="B90" s="46" t="s">
        <v>566</v>
      </c>
      <c r="C90" s="46" t="s">
        <v>449</v>
      </c>
      <c r="D90" s="46" t="s">
        <v>454</v>
      </c>
      <c r="E90" s="120"/>
    </row>
    <row r="91" spans="1:5" x14ac:dyDescent="0.2">
      <c r="A91" s="51" t="s">
        <v>569</v>
      </c>
      <c r="B91" s="51" t="s">
        <v>566</v>
      </c>
      <c r="C91" s="51" t="s">
        <v>449</v>
      </c>
      <c r="D91" s="51" t="s">
        <v>456</v>
      </c>
      <c r="E91" s="121"/>
    </row>
    <row r="92" spans="1:5" x14ac:dyDescent="0.2">
      <c r="A92" s="65" t="s">
        <v>199</v>
      </c>
      <c r="B92" s="66"/>
      <c r="C92" s="66"/>
      <c r="D92" s="66"/>
      <c r="E92" s="117"/>
    </row>
    <row r="94" spans="1:5" x14ac:dyDescent="0.2">
      <c r="A94" s="65" t="s">
        <v>570</v>
      </c>
      <c r="B94" s="66"/>
      <c r="C94" s="66"/>
      <c r="D94" s="66"/>
      <c r="E94" s="117"/>
    </row>
  </sheetData>
  <sheetProtection algorithmName="SHA-512" hashValue="zhkpoeGtGDNcfr3ZgDALNsKm93coEyivsSCaxV+bPRjLxshG58km9V2BG6HxEmjJ9PtYjhUKyPn5B911KidbJg==" saltValue="AAPu7IgGYmrCNlkjmPJmr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E222-E6EA-44EA-9C90-6555CD2B0765}">
  <dimension ref="A1:L12"/>
  <sheetViews>
    <sheetView workbookViewId="0">
      <selection activeCell="B11" sqref="B11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F.2.11: ",tabeltype," regiewerk")</f>
        <v>Bijlage F.2.11: Invultabel regiewerk</v>
      </c>
    </row>
    <row r="3" spans="1:12" ht="38.25" x14ac:dyDescent="0.2">
      <c r="A3" s="30" t="s">
        <v>405</v>
      </c>
      <c r="B3" s="30" t="s">
        <v>7</v>
      </c>
      <c r="C3" s="30" t="s">
        <v>406</v>
      </c>
      <c r="D3" s="30" t="s">
        <v>95</v>
      </c>
      <c r="E3" s="30" t="s">
        <v>98</v>
      </c>
      <c r="F3" s="30" t="s">
        <v>407</v>
      </c>
      <c r="G3" s="30" t="s">
        <v>408</v>
      </c>
      <c r="H3" s="30" t="s">
        <v>409</v>
      </c>
      <c r="I3" s="30" t="s">
        <v>410</v>
      </c>
      <c r="J3" s="30" t="s">
        <v>411</v>
      </c>
      <c r="K3" s="30" t="s">
        <v>169</v>
      </c>
      <c r="L3" s="30" t="s">
        <v>384</v>
      </c>
    </row>
    <row r="4" spans="1:12" x14ac:dyDescent="0.2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</row>
    <row r="5" spans="1:12" x14ac:dyDescent="0.2">
      <c r="A5" s="34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12" x14ac:dyDescent="0.2">
      <c r="A6" s="41" t="s">
        <v>571</v>
      </c>
      <c r="B6" s="41" t="s">
        <v>20</v>
      </c>
      <c r="C6" s="42">
        <f>IF(ISBLANK(B6),0,IF(ISERROR(VALUE(B6)),VLOOKUP(B6,dagsoorttabel1,2,FALSE)*dagenperjaar1,VALUE(B6)))</f>
        <v>10</v>
      </c>
      <c r="D6" s="41" t="s">
        <v>572</v>
      </c>
      <c r="E6" s="41" t="s">
        <v>444</v>
      </c>
      <c r="F6" s="122">
        <v>20</v>
      </c>
      <c r="G6" s="45">
        <f>Tariefopbouw2</f>
        <v>0</v>
      </c>
      <c r="H6" s="123"/>
      <c r="I6" s="45">
        <f>G6</f>
        <v>0</v>
      </c>
      <c r="J6" s="45">
        <f>IF(ISBLANK(F6),0,F6)*ROUND(I6,2)</f>
        <v>0</v>
      </c>
      <c r="K6" s="45">
        <f>C6*J6</f>
        <v>0</v>
      </c>
      <c r="L6" s="45">
        <f>K6/12</f>
        <v>0</v>
      </c>
    </row>
    <row r="7" spans="1:12" x14ac:dyDescent="0.2">
      <c r="A7" s="46" t="s">
        <v>573</v>
      </c>
      <c r="B7" s="46" t="s">
        <v>20</v>
      </c>
      <c r="C7" s="47">
        <f>IF(ISBLANK(B7),0,IF(ISERROR(VALUE(B7)),VLOOKUP(B7,dagsoorttabel1,2,FALSE)*dagenperjaar1,VALUE(B7)))</f>
        <v>10</v>
      </c>
      <c r="D7" s="46" t="s">
        <v>574</v>
      </c>
      <c r="E7" s="46" t="s">
        <v>444</v>
      </c>
      <c r="F7" s="124">
        <v>4</v>
      </c>
      <c r="G7" s="50">
        <f>Tariefopbouw3</f>
        <v>0</v>
      </c>
      <c r="H7" s="125"/>
      <c r="I7" s="50">
        <f>G7</f>
        <v>0</v>
      </c>
      <c r="J7" s="50">
        <f>IF(ISBLANK(F7),0,F7)*ROUND(I7,2)</f>
        <v>0</v>
      </c>
      <c r="K7" s="50">
        <f>C7*J7</f>
        <v>0</v>
      </c>
      <c r="L7" s="50">
        <f>K7/12</f>
        <v>0</v>
      </c>
    </row>
    <row r="8" spans="1:12" x14ac:dyDescent="0.2">
      <c r="A8" s="46" t="s">
        <v>575</v>
      </c>
      <c r="B8" s="46" t="s">
        <v>24</v>
      </c>
      <c r="C8" s="47">
        <f>IF(ISBLANK(B8),0,IF(ISERROR(VALUE(B8)),VLOOKUP(B8,dagsoorttabel1,2,FALSE)*dagenperjaar1,VALUE(B8)))</f>
        <v>2</v>
      </c>
      <c r="D8" s="46" t="s">
        <v>576</v>
      </c>
      <c r="E8" s="46" t="s">
        <v>444</v>
      </c>
      <c r="F8" s="124">
        <v>10</v>
      </c>
      <c r="G8" s="50">
        <f>Tariefopbouw2</f>
        <v>0</v>
      </c>
      <c r="H8" s="125"/>
      <c r="I8" s="50">
        <f>G8</f>
        <v>0</v>
      </c>
      <c r="J8" s="50">
        <f>IF(ISBLANK(F8),0,F8)*ROUND(I8,2)</f>
        <v>0</v>
      </c>
      <c r="K8" s="50">
        <f>C8*J8</f>
        <v>0</v>
      </c>
      <c r="L8" s="50">
        <f>K8/12</f>
        <v>0</v>
      </c>
    </row>
    <row r="9" spans="1:12" x14ac:dyDescent="0.2">
      <c r="A9" s="51" t="s">
        <v>577</v>
      </c>
      <c r="B9" s="51" t="s">
        <v>24</v>
      </c>
      <c r="C9" s="52">
        <f>IF(ISBLANK(B9),0,IF(ISERROR(VALUE(B9)),VLOOKUP(B9,dagsoorttabel1,2,FALSE)*dagenperjaar1,VALUE(B9)))</f>
        <v>2</v>
      </c>
      <c r="D9" s="51" t="s">
        <v>578</v>
      </c>
      <c r="E9" s="51" t="s">
        <v>444</v>
      </c>
      <c r="F9" s="126">
        <v>8</v>
      </c>
      <c r="G9" s="55">
        <f>Tariefopbouw3</f>
        <v>0</v>
      </c>
      <c r="H9" s="127"/>
      <c r="I9" s="55">
        <f>G9</f>
        <v>0</v>
      </c>
      <c r="J9" s="55">
        <f>IF(ISBLANK(F9),0,F9)*ROUND(I9,2)</f>
        <v>0</v>
      </c>
      <c r="K9" s="55">
        <f>C9*J9</f>
        <v>0</v>
      </c>
      <c r="L9" s="55">
        <f>K9/12</f>
        <v>0</v>
      </c>
    </row>
    <row r="10" spans="1:12" x14ac:dyDescent="0.2">
      <c r="A10" s="65" t="s">
        <v>199</v>
      </c>
      <c r="B10" s="66"/>
      <c r="C10" s="66"/>
      <c r="D10" s="66"/>
      <c r="E10" s="66"/>
      <c r="F10" s="66"/>
      <c r="G10" s="66"/>
      <c r="H10" s="66"/>
      <c r="I10" s="66"/>
      <c r="J10" s="66"/>
      <c r="K10" s="68">
        <f>SUM(K6:K9)</f>
        <v>0</v>
      </c>
      <c r="L10" s="116">
        <f>K10/12</f>
        <v>0</v>
      </c>
    </row>
    <row r="12" spans="1:12" x14ac:dyDescent="0.2">
      <c r="A12" s="65" t="s">
        <v>579</v>
      </c>
      <c r="B12" s="66"/>
      <c r="C12" s="66"/>
      <c r="D12" s="66"/>
      <c r="E12" s="66"/>
      <c r="F12" s="66"/>
      <c r="G12" s="66"/>
      <c r="H12" s="66"/>
      <c r="I12" s="66"/>
      <c r="J12" s="66"/>
      <c r="K12" s="68">
        <f>prijsjaarregie1</f>
        <v>0</v>
      </c>
      <c r="L12" s="116">
        <f>K12/12</f>
        <v>0</v>
      </c>
    </row>
  </sheetData>
  <sheetProtection algorithmName="SHA-512" hashValue="KvDU5GfOP4PDRsN7zZalQO2lu52TqYKHVNfLp00V6TO54j1IL/6WsYiMGrRTkOQb7C1ycYy4Q5In59qtw7Shyg==" saltValue="SSKvF7FJxG5Vut0rMJBaL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8137-3E86-4EE8-94DA-6419A7152E2E}">
  <dimension ref="A1:L15"/>
  <sheetViews>
    <sheetView workbookViewId="0">
      <selection activeCell="C9" sqref="C9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F.2.12: ",tabeltype," glas")</f>
        <v>Bijlage F.2.12: Invultabel glas</v>
      </c>
    </row>
    <row r="3" spans="1:12" ht="38.25" x14ac:dyDescent="0.2">
      <c r="A3" s="30" t="s">
        <v>405</v>
      </c>
      <c r="B3" s="30" t="s">
        <v>7</v>
      </c>
      <c r="C3" s="30" t="s">
        <v>406</v>
      </c>
      <c r="D3" s="30" t="s">
        <v>95</v>
      </c>
      <c r="E3" s="30" t="s">
        <v>98</v>
      </c>
      <c r="F3" s="30" t="s">
        <v>407</v>
      </c>
      <c r="G3" s="30" t="s">
        <v>408</v>
      </c>
      <c r="H3" s="30" t="s">
        <v>409</v>
      </c>
      <c r="I3" s="30" t="s">
        <v>410</v>
      </c>
      <c r="J3" s="30" t="s">
        <v>411</v>
      </c>
      <c r="K3" s="30" t="s">
        <v>169</v>
      </c>
      <c r="L3" s="30" t="s">
        <v>384</v>
      </c>
    </row>
    <row r="4" spans="1:12" x14ac:dyDescent="0.2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</row>
    <row r="5" spans="1:12" x14ac:dyDescent="0.2">
      <c r="A5" s="34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</row>
    <row r="6" spans="1:12" x14ac:dyDescent="0.2">
      <c r="A6" s="41" t="s">
        <v>580</v>
      </c>
      <c r="B6" s="41" t="s">
        <v>24</v>
      </c>
      <c r="C6" s="42">
        <f t="shared" ref="C6:C12" si="0">IF(ISBLANK(B6),0,IF(ISERROR(VALUE(B6)),VLOOKUP(B6,dagsoorttabel1,2,FALSE)*dagenperjaar1,VALUE(B6)))</f>
        <v>2</v>
      </c>
      <c r="D6" s="41" t="s">
        <v>581</v>
      </c>
      <c r="E6" s="41" t="s">
        <v>469</v>
      </c>
      <c r="F6" s="122">
        <v>4000</v>
      </c>
      <c r="G6" s="119"/>
      <c r="H6" s="123"/>
      <c r="I6" s="119"/>
      <c r="J6" s="45">
        <f t="shared" ref="J6:J11" si="1">IF(ISBLANK(F6),0,F6)*ROUND(I6,2)</f>
        <v>0</v>
      </c>
      <c r="K6" s="45">
        <f t="shared" ref="K6:K12" si="2">C6*J6</f>
        <v>0</v>
      </c>
      <c r="L6" s="45">
        <f t="shared" ref="L6:L13" si="3">K6/12</f>
        <v>0</v>
      </c>
    </row>
    <row r="7" spans="1:12" x14ac:dyDescent="0.2">
      <c r="A7" s="46" t="s">
        <v>582</v>
      </c>
      <c r="B7" s="46" t="s">
        <v>24</v>
      </c>
      <c r="C7" s="47">
        <f t="shared" si="0"/>
        <v>2</v>
      </c>
      <c r="D7" s="46" t="s">
        <v>583</v>
      </c>
      <c r="E7" s="46" t="s">
        <v>469</v>
      </c>
      <c r="F7" s="124">
        <v>4000</v>
      </c>
      <c r="G7" s="120"/>
      <c r="H7" s="125"/>
      <c r="I7" s="120"/>
      <c r="J7" s="50">
        <f t="shared" si="1"/>
        <v>0</v>
      </c>
      <c r="K7" s="50">
        <f t="shared" si="2"/>
        <v>0</v>
      </c>
      <c r="L7" s="50">
        <f t="shared" si="3"/>
        <v>0</v>
      </c>
    </row>
    <row r="8" spans="1:12" x14ac:dyDescent="0.2">
      <c r="A8" s="46" t="s">
        <v>584</v>
      </c>
      <c r="B8" s="46" t="s">
        <v>24</v>
      </c>
      <c r="C8" s="47">
        <f t="shared" si="0"/>
        <v>2</v>
      </c>
      <c r="D8" s="46" t="s">
        <v>585</v>
      </c>
      <c r="E8" s="46" t="s">
        <v>469</v>
      </c>
      <c r="F8" s="124">
        <v>2500</v>
      </c>
      <c r="G8" s="120"/>
      <c r="H8" s="125"/>
      <c r="I8" s="120"/>
      <c r="J8" s="50">
        <f t="shared" si="1"/>
        <v>0</v>
      </c>
      <c r="K8" s="50">
        <f t="shared" si="2"/>
        <v>0</v>
      </c>
      <c r="L8" s="50">
        <f t="shared" si="3"/>
        <v>0</v>
      </c>
    </row>
    <row r="9" spans="1:12" x14ac:dyDescent="0.2">
      <c r="A9" s="46" t="s">
        <v>586</v>
      </c>
      <c r="B9" s="46" t="s">
        <v>24</v>
      </c>
      <c r="C9" s="47">
        <f t="shared" si="0"/>
        <v>2</v>
      </c>
      <c r="D9" s="46" t="s">
        <v>587</v>
      </c>
      <c r="E9" s="46" t="s">
        <v>469</v>
      </c>
      <c r="F9" s="124">
        <v>200</v>
      </c>
      <c r="G9" s="120"/>
      <c r="H9" s="125"/>
      <c r="I9" s="120"/>
      <c r="J9" s="50">
        <f t="shared" si="1"/>
        <v>0</v>
      </c>
      <c r="K9" s="50">
        <f t="shared" si="2"/>
        <v>0</v>
      </c>
      <c r="L9" s="50">
        <f t="shared" si="3"/>
        <v>0</v>
      </c>
    </row>
    <row r="10" spans="1:12" x14ac:dyDescent="0.2">
      <c r="A10" s="46" t="s">
        <v>588</v>
      </c>
      <c r="B10" s="46" t="s">
        <v>24</v>
      </c>
      <c r="C10" s="47">
        <f t="shared" si="0"/>
        <v>2</v>
      </c>
      <c r="D10" s="46" t="s">
        <v>589</v>
      </c>
      <c r="E10" s="46" t="s">
        <v>469</v>
      </c>
      <c r="F10" s="124">
        <v>200</v>
      </c>
      <c r="G10" s="120"/>
      <c r="H10" s="125"/>
      <c r="I10" s="120"/>
      <c r="J10" s="50">
        <f t="shared" si="1"/>
        <v>0</v>
      </c>
      <c r="K10" s="50">
        <f t="shared" si="2"/>
        <v>0</v>
      </c>
      <c r="L10" s="50">
        <f t="shared" si="3"/>
        <v>0</v>
      </c>
    </row>
    <row r="11" spans="1:12" x14ac:dyDescent="0.2">
      <c r="A11" s="46" t="s">
        <v>590</v>
      </c>
      <c r="B11" s="46" t="s">
        <v>25</v>
      </c>
      <c r="C11" s="47">
        <f t="shared" si="0"/>
        <v>1</v>
      </c>
      <c r="D11" s="46" t="s">
        <v>591</v>
      </c>
      <c r="E11" s="46" t="s">
        <v>469</v>
      </c>
      <c r="F11" s="124">
        <v>2000</v>
      </c>
      <c r="G11" s="120"/>
      <c r="H11" s="125"/>
      <c r="I11" s="120"/>
      <c r="J11" s="50">
        <f t="shared" si="1"/>
        <v>0</v>
      </c>
      <c r="K11" s="50">
        <f t="shared" si="2"/>
        <v>0</v>
      </c>
      <c r="L11" s="50">
        <f t="shared" si="3"/>
        <v>0</v>
      </c>
    </row>
    <row r="12" spans="1:12" x14ac:dyDescent="0.2">
      <c r="A12" s="51" t="s">
        <v>592</v>
      </c>
      <c r="B12" s="51" t="s">
        <v>24</v>
      </c>
      <c r="C12" s="52">
        <f t="shared" si="0"/>
        <v>2</v>
      </c>
      <c r="D12" s="51" t="s">
        <v>593</v>
      </c>
      <c r="E12" s="51" t="s">
        <v>594</v>
      </c>
      <c r="F12" s="126">
        <v>1</v>
      </c>
      <c r="G12" s="121"/>
      <c r="H12" s="127"/>
      <c r="I12" s="121"/>
      <c r="J12" s="55">
        <f>IF(ISBLANK(F12),1,F12)*ROUND(I12,2)</f>
        <v>0</v>
      </c>
      <c r="K12" s="55">
        <f t="shared" si="2"/>
        <v>0</v>
      </c>
      <c r="L12" s="55">
        <f t="shared" si="3"/>
        <v>0</v>
      </c>
    </row>
    <row r="13" spans="1:12" x14ac:dyDescent="0.2">
      <c r="A13" s="65" t="s">
        <v>199</v>
      </c>
      <c r="B13" s="66"/>
      <c r="C13" s="66"/>
      <c r="D13" s="66"/>
      <c r="E13" s="66"/>
      <c r="F13" s="66"/>
      <c r="G13" s="66"/>
      <c r="H13" s="66"/>
      <c r="I13" s="66"/>
      <c r="J13" s="66"/>
      <c r="K13" s="68">
        <f>SUM(K6:K12)</f>
        <v>0</v>
      </c>
      <c r="L13" s="116">
        <f t="shared" si="3"/>
        <v>0</v>
      </c>
    </row>
    <row r="15" spans="1:12" x14ac:dyDescent="0.2">
      <c r="A15" s="65" t="s">
        <v>595</v>
      </c>
      <c r="B15" s="66"/>
      <c r="C15" s="66"/>
      <c r="D15" s="66"/>
      <c r="E15" s="66"/>
      <c r="F15" s="66"/>
      <c r="G15" s="66"/>
      <c r="H15" s="66"/>
      <c r="I15" s="66"/>
      <c r="J15" s="66"/>
      <c r="K15" s="68">
        <f>prijsjaarglas1</f>
        <v>0</v>
      </c>
      <c r="L15" s="116">
        <f>K15/12</f>
        <v>0</v>
      </c>
    </row>
  </sheetData>
  <sheetProtection algorithmName="SHA-512" hashValue="cj15+5w/kd5tpXU8/BvdwKqyoTZdlh9Y5eKInFHc25faP38kptQjiOiNvPqcU2VYho+uPx0EnsJAgt+L/lHdQg==" saltValue="+lr4prEfRyYKFSfPrhKAp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FE7F-6A23-4928-9AB8-8AD66BD3821B}">
  <dimension ref="A1:D13"/>
  <sheetViews>
    <sheetView workbookViewId="0">
      <selection activeCell="J10" sqref="J10"/>
    </sheetView>
  </sheetViews>
  <sheetFormatPr defaultRowHeight="12.75" x14ac:dyDescent="0.2"/>
  <cols>
    <col min="1" max="1" width="30.625" customWidth="1"/>
    <col min="2" max="4" width="20.625" customWidth="1"/>
  </cols>
  <sheetData>
    <row r="1" spans="1:4" x14ac:dyDescent="0.2">
      <c r="A1" s="1" t="str">
        <f>CONCATENATE("Bijlage F.2.13: ",tabeltype," totaalblad schoonmaakwerk")</f>
        <v>Bijlage F.2.13: Invultabel totaalblad schoonmaakwerk</v>
      </c>
    </row>
    <row r="3" spans="1:4" ht="25.5" x14ac:dyDescent="0.2">
      <c r="A3" s="30" t="s">
        <v>596</v>
      </c>
      <c r="B3" s="30" t="s">
        <v>597</v>
      </c>
      <c r="C3" s="30" t="s">
        <v>598</v>
      </c>
      <c r="D3" s="30" t="s">
        <v>599</v>
      </c>
    </row>
    <row r="4" spans="1:4" x14ac:dyDescent="0.2">
      <c r="A4" s="128" t="s">
        <v>600</v>
      </c>
      <c r="B4" s="58">
        <f>urenjaartotaaloverzicht</f>
        <v>0</v>
      </c>
      <c r="C4" s="45">
        <f>prijsjaartotaaloverzicht</f>
        <v>0</v>
      </c>
      <c r="D4" s="45">
        <f>C4*1.21</f>
        <v>0</v>
      </c>
    </row>
    <row r="5" spans="1:4" x14ac:dyDescent="0.2">
      <c r="A5" s="129" t="s">
        <v>601</v>
      </c>
      <c r="B5" s="125"/>
      <c r="C5" s="50">
        <f>prijsjaaradditioneel</f>
        <v>0</v>
      </c>
      <c r="D5" s="50">
        <f>C5*1.21</f>
        <v>0</v>
      </c>
    </row>
    <row r="6" spans="1:4" ht="25.5" x14ac:dyDescent="0.2">
      <c r="A6" s="129" t="s">
        <v>602</v>
      </c>
      <c r="B6" s="125"/>
      <c r="C6" s="50">
        <f>prijsjaarafroep</f>
        <v>0</v>
      </c>
      <c r="D6" s="50">
        <f>C6*1.21</f>
        <v>0</v>
      </c>
    </row>
    <row r="7" spans="1:4" x14ac:dyDescent="0.2">
      <c r="A7" s="129" t="s">
        <v>603</v>
      </c>
      <c r="B7" s="125"/>
      <c r="C7" s="50">
        <f>prijsjaarregie</f>
        <v>0</v>
      </c>
      <c r="D7" s="50">
        <f>C7*1.21</f>
        <v>0</v>
      </c>
    </row>
    <row r="8" spans="1:4" x14ac:dyDescent="0.2">
      <c r="A8" s="130" t="s">
        <v>604</v>
      </c>
      <c r="B8" s="127"/>
      <c r="C8" s="55">
        <f>prijsjaarglas</f>
        <v>0</v>
      </c>
      <c r="D8" s="55">
        <f>C8*1.21</f>
        <v>0</v>
      </c>
    </row>
    <row r="10" spans="1:4" x14ac:dyDescent="0.2">
      <c r="A10" s="30" t="s">
        <v>605</v>
      </c>
      <c r="B10" s="67">
        <f>SUM(B4:B8)</f>
        <v>0</v>
      </c>
      <c r="C10" s="68">
        <f>SUM(C4:C8)</f>
        <v>0</v>
      </c>
      <c r="D10" s="68">
        <f>C10*1.21</f>
        <v>0</v>
      </c>
    </row>
    <row r="13" spans="1:4" x14ac:dyDescent="0.2">
      <c r="A13" s="131" t="s">
        <v>606</v>
      </c>
      <c r="B13" s="67"/>
      <c r="C13" s="132">
        <f>ROUND(SUM(vp_additioneel,vp_afroep,vp_regie,vp_glas),2)</f>
        <v>0</v>
      </c>
      <c r="D13" s="106"/>
    </row>
  </sheetData>
  <sheetProtection algorithmName="SHA-512" hashValue="Gnc/E9LSYii7dBmeZbcwUTBbKWcOixfpGAKVUrzWXc9sE6T67trkGCfNUzf2P2kiBImw13OAp3DHmZ6qFO0stQ==" saltValue="VgKZbGV9gVu5aaP91TWv4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FB52-7792-46BC-86C0-C0AC5E50815C}">
  <dimension ref="A1:Q61"/>
  <sheetViews>
    <sheetView workbookViewId="0"/>
  </sheetViews>
  <sheetFormatPr defaultRowHeight="12.75" x14ac:dyDescent="0.2"/>
  <cols>
    <col min="1" max="1" width="40.625" customWidth="1"/>
    <col min="2" max="2" width="8.125" customWidth="1"/>
    <col min="3" max="3" width="10.625" customWidth="1"/>
    <col min="4" max="4" width="8.125" customWidth="1"/>
    <col min="5" max="5" width="10.625" customWidth="1"/>
    <col min="6" max="6" width="8.125" customWidth="1"/>
    <col min="7" max="7" width="10.625" customWidth="1"/>
    <col min="8" max="8" width="8.125" customWidth="1"/>
    <col min="9" max="9" width="10.625" customWidth="1"/>
    <col min="10" max="10" width="8.125" customWidth="1"/>
    <col min="11" max="11" width="10.625" customWidth="1"/>
    <col min="12" max="12" width="8.125" customWidth="1"/>
    <col min="13" max="13" width="10.625" customWidth="1"/>
    <col min="14" max="14" width="8.125" customWidth="1"/>
    <col min="15" max="15" width="10.625" customWidth="1"/>
    <col min="16" max="16" width="8.125" customWidth="1"/>
    <col min="17" max="17" width="10.625" customWidth="1"/>
  </cols>
  <sheetData>
    <row r="1" spans="1:17" x14ac:dyDescent="0.2">
      <c r="A1" s="1" t="s">
        <v>26</v>
      </c>
    </row>
    <row r="3" spans="1:17" x14ac:dyDescent="0.2">
      <c r="A3" s="10"/>
      <c r="B3" s="145" t="s">
        <v>27</v>
      </c>
      <c r="C3" s="145"/>
      <c r="D3" s="145" t="s">
        <v>27</v>
      </c>
      <c r="E3" s="145"/>
      <c r="F3" s="145" t="s">
        <v>27</v>
      </c>
      <c r="G3" s="145"/>
      <c r="H3" s="145" t="s">
        <v>27</v>
      </c>
      <c r="I3" s="145"/>
      <c r="J3" s="145" t="s">
        <v>27</v>
      </c>
      <c r="K3" s="145"/>
      <c r="L3" s="145" t="s">
        <v>28</v>
      </c>
      <c r="M3" s="145"/>
      <c r="N3" s="145" t="s">
        <v>28</v>
      </c>
      <c r="O3" s="145"/>
      <c r="P3" s="145" t="s">
        <v>28</v>
      </c>
      <c r="Q3" s="146"/>
    </row>
    <row r="4" spans="1:17" x14ac:dyDescent="0.2">
      <c r="A4" s="11"/>
      <c r="B4" s="147" t="s">
        <v>29</v>
      </c>
      <c r="C4" s="147"/>
      <c r="D4" s="147" t="s">
        <v>29</v>
      </c>
      <c r="E4" s="147"/>
      <c r="F4" s="147" t="s">
        <v>29</v>
      </c>
      <c r="G4" s="147"/>
      <c r="H4" s="147" t="s">
        <v>30</v>
      </c>
      <c r="I4" s="147"/>
      <c r="J4" s="147" t="s">
        <v>30</v>
      </c>
      <c r="K4" s="147"/>
      <c r="L4" s="147" t="s">
        <v>29</v>
      </c>
      <c r="M4" s="147"/>
      <c r="N4" s="147" t="s">
        <v>29</v>
      </c>
      <c r="O4" s="147"/>
      <c r="P4" s="147" t="s">
        <v>30</v>
      </c>
      <c r="Q4" s="148"/>
    </row>
    <row r="5" spans="1:17" ht="25.5" customHeight="1" x14ac:dyDescent="0.2">
      <c r="A5" s="14" t="s">
        <v>31</v>
      </c>
      <c r="B5" s="141" t="s">
        <v>32</v>
      </c>
      <c r="C5" s="141"/>
      <c r="D5" s="141" t="s">
        <v>32</v>
      </c>
      <c r="E5" s="141"/>
      <c r="F5" s="141" t="s">
        <v>33</v>
      </c>
      <c r="G5" s="141"/>
      <c r="H5" s="141" t="s">
        <v>34</v>
      </c>
      <c r="I5" s="141"/>
      <c r="J5" s="141" t="s">
        <v>34</v>
      </c>
      <c r="K5" s="141"/>
      <c r="L5" s="141" t="s">
        <v>35</v>
      </c>
      <c r="M5" s="141"/>
      <c r="N5" s="141" t="s">
        <v>35</v>
      </c>
      <c r="O5" s="141"/>
      <c r="P5" s="141" t="s">
        <v>36</v>
      </c>
      <c r="Q5" s="142"/>
    </row>
    <row r="6" spans="1:17" ht="38.25" customHeight="1" x14ac:dyDescent="0.2">
      <c r="A6" s="15" t="s">
        <v>37</v>
      </c>
      <c r="B6" s="141" t="s">
        <v>38</v>
      </c>
      <c r="C6" s="141"/>
      <c r="D6" s="143" t="s">
        <v>39</v>
      </c>
      <c r="E6" s="143"/>
      <c r="F6" s="141" t="s">
        <v>40</v>
      </c>
      <c r="G6" s="141"/>
      <c r="H6" s="141" t="s">
        <v>40</v>
      </c>
      <c r="I6" s="141"/>
      <c r="J6" s="141" t="s">
        <v>41</v>
      </c>
      <c r="K6" s="141"/>
      <c r="L6" s="143" t="s">
        <v>39</v>
      </c>
      <c r="M6" s="143"/>
      <c r="N6" s="141" t="s">
        <v>42</v>
      </c>
      <c r="O6" s="141"/>
      <c r="P6" s="143" t="s">
        <v>39</v>
      </c>
      <c r="Q6" s="144"/>
    </row>
    <row r="7" spans="1:17" x14ac:dyDescent="0.2">
      <c r="A7" s="16" t="s">
        <v>43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40"/>
    </row>
    <row r="8" spans="1:17" x14ac:dyDescent="0.2">
      <c r="A8" s="16" t="s">
        <v>44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40"/>
    </row>
    <row r="9" spans="1:17" x14ac:dyDescent="0.2">
      <c r="A9" s="11" t="s">
        <v>45</v>
      </c>
      <c r="B9" s="137">
        <f>SUM(B7:B8)</f>
        <v>0</v>
      </c>
      <c r="C9" s="137"/>
      <c r="D9" s="137">
        <f>SUM(D7:D8)</f>
        <v>0</v>
      </c>
      <c r="E9" s="137"/>
      <c r="F9" s="137">
        <f>SUM(F7:F8)</f>
        <v>0</v>
      </c>
      <c r="G9" s="137"/>
      <c r="H9" s="137">
        <f>SUM(H7:H8)</f>
        <v>0</v>
      </c>
      <c r="I9" s="137"/>
      <c r="J9" s="137">
        <f>SUM(J7:J8)</f>
        <v>0</v>
      </c>
      <c r="K9" s="137"/>
      <c r="L9" s="137">
        <f>SUM(L7:L8)</f>
        <v>0</v>
      </c>
      <c r="M9" s="137"/>
      <c r="N9" s="137">
        <f>SUM(N7:N8)</f>
        <v>0</v>
      </c>
      <c r="O9" s="137"/>
      <c r="P9" s="137">
        <f>SUM(P7:P8)</f>
        <v>0</v>
      </c>
      <c r="Q9" s="138"/>
    </row>
    <row r="10" spans="1:17" x14ac:dyDescent="0.2">
      <c r="A10" s="16" t="s">
        <v>46</v>
      </c>
      <c r="B10" s="19"/>
      <c r="C10" s="17">
        <f>TariefOpbouwBasisloon1*B10</f>
        <v>0</v>
      </c>
      <c r="D10" s="19"/>
      <c r="E10" s="17">
        <f>TariefOpbouwBasisloon2*D10</f>
        <v>0</v>
      </c>
      <c r="F10" s="19"/>
      <c r="G10" s="17">
        <f>TariefOpbouwBasisloon3*F10</f>
        <v>0</v>
      </c>
      <c r="H10" s="19"/>
      <c r="I10" s="17">
        <f>TariefOpbouwBasisloon4*H10</f>
        <v>0</v>
      </c>
      <c r="J10" s="19"/>
      <c r="K10" s="17">
        <f>TariefOpbouwBasisloon5*J10</f>
        <v>0</v>
      </c>
      <c r="L10" s="19"/>
      <c r="M10" s="17">
        <f>TariefOpbouwBasisloon6*L10</f>
        <v>0</v>
      </c>
      <c r="N10" s="19"/>
      <c r="O10" s="17">
        <f>TariefOpbouwBasisloon7*N10</f>
        <v>0</v>
      </c>
      <c r="P10" s="19"/>
      <c r="Q10" s="18">
        <f>TariefOpbouwBasisloon8*P10</f>
        <v>0</v>
      </c>
    </row>
    <row r="11" spans="1:17" x14ac:dyDescent="0.2">
      <c r="A11" s="16" t="s">
        <v>47</v>
      </c>
      <c r="B11" s="19"/>
      <c r="C11" s="17">
        <f>TariefOpbouwBasisloon1*B11</f>
        <v>0</v>
      </c>
      <c r="D11" s="19"/>
      <c r="E11" s="17">
        <f>TariefOpbouwBasisloon2*D11</f>
        <v>0</v>
      </c>
      <c r="F11" s="19"/>
      <c r="G11" s="17">
        <f>TariefOpbouwBasisloon3*F11</f>
        <v>0</v>
      </c>
      <c r="H11" s="19"/>
      <c r="I11" s="17">
        <f>TariefOpbouwBasisloon4*H11</f>
        <v>0</v>
      </c>
      <c r="J11" s="19"/>
      <c r="K11" s="17">
        <f>TariefOpbouwBasisloon5*J11</f>
        <v>0</v>
      </c>
      <c r="L11" s="19"/>
      <c r="M11" s="17">
        <f>TariefOpbouwBasisloon6*L11</f>
        <v>0</v>
      </c>
      <c r="N11" s="19"/>
      <c r="O11" s="17">
        <f>TariefOpbouwBasisloon7*N11</f>
        <v>0</v>
      </c>
      <c r="P11" s="19"/>
      <c r="Q11" s="18">
        <f>TariefOpbouwBasisloon8*P11</f>
        <v>0</v>
      </c>
    </row>
    <row r="12" spans="1:17" x14ac:dyDescent="0.2">
      <c r="A12" s="11" t="s">
        <v>48</v>
      </c>
      <c r="B12" s="137">
        <f>SUM(TariefOpbouwBasisloon1,C10:C11)</f>
        <v>0</v>
      </c>
      <c r="C12" s="137"/>
      <c r="D12" s="137">
        <f>SUM(TariefOpbouwBasisloon2,E10:E11)</f>
        <v>0</v>
      </c>
      <c r="E12" s="137"/>
      <c r="F12" s="137">
        <f>SUM(TariefOpbouwBasisloon3,G10:G11)</f>
        <v>0</v>
      </c>
      <c r="G12" s="137"/>
      <c r="H12" s="137">
        <f>SUM(TariefOpbouwBasisloon4,I10:I11)</f>
        <v>0</v>
      </c>
      <c r="I12" s="137"/>
      <c r="J12" s="137">
        <f>SUM(TariefOpbouwBasisloon5,K10:K11)</f>
        <v>0</v>
      </c>
      <c r="K12" s="137"/>
      <c r="L12" s="137">
        <f>SUM(TariefOpbouwBasisloon6,M10:M11)</f>
        <v>0</v>
      </c>
      <c r="M12" s="137"/>
      <c r="N12" s="137">
        <f>SUM(TariefOpbouwBasisloon7,O10:O11)</f>
        <v>0</v>
      </c>
      <c r="O12" s="137"/>
      <c r="P12" s="137">
        <f>SUM(TariefOpbouwBasisloon8,Q10:Q11)</f>
        <v>0</v>
      </c>
      <c r="Q12" s="138"/>
    </row>
    <row r="13" spans="1:17" x14ac:dyDescent="0.2">
      <c r="A13" s="16" t="s">
        <v>49</v>
      </c>
      <c r="B13" s="19"/>
      <c r="C13" s="17">
        <f>TariefOpbouwUurloon1*B13</f>
        <v>0</v>
      </c>
      <c r="D13" s="19"/>
      <c r="E13" s="17">
        <f>TariefOpbouwUurloon2*D13</f>
        <v>0</v>
      </c>
      <c r="F13" s="19"/>
      <c r="G13" s="17">
        <f>TariefOpbouwUurloon3*F13</f>
        <v>0</v>
      </c>
      <c r="H13" s="19"/>
      <c r="I13" s="17">
        <f>TariefOpbouwUurloon4*H13</f>
        <v>0</v>
      </c>
      <c r="J13" s="19"/>
      <c r="K13" s="17">
        <f>TariefOpbouwUurloon5*J13</f>
        <v>0</v>
      </c>
      <c r="L13" s="19"/>
      <c r="M13" s="17">
        <f>TariefOpbouwUurloon6*L13</f>
        <v>0</v>
      </c>
      <c r="N13" s="19"/>
      <c r="O13" s="17">
        <f>TariefOpbouwUurloon7*N13</f>
        <v>0</v>
      </c>
      <c r="P13" s="19"/>
      <c r="Q13" s="18">
        <f>TariefOpbouwUurloon8*P13</f>
        <v>0</v>
      </c>
    </row>
    <row r="14" spans="1:17" x14ac:dyDescent="0.2">
      <c r="A14" s="11" t="s">
        <v>50</v>
      </c>
      <c r="B14" s="137">
        <f>SUM(TariefOpbouwUurloon1,C13:C13)</f>
        <v>0</v>
      </c>
      <c r="C14" s="137"/>
      <c r="D14" s="137">
        <f>SUM(TariefOpbouwUurloon2,E13:E13)</f>
        <v>0</v>
      </c>
      <c r="E14" s="137"/>
      <c r="F14" s="137">
        <f>SUM(TariefOpbouwUurloon3,G13:G13)</f>
        <v>0</v>
      </c>
      <c r="G14" s="137"/>
      <c r="H14" s="137">
        <f>SUM(TariefOpbouwUurloon4,I13:I13)</f>
        <v>0</v>
      </c>
      <c r="I14" s="137"/>
      <c r="J14" s="137">
        <f>SUM(TariefOpbouwUurloon5,K13:K13)</f>
        <v>0</v>
      </c>
      <c r="K14" s="137"/>
      <c r="L14" s="137">
        <f>SUM(TariefOpbouwUurloon6,M13:M13)</f>
        <v>0</v>
      </c>
      <c r="M14" s="137"/>
      <c r="N14" s="137">
        <f>SUM(TariefOpbouwUurloon7,O13:O13)</f>
        <v>0</v>
      </c>
      <c r="O14" s="137"/>
      <c r="P14" s="137">
        <f>SUM(TariefOpbouwUurloon8,Q13:Q13)</f>
        <v>0</v>
      </c>
      <c r="Q14" s="138"/>
    </row>
    <row r="15" spans="1:17" x14ac:dyDescent="0.2">
      <c r="A15" s="16" t="s">
        <v>51</v>
      </c>
      <c r="B15" s="19"/>
      <c r="C15" s="17">
        <f>TariefOpbouwUurloonkosten1*B15</f>
        <v>0</v>
      </c>
      <c r="D15" s="19"/>
      <c r="E15" s="17">
        <f>TariefOpbouwUurloonkosten2*D15</f>
        <v>0</v>
      </c>
      <c r="F15" s="19"/>
      <c r="G15" s="17">
        <f>TariefOpbouwUurloonkosten3*F15</f>
        <v>0</v>
      </c>
      <c r="H15" s="19"/>
      <c r="I15" s="17">
        <f>TariefOpbouwUurloonkosten4*H15</f>
        <v>0</v>
      </c>
      <c r="J15" s="19"/>
      <c r="K15" s="17">
        <f>TariefOpbouwUurloonkosten5*J15</f>
        <v>0</v>
      </c>
      <c r="L15" s="19"/>
      <c r="M15" s="17">
        <f>TariefOpbouwUurloonkosten6*L15</f>
        <v>0</v>
      </c>
      <c r="N15" s="19"/>
      <c r="O15" s="17">
        <f>TariefOpbouwUurloonkosten7*N15</f>
        <v>0</v>
      </c>
      <c r="P15" s="19"/>
      <c r="Q15" s="18">
        <f>TariefOpbouwUurloonkosten8*P15</f>
        <v>0</v>
      </c>
    </row>
    <row r="16" spans="1:17" x14ac:dyDescent="0.2">
      <c r="A16" s="16" t="s">
        <v>52</v>
      </c>
      <c r="B16" s="19"/>
      <c r="C16" s="17">
        <f>TariefOpbouwUurloonkosten1*B16</f>
        <v>0</v>
      </c>
      <c r="D16" s="19"/>
      <c r="E16" s="17">
        <f>TariefOpbouwUurloonkosten2*D16</f>
        <v>0</v>
      </c>
      <c r="F16" s="19"/>
      <c r="G16" s="17">
        <f>TariefOpbouwUurloonkosten3*F16</f>
        <v>0</v>
      </c>
      <c r="H16" s="19"/>
      <c r="I16" s="17">
        <f>TariefOpbouwUurloonkosten4*H16</f>
        <v>0</v>
      </c>
      <c r="J16" s="19"/>
      <c r="K16" s="17">
        <f>TariefOpbouwUurloonkosten5*J16</f>
        <v>0</v>
      </c>
      <c r="L16" s="19"/>
      <c r="M16" s="17">
        <f>TariefOpbouwUurloonkosten6*L16</f>
        <v>0</v>
      </c>
      <c r="N16" s="19"/>
      <c r="O16" s="17">
        <f>TariefOpbouwUurloonkosten7*N16</f>
        <v>0</v>
      </c>
      <c r="P16" s="19"/>
      <c r="Q16" s="18">
        <f>TariefOpbouwUurloonkosten8*P16</f>
        <v>0</v>
      </c>
    </row>
    <row r="17" spans="1:17" x14ac:dyDescent="0.2">
      <c r="A17" s="16" t="s">
        <v>53</v>
      </c>
      <c r="B17" s="19"/>
      <c r="C17" s="17">
        <f>TariefOpbouwUurloonkosten1*B17</f>
        <v>0</v>
      </c>
      <c r="D17" s="19"/>
      <c r="E17" s="17">
        <f>TariefOpbouwUurloonkosten2*D17</f>
        <v>0</v>
      </c>
      <c r="F17" s="19"/>
      <c r="G17" s="17">
        <f>TariefOpbouwUurloonkosten3*F17</f>
        <v>0</v>
      </c>
      <c r="H17" s="19"/>
      <c r="I17" s="17">
        <f>TariefOpbouwUurloonkosten4*H17</f>
        <v>0</v>
      </c>
      <c r="J17" s="19"/>
      <c r="K17" s="17">
        <f>TariefOpbouwUurloonkosten5*J17</f>
        <v>0</v>
      </c>
      <c r="L17" s="19"/>
      <c r="M17" s="17">
        <f>TariefOpbouwUurloonkosten6*L17</f>
        <v>0</v>
      </c>
      <c r="N17" s="19"/>
      <c r="O17" s="17">
        <f>TariefOpbouwUurloonkosten7*N17</f>
        <v>0</v>
      </c>
      <c r="P17" s="19"/>
      <c r="Q17" s="18">
        <f>TariefOpbouwUurloonkosten8*P17</f>
        <v>0</v>
      </c>
    </row>
    <row r="18" spans="1:17" x14ac:dyDescent="0.2">
      <c r="A18" s="16" t="s">
        <v>54</v>
      </c>
      <c r="B18" s="19"/>
      <c r="C18" s="17">
        <f>TariefOpbouwUurloonkosten1*B18</f>
        <v>0</v>
      </c>
      <c r="D18" s="19"/>
      <c r="E18" s="17">
        <f>TariefOpbouwUurloonkosten2*D18</f>
        <v>0</v>
      </c>
      <c r="F18" s="19"/>
      <c r="G18" s="17">
        <f>TariefOpbouwUurloonkosten3*F18</f>
        <v>0</v>
      </c>
      <c r="H18" s="19"/>
      <c r="I18" s="17">
        <f>TariefOpbouwUurloonkosten4*H18</f>
        <v>0</v>
      </c>
      <c r="J18" s="19"/>
      <c r="K18" s="17">
        <f>TariefOpbouwUurloonkosten5*J18</f>
        <v>0</v>
      </c>
      <c r="L18" s="19"/>
      <c r="M18" s="17">
        <f>TariefOpbouwUurloonkosten6*L18</f>
        <v>0</v>
      </c>
      <c r="N18" s="19"/>
      <c r="O18" s="17">
        <f>TariefOpbouwUurloonkosten7*N18</f>
        <v>0</v>
      </c>
      <c r="P18" s="19"/>
      <c r="Q18" s="18">
        <f>TariefOpbouwUurloonkosten8*P18</f>
        <v>0</v>
      </c>
    </row>
    <row r="19" spans="1:17" x14ac:dyDescent="0.2">
      <c r="A19" s="11" t="s">
        <v>55</v>
      </c>
      <c r="B19" s="137">
        <f>SUM(TariefOpbouwUurloonkosten1,C15:C18)</f>
        <v>0</v>
      </c>
      <c r="C19" s="137"/>
      <c r="D19" s="137">
        <f>SUM(TariefOpbouwUurloonkosten2,E15:E18)</f>
        <v>0</v>
      </c>
      <c r="E19" s="137"/>
      <c r="F19" s="137">
        <f>SUM(TariefOpbouwUurloonkosten3,G15:G18)</f>
        <v>0</v>
      </c>
      <c r="G19" s="137"/>
      <c r="H19" s="137">
        <f>SUM(TariefOpbouwUurloonkosten4,I15:I18)</f>
        <v>0</v>
      </c>
      <c r="I19" s="137"/>
      <c r="J19" s="137">
        <f>SUM(TariefOpbouwUurloonkosten5,K15:K18)</f>
        <v>0</v>
      </c>
      <c r="K19" s="137"/>
      <c r="L19" s="137">
        <f>SUM(TariefOpbouwUurloonkosten6,M15:M18)</f>
        <v>0</v>
      </c>
      <c r="M19" s="137"/>
      <c r="N19" s="137">
        <f>SUM(TariefOpbouwUurloonkosten7,O15:O18)</f>
        <v>0</v>
      </c>
      <c r="O19" s="137"/>
      <c r="P19" s="137">
        <f>SUM(TariefOpbouwUurloonkosten8,Q15:Q18)</f>
        <v>0</v>
      </c>
      <c r="Q19" s="138"/>
    </row>
    <row r="20" spans="1:17" x14ac:dyDescent="0.2">
      <c r="A20" s="16" t="s">
        <v>56</v>
      </c>
      <c r="B20" s="19"/>
      <c r="C20" s="17">
        <f t="shared" ref="C20:C25" si="0">TariefOpbouwTotaalLoonkosten1*B20</f>
        <v>0</v>
      </c>
      <c r="D20" s="19"/>
      <c r="E20" s="17">
        <f t="shared" ref="E20:E25" si="1">TariefOpbouwTotaalLoonkosten2*D20</f>
        <v>0</v>
      </c>
      <c r="F20" s="19"/>
      <c r="G20" s="17">
        <f t="shared" ref="G20:G25" si="2">TariefOpbouwTotaalLoonkosten3*F20</f>
        <v>0</v>
      </c>
      <c r="H20" s="19"/>
      <c r="I20" s="17">
        <f t="shared" ref="I20:I25" si="3">TariefOpbouwTotaalLoonkosten4*H20</f>
        <v>0</v>
      </c>
      <c r="J20" s="19"/>
      <c r="K20" s="17">
        <f t="shared" ref="K20:K25" si="4">TariefOpbouwTotaalLoonkosten5*J20</f>
        <v>0</v>
      </c>
      <c r="L20" s="19"/>
      <c r="M20" s="17">
        <f t="shared" ref="M20:M25" si="5">TariefOpbouwTotaalLoonkosten6*L20</f>
        <v>0</v>
      </c>
      <c r="N20" s="19"/>
      <c r="O20" s="17">
        <f t="shared" ref="O20:O25" si="6">TariefOpbouwTotaalLoonkosten7*N20</f>
        <v>0</v>
      </c>
      <c r="P20" s="19"/>
      <c r="Q20" s="18">
        <f t="shared" ref="Q20:Q25" si="7">TariefOpbouwTotaalLoonkosten8*P20</f>
        <v>0</v>
      </c>
    </row>
    <row r="21" spans="1:17" x14ac:dyDescent="0.2">
      <c r="A21" s="16" t="s">
        <v>57</v>
      </c>
      <c r="B21" s="19"/>
      <c r="C21" s="17">
        <f t="shared" si="0"/>
        <v>0</v>
      </c>
      <c r="D21" s="19"/>
      <c r="E21" s="17">
        <f t="shared" si="1"/>
        <v>0</v>
      </c>
      <c r="F21" s="19"/>
      <c r="G21" s="17">
        <f t="shared" si="2"/>
        <v>0</v>
      </c>
      <c r="H21" s="19"/>
      <c r="I21" s="17">
        <f t="shared" si="3"/>
        <v>0</v>
      </c>
      <c r="J21" s="19"/>
      <c r="K21" s="17">
        <f t="shared" si="4"/>
        <v>0</v>
      </c>
      <c r="L21" s="19"/>
      <c r="M21" s="17">
        <f t="shared" si="5"/>
        <v>0</v>
      </c>
      <c r="N21" s="19"/>
      <c r="O21" s="17">
        <f t="shared" si="6"/>
        <v>0</v>
      </c>
      <c r="P21" s="19"/>
      <c r="Q21" s="18">
        <f t="shared" si="7"/>
        <v>0</v>
      </c>
    </row>
    <row r="22" spans="1:17" x14ac:dyDescent="0.2">
      <c r="A22" s="16" t="s">
        <v>58</v>
      </c>
      <c r="B22" s="19"/>
      <c r="C22" s="17">
        <f t="shared" si="0"/>
        <v>0</v>
      </c>
      <c r="D22" s="19"/>
      <c r="E22" s="17">
        <f t="shared" si="1"/>
        <v>0</v>
      </c>
      <c r="F22" s="19"/>
      <c r="G22" s="17">
        <f t="shared" si="2"/>
        <v>0</v>
      </c>
      <c r="H22" s="19"/>
      <c r="I22" s="17">
        <f t="shared" si="3"/>
        <v>0</v>
      </c>
      <c r="J22" s="19"/>
      <c r="K22" s="17">
        <f t="shared" si="4"/>
        <v>0</v>
      </c>
      <c r="L22" s="19"/>
      <c r="M22" s="17">
        <f t="shared" si="5"/>
        <v>0</v>
      </c>
      <c r="N22" s="19"/>
      <c r="O22" s="17">
        <f t="shared" si="6"/>
        <v>0</v>
      </c>
      <c r="P22" s="19"/>
      <c r="Q22" s="18">
        <f t="shared" si="7"/>
        <v>0</v>
      </c>
    </row>
    <row r="23" spans="1:17" x14ac:dyDescent="0.2">
      <c r="A23" s="16" t="s">
        <v>59</v>
      </c>
      <c r="B23" s="19"/>
      <c r="C23" s="17">
        <f t="shared" si="0"/>
        <v>0</v>
      </c>
      <c r="D23" s="19"/>
      <c r="E23" s="17">
        <f t="shared" si="1"/>
        <v>0</v>
      </c>
      <c r="F23" s="19"/>
      <c r="G23" s="17">
        <f t="shared" si="2"/>
        <v>0</v>
      </c>
      <c r="H23" s="19"/>
      <c r="I23" s="17">
        <f t="shared" si="3"/>
        <v>0</v>
      </c>
      <c r="J23" s="19"/>
      <c r="K23" s="17">
        <f t="shared" si="4"/>
        <v>0</v>
      </c>
      <c r="L23" s="19"/>
      <c r="M23" s="17">
        <f t="shared" si="5"/>
        <v>0</v>
      </c>
      <c r="N23" s="19"/>
      <c r="O23" s="17">
        <f t="shared" si="6"/>
        <v>0</v>
      </c>
      <c r="P23" s="19"/>
      <c r="Q23" s="18">
        <f t="shared" si="7"/>
        <v>0</v>
      </c>
    </row>
    <row r="24" spans="1:17" x14ac:dyDescent="0.2">
      <c r="A24" s="16" t="s">
        <v>60</v>
      </c>
      <c r="B24" s="19"/>
      <c r="C24" s="17">
        <f t="shared" si="0"/>
        <v>0</v>
      </c>
      <c r="D24" s="19"/>
      <c r="E24" s="17">
        <f t="shared" si="1"/>
        <v>0</v>
      </c>
      <c r="F24" s="19"/>
      <c r="G24" s="17">
        <f t="shared" si="2"/>
        <v>0</v>
      </c>
      <c r="H24" s="19"/>
      <c r="I24" s="17">
        <f t="shared" si="3"/>
        <v>0</v>
      </c>
      <c r="J24" s="19"/>
      <c r="K24" s="17">
        <f t="shared" si="4"/>
        <v>0</v>
      </c>
      <c r="L24" s="19"/>
      <c r="M24" s="17">
        <f t="shared" si="5"/>
        <v>0</v>
      </c>
      <c r="N24" s="19"/>
      <c r="O24" s="17">
        <f t="shared" si="6"/>
        <v>0</v>
      </c>
      <c r="P24" s="19"/>
      <c r="Q24" s="18">
        <f t="shared" si="7"/>
        <v>0</v>
      </c>
    </row>
    <row r="25" spans="1:17" x14ac:dyDescent="0.2">
      <c r="A25" s="16" t="s">
        <v>61</v>
      </c>
      <c r="B25" s="19"/>
      <c r="C25" s="17">
        <f t="shared" si="0"/>
        <v>0</v>
      </c>
      <c r="D25" s="19"/>
      <c r="E25" s="17">
        <f t="shared" si="1"/>
        <v>0</v>
      </c>
      <c r="F25" s="19"/>
      <c r="G25" s="17">
        <f t="shared" si="2"/>
        <v>0</v>
      </c>
      <c r="H25" s="19"/>
      <c r="I25" s="17">
        <f t="shared" si="3"/>
        <v>0</v>
      </c>
      <c r="J25" s="19"/>
      <c r="K25" s="17">
        <f t="shared" si="4"/>
        <v>0</v>
      </c>
      <c r="L25" s="19"/>
      <c r="M25" s="17">
        <f t="shared" si="5"/>
        <v>0</v>
      </c>
      <c r="N25" s="19"/>
      <c r="O25" s="17">
        <f t="shared" si="6"/>
        <v>0</v>
      </c>
      <c r="P25" s="19"/>
      <c r="Q25" s="18">
        <f t="shared" si="7"/>
        <v>0</v>
      </c>
    </row>
    <row r="26" spans="1:17" x14ac:dyDescent="0.2">
      <c r="A26" s="11" t="s">
        <v>62</v>
      </c>
      <c r="B26" s="137">
        <f>SUM(TariefOpbouwTotaalLoonkosten1,C20:C25)</f>
        <v>0</v>
      </c>
      <c r="C26" s="137"/>
      <c r="D26" s="137">
        <f>SUM(TariefOpbouwTotaalLoonkosten2,E20:E25)</f>
        <v>0</v>
      </c>
      <c r="E26" s="137"/>
      <c r="F26" s="137">
        <f>SUM(TariefOpbouwTotaalLoonkosten3,G20:G25)</f>
        <v>0</v>
      </c>
      <c r="G26" s="137"/>
      <c r="H26" s="137">
        <f>SUM(TariefOpbouwTotaalLoonkosten4,I20:I25)</f>
        <v>0</v>
      </c>
      <c r="I26" s="137"/>
      <c r="J26" s="137">
        <f>SUM(TariefOpbouwTotaalLoonkosten5,K20:K25)</f>
        <v>0</v>
      </c>
      <c r="K26" s="137"/>
      <c r="L26" s="137">
        <f>SUM(TariefOpbouwTotaalLoonkosten6,M20:M25)</f>
        <v>0</v>
      </c>
      <c r="M26" s="137"/>
      <c r="N26" s="137">
        <f>SUM(TariefOpbouwTotaalLoonkosten7,O20:O25)</f>
        <v>0</v>
      </c>
      <c r="O26" s="137"/>
      <c r="P26" s="137">
        <f>SUM(TariefOpbouwTotaalLoonkosten8,Q20:Q25)</f>
        <v>0</v>
      </c>
      <c r="Q26" s="138"/>
    </row>
    <row r="27" spans="1:17" x14ac:dyDescent="0.2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</row>
    <row r="28" spans="1:17" x14ac:dyDescent="0.2">
      <c r="A28" s="16" t="s">
        <v>63</v>
      </c>
      <c r="B28" s="19"/>
      <c r="C28" s="17">
        <f t="shared" ref="C28:C34" si="8">TariefOpbouwDirecteKosten1*B28</f>
        <v>0</v>
      </c>
      <c r="D28" s="19"/>
      <c r="E28" s="17">
        <f t="shared" ref="E28:E34" si="9">TariefOpbouwDirecteKosten2*D28</f>
        <v>0</v>
      </c>
      <c r="F28" s="19"/>
      <c r="G28" s="17">
        <f t="shared" ref="G28:G34" si="10">TariefOpbouwDirecteKosten3*F28</f>
        <v>0</v>
      </c>
      <c r="H28" s="19"/>
      <c r="I28" s="17">
        <f t="shared" ref="I28:I34" si="11">TariefOpbouwDirecteKosten4*H28</f>
        <v>0</v>
      </c>
      <c r="J28" s="19"/>
      <c r="K28" s="17">
        <f t="shared" ref="K28:K34" si="12">TariefOpbouwDirecteKosten5*J28</f>
        <v>0</v>
      </c>
      <c r="L28" s="19"/>
      <c r="M28" s="17">
        <f t="shared" ref="M28:M34" si="13">TariefOpbouwDirecteKosten6*L28</f>
        <v>0</v>
      </c>
      <c r="N28" s="19"/>
      <c r="O28" s="17">
        <f t="shared" ref="O28:O34" si="14">TariefOpbouwDirecteKosten7*N28</f>
        <v>0</v>
      </c>
      <c r="P28" s="19"/>
      <c r="Q28" s="18">
        <f t="shared" ref="Q28:Q34" si="15">TariefOpbouwDirecteKosten8*P28</f>
        <v>0</v>
      </c>
    </row>
    <row r="29" spans="1:17" x14ac:dyDescent="0.2">
      <c r="A29" s="16" t="s">
        <v>64</v>
      </c>
      <c r="B29" s="19"/>
      <c r="C29" s="17">
        <f t="shared" si="8"/>
        <v>0</v>
      </c>
      <c r="D29" s="19"/>
      <c r="E29" s="17">
        <f t="shared" si="9"/>
        <v>0</v>
      </c>
      <c r="F29" s="19"/>
      <c r="G29" s="17">
        <f t="shared" si="10"/>
        <v>0</v>
      </c>
      <c r="H29" s="19"/>
      <c r="I29" s="17">
        <f t="shared" si="11"/>
        <v>0</v>
      </c>
      <c r="J29" s="19"/>
      <c r="K29" s="17">
        <f t="shared" si="12"/>
        <v>0</v>
      </c>
      <c r="L29" s="19"/>
      <c r="M29" s="17">
        <f t="shared" si="13"/>
        <v>0</v>
      </c>
      <c r="N29" s="19"/>
      <c r="O29" s="17">
        <f t="shared" si="14"/>
        <v>0</v>
      </c>
      <c r="P29" s="19"/>
      <c r="Q29" s="18">
        <f t="shared" si="15"/>
        <v>0</v>
      </c>
    </row>
    <row r="30" spans="1:17" x14ac:dyDescent="0.2">
      <c r="A30" s="16" t="s">
        <v>65</v>
      </c>
      <c r="B30" s="19"/>
      <c r="C30" s="17">
        <f t="shared" si="8"/>
        <v>0</v>
      </c>
      <c r="D30" s="19"/>
      <c r="E30" s="17">
        <f t="shared" si="9"/>
        <v>0</v>
      </c>
      <c r="F30" s="19"/>
      <c r="G30" s="17">
        <f t="shared" si="10"/>
        <v>0</v>
      </c>
      <c r="H30" s="19"/>
      <c r="I30" s="17">
        <f t="shared" si="11"/>
        <v>0</v>
      </c>
      <c r="J30" s="19"/>
      <c r="K30" s="17">
        <f t="shared" si="12"/>
        <v>0</v>
      </c>
      <c r="L30" s="19"/>
      <c r="M30" s="17">
        <f t="shared" si="13"/>
        <v>0</v>
      </c>
      <c r="N30" s="19"/>
      <c r="O30" s="17">
        <f t="shared" si="14"/>
        <v>0</v>
      </c>
      <c r="P30" s="19"/>
      <c r="Q30" s="18">
        <f t="shared" si="15"/>
        <v>0</v>
      </c>
    </row>
    <row r="31" spans="1:17" x14ac:dyDescent="0.2">
      <c r="A31" s="16" t="s">
        <v>66</v>
      </c>
      <c r="B31" s="19"/>
      <c r="C31" s="17">
        <f t="shared" si="8"/>
        <v>0</v>
      </c>
      <c r="D31" s="19"/>
      <c r="E31" s="17">
        <f t="shared" si="9"/>
        <v>0</v>
      </c>
      <c r="F31" s="19"/>
      <c r="G31" s="17">
        <f t="shared" si="10"/>
        <v>0</v>
      </c>
      <c r="H31" s="19"/>
      <c r="I31" s="17">
        <f t="shared" si="11"/>
        <v>0</v>
      </c>
      <c r="J31" s="19"/>
      <c r="K31" s="17">
        <f t="shared" si="12"/>
        <v>0</v>
      </c>
      <c r="L31" s="19"/>
      <c r="M31" s="17">
        <f t="shared" si="13"/>
        <v>0</v>
      </c>
      <c r="N31" s="19"/>
      <c r="O31" s="17">
        <f t="shared" si="14"/>
        <v>0</v>
      </c>
      <c r="P31" s="19"/>
      <c r="Q31" s="18">
        <f t="shared" si="15"/>
        <v>0</v>
      </c>
    </row>
    <row r="32" spans="1:17" x14ac:dyDescent="0.2">
      <c r="A32" s="16" t="s">
        <v>67</v>
      </c>
      <c r="B32" s="19"/>
      <c r="C32" s="17">
        <f t="shared" si="8"/>
        <v>0</v>
      </c>
      <c r="D32" s="19"/>
      <c r="E32" s="17">
        <f t="shared" si="9"/>
        <v>0</v>
      </c>
      <c r="F32" s="19"/>
      <c r="G32" s="17">
        <f t="shared" si="10"/>
        <v>0</v>
      </c>
      <c r="H32" s="19"/>
      <c r="I32" s="17">
        <f t="shared" si="11"/>
        <v>0</v>
      </c>
      <c r="J32" s="19"/>
      <c r="K32" s="17">
        <f t="shared" si="12"/>
        <v>0</v>
      </c>
      <c r="L32" s="19"/>
      <c r="M32" s="17">
        <f t="shared" si="13"/>
        <v>0</v>
      </c>
      <c r="N32" s="19"/>
      <c r="O32" s="17">
        <f t="shared" si="14"/>
        <v>0</v>
      </c>
      <c r="P32" s="19"/>
      <c r="Q32" s="18">
        <f t="shared" si="15"/>
        <v>0</v>
      </c>
    </row>
    <row r="33" spans="1:17" x14ac:dyDescent="0.2">
      <c r="A33" s="16" t="s">
        <v>68</v>
      </c>
      <c r="B33" s="19"/>
      <c r="C33" s="17">
        <f t="shared" si="8"/>
        <v>0</v>
      </c>
      <c r="D33" s="19"/>
      <c r="E33" s="17">
        <f t="shared" si="9"/>
        <v>0</v>
      </c>
      <c r="F33" s="19"/>
      <c r="G33" s="17">
        <f t="shared" si="10"/>
        <v>0</v>
      </c>
      <c r="H33" s="19"/>
      <c r="I33" s="17">
        <f t="shared" si="11"/>
        <v>0</v>
      </c>
      <c r="J33" s="19"/>
      <c r="K33" s="17">
        <f t="shared" si="12"/>
        <v>0</v>
      </c>
      <c r="L33" s="19"/>
      <c r="M33" s="17">
        <f t="shared" si="13"/>
        <v>0</v>
      </c>
      <c r="N33" s="19"/>
      <c r="O33" s="17">
        <f t="shared" si="14"/>
        <v>0</v>
      </c>
      <c r="P33" s="19"/>
      <c r="Q33" s="18">
        <f t="shared" si="15"/>
        <v>0</v>
      </c>
    </row>
    <row r="34" spans="1:17" x14ac:dyDescent="0.2">
      <c r="A34" s="16" t="s">
        <v>69</v>
      </c>
      <c r="B34" s="19"/>
      <c r="C34" s="17">
        <f t="shared" si="8"/>
        <v>0</v>
      </c>
      <c r="D34" s="19"/>
      <c r="E34" s="17">
        <f t="shared" si="9"/>
        <v>0</v>
      </c>
      <c r="F34" s="19"/>
      <c r="G34" s="17">
        <f t="shared" si="10"/>
        <v>0</v>
      </c>
      <c r="H34" s="19"/>
      <c r="I34" s="17">
        <f t="shared" si="11"/>
        <v>0</v>
      </c>
      <c r="J34" s="19"/>
      <c r="K34" s="17">
        <f t="shared" si="12"/>
        <v>0</v>
      </c>
      <c r="L34" s="19"/>
      <c r="M34" s="17">
        <f t="shared" si="13"/>
        <v>0</v>
      </c>
      <c r="N34" s="19"/>
      <c r="O34" s="17">
        <f t="shared" si="14"/>
        <v>0</v>
      </c>
      <c r="P34" s="19"/>
      <c r="Q34" s="18">
        <f t="shared" si="15"/>
        <v>0</v>
      </c>
    </row>
    <row r="35" spans="1:17" x14ac:dyDescent="0.2">
      <c r="A35" s="11" t="s">
        <v>70</v>
      </c>
      <c r="B35" s="137">
        <f>SUM(C28:C34)</f>
        <v>0</v>
      </c>
      <c r="C35" s="137"/>
      <c r="D35" s="137">
        <f>SUM(E28:E34)</f>
        <v>0</v>
      </c>
      <c r="E35" s="137"/>
      <c r="F35" s="137">
        <f>SUM(G28:G34)</f>
        <v>0</v>
      </c>
      <c r="G35" s="137"/>
      <c r="H35" s="137">
        <f>SUM(I28:I34)</f>
        <v>0</v>
      </c>
      <c r="I35" s="137"/>
      <c r="J35" s="137">
        <f>SUM(K28:K34)</f>
        <v>0</v>
      </c>
      <c r="K35" s="137"/>
      <c r="L35" s="137">
        <f>SUM(M28:M34)</f>
        <v>0</v>
      </c>
      <c r="M35" s="137"/>
      <c r="N35" s="137">
        <f>SUM(O28:O34)</f>
        <v>0</v>
      </c>
      <c r="O35" s="137"/>
      <c r="P35" s="137">
        <f>SUM(Q28:Q34)</f>
        <v>0</v>
      </c>
      <c r="Q35" s="138"/>
    </row>
    <row r="36" spans="1:17" x14ac:dyDescent="0.2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2"/>
    </row>
    <row r="37" spans="1:17" x14ac:dyDescent="0.2">
      <c r="A37" s="11" t="s">
        <v>71</v>
      </c>
      <c r="B37" s="19"/>
      <c r="C37" s="17">
        <f>(TariefOpbouwDirecteKosten1+TariefOpbouwIndirecteKosten1)*B37</f>
        <v>0</v>
      </c>
      <c r="D37" s="19"/>
      <c r="E37" s="17">
        <f>(TariefOpbouwDirecteKosten2+TariefOpbouwIndirecteKosten2)*D37</f>
        <v>0</v>
      </c>
      <c r="F37" s="19"/>
      <c r="G37" s="17">
        <f>(TariefOpbouwDirecteKosten3+TariefOpbouwIndirecteKosten3)*F37</f>
        <v>0</v>
      </c>
      <c r="H37" s="19"/>
      <c r="I37" s="17">
        <f>(TariefOpbouwDirecteKosten4+TariefOpbouwIndirecteKosten4)*H37</f>
        <v>0</v>
      </c>
      <c r="J37" s="19"/>
      <c r="K37" s="17">
        <f>(TariefOpbouwDirecteKosten5+TariefOpbouwIndirecteKosten5)*J37</f>
        <v>0</v>
      </c>
      <c r="L37" s="19"/>
      <c r="M37" s="17">
        <f>(TariefOpbouwDirecteKosten6+TariefOpbouwIndirecteKosten6)*L37</f>
        <v>0</v>
      </c>
      <c r="N37" s="19"/>
      <c r="O37" s="17">
        <f>(TariefOpbouwDirecteKosten7+TariefOpbouwIndirecteKosten7)*N37</f>
        <v>0</v>
      </c>
      <c r="P37" s="19"/>
      <c r="Q37" s="18">
        <f>(TariefOpbouwDirecteKosten8+TariefOpbouwIndirecteKosten8)*P37</f>
        <v>0</v>
      </c>
    </row>
    <row r="38" spans="1:17" x14ac:dyDescent="0.2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2"/>
    </row>
    <row r="39" spans="1:17" x14ac:dyDescent="0.2">
      <c r="A39" s="11" t="s">
        <v>72</v>
      </c>
      <c r="B39" s="137">
        <f>TariefOpbouwDirecteKosten1+TariefOpbouwIndirecteKosten1+TariefOpbouwRisicoWinst1</f>
        <v>0</v>
      </c>
      <c r="C39" s="137"/>
      <c r="D39" s="137">
        <f>TariefOpbouwDirecteKosten2+TariefOpbouwIndirecteKosten2+TariefOpbouwRisicoWinst2</f>
        <v>0</v>
      </c>
      <c r="E39" s="137"/>
      <c r="F39" s="137">
        <f>TariefOpbouwDirecteKosten3+TariefOpbouwIndirecteKosten3+TariefOpbouwRisicoWinst3</f>
        <v>0</v>
      </c>
      <c r="G39" s="137"/>
      <c r="H39" s="137">
        <f>TariefOpbouwDirecteKosten4+TariefOpbouwIndirecteKosten4+TariefOpbouwRisicoWinst4</f>
        <v>0</v>
      </c>
      <c r="I39" s="137"/>
      <c r="J39" s="137">
        <f>TariefOpbouwDirecteKosten5+TariefOpbouwIndirecteKosten5+TariefOpbouwRisicoWinst5</f>
        <v>0</v>
      </c>
      <c r="K39" s="137"/>
      <c r="L39" s="137">
        <f>TariefOpbouwDirecteKosten6+TariefOpbouwIndirecteKosten6+TariefOpbouwRisicoWinst6</f>
        <v>0</v>
      </c>
      <c r="M39" s="137"/>
      <c r="N39" s="137">
        <f>TariefOpbouwDirecteKosten7+TariefOpbouwIndirecteKosten7+TariefOpbouwRisicoWinst7</f>
        <v>0</v>
      </c>
      <c r="O39" s="137"/>
      <c r="P39" s="137">
        <f>TariefOpbouwDirecteKosten8+TariefOpbouwIndirecteKosten8+TariefOpbouwRisicoWinst8</f>
        <v>0</v>
      </c>
      <c r="Q39" s="138"/>
    </row>
    <row r="40" spans="1:17" x14ac:dyDescent="0.2">
      <c r="A40" s="11" t="s">
        <v>73</v>
      </c>
      <c r="B40" s="12" t="s">
        <v>74</v>
      </c>
      <c r="C40" s="12" t="s">
        <v>75</v>
      </c>
      <c r="D40" s="12" t="s">
        <v>74</v>
      </c>
      <c r="E40" s="12" t="s">
        <v>75</v>
      </c>
      <c r="F40" s="12" t="s">
        <v>74</v>
      </c>
      <c r="G40" s="12" t="s">
        <v>75</v>
      </c>
      <c r="H40" s="12" t="s">
        <v>74</v>
      </c>
      <c r="I40" s="12" t="s">
        <v>75</v>
      </c>
      <c r="J40" s="12" t="s">
        <v>74</v>
      </c>
      <c r="K40" s="12" t="s">
        <v>75</v>
      </c>
      <c r="L40" s="12" t="s">
        <v>74</v>
      </c>
      <c r="M40" s="12" t="s">
        <v>75</v>
      </c>
      <c r="N40" s="12" t="s">
        <v>74</v>
      </c>
      <c r="O40" s="12" t="s">
        <v>75</v>
      </c>
      <c r="P40" s="12" t="s">
        <v>74</v>
      </c>
      <c r="Q40" s="13" t="s">
        <v>75</v>
      </c>
    </row>
    <row r="41" spans="1:17" x14ac:dyDescent="0.2">
      <c r="A41" s="11" t="s">
        <v>76</v>
      </c>
      <c r="B41" s="23">
        <v>0.3</v>
      </c>
      <c r="C41" s="17">
        <f>((1+B41)*TariefOpbouwTotaalLoonkosten1+TariefOpbouwDirecteKosten1-TariefOpbouwTotaalLoonkosten1+TariefOpbouwIndirecteKosten1)*(1+TariefOpbouwRisicoWinstPercentage1)</f>
        <v>0</v>
      </c>
      <c r="D41" s="23">
        <v>0.3</v>
      </c>
      <c r="E41" s="17">
        <f>((1+D41)*TariefOpbouwTotaalLoonkosten2+TariefOpbouwDirecteKosten2-TariefOpbouwTotaalLoonkosten2+TariefOpbouwIndirecteKosten2)*(1+TariefOpbouwRisicoWinstPercentage2)</f>
        <v>0</v>
      </c>
      <c r="F41" s="23">
        <v>0.3</v>
      </c>
      <c r="G41" s="17">
        <f>((1+F41)*TariefOpbouwTotaalLoonkosten3+TariefOpbouwDirecteKosten3-TariefOpbouwTotaalLoonkosten3+TariefOpbouwIndirecteKosten3)*(1+TariefOpbouwRisicoWinstPercentage3)</f>
        <v>0</v>
      </c>
      <c r="H41" s="23">
        <v>0.3</v>
      </c>
      <c r="I41" s="17">
        <f>((1+H41)*TariefOpbouwTotaalLoonkosten4+TariefOpbouwDirecteKosten4-TariefOpbouwTotaalLoonkosten4+TariefOpbouwIndirecteKosten4)*(1+TariefOpbouwRisicoWinstPercentage4)</f>
        <v>0</v>
      </c>
      <c r="J41" s="23">
        <v>0.3</v>
      </c>
      <c r="K41" s="17">
        <f>((1+J41)*TariefOpbouwTotaalLoonkosten5+TariefOpbouwDirecteKosten5-TariefOpbouwTotaalLoonkosten5+TariefOpbouwIndirecteKosten5)*(1+TariefOpbouwRisicoWinstPercentage5)</f>
        <v>0</v>
      </c>
      <c r="L41" s="23">
        <v>0.3</v>
      </c>
      <c r="M41" s="17">
        <f>((1+L41)*TariefOpbouwTotaalLoonkosten6+TariefOpbouwDirecteKosten6-TariefOpbouwTotaalLoonkosten6+TariefOpbouwIndirecteKosten6)*(1+TariefOpbouwRisicoWinstPercentage6)</f>
        <v>0</v>
      </c>
      <c r="N41" s="23">
        <v>0.3</v>
      </c>
      <c r="O41" s="17">
        <f>((1+N41)*TariefOpbouwTotaalLoonkosten7+TariefOpbouwDirecteKosten7-TariefOpbouwTotaalLoonkosten7+TariefOpbouwIndirecteKosten7)*(1+TariefOpbouwRisicoWinstPercentage7)</f>
        <v>0</v>
      </c>
      <c r="P41" s="23">
        <v>0.3</v>
      </c>
      <c r="Q41" s="18">
        <f>((1+P41)*TariefOpbouwTotaalLoonkosten8+TariefOpbouwDirecteKosten8-TariefOpbouwTotaalLoonkosten8+TariefOpbouwIndirecteKosten8)*(1+TariefOpbouwRisicoWinstPercentage8)</f>
        <v>0</v>
      </c>
    </row>
    <row r="42" spans="1:17" x14ac:dyDescent="0.2">
      <c r="A42" s="11" t="s">
        <v>77</v>
      </c>
      <c r="B42" s="23">
        <v>0.5</v>
      </c>
      <c r="C42" s="17">
        <f>((1+B42)*TariefOpbouwTotaalLoonkosten1+TariefOpbouwDirecteKosten1-TariefOpbouwTotaalLoonkosten1+TariefOpbouwIndirecteKosten1)*(1+TariefOpbouwRisicoWinstPercentage1)</f>
        <v>0</v>
      </c>
      <c r="D42" s="23">
        <v>0.5</v>
      </c>
      <c r="E42" s="17">
        <f>((1+D42)*TariefOpbouwTotaalLoonkosten2+TariefOpbouwDirecteKosten2-TariefOpbouwTotaalLoonkosten2+TariefOpbouwIndirecteKosten2)*(1+TariefOpbouwRisicoWinstPercentage2)</f>
        <v>0</v>
      </c>
      <c r="F42" s="23">
        <v>0.5</v>
      </c>
      <c r="G42" s="17">
        <f>((1+F42)*TariefOpbouwTotaalLoonkosten3+TariefOpbouwDirecteKosten3-TariefOpbouwTotaalLoonkosten3+TariefOpbouwIndirecteKosten3)*(1+TariefOpbouwRisicoWinstPercentage3)</f>
        <v>0</v>
      </c>
      <c r="H42" s="23">
        <v>0.5</v>
      </c>
      <c r="I42" s="17">
        <f>((1+H42)*TariefOpbouwTotaalLoonkosten4+TariefOpbouwDirecteKosten4-TariefOpbouwTotaalLoonkosten4+TariefOpbouwIndirecteKosten4)*(1+TariefOpbouwRisicoWinstPercentage4)</f>
        <v>0</v>
      </c>
      <c r="J42" s="23">
        <v>0.5</v>
      </c>
      <c r="K42" s="17">
        <f>((1+J42)*TariefOpbouwTotaalLoonkosten5+TariefOpbouwDirecteKosten5-TariefOpbouwTotaalLoonkosten5+TariefOpbouwIndirecteKosten5)*(1+TariefOpbouwRisicoWinstPercentage5)</f>
        <v>0</v>
      </c>
      <c r="L42" s="23">
        <v>0.5</v>
      </c>
      <c r="M42" s="17">
        <f>((1+L42)*TariefOpbouwTotaalLoonkosten6+TariefOpbouwDirecteKosten6-TariefOpbouwTotaalLoonkosten6+TariefOpbouwIndirecteKosten6)*(1+TariefOpbouwRisicoWinstPercentage6)</f>
        <v>0</v>
      </c>
      <c r="N42" s="23">
        <v>0.5</v>
      </c>
      <c r="O42" s="17">
        <f>((1+N42)*TariefOpbouwTotaalLoonkosten7+TariefOpbouwDirecteKosten7-TariefOpbouwTotaalLoonkosten7+TariefOpbouwIndirecteKosten7)*(1+TariefOpbouwRisicoWinstPercentage7)</f>
        <v>0</v>
      </c>
      <c r="P42" s="23">
        <v>0.5</v>
      </c>
      <c r="Q42" s="18">
        <f>((1+P42)*TariefOpbouwTotaalLoonkosten8+TariefOpbouwDirecteKosten8-TariefOpbouwTotaalLoonkosten8+TariefOpbouwIndirecteKosten8)*(1+TariefOpbouwRisicoWinstPercentage8)</f>
        <v>0</v>
      </c>
    </row>
    <row r="43" spans="1:17" x14ac:dyDescent="0.2">
      <c r="A43" s="24" t="s">
        <v>78</v>
      </c>
      <c r="B43" s="25">
        <v>1.5</v>
      </c>
      <c r="C43" s="26">
        <f>((1+B43)*TariefOpbouwTotaalLoonkosten1+TariefOpbouwDirecteKosten1-TariefOpbouwTotaalLoonkosten1+TariefOpbouwIndirecteKosten1)*(1+TariefOpbouwRisicoWinstPercentage1)</f>
        <v>0</v>
      </c>
      <c r="D43" s="25">
        <v>1.5</v>
      </c>
      <c r="E43" s="26">
        <f>((1+D43)*TariefOpbouwTotaalLoonkosten2+TariefOpbouwDirecteKosten2-TariefOpbouwTotaalLoonkosten2+TariefOpbouwIndirecteKosten2)*(1+TariefOpbouwRisicoWinstPercentage2)</f>
        <v>0</v>
      </c>
      <c r="F43" s="25">
        <v>1.5</v>
      </c>
      <c r="G43" s="26">
        <f>((1+F43)*TariefOpbouwTotaalLoonkosten3+TariefOpbouwDirecteKosten3-TariefOpbouwTotaalLoonkosten3+TariefOpbouwIndirecteKosten3)*(1+TariefOpbouwRisicoWinstPercentage3)</f>
        <v>0</v>
      </c>
      <c r="H43" s="25">
        <v>1.5</v>
      </c>
      <c r="I43" s="26">
        <f>((1+H43)*TariefOpbouwTotaalLoonkosten4+TariefOpbouwDirecteKosten4-TariefOpbouwTotaalLoonkosten4+TariefOpbouwIndirecteKosten4)*(1+TariefOpbouwRisicoWinstPercentage4)</f>
        <v>0</v>
      </c>
      <c r="J43" s="25">
        <v>1.5</v>
      </c>
      <c r="K43" s="26">
        <f>((1+J43)*TariefOpbouwTotaalLoonkosten5+TariefOpbouwDirecteKosten5-TariefOpbouwTotaalLoonkosten5+TariefOpbouwIndirecteKosten5)*(1+TariefOpbouwRisicoWinstPercentage5)</f>
        <v>0</v>
      </c>
      <c r="L43" s="25">
        <v>1.5</v>
      </c>
      <c r="M43" s="26">
        <f>((1+L43)*TariefOpbouwTotaalLoonkosten6+TariefOpbouwDirecteKosten6-TariefOpbouwTotaalLoonkosten6+TariefOpbouwIndirecteKosten6)*(1+TariefOpbouwRisicoWinstPercentage6)</f>
        <v>0</v>
      </c>
      <c r="N43" s="25">
        <v>1.5</v>
      </c>
      <c r="O43" s="26">
        <f>((1+N43)*TariefOpbouwTotaalLoonkosten7+TariefOpbouwDirecteKosten7-TariefOpbouwTotaalLoonkosten7+TariefOpbouwIndirecteKosten7)*(1+TariefOpbouwRisicoWinstPercentage7)</f>
        <v>0</v>
      </c>
      <c r="P43" s="25">
        <v>1.5</v>
      </c>
      <c r="Q43" s="27">
        <f>((1+P43)*TariefOpbouwTotaalLoonkosten8+TariefOpbouwDirecteKosten8-TariefOpbouwTotaalLoonkosten8+TariefOpbouwIndirecteKosten8)*(1+TariefOpbouwRisicoWinstPercentage8)</f>
        <v>0</v>
      </c>
    </row>
    <row r="45" spans="1:17" ht="25.5" customHeight="1" x14ac:dyDescent="0.2">
      <c r="A45" s="10" t="s">
        <v>79</v>
      </c>
      <c r="B45" s="133" t="s">
        <v>80</v>
      </c>
      <c r="C45" s="133"/>
      <c r="D45" s="133" t="s">
        <v>81</v>
      </c>
      <c r="E45" s="133"/>
      <c r="F45" s="133" t="s">
        <v>82</v>
      </c>
      <c r="G45" s="134"/>
    </row>
    <row r="46" spans="1:17" x14ac:dyDescent="0.2">
      <c r="A46" s="20"/>
      <c r="B46" s="12" t="s">
        <v>83</v>
      </c>
      <c r="C46" s="12" t="s">
        <v>84</v>
      </c>
      <c r="D46" s="12" t="s">
        <v>83</v>
      </c>
      <c r="E46" s="12" t="s">
        <v>84</v>
      </c>
      <c r="F46" s="12" t="s">
        <v>83</v>
      </c>
      <c r="G46" s="13" t="s">
        <v>84</v>
      </c>
    </row>
    <row r="47" spans="1:17" x14ac:dyDescent="0.2">
      <c r="A47" s="28" t="str">
        <f>TariefOpbouwNaam1&amp;" "&amp;TariefOpbouwErvaring1</f>
        <v>Vakvolwassene &gt;3 dienstjaren</v>
      </c>
      <c r="B47" s="19"/>
      <c r="C47" s="17">
        <f>TariefOpbouwTarief1</f>
        <v>0</v>
      </c>
      <c r="D47" s="19"/>
      <c r="E47" s="17">
        <f>TariefOpbouwTarief1W</f>
        <v>0</v>
      </c>
      <c r="F47" s="19"/>
      <c r="G47" s="18">
        <f>TariefOpbouwTarief1X</f>
        <v>0</v>
      </c>
    </row>
    <row r="48" spans="1:17" x14ac:dyDescent="0.2">
      <c r="A48" s="28" t="str">
        <f>TariefOpbouwNaam2&amp;" "&amp;TariefOpbouwErvaring2</f>
        <v xml:space="preserve">Vakvolwassene </v>
      </c>
      <c r="B48" s="19"/>
      <c r="C48" s="17">
        <f>TariefOpbouwTarief2</f>
        <v>0</v>
      </c>
      <c r="D48" s="19"/>
      <c r="E48" s="17">
        <f>TariefOpbouwTarief2W</f>
        <v>0</v>
      </c>
      <c r="F48" s="19"/>
      <c r="G48" s="18">
        <f>TariefOpbouwTarief2X</f>
        <v>0</v>
      </c>
    </row>
    <row r="49" spans="1:7" x14ac:dyDescent="0.2">
      <c r="A49" s="28" t="str">
        <f>TariefOpbouwNaam3&amp;" "&amp;TariefOpbouwErvaring3</f>
        <v>Leiding (meewerkend) voorman/vrouw</v>
      </c>
      <c r="B49" s="19"/>
      <c r="C49" s="17">
        <f>TariefOpbouwTarief3</f>
        <v>0</v>
      </c>
      <c r="D49" s="19"/>
      <c r="E49" s="17">
        <f>TariefOpbouwTarief3W</f>
        <v>0</v>
      </c>
      <c r="F49" s="19"/>
      <c r="G49" s="18">
        <f>TariefOpbouwTarief3X</f>
        <v>0</v>
      </c>
    </row>
    <row r="50" spans="1:7" x14ac:dyDescent="0.2">
      <c r="A50" s="11" t="s">
        <v>85</v>
      </c>
      <c r="B50" s="29" t="str">
        <f>IF(SUM(B47:B49)=1,SUM(B47:B49),"ongeldig")</f>
        <v>ongeldig</v>
      </c>
      <c r="C50" s="17">
        <f>SUMPRODUCT(B47:B49,C47:C49)</f>
        <v>0</v>
      </c>
      <c r="D50" s="29" t="str">
        <f>IF(SUM(D47:D49)=1,SUM(D47:D49),"ongeldig")</f>
        <v>ongeldig</v>
      </c>
      <c r="E50" s="17">
        <f>SUMPRODUCT(D47:D49,E47:E49)</f>
        <v>0</v>
      </c>
      <c r="F50" s="29" t="str">
        <f>IF(SUM(F47:F49)=1,SUM(F47:F49),"ongeldig")</f>
        <v>ongeldig</v>
      </c>
      <c r="G50" s="18">
        <f>SUMPRODUCT(F47:F49,G47:G49)</f>
        <v>0</v>
      </c>
    </row>
    <row r="51" spans="1:7" x14ac:dyDescent="0.2">
      <c r="A51" s="28" t="str">
        <f>TariefOpbouwNaam4&amp;" "&amp;TariefOpbouwErvaring4</f>
        <v>Leiding (niet-meewerkend) voorman/vrouw</v>
      </c>
      <c r="B51" s="19"/>
      <c r="C51" s="17">
        <f>TariefOpbouwTarief4</f>
        <v>0</v>
      </c>
      <c r="D51" s="19"/>
      <c r="E51" s="17">
        <f>TariefOpbouwTarief4W</f>
        <v>0</v>
      </c>
      <c r="F51" s="19"/>
      <c r="G51" s="18">
        <f>TariefOpbouwTarief4X</f>
        <v>0</v>
      </c>
    </row>
    <row r="52" spans="1:7" x14ac:dyDescent="0.2">
      <c r="A52" s="28" t="str">
        <f>TariefOpbouwNaam5&amp;" "&amp;TariefOpbouwErvaring5</f>
        <v>Leiding (niet-meewerkend) objectleider</v>
      </c>
      <c r="B52" s="19"/>
      <c r="C52" s="17">
        <f>TariefOpbouwTarief5</f>
        <v>0</v>
      </c>
      <c r="D52" s="19"/>
      <c r="E52" s="17">
        <f>TariefOpbouwTarief5W</f>
        <v>0</v>
      </c>
      <c r="F52" s="19"/>
      <c r="G52" s="18">
        <f>TariefOpbouwTarief5X</f>
        <v>0</v>
      </c>
    </row>
    <row r="53" spans="1:7" x14ac:dyDescent="0.2">
      <c r="A53" s="24" t="s">
        <v>86</v>
      </c>
      <c r="B53" s="135">
        <f>TariefUitvoering1+IF(SUM(B51:B52)&gt;0,SUMPRODUCT(B51:B52,C51:C52))</f>
        <v>0</v>
      </c>
      <c r="C53" s="135"/>
      <c r="D53" s="135">
        <f>TariefUitvoering5+IF(SUM(D51:D52)&gt;0,SUMPRODUCT(D51:D52,E51:E52))</f>
        <v>0</v>
      </c>
      <c r="E53" s="135"/>
      <c r="F53" s="135">
        <f>TariefUitvoering6+IF(SUM(F51:F52)&gt;0,SUMPRODUCT(F51:F52,G51:G52))</f>
        <v>0</v>
      </c>
      <c r="G53" s="136"/>
    </row>
    <row r="55" spans="1:7" ht="38.25" customHeight="1" x14ac:dyDescent="0.2">
      <c r="A55" s="10" t="s">
        <v>87</v>
      </c>
      <c r="B55" s="133" t="s">
        <v>88</v>
      </c>
      <c r="C55" s="133"/>
      <c r="D55" s="133" t="s">
        <v>89</v>
      </c>
      <c r="E55" s="133"/>
      <c r="F55" s="133" t="s">
        <v>90</v>
      </c>
      <c r="G55" s="134"/>
    </row>
    <row r="56" spans="1:7" x14ac:dyDescent="0.2">
      <c r="A56" s="20"/>
      <c r="B56" s="12" t="s">
        <v>83</v>
      </c>
      <c r="C56" s="12" t="s">
        <v>84</v>
      </c>
      <c r="D56" s="12" t="s">
        <v>83</v>
      </c>
      <c r="E56" s="12" t="s">
        <v>84</v>
      </c>
      <c r="F56" s="12" t="s">
        <v>83</v>
      </c>
      <c r="G56" s="13" t="s">
        <v>84</v>
      </c>
    </row>
    <row r="57" spans="1:7" x14ac:dyDescent="0.2">
      <c r="A57" s="28" t="str">
        <f>TariefOpbouwNaam6&amp;" "&amp;TariefOpbouwErvaring6</f>
        <v xml:space="preserve">Vakvolwassene regie </v>
      </c>
      <c r="B57" s="19"/>
      <c r="C57" s="17">
        <f>TariefOpbouwTarief6</f>
        <v>0</v>
      </c>
      <c r="D57" s="19"/>
      <c r="E57" s="17">
        <f>TariefOpbouwTarief6</f>
        <v>0</v>
      </c>
      <c r="F57" s="19"/>
      <c r="G57" s="18">
        <f>TariefOpbouwTarief6</f>
        <v>0</v>
      </c>
    </row>
    <row r="58" spans="1:7" x14ac:dyDescent="0.2">
      <c r="A58" s="28" t="str">
        <f>TariefOpbouwNaam7&amp;" "&amp;TariefOpbouwErvaring7</f>
        <v>Vakvolwassene regie specialist</v>
      </c>
      <c r="B58" s="19"/>
      <c r="C58" s="17">
        <f>TariefOpbouwTarief7</f>
        <v>0</v>
      </c>
      <c r="D58" s="19"/>
      <c r="E58" s="17">
        <f>TariefOpbouwTarief7</f>
        <v>0</v>
      </c>
      <c r="F58" s="19"/>
      <c r="G58" s="18">
        <f>TariefOpbouwTarief7</f>
        <v>0</v>
      </c>
    </row>
    <row r="59" spans="1:7" x14ac:dyDescent="0.2">
      <c r="A59" s="11" t="s">
        <v>85</v>
      </c>
      <c r="B59" s="29" t="str">
        <f>IF(SUM(B57:B58)=1,SUM(B57:B58),"ongeldig")</f>
        <v>ongeldig</v>
      </c>
      <c r="C59" s="17">
        <f>SUMPRODUCT(B57:B58,C57:C58)</f>
        <v>0</v>
      </c>
      <c r="D59" s="29" t="str">
        <f>IF(SUM(D57:D58)=1,SUM(D57:D58),"ongeldig")</f>
        <v>ongeldig</v>
      </c>
      <c r="E59" s="17">
        <f>SUMPRODUCT(D57:D58,E57:E58)</f>
        <v>0</v>
      </c>
      <c r="F59" s="29" t="str">
        <f>IF(SUM(F57:F58)=1,SUM(F57:F58),"ongeldig")</f>
        <v>ongeldig</v>
      </c>
      <c r="G59" s="18">
        <f>SUMPRODUCT(F57:F58,G57:G58)</f>
        <v>0</v>
      </c>
    </row>
    <row r="60" spans="1:7" x14ac:dyDescent="0.2">
      <c r="A60" s="28" t="str">
        <f>TariefOpbouwNaam8&amp;" "&amp;TariefOpbouwErvaring8</f>
        <v xml:space="preserve">Leiding regie </v>
      </c>
      <c r="B60" s="19"/>
      <c r="C60" s="17">
        <f>TariefOpbouwTarief8</f>
        <v>0</v>
      </c>
      <c r="D60" s="19"/>
      <c r="E60" s="17">
        <f>TariefOpbouwTarief8</f>
        <v>0</v>
      </c>
      <c r="F60" s="19"/>
      <c r="G60" s="18">
        <f>TariefOpbouwTarief8</f>
        <v>0</v>
      </c>
    </row>
    <row r="61" spans="1:7" x14ac:dyDescent="0.2">
      <c r="A61" s="24" t="s">
        <v>91</v>
      </c>
      <c r="B61" s="135">
        <f>TariefUitvoering2+IF(SUM(B60:B60)&gt;0,SUMPRODUCT(B60:B60,C60:C60))</f>
        <v>0</v>
      </c>
      <c r="C61" s="135"/>
      <c r="D61" s="135">
        <f>TariefUitvoering3+IF(SUM(D60:D60)&gt;0,SUMPRODUCT(D60:D60,E60:E60))</f>
        <v>0</v>
      </c>
      <c r="E61" s="135"/>
      <c r="F61" s="135">
        <f>TariefUitvoering4+IF(SUM(F60:F60)&gt;0,SUMPRODUCT(F60:F60,G60:G60))</f>
        <v>0</v>
      </c>
      <c r="G61" s="136"/>
    </row>
  </sheetData>
  <sheetProtection algorithmName="SHA-512" hashValue="OAZz4U0OYbTKjv/ZAFruGr3a4VCDZymPleygfXSChG3Ldf2YMHz683nku2qzlGoszCovfKAYPlM22M45cu0n+A==" saltValue="L/e6gmDEV8YM46vaIc493g==" spinCount="100000" sheet="1" objects="1" scenarios="1" autoFilter="0"/>
  <mergeCells count="116"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B55:C55"/>
    <mergeCell ref="D55:E55"/>
    <mergeCell ref="F55:G55"/>
    <mergeCell ref="B61:C61"/>
    <mergeCell ref="D61:E61"/>
    <mergeCell ref="F61:G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</mergeCells>
  <pageMargins left="0.7" right="0.7" top="0.75" bottom="0.75" header="0.3" footer="0.3"/>
  <pageSetup paperSize="9" scale="65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E8C3-4F9D-4ACC-9619-14502B0036F1}">
  <dimension ref="A1:H3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F.2.1: ",tabeltype," categorienormen")</f>
        <v>Bijlage F.2.1: Invultabel categorienormen</v>
      </c>
    </row>
    <row r="3" spans="1:8" ht="38.25" x14ac:dyDescent="0.2">
      <c r="A3" s="30" t="s">
        <v>92</v>
      </c>
      <c r="B3" s="30" t="s">
        <v>93</v>
      </c>
      <c r="C3" s="30" t="s">
        <v>94</v>
      </c>
      <c r="D3" s="30" t="s">
        <v>95</v>
      </c>
      <c r="E3" s="30" t="s">
        <v>96</v>
      </c>
      <c r="F3" s="30" t="s">
        <v>97</v>
      </c>
      <c r="G3" s="30" t="s">
        <v>98</v>
      </c>
      <c r="H3" s="30" t="s">
        <v>99</v>
      </c>
    </row>
    <row r="4" spans="1:8" x14ac:dyDescent="0.2">
      <c r="A4" s="31"/>
      <c r="B4" s="32"/>
      <c r="C4" s="32"/>
      <c r="D4" s="32"/>
      <c r="E4" s="32"/>
      <c r="F4" s="32"/>
      <c r="G4" s="32"/>
      <c r="H4" s="33"/>
    </row>
    <row r="5" spans="1:8" x14ac:dyDescent="0.2">
      <c r="A5" s="34" t="s">
        <v>100</v>
      </c>
      <c r="B5" s="35"/>
      <c r="C5" s="35"/>
      <c r="D5" s="35"/>
      <c r="E5" s="35"/>
      <c r="F5" s="35"/>
      <c r="G5" s="35"/>
      <c r="H5" s="36"/>
    </row>
    <row r="6" spans="1:8" x14ac:dyDescent="0.2">
      <c r="A6" s="41" t="s">
        <v>101</v>
      </c>
      <c r="B6" s="42" t="s">
        <v>102</v>
      </c>
      <c r="C6" s="41">
        <v>1</v>
      </c>
      <c r="D6" s="41" t="s">
        <v>103</v>
      </c>
      <c r="E6" s="43"/>
      <c r="F6" s="44"/>
      <c r="G6" s="41" t="s">
        <v>104</v>
      </c>
      <c r="H6" s="45">
        <f t="shared" ref="H6:H33" si="0">Tariefopbouw1</f>
        <v>0</v>
      </c>
    </row>
    <row r="7" spans="1:8" x14ac:dyDescent="0.2">
      <c r="A7" s="46" t="s">
        <v>105</v>
      </c>
      <c r="B7" s="47" t="s">
        <v>102</v>
      </c>
      <c r="C7" s="46">
        <v>40</v>
      </c>
      <c r="D7" s="46" t="s">
        <v>106</v>
      </c>
      <c r="E7" s="48"/>
      <c r="F7" s="49"/>
      <c r="G7" s="46" t="s">
        <v>104</v>
      </c>
      <c r="H7" s="50">
        <f t="shared" si="0"/>
        <v>0</v>
      </c>
    </row>
    <row r="8" spans="1:8" x14ac:dyDescent="0.2">
      <c r="A8" s="46" t="s">
        <v>107</v>
      </c>
      <c r="B8" s="47" t="s">
        <v>102</v>
      </c>
      <c r="C8" s="46">
        <v>1</v>
      </c>
      <c r="D8" s="46" t="s">
        <v>108</v>
      </c>
      <c r="E8" s="48"/>
      <c r="F8" s="49"/>
      <c r="G8" s="46" t="s">
        <v>104</v>
      </c>
      <c r="H8" s="50">
        <f t="shared" si="0"/>
        <v>0</v>
      </c>
    </row>
    <row r="9" spans="1:8" x14ac:dyDescent="0.2">
      <c r="A9" s="46" t="s">
        <v>109</v>
      </c>
      <c r="B9" s="47" t="s">
        <v>102</v>
      </c>
      <c r="C9" s="46">
        <v>40</v>
      </c>
      <c r="D9" s="46" t="s">
        <v>110</v>
      </c>
      <c r="E9" s="48"/>
      <c r="F9" s="49"/>
      <c r="G9" s="46" t="s">
        <v>104</v>
      </c>
      <c r="H9" s="50">
        <f t="shared" si="0"/>
        <v>0</v>
      </c>
    </row>
    <row r="10" spans="1:8" x14ac:dyDescent="0.2">
      <c r="A10" s="46" t="s">
        <v>111</v>
      </c>
      <c r="B10" s="47" t="s">
        <v>102</v>
      </c>
      <c r="C10" s="46">
        <v>1</v>
      </c>
      <c r="D10" s="46" t="s">
        <v>112</v>
      </c>
      <c r="E10" s="48"/>
      <c r="F10" s="49"/>
      <c r="G10" s="46" t="s">
        <v>104</v>
      </c>
      <c r="H10" s="50">
        <f t="shared" si="0"/>
        <v>0</v>
      </c>
    </row>
    <row r="11" spans="1:8" x14ac:dyDescent="0.2">
      <c r="A11" s="46" t="s">
        <v>113</v>
      </c>
      <c r="B11" s="47" t="s">
        <v>102</v>
      </c>
      <c r="C11" s="46">
        <v>40</v>
      </c>
      <c r="D11" s="46" t="s">
        <v>114</v>
      </c>
      <c r="E11" s="48"/>
      <c r="F11" s="49"/>
      <c r="G11" s="46" t="s">
        <v>104</v>
      </c>
      <c r="H11" s="50">
        <f t="shared" si="0"/>
        <v>0</v>
      </c>
    </row>
    <row r="12" spans="1:8" x14ac:dyDescent="0.2">
      <c r="A12" s="46" t="s">
        <v>115</v>
      </c>
      <c r="B12" s="47" t="s">
        <v>102</v>
      </c>
      <c r="C12" s="46">
        <v>1</v>
      </c>
      <c r="D12" s="46" t="s">
        <v>116</v>
      </c>
      <c r="E12" s="48"/>
      <c r="F12" s="49"/>
      <c r="G12" s="46" t="s">
        <v>104</v>
      </c>
      <c r="H12" s="50">
        <f t="shared" si="0"/>
        <v>0</v>
      </c>
    </row>
    <row r="13" spans="1:8" x14ac:dyDescent="0.2">
      <c r="A13" s="46" t="s">
        <v>117</v>
      </c>
      <c r="B13" s="47" t="s">
        <v>102</v>
      </c>
      <c r="C13" s="46">
        <v>40</v>
      </c>
      <c r="D13" s="46" t="s">
        <v>118</v>
      </c>
      <c r="E13" s="48"/>
      <c r="F13" s="49"/>
      <c r="G13" s="46" t="s">
        <v>104</v>
      </c>
      <c r="H13" s="50">
        <f t="shared" si="0"/>
        <v>0</v>
      </c>
    </row>
    <row r="14" spans="1:8" x14ac:dyDescent="0.2">
      <c r="A14" s="46" t="s">
        <v>119</v>
      </c>
      <c r="B14" s="47" t="s">
        <v>120</v>
      </c>
      <c r="C14" s="46">
        <v>1</v>
      </c>
      <c r="D14" s="46" t="s">
        <v>121</v>
      </c>
      <c r="E14" s="48"/>
      <c r="F14" s="49"/>
      <c r="G14" s="46" t="s">
        <v>104</v>
      </c>
      <c r="H14" s="50">
        <f t="shared" si="0"/>
        <v>0</v>
      </c>
    </row>
    <row r="15" spans="1:8" x14ac:dyDescent="0.2">
      <c r="A15" s="46" t="s">
        <v>122</v>
      </c>
      <c r="B15" s="47" t="s">
        <v>120</v>
      </c>
      <c r="C15" s="46">
        <v>40</v>
      </c>
      <c r="D15" s="46" t="s">
        <v>123</v>
      </c>
      <c r="E15" s="48"/>
      <c r="F15" s="49"/>
      <c r="G15" s="46" t="s">
        <v>104</v>
      </c>
      <c r="H15" s="50">
        <f t="shared" si="0"/>
        <v>0</v>
      </c>
    </row>
    <row r="16" spans="1:8" x14ac:dyDescent="0.2">
      <c r="A16" s="46" t="s">
        <v>124</v>
      </c>
      <c r="B16" s="47" t="s">
        <v>125</v>
      </c>
      <c r="C16" s="46">
        <v>1</v>
      </c>
      <c r="D16" s="46" t="s">
        <v>126</v>
      </c>
      <c r="E16" s="48"/>
      <c r="F16" s="49"/>
      <c r="G16" s="46" t="s">
        <v>104</v>
      </c>
      <c r="H16" s="50">
        <f t="shared" si="0"/>
        <v>0</v>
      </c>
    </row>
    <row r="17" spans="1:8" x14ac:dyDescent="0.2">
      <c r="A17" s="46" t="s">
        <v>127</v>
      </c>
      <c r="B17" s="47" t="s">
        <v>125</v>
      </c>
      <c r="C17" s="46">
        <v>40</v>
      </c>
      <c r="D17" s="46" t="s">
        <v>128</v>
      </c>
      <c r="E17" s="48"/>
      <c r="F17" s="49"/>
      <c r="G17" s="46" t="s">
        <v>104</v>
      </c>
      <c r="H17" s="50">
        <f t="shared" si="0"/>
        <v>0</v>
      </c>
    </row>
    <row r="18" spans="1:8" x14ac:dyDescent="0.2">
      <c r="A18" s="46" t="s">
        <v>129</v>
      </c>
      <c r="B18" s="47" t="s">
        <v>130</v>
      </c>
      <c r="C18" s="46">
        <v>1</v>
      </c>
      <c r="D18" s="46" t="s">
        <v>131</v>
      </c>
      <c r="E18" s="48"/>
      <c r="F18" s="49"/>
      <c r="G18" s="46" t="s">
        <v>104</v>
      </c>
      <c r="H18" s="50">
        <f t="shared" si="0"/>
        <v>0</v>
      </c>
    </row>
    <row r="19" spans="1:8" x14ac:dyDescent="0.2">
      <c r="A19" s="46" t="s">
        <v>132</v>
      </c>
      <c r="B19" s="47" t="s">
        <v>130</v>
      </c>
      <c r="C19" s="46">
        <v>40</v>
      </c>
      <c r="D19" s="46" t="s">
        <v>133</v>
      </c>
      <c r="E19" s="48"/>
      <c r="F19" s="49"/>
      <c r="G19" s="46" t="s">
        <v>104</v>
      </c>
      <c r="H19" s="50">
        <f t="shared" si="0"/>
        <v>0</v>
      </c>
    </row>
    <row r="20" spans="1:8" x14ac:dyDescent="0.2">
      <c r="A20" s="46" t="s">
        <v>134</v>
      </c>
      <c r="B20" s="47" t="s">
        <v>130</v>
      </c>
      <c r="C20" s="46">
        <v>1</v>
      </c>
      <c r="D20" s="46" t="s">
        <v>135</v>
      </c>
      <c r="E20" s="48"/>
      <c r="F20" s="49"/>
      <c r="G20" s="46" t="s">
        <v>104</v>
      </c>
      <c r="H20" s="50">
        <f t="shared" si="0"/>
        <v>0</v>
      </c>
    </row>
    <row r="21" spans="1:8" x14ac:dyDescent="0.2">
      <c r="A21" s="46" t="s">
        <v>136</v>
      </c>
      <c r="B21" s="47" t="s">
        <v>130</v>
      </c>
      <c r="C21" s="46">
        <v>40</v>
      </c>
      <c r="D21" s="46" t="s">
        <v>137</v>
      </c>
      <c r="E21" s="48"/>
      <c r="F21" s="49"/>
      <c r="G21" s="46" t="s">
        <v>104</v>
      </c>
      <c r="H21" s="50">
        <f t="shared" si="0"/>
        <v>0</v>
      </c>
    </row>
    <row r="22" spans="1:8" x14ac:dyDescent="0.2">
      <c r="A22" s="46" t="s">
        <v>138</v>
      </c>
      <c r="B22" s="47" t="s">
        <v>130</v>
      </c>
      <c r="C22" s="46">
        <v>1</v>
      </c>
      <c r="D22" s="46" t="s">
        <v>139</v>
      </c>
      <c r="E22" s="48"/>
      <c r="F22" s="49"/>
      <c r="G22" s="46" t="s">
        <v>104</v>
      </c>
      <c r="H22" s="50">
        <f t="shared" si="0"/>
        <v>0</v>
      </c>
    </row>
    <row r="23" spans="1:8" x14ac:dyDescent="0.2">
      <c r="A23" s="46" t="s">
        <v>140</v>
      </c>
      <c r="B23" s="47" t="s">
        <v>130</v>
      </c>
      <c r="C23" s="46">
        <v>40</v>
      </c>
      <c r="D23" s="46" t="s">
        <v>141</v>
      </c>
      <c r="E23" s="48"/>
      <c r="F23" s="49"/>
      <c r="G23" s="46" t="s">
        <v>104</v>
      </c>
      <c r="H23" s="50">
        <f t="shared" si="0"/>
        <v>0</v>
      </c>
    </row>
    <row r="24" spans="1:8" x14ac:dyDescent="0.2">
      <c r="A24" s="46" t="s">
        <v>142</v>
      </c>
      <c r="B24" s="47" t="s">
        <v>130</v>
      </c>
      <c r="C24" s="46">
        <v>1</v>
      </c>
      <c r="D24" s="46" t="s">
        <v>143</v>
      </c>
      <c r="E24" s="48"/>
      <c r="F24" s="49"/>
      <c r="G24" s="46" t="s">
        <v>104</v>
      </c>
      <c r="H24" s="50">
        <f t="shared" si="0"/>
        <v>0</v>
      </c>
    </row>
    <row r="25" spans="1:8" x14ac:dyDescent="0.2">
      <c r="A25" s="46" t="s">
        <v>144</v>
      </c>
      <c r="B25" s="47" t="s">
        <v>130</v>
      </c>
      <c r="C25" s="46">
        <v>40</v>
      </c>
      <c r="D25" s="46" t="s">
        <v>145</v>
      </c>
      <c r="E25" s="48"/>
      <c r="F25" s="49"/>
      <c r="G25" s="46" t="s">
        <v>104</v>
      </c>
      <c r="H25" s="50">
        <f t="shared" si="0"/>
        <v>0</v>
      </c>
    </row>
    <row r="26" spans="1:8" x14ac:dyDescent="0.2">
      <c r="A26" s="46" t="s">
        <v>146</v>
      </c>
      <c r="B26" s="47" t="s">
        <v>130</v>
      </c>
      <c r="C26" s="46">
        <v>1</v>
      </c>
      <c r="D26" s="46" t="s">
        <v>147</v>
      </c>
      <c r="E26" s="48"/>
      <c r="F26" s="49"/>
      <c r="G26" s="46" t="s">
        <v>104</v>
      </c>
      <c r="H26" s="50">
        <f t="shared" si="0"/>
        <v>0</v>
      </c>
    </row>
    <row r="27" spans="1:8" x14ac:dyDescent="0.2">
      <c r="A27" s="46" t="s">
        <v>148</v>
      </c>
      <c r="B27" s="47" t="s">
        <v>130</v>
      </c>
      <c r="C27" s="46">
        <v>40</v>
      </c>
      <c r="D27" s="46" t="s">
        <v>149</v>
      </c>
      <c r="E27" s="48"/>
      <c r="F27" s="49"/>
      <c r="G27" s="46" t="s">
        <v>104</v>
      </c>
      <c r="H27" s="50">
        <f t="shared" si="0"/>
        <v>0</v>
      </c>
    </row>
    <row r="28" spans="1:8" x14ac:dyDescent="0.2">
      <c r="A28" s="46" t="s">
        <v>150</v>
      </c>
      <c r="B28" s="47" t="s">
        <v>130</v>
      </c>
      <c r="C28" s="46">
        <v>1</v>
      </c>
      <c r="D28" s="46" t="s">
        <v>151</v>
      </c>
      <c r="E28" s="48"/>
      <c r="F28" s="49"/>
      <c r="G28" s="46" t="s">
        <v>104</v>
      </c>
      <c r="H28" s="50">
        <f t="shared" si="0"/>
        <v>0</v>
      </c>
    </row>
    <row r="29" spans="1:8" x14ac:dyDescent="0.2">
      <c r="A29" s="46" t="s">
        <v>152</v>
      </c>
      <c r="B29" s="47" t="s">
        <v>130</v>
      </c>
      <c r="C29" s="46">
        <v>40</v>
      </c>
      <c r="D29" s="46" t="s">
        <v>153</v>
      </c>
      <c r="E29" s="48"/>
      <c r="F29" s="49"/>
      <c r="G29" s="46" t="s">
        <v>104</v>
      </c>
      <c r="H29" s="50">
        <f t="shared" si="0"/>
        <v>0</v>
      </c>
    </row>
    <row r="30" spans="1:8" x14ac:dyDescent="0.2">
      <c r="A30" s="46" t="s">
        <v>154</v>
      </c>
      <c r="B30" s="47" t="s">
        <v>130</v>
      </c>
      <c r="C30" s="46">
        <v>1</v>
      </c>
      <c r="D30" s="46" t="s">
        <v>155</v>
      </c>
      <c r="E30" s="48"/>
      <c r="F30" s="49"/>
      <c r="G30" s="46" t="s">
        <v>104</v>
      </c>
      <c r="H30" s="50">
        <f t="shared" si="0"/>
        <v>0</v>
      </c>
    </row>
    <row r="31" spans="1:8" x14ac:dyDescent="0.2">
      <c r="A31" s="46" t="s">
        <v>156</v>
      </c>
      <c r="B31" s="47" t="s">
        <v>130</v>
      </c>
      <c r="C31" s="46">
        <v>40</v>
      </c>
      <c r="D31" s="46" t="s">
        <v>157</v>
      </c>
      <c r="E31" s="48"/>
      <c r="F31" s="49"/>
      <c r="G31" s="46" t="s">
        <v>104</v>
      </c>
      <c r="H31" s="50">
        <f t="shared" si="0"/>
        <v>0</v>
      </c>
    </row>
    <row r="32" spans="1:8" x14ac:dyDescent="0.2">
      <c r="A32" s="46" t="s">
        <v>158</v>
      </c>
      <c r="B32" s="47" t="s">
        <v>130</v>
      </c>
      <c r="C32" s="46">
        <v>1</v>
      </c>
      <c r="D32" s="46" t="s">
        <v>159</v>
      </c>
      <c r="E32" s="48"/>
      <c r="F32" s="49"/>
      <c r="G32" s="46" t="s">
        <v>104</v>
      </c>
      <c r="H32" s="50">
        <f t="shared" si="0"/>
        <v>0</v>
      </c>
    </row>
    <row r="33" spans="1:8" x14ac:dyDescent="0.2">
      <c r="A33" s="51" t="s">
        <v>160</v>
      </c>
      <c r="B33" s="52" t="s">
        <v>130</v>
      </c>
      <c r="C33" s="51">
        <v>40</v>
      </c>
      <c r="D33" s="51" t="s">
        <v>161</v>
      </c>
      <c r="E33" s="53"/>
      <c r="F33" s="54"/>
      <c r="G33" s="51" t="s">
        <v>104</v>
      </c>
      <c r="H33" s="55">
        <f t="shared" si="0"/>
        <v>0</v>
      </c>
    </row>
  </sheetData>
  <sheetProtection algorithmName="SHA-512" hashValue="bMQDGZVWILRBV4ud4SL7m0TLGRTHkhzomAzPoAc2znXakMqgDgAXuAuNVvKL1hYnuVlUcOxL6flpKtTBLQUn6g==" saltValue="iPWoWzH4fCGE+WpZ4dH56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8B62-9E59-4CAE-A755-7342C39802A1}">
  <dimension ref="A1:M3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F.2.2: ",tabeltype," regulier werk")</f>
        <v>Bijlage F.2.2: Invultabel regulier werk</v>
      </c>
    </row>
    <row r="3" spans="1:13" ht="38.25" x14ac:dyDescent="0.2">
      <c r="A3" s="30" t="s">
        <v>162</v>
      </c>
      <c r="B3" s="30" t="s">
        <v>7</v>
      </c>
      <c r="C3" s="30" t="s">
        <v>163</v>
      </c>
      <c r="D3" s="30" t="s">
        <v>95</v>
      </c>
      <c r="E3" s="30" t="s">
        <v>164</v>
      </c>
      <c r="F3" s="30" t="s">
        <v>165</v>
      </c>
      <c r="G3" s="30" t="s">
        <v>96</v>
      </c>
      <c r="H3" s="30" t="s">
        <v>98</v>
      </c>
      <c r="I3" s="30" t="s">
        <v>99</v>
      </c>
      <c r="J3" s="30" t="s">
        <v>166</v>
      </c>
      <c r="K3" s="30" t="s">
        <v>167</v>
      </c>
      <c r="L3" s="30" t="s">
        <v>168</v>
      </c>
      <c r="M3" s="30" t="s">
        <v>169</v>
      </c>
    </row>
    <row r="4" spans="1:13" x14ac:dyDescent="0.2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x14ac:dyDescent="0.2">
      <c r="A5" s="34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13" x14ac:dyDescent="0.2">
      <c r="A6" s="41" t="s">
        <v>170</v>
      </c>
      <c r="B6" s="41" t="s">
        <v>11</v>
      </c>
      <c r="C6" s="41" t="s">
        <v>171</v>
      </c>
      <c r="D6" s="41" t="s">
        <v>172</v>
      </c>
      <c r="E6" s="58">
        <v>676.06999999999994</v>
      </c>
      <c r="F6" s="58">
        <f t="shared" ref="F6:F27" si="0">E6*VLOOKUP(B6,dagsoorttabel1,2,FALSE)</f>
        <v>520.05384615384617</v>
      </c>
      <c r="G6" s="59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41" t="s">
        <v>104</v>
      </c>
      <c r="I6" s="45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58">
        <f t="shared" ref="J6:J27" si="1">IF(OR(ISBLANK(G6),G6=0),0,F6/ROUND(G6,4))</f>
        <v>0</v>
      </c>
      <c r="K6" s="45">
        <f t="shared" ref="K6:K27" si="2">ROUND(I6,2)*J6</f>
        <v>0</v>
      </c>
      <c r="L6" s="58">
        <f t="shared" ref="L6:L27" si="3">J6*dagenperjaar1</f>
        <v>0</v>
      </c>
      <c r="M6" s="45">
        <f t="shared" ref="M6:M27" si="4">L6*ROUND(I6,2)</f>
        <v>0</v>
      </c>
    </row>
    <row r="7" spans="1:13" x14ac:dyDescent="0.2">
      <c r="A7" s="46" t="s">
        <v>173</v>
      </c>
      <c r="B7" s="46" t="s">
        <v>11</v>
      </c>
      <c r="C7" s="46" t="s">
        <v>171</v>
      </c>
      <c r="D7" s="46" t="s">
        <v>174</v>
      </c>
      <c r="E7" s="60">
        <v>546.48</v>
      </c>
      <c r="F7" s="60">
        <f t="shared" si="0"/>
        <v>420.3692307692308</v>
      </c>
      <c r="G7" s="61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46" t="s">
        <v>104</v>
      </c>
      <c r="I7" s="50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J7" s="60">
        <f t="shared" si="1"/>
        <v>0</v>
      </c>
      <c r="K7" s="50">
        <f t="shared" si="2"/>
        <v>0</v>
      </c>
      <c r="L7" s="60">
        <f t="shared" si="3"/>
        <v>0</v>
      </c>
      <c r="M7" s="50">
        <f t="shared" si="4"/>
        <v>0</v>
      </c>
    </row>
    <row r="8" spans="1:13" x14ac:dyDescent="0.2">
      <c r="A8" s="46" t="s">
        <v>175</v>
      </c>
      <c r="B8" s="46" t="s">
        <v>11</v>
      </c>
      <c r="C8" s="46" t="s">
        <v>171</v>
      </c>
      <c r="D8" s="46" t="s">
        <v>176</v>
      </c>
      <c r="E8" s="60">
        <v>37.799999999999997</v>
      </c>
      <c r="F8" s="60">
        <f t="shared" si="0"/>
        <v>29.076923076923077</v>
      </c>
      <c r="G8" s="61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46" t="s">
        <v>104</v>
      </c>
      <c r="I8" s="50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J8" s="60">
        <f t="shared" si="1"/>
        <v>0</v>
      </c>
      <c r="K8" s="50">
        <f t="shared" si="2"/>
        <v>0</v>
      </c>
      <c r="L8" s="60">
        <f t="shared" si="3"/>
        <v>0</v>
      </c>
      <c r="M8" s="50">
        <f t="shared" si="4"/>
        <v>0</v>
      </c>
    </row>
    <row r="9" spans="1:13" x14ac:dyDescent="0.2">
      <c r="A9" s="46" t="s">
        <v>175</v>
      </c>
      <c r="B9" s="46" t="s">
        <v>17</v>
      </c>
      <c r="C9" s="46" t="s">
        <v>171</v>
      </c>
      <c r="D9" s="46" t="s">
        <v>176</v>
      </c>
      <c r="E9" s="60">
        <v>22</v>
      </c>
      <c r="F9" s="60">
        <f t="shared" si="0"/>
        <v>3.384615384615385</v>
      </c>
      <c r="G9" s="61">
        <f>catpn_1_BZV_40</f>
        <v>0</v>
      </c>
      <c r="H9" s="46" t="s">
        <v>104</v>
      </c>
      <c r="I9" s="50">
        <f>cattf_1_BZV_40</f>
        <v>0</v>
      </c>
      <c r="J9" s="60">
        <f t="shared" si="1"/>
        <v>0</v>
      </c>
      <c r="K9" s="50">
        <f t="shared" si="2"/>
        <v>0</v>
      </c>
      <c r="L9" s="60">
        <f t="shared" si="3"/>
        <v>0</v>
      </c>
      <c r="M9" s="50">
        <f t="shared" si="4"/>
        <v>0</v>
      </c>
    </row>
    <row r="10" spans="1:13" x14ac:dyDescent="0.2">
      <c r="A10" s="46" t="s">
        <v>177</v>
      </c>
      <c r="B10" s="46" t="s">
        <v>11</v>
      </c>
      <c r="C10" s="46" t="s">
        <v>171</v>
      </c>
      <c r="D10" s="46" t="s">
        <v>178</v>
      </c>
      <c r="E10" s="60">
        <v>7.5</v>
      </c>
      <c r="F10" s="60">
        <f t="shared" si="0"/>
        <v>5.7692307692307692</v>
      </c>
      <c r="G10" s="61">
        <f>IF(AND(catpn_1_EHB_1&gt;0,catpn_1_EHV_40&gt;0),(dagenperjaar1*VLOOKUP(B10,dagsoorttabel1,2,FALSE))/(((dagenperjaar1*VLOOKUP(B10,dagsoorttabel1,2,FALSE))-catfd_1_EHV_40)/catpn_1_EHB_1+catfd_1_EHV_40/catpn_1_EHV_40),0)</f>
        <v>0</v>
      </c>
      <c r="H10" s="46" t="s">
        <v>104</v>
      </c>
      <c r="I10" s="50">
        <f>IF(AND(catpn_1_EHB_1&gt;0,catpn_1_EHV_40&gt;0),(cattf_1_EHB_1*((dagenperjaar1*VLOOKUP(B10,dagsoorttabel1,2,FALSE))-catfd_1_EHV_40)/catpn_1_EHB_1+cattf_1_EHV_40*catfd_1_EHV_40/catpn_1_EHV_40)/(((dagenperjaar1*VLOOKUP(B10,dagsoorttabel1,2,FALSE))-catfd_1_EHV_40)/catpn_1_EHB_1+catfd_1_EHV_40/catpn_1_EHV_40),0)</f>
        <v>0</v>
      </c>
      <c r="J10" s="60">
        <f t="shared" si="1"/>
        <v>0</v>
      </c>
      <c r="K10" s="50">
        <f t="shared" si="2"/>
        <v>0</v>
      </c>
      <c r="L10" s="60">
        <f t="shared" si="3"/>
        <v>0</v>
      </c>
      <c r="M10" s="50">
        <f t="shared" si="4"/>
        <v>0</v>
      </c>
    </row>
    <row r="11" spans="1:13" x14ac:dyDescent="0.2">
      <c r="A11" s="46" t="s">
        <v>179</v>
      </c>
      <c r="B11" s="46" t="s">
        <v>11</v>
      </c>
      <c r="C11" s="46" t="s">
        <v>171</v>
      </c>
      <c r="D11" s="46" t="s">
        <v>180</v>
      </c>
      <c r="E11" s="60">
        <v>171.8</v>
      </c>
      <c r="F11" s="60">
        <f t="shared" si="0"/>
        <v>132.15384615384616</v>
      </c>
      <c r="G11" s="61">
        <f>IF(AND(catpn_1_EZB_1&gt;0,catpn_1_EZV_40&gt;0),(dagenperjaar1*VLOOKUP(B11,dagsoorttabel1,2,FALSE))/(((dagenperjaar1*VLOOKUP(B11,dagsoorttabel1,2,FALSE))-catfd_1_EZV_40)/catpn_1_EZB_1+catfd_1_EZV_40/catpn_1_EZV_40),0)</f>
        <v>0</v>
      </c>
      <c r="H11" s="46" t="s">
        <v>104</v>
      </c>
      <c r="I11" s="50">
        <f>IF(AND(catpn_1_EZB_1&gt;0,catpn_1_EZV_40&gt;0),(cattf_1_EZB_1*((dagenperjaar1*VLOOKUP(B11,dagsoorttabel1,2,FALSE))-catfd_1_EZV_40)/catpn_1_EZB_1+cattf_1_EZV_40*catfd_1_EZV_40/catpn_1_EZV_40)/(((dagenperjaar1*VLOOKUP(B11,dagsoorttabel1,2,FALSE))-catfd_1_EZV_40)/catpn_1_EZB_1+catfd_1_EZV_40/catpn_1_EZV_40),0)</f>
        <v>0</v>
      </c>
      <c r="J11" s="60">
        <f t="shared" si="1"/>
        <v>0</v>
      </c>
      <c r="K11" s="50">
        <f t="shared" si="2"/>
        <v>0</v>
      </c>
      <c r="L11" s="60">
        <f t="shared" si="3"/>
        <v>0</v>
      </c>
      <c r="M11" s="50">
        <f t="shared" si="4"/>
        <v>0</v>
      </c>
    </row>
    <row r="12" spans="1:13" x14ac:dyDescent="0.2">
      <c r="A12" s="46" t="s">
        <v>181</v>
      </c>
      <c r="B12" s="46" t="s">
        <v>11</v>
      </c>
      <c r="C12" s="46" t="s">
        <v>171</v>
      </c>
      <c r="D12" s="46" t="s">
        <v>182</v>
      </c>
      <c r="E12" s="60">
        <v>606.71</v>
      </c>
      <c r="F12" s="60">
        <f t="shared" si="0"/>
        <v>466.70000000000005</v>
      </c>
      <c r="G12" s="61">
        <f>IF(AND(catpn_1_GHB_1&gt;0,catpn_1_GHV_40&gt;0),(dagenperjaar1*VLOOKUP(B12,dagsoorttabel1,2,FALSE))/(((dagenperjaar1*VLOOKUP(B12,dagsoorttabel1,2,FALSE))-catfd_1_GHV_40)/catpn_1_GHB_1+catfd_1_GHV_40/catpn_1_GHV_40),0)</f>
        <v>0</v>
      </c>
      <c r="H12" s="46" t="s">
        <v>104</v>
      </c>
      <c r="I12" s="50">
        <f>IF(AND(catpn_1_GHB_1&gt;0,catpn_1_GHV_40&gt;0),(cattf_1_GHB_1*((dagenperjaar1*VLOOKUP(B12,dagsoorttabel1,2,FALSE))-catfd_1_GHV_40)/catpn_1_GHB_1+cattf_1_GHV_40*catfd_1_GHV_40/catpn_1_GHV_40)/(((dagenperjaar1*VLOOKUP(B12,dagsoorttabel1,2,FALSE))-catfd_1_GHV_40)/catpn_1_GHB_1+catfd_1_GHV_40/catpn_1_GHV_40),0)</f>
        <v>0</v>
      </c>
      <c r="J12" s="60">
        <f t="shared" si="1"/>
        <v>0</v>
      </c>
      <c r="K12" s="50">
        <f t="shared" si="2"/>
        <v>0</v>
      </c>
      <c r="L12" s="60">
        <f t="shared" si="3"/>
        <v>0</v>
      </c>
      <c r="M12" s="50">
        <f t="shared" si="4"/>
        <v>0</v>
      </c>
    </row>
    <row r="13" spans="1:13" x14ac:dyDescent="0.2">
      <c r="A13" s="46" t="s">
        <v>181</v>
      </c>
      <c r="B13" s="46" t="s">
        <v>17</v>
      </c>
      <c r="C13" s="46" t="s">
        <v>171</v>
      </c>
      <c r="D13" s="46" t="s">
        <v>182</v>
      </c>
      <c r="E13" s="60">
        <v>14.08</v>
      </c>
      <c r="F13" s="60">
        <f t="shared" si="0"/>
        <v>2.1661538461538461</v>
      </c>
      <c r="G13" s="61">
        <f>catpn_1_GHV_40</f>
        <v>0</v>
      </c>
      <c r="H13" s="46" t="s">
        <v>104</v>
      </c>
      <c r="I13" s="50">
        <f>cattf_1_GHV_40</f>
        <v>0</v>
      </c>
      <c r="J13" s="60">
        <f t="shared" si="1"/>
        <v>0</v>
      </c>
      <c r="K13" s="50">
        <f t="shared" si="2"/>
        <v>0</v>
      </c>
      <c r="L13" s="60">
        <f t="shared" si="3"/>
        <v>0</v>
      </c>
      <c r="M13" s="50">
        <f t="shared" si="4"/>
        <v>0</v>
      </c>
    </row>
    <row r="14" spans="1:13" x14ac:dyDescent="0.2">
      <c r="A14" s="46" t="s">
        <v>183</v>
      </c>
      <c r="B14" s="46" t="s">
        <v>12</v>
      </c>
      <c r="C14" s="46" t="s">
        <v>171</v>
      </c>
      <c r="D14" s="46" t="s">
        <v>184</v>
      </c>
      <c r="E14" s="60">
        <v>71</v>
      </c>
      <c r="F14" s="60">
        <f t="shared" si="0"/>
        <v>43.692307692307693</v>
      </c>
      <c r="G14" s="61">
        <f>IF(AND(catpn_1_LHB_1&gt;0,catpn_1_LHV_40&gt;0),(dagenperjaar1*VLOOKUP(B14,dagsoorttabel1,2,FALSE))/(((dagenperjaar1*VLOOKUP(B14,dagsoorttabel1,2,FALSE))-catfd_1_LHV_40)/catpn_1_LHB_1+catfd_1_LHV_40/catpn_1_LHV_40),0)</f>
        <v>0</v>
      </c>
      <c r="H14" s="46" t="s">
        <v>104</v>
      </c>
      <c r="I14" s="50">
        <f>IF(AND(catpn_1_LHB_1&gt;0,catpn_1_LHV_40&gt;0),(cattf_1_LHB_1*((dagenperjaar1*VLOOKUP(B14,dagsoorttabel1,2,FALSE))-catfd_1_LHV_40)/catpn_1_LHB_1+cattf_1_LHV_40*catfd_1_LHV_40/catpn_1_LHV_40)/(((dagenperjaar1*VLOOKUP(B14,dagsoorttabel1,2,FALSE))-catfd_1_LHV_40)/catpn_1_LHB_1+catfd_1_LHV_40/catpn_1_LHV_40),0)</f>
        <v>0</v>
      </c>
      <c r="J14" s="60">
        <f t="shared" si="1"/>
        <v>0</v>
      </c>
      <c r="K14" s="50">
        <f t="shared" si="2"/>
        <v>0</v>
      </c>
      <c r="L14" s="60">
        <f t="shared" si="3"/>
        <v>0</v>
      </c>
      <c r="M14" s="50">
        <f t="shared" si="4"/>
        <v>0</v>
      </c>
    </row>
    <row r="15" spans="1:13" x14ac:dyDescent="0.2">
      <c r="A15" s="46" t="s">
        <v>183</v>
      </c>
      <c r="B15" s="46" t="s">
        <v>11</v>
      </c>
      <c r="C15" s="46" t="s">
        <v>171</v>
      </c>
      <c r="D15" s="46" t="s">
        <v>184</v>
      </c>
      <c r="E15" s="60">
        <v>3117.01</v>
      </c>
      <c r="F15" s="60">
        <f t="shared" si="0"/>
        <v>2397.7000000000003</v>
      </c>
      <c r="G15" s="61">
        <f>IF(AND(catpn_1_LHB_1&gt;0,catpn_1_LHV_40&gt;0),(dagenperjaar1*VLOOKUP(B15,dagsoorttabel1,2,FALSE))/(((dagenperjaar1*VLOOKUP(B15,dagsoorttabel1,2,FALSE))-catfd_1_LHV_40)/catpn_1_LHB_1+catfd_1_LHV_40/catpn_1_LHV_40),0)</f>
        <v>0</v>
      </c>
      <c r="H15" s="46" t="s">
        <v>104</v>
      </c>
      <c r="I15" s="50">
        <f>IF(AND(catpn_1_LHB_1&gt;0,catpn_1_LHV_40&gt;0),(cattf_1_LHB_1*((dagenperjaar1*VLOOKUP(B15,dagsoorttabel1,2,FALSE))-catfd_1_LHV_40)/catpn_1_LHB_1+cattf_1_LHV_40*catfd_1_LHV_40/catpn_1_LHV_40)/(((dagenperjaar1*VLOOKUP(B15,dagsoorttabel1,2,FALSE))-catfd_1_LHV_40)/catpn_1_LHB_1+catfd_1_LHV_40/catpn_1_LHV_40),0)</f>
        <v>0</v>
      </c>
      <c r="J15" s="60">
        <f t="shared" si="1"/>
        <v>0</v>
      </c>
      <c r="K15" s="50">
        <f t="shared" si="2"/>
        <v>0</v>
      </c>
      <c r="L15" s="60">
        <f t="shared" si="3"/>
        <v>0</v>
      </c>
      <c r="M15" s="50">
        <f t="shared" si="4"/>
        <v>0</v>
      </c>
    </row>
    <row r="16" spans="1:13" x14ac:dyDescent="0.2">
      <c r="A16" s="46" t="s">
        <v>183</v>
      </c>
      <c r="B16" s="46" t="s">
        <v>17</v>
      </c>
      <c r="C16" s="46" t="s">
        <v>171</v>
      </c>
      <c r="D16" s="46" t="s">
        <v>184</v>
      </c>
      <c r="E16" s="60">
        <v>103.69999999999999</v>
      </c>
      <c r="F16" s="60">
        <f t="shared" si="0"/>
        <v>15.953846153846152</v>
      </c>
      <c r="G16" s="61">
        <f>catpn_1_LHV_40</f>
        <v>0</v>
      </c>
      <c r="H16" s="46" t="s">
        <v>104</v>
      </c>
      <c r="I16" s="50">
        <f>cattf_1_LHV_40</f>
        <v>0</v>
      </c>
      <c r="J16" s="60">
        <f t="shared" si="1"/>
        <v>0</v>
      </c>
      <c r="K16" s="50">
        <f t="shared" si="2"/>
        <v>0</v>
      </c>
      <c r="L16" s="60">
        <f t="shared" si="3"/>
        <v>0</v>
      </c>
      <c r="M16" s="50">
        <f t="shared" si="4"/>
        <v>0</v>
      </c>
    </row>
    <row r="17" spans="1:13" x14ac:dyDescent="0.2">
      <c r="A17" s="46" t="s">
        <v>183</v>
      </c>
      <c r="B17" s="46" t="s">
        <v>15</v>
      </c>
      <c r="C17" s="46" t="s">
        <v>171</v>
      </c>
      <c r="D17" s="46" t="s">
        <v>184</v>
      </c>
      <c r="E17" s="60">
        <v>228.61</v>
      </c>
      <c r="F17" s="60">
        <f t="shared" si="0"/>
        <v>70.341538461538477</v>
      </c>
      <c r="G17" s="61">
        <f>IF(AND(catpn_1_LHB_1&gt;0,catpn_1_LHV_40&gt;0),(dagenperjaar1*VLOOKUP(B17,dagsoorttabel1,2,FALSE))/(((dagenperjaar1*VLOOKUP(B17,dagsoorttabel1,2,FALSE))-catfd_1_LHV_40)/catpn_1_LHB_1+catfd_1_LHV_40/catpn_1_LHV_40),0)</f>
        <v>0</v>
      </c>
      <c r="H17" s="46" t="s">
        <v>104</v>
      </c>
      <c r="I17" s="50">
        <f>IF(AND(catpn_1_LHB_1&gt;0,catpn_1_LHV_40&gt;0),(cattf_1_LHB_1*((dagenperjaar1*VLOOKUP(B17,dagsoorttabel1,2,FALSE))-catfd_1_LHV_40)/catpn_1_LHB_1+cattf_1_LHV_40*catfd_1_LHV_40/catpn_1_LHV_40)/(((dagenperjaar1*VLOOKUP(B17,dagsoorttabel1,2,FALSE))-catfd_1_LHV_40)/catpn_1_LHB_1+catfd_1_LHV_40/catpn_1_LHV_40),0)</f>
        <v>0</v>
      </c>
      <c r="J17" s="60">
        <f t="shared" si="1"/>
        <v>0</v>
      </c>
      <c r="K17" s="50">
        <f t="shared" si="2"/>
        <v>0</v>
      </c>
      <c r="L17" s="60">
        <f t="shared" si="3"/>
        <v>0</v>
      </c>
      <c r="M17" s="50">
        <f t="shared" si="4"/>
        <v>0</v>
      </c>
    </row>
    <row r="18" spans="1:13" x14ac:dyDescent="0.2">
      <c r="A18" s="46" t="s">
        <v>185</v>
      </c>
      <c r="B18" s="46" t="s">
        <v>11</v>
      </c>
      <c r="C18" s="46" t="s">
        <v>171</v>
      </c>
      <c r="D18" s="46" t="s">
        <v>186</v>
      </c>
      <c r="E18" s="60">
        <v>126.79</v>
      </c>
      <c r="F18" s="60">
        <f t="shared" si="0"/>
        <v>97.530769230769238</v>
      </c>
      <c r="G18" s="61">
        <f>IF(AND(catpn_1_LZB_1&gt;0,catpn_1_LZV_40&gt;0),(dagenperjaar1*VLOOKUP(B18,dagsoorttabel1,2,FALSE))/(((dagenperjaar1*VLOOKUP(B18,dagsoorttabel1,2,FALSE))-catfd_1_LZV_40)/catpn_1_LZB_1+catfd_1_LZV_40/catpn_1_LZV_40),0)</f>
        <v>0</v>
      </c>
      <c r="H18" s="46" t="s">
        <v>104</v>
      </c>
      <c r="I18" s="50">
        <f>IF(AND(catpn_1_LZB_1&gt;0,catpn_1_LZV_40&gt;0),(cattf_1_LZB_1*((dagenperjaar1*VLOOKUP(B18,dagsoorttabel1,2,FALSE))-catfd_1_LZV_40)/catpn_1_LZB_1+cattf_1_LZV_40*catfd_1_LZV_40/catpn_1_LZV_40)/(((dagenperjaar1*VLOOKUP(B18,dagsoorttabel1,2,FALSE))-catfd_1_LZV_40)/catpn_1_LZB_1+catfd_1_LZV_40/catpn_1_LZV_40),0)</f>
        <v>0</v>
      </c>
      <c r="J18" s="60">
        <f t="shared" si="1"/>
        <v>0</v>
      </c>
      <c r="K18" s="50">
        <f t="shared" si="2"/>
        <v>0</v>
      </c>
      <c r="L18" s="60">
        <f t="shared" si="3"/>
        <v>0</v>
      </c>
      <c r="M18" s="50">
        <f t="shared" si="4"/>
        <v>0</v>
      </c>
    </row>
    <row r="19" spans="1:13" x14ac:dyDescent="0.2">
      <c r="A19" s="46" t="s">
        <v>187</v>
      </c>
      <c r="B19" s="46" t="s">
        <v>11</v>
      </c>
      <c r="C19" s="46" t="s">
        <v>171</v>
      </c>
      <c r="D19" s="46" t="s">
        <v>188</v>
      </c>
      <c r="E19" s="60">
        <v>67.199999999999989</v>
      </c>
      <c r="F19" s="60">
        <f t="shared" si="0"/>
        <v>51.692307692307686</v>
      </c>
      <c r="G19" s="61">
        <f>IF(AND(catpn_1_PHB_1&gt;0,catpn_1_PHV_40&gt;0),(dagenperjaar1*VLOOKUP(B19,dagsoorttabel1,2,FALSE))/(((dagenperjaar1*VLOOKUP(B19,dagsoorttabel1,2,FALSE))-catfd_1_PHV_40)/catpn_1_PHB_1+catfd_1_PHV_40/catpn_1_PHV_40),0)</f>
        <v>0</v>
      </c>
      <c r="H19" s="46" t="s">
        <v>104</v>
      </c>
      <c r="I19" s="50">
        <f>IF(AND(catpn_1_PHB_1&gt;0,catpn_1_PHV_40&gt;0),(cattf_1_PHB_1*((dagenperjaar1*VLOOKUP(B19,dagsoorttabel1,2,FALSE))-catfd_1_PHV_40)/catpn_1_PHB_1+cattf_1_PHV_40*catfd_1_PHV_40/catpn_1_PHV_40)/(((dagenperjaar1*VLOOKUP(B19,dagsoorttabel1,2,FALSE))-catfd_1_PHV_40)/catpn_1_PHB_1+catfd_1_PHV_40/catpn_1_PHV_40),0)</f>
        <v>0</v>
      </c>
      <c r="J19" s="60">
        <f t="shared" si="1"/>
        <v>0</v>
      </c>
      <c r="K19" s="50">
        <f t="shared" si="2"/>
        <v>0</v>
      </c>
      <c r="L19" s="60">
        <f t="shared" si="3"/>
        <v>0</v>
      </c>
      <c r="M19" s="50">
        <f t="shared" si="4"/>
        <v>0</v>
      </c>
    </row>
    <row r="20" spans="1:13" x14ac:dyDescent="0.2">
      <c r="A20" s="46" t="s">
        <v>189</v>
      </c>
      <c r="B20" s="46" t="s">
        <v>11</v>
      </c>
      <c r="C20" s="46" t="s">
        <v>171</v>
      </c>
      <c r="D20" s="46" t="s">
        <v>190</v>
      </c>
      <c r="E20" s="60">
        <v>58.9</v>
      </c>
      <c r="F20" s="60">
        <f t="shared" si="0"/>
        <v>45.307692307692307</v>
      </c>
      <c r="G20" s="61">
        <f>IF(AND(catpn_1_PMHB_1&gt;0,catpn_1_PMHV_40&gt;0),(dagenperjaar1*VLOOKUP(B20,dagsoorttabel1,2,FALSE))/(((dagenperjaar1*VLOOKUP(B20,dagsoorttabel1,2,FALSE))-catfd_1_PMHV_40)/catpn_1_PMHB_1+catfd_1_PMHV_40/catpn_1_PMHV_40),0)</f>
        <v>0</v>
      </c>
      <c r="H20" s="46" t="s">
        <v>104</v>
      </c>
      <c r="I20" s="50">
        <f>IF(AND(catpn_1_PMHB_1&gt;0,catpn_1_PMHV_40&gt;0),(cattf_1_PMHB_1*((dagenperjaar1*VLOOKUP(B20,dagsoorttabel1,2,FALSE))-catfd_1_PMHV_40)/catpn_1_PMHB_1+cattf_1_PMHV_40*catfd_1_PMHV_40/catpn_1_PMHV_40)/(((dagenperjaar1*VLOOKUP(B20,dagsoorttabel1,2,FALSE))-catfd_1_PMHV_40)/catpn_1_PMHB_1+catfd_1_PMHV_40/catpn_1_PMHV_40),0)</f>
        <v>0</v>
      </c>
      <c r="J20" s="60">
        <f t="shared" si="1"/>
        <v>0</v>
      </c>
      <c r="K20" s="50">
        <f t="shared" si="2"/>
        <v>0</v>
      </c>
      <c r="L20" s="60">
        <f t="shared" si="3"/>
        <v>0</v>
      </c>
      <c r="M20" s="50">
        <f t="shared" si="4"/>
        <v>0</v>
      </c>
    </row>
    <row r="21" spans="1:13" x14ac:dyDescent="0.2">
      <c r="A21" s="46" t="s">
        <v>191</v>
      </c>
      <c r="B21" s="46" t="s">
        <v>11</v>
      </c>
      <c r="C21" s="46" t="s">
        <v>171</v>
      </c>
      <c r="D21" s="46" t="s">
        <v>192</v>
      </c>
      <c r="E21" s="60">
        <v>371.06999999999994</v>
      </c>
      <c r="F21" s="60">
        <f t="shared" si="0"/>
        <v>285.43846153846152</v>
      </c>
      <c r="G21" s="61">
        <f>IF(AND(catpn_1_SHB_1&gt;0,catpn_1_SHV_40&gt;0),(dagenperjaar1*VLOOKUP(B21,dagsoorttabel1,2,FALSE))/(((dagenperjaar1*VLOOKUP(B21,dagsoorttabel1,2,FALSE))-catfd_1_SHV_40)/catpn_1_SHB_1+catfd_1_SHV_40/catpn_1_SHV_40),0)</f>
        <v>0</v>
      </c>
      <c r="H21" s="46" t="s">
        <v>104</v>
      </c>
      <c r="I21" s="50">
        <f>IF(AND(catpn_1_SHB_1&gt;0,catpn_1_SHV_40&gt;0),(cattf_1_SHB_1*((dagenperjaar1*VLOOKUP(B21,dagsoorttabel1,2,FALSE))-catfd_1_SHV_40)/catpn_1_SHB_1+cattf_1_SHV_40*catfd_1_SHV_40/catpn_1_SHV_40)/(((dagenperjaar1*VLOOKUP(B21,dagsoorttabel1,2,FALSE))-catfd_1_SHV_40)/catpn_1_SHB_1+catfd_1_SHV_40/catpn_1_SHV_40),0)</f>
        <v>0</v>
      </c>
      <c r="J21" s="60">
        <f t="shared" si="1"/>
        <v>0</v>
      </c>
      <c r="K21" s="50">
        <f t="shared" si="2"/>
        <v>0</v>
      </c>
      <c r="L21" s="60">
        <f t="shared" si="3"/>
        <v>0</v>
      </c>
      <c r="M21" s="50">
        <f t="shared" si="4"/>
        <v>0</v>
      </c>
    </row>
    <row r="22" spans="1:13" x14ac:dyDescent="0.2">
      <c r="A22" s="46" t="s">
        <v>191</v>
      </c>
      <c r="B22" s="46" t="s">
        <v>17</v>
      </c>
      <c r="C22" s="46" t="s">
        <v>171</v>
      </c>
      <c r="D22" s="46" t="s">
        <v>192</v>
      </c>
      <c r="E22" s="60">
        <v>4.1499999999999995</v>
      </c>
      <c r="F22" s="60">
        <f t="shared" si="0"/>
        <v>0.63846153846153841</v>
      </c>
      <c r="G22" s="61">
        <f>catpn_1_SHV_40</f>
        <v>0</v>
      </c>
      <c r="H22" s="46" t="s">
        <v>104</v>
      </c>
      <c r="I22" s="50">
        <f>cattf_1_SHV_40</f>
        <v>0</v>
      </c>
      <c r="J22" s="60">
        <f t="shared" si="1"/>
        <v>0</v>
      </c>
      <c r="K22" s="50">
        <f t="shared" si="2"/>
        <v>0</v>
      </c>
      <c r="L22" s="60">
        <f t="shared" si="3"/>
        <v>0</v>
      </c>
      <c r="M22" s="50">
        <f t="shared" si="4"/>
        <v>0</v>
      </c>
    </row>
    <row r="23" spans="1:13" x14ac:dyDescent="0.2">
      <c r="A23" s="46" t="s">
        <v>193</v>
      </c>
      <c r="B23" s="46" t="s">
        <v>11</v>
      </c>
      <c r="C23" s="46" t="s">
        <v>171</v>
      </c>
      <c r="D23" s="46" t="s">
        <v>194</v>
      </c>
      <c r="E23" s="60">
        <v>33.29</v>
      </c>
      <c r="F23" s="60">
        <f t="shared" si="0"/>
        <v>25.607692307692307</v>
      </c>
      <c r="G23" s="61">
        <f>IF(AND(catpn_1_THB_1&gt;0,catpn_1_THV_40&gt;0),(dagenperjaar1*VLOOKUP(B23,dagsoorttabel1,2,FALSE))/(((dagenperjaar1*VLOOKUP(B23,dagsoorttabel1,2,FALSE))-catfd_1_THV_40)/catpn_1_THB_1+catfd_1_THV_40/catpn_1_THV_40),0)</f>
        <v>0</v>
      </c>
      <c r="H23" s="46" t="s">
        <v>104</v>
      </c>
      <c r="I23" s="50">
        <f>IF(AND(catpn_1_THB_1&gt;0,catpn_1_THV_40&gt;0),(cattf_1_THB_1*((dagenperjaar1*VLOOKUP(B23,dagsoorttabel1,2,FALSE))-catfd_1_THV_40)/catpn_1_THB_1+cattf_1_THV_40*catfd_1_THV_40/catpn_1_THV_40)/(((dagenperjaar1*VLOOKUP(B23,dagsoorttabel1,2,FALSE))-catfd_1_THV_40)/catpn_1_THB_1+catfd_1_THV_40/catpn_1_THV_40),0)</f>
        <v>0</v>
      </c>
      <c r="J23" s="60">
        <f t="shared" si="1"/>
        <v>0</v>
      </c>
      <c r="K23" s="50">
        <f t="shared" si="2"/>
        <v>0</v>
      </c>
      <c r="L23" s="60">
        <f t="shared" si="3"/>
        <v>0</v>
      </c>
      <c r="M23" s="50">
        <f t="shared" si="4"/>
        <v>0</v>
      </c>
    </row>
    <row r="24" spans="1:13" x14ac:dyDescent="0.2">
      <c r="A24" s="46" t="s">
        <v>195</v>
      </c>
      <c r="B24" s="46" t="s">
        <v>11</v>
      </c>
      <c r="C24" s="46" t="s">
        <v>171</v>
      </c>
      <c r="D24" s="46" t="s">
        <v>196</v>
      </c>
      <c r="E24" s="60">
        <v>1201.42</v>
      </c>
      <c r="F24" s="60">
        <f t="shared" si="0"/>
        <v>924.16923076923092</v>
      </c>
      <c r="G24" s="61">
        <f>IF(AND(catpn_1_VHB_1&gt;0,catpn_1_VHV_40&gt;0),(dagenperjaar1*VLOOKUP(B24,dagsoorttabel1,2,FALSE))/(((dagenperjaar1*VLOOKUP(B24,dagsoorttabel1,2,FALSE))-catfd_1_VHV_40)/catpn_1_VHB_1+catfd_1_VHV_40/catpn_1_VHV_40),0)</f>
        <v>0</v>
      </c>
      <c r="H24" s="46" t="s">
        <v>104</v>
      </c>
      <c r="I24" s="50">
        <f>IF(AND(catpn_1_VHB_1&gt;0,catpn_1_VHV_40&gt;0),(cattf_1_VHB_1*((dagenperjaar1*VLOOKUP(B24,dagsoorttabel1,2,FALSE))-catfd_1_VHV_40)/catpn_1_VHB_1+cattf_1_VHV_40*catfd_1_VHV_40/catpn_1_VHV_40)/(((dagenperjaar1*VLOOKUP(B24,dagsoorttabel1,2,FALSE))-catfd_1_VHV_40)/catpn_1_VHB_1+catfd_1_VHV_40/catpn_1_VHV_40),0)</f>
        <v>0</v>
      </c>
      <c r="J24" s="60">
        <f t="shared" si="1"/>
        <v>0</v>
      </c>
      <c r="K24" s="50">
        <f t="shared" si="2"/>
        <v>0</v>
      </c>
      <c r="L24" s="60">
        <f t="shared" si="3"/>
        <v>0</v>
      </c>
      <c r="M24" s="50">
        <f t="shared" si="4"/>
        <v>0</v>
      </c>
    </row>
    <row r="25" spans="1:13" x14ac:dyDescent="0.2">
      <c r="A25" s="46" t="s">
        <v>195</v>
      </c>
      <c r="B25" s="46" t="s">
        <v>17</v>
      </c>
      <c r="C25" s="46" t="s">
        <v>171</v>
      </c>
      <c r="D25" s="46" t="s">
        <v>196</v>
      </c>
      <c r="E25" s="60">
        <v>21</v>
      </c>
      <c r="F25" s="60">
        <f t="shared" si="0"/>
        <v>3.2307692307692308</v>
      </c>
      <c r="G25" s="61">
        <f>catpn_1_VHV_40</f>
        <v>0</v>
      </c>
      <c r="H25" s="46" t="s">
        <v>104</v>
      </c>
      <c r="I25" s="50">
        <f>cattf_1_VHV_40</f>
        <v>0</v>
      </c>
      <c r="J25" s="60">
        <f t="shared" si="1"/>
        <v>0</v>
      </c>
      <c r="K25" s="50">
        <f t="shared" si="2"/>
        <v>0</v>
      </c>
      <c r="L25" s="60">
        <f t="shared" si="3"/>
        <v>0</v>
      </c>
      <c r="M25" s="50">
        <f t="shared" si="4"/>
        <v>0</v>
      </c>
    </row>
    <row r="26" spans="1:13" x14ac:dyDescent="0.2">
      <c r="A26" s="46" t="s">
        <v>197</v>
      </c>
      <c r="B26" s="46" t="s">
        <v>11</v>
      </c>
      <c r="C26" s="46" t="s">
        <v>171</v>
      </c>
      <c r="D26" s="46" t="s">
        <v>198</v>
      </c>
      <c r="E26" s="60">
        <v>59.6</v>
      </c>
      <c r="F26" s="60">
        <f t="shared" si="0"/>
        <v>45.846153846153847</v>
      </c>
      <c r="G26" s="61">
        <f>IF(AND(catpn_1_VZB_1&gt;0,catpn_1_VZV_40&gt;0),(dagenperjaar1*VLOOKUP(B26,dagsoorttabel1,2,FALSE))/(((dagenperjaar1*VLOOKUP(B26,dagsoorttabel1,2,FALSE))-catfd_1_VZV_40)/catpn_1_VZB_1+catfd_1_VZV_40/catpn_1_VZV_40),0)</f>
        <v>0</v>
      </c>
      <c r="H26" s="46" t="s">
        <v>104</v>
      </c>
      <c r="I26" s="50">
        <f>IF(AND(catpn_1_VZB_1&gt;0,catpn_1_VZV_40&gt;0),(cattf_1_VZB_1*((dagenperjaar1*VLOOKUP(B26,dagsoorttabel1,2,FALSE))-catfd_1_VZV_40)/catpn_1_VZB_1+cattf_1_VZV_40*catfd_1_VZV_40/catpn_1_VZV_40)/(((dagenperjaar1*VLOOKUP(B26,dagsoorttabel1,2,FALSE))-catfd_1_VZV_40)/catpn_1_VZB_1+catfd_1_VZV_40/catpn_1_VZV_40),0)</f>
        <v>0</v>
      </c>
      <c r="J26" s="60">
        <f t="shared" si="1"/>
        <v>0</v>
      </c>
      <c r="K26" s="50">
        <f t="shared" si="2"/>
        <v>0</v>
      </c>
      <c r="L26" s="60">
        <f t="shared" si="3"/>
        <v>0</v>
      </c>
      <c r="M26" s="50">
        <f t="shared" si="4"/>
        <v>0</v>
      </c>
    </row>
    <row r="27" spans="1:13" x14ac:dyDescent="0.2">
      <c r="A27" s="51" t="s">
        <v>197</v>
      </c>
      <c r="B27" s="51" t="s">
        <v>17</v>
      </c>
      <c r="C27" s="51" t="s">
        <v>171</v>
      </c>
      <c r="D27" s="51" t="s">
        <v>198</v>
      </c>
      <c r="E27" s="62">
        <v>6.2</v>
      </c>
      <c r="F27" s="62">
        <f t="shared" si="0"/>
        <v>0.9538461538461539</v>
      </c>
      <c r="G27" s="63">
        <f>IF(AND(catpn_1_VZB_1&gt;0,catpn_1_VZV_40&gt;0),(dagenperjaar1*VLOOKUP(B27,dagsoorttabel1,2,FALSE))/(((dagenperjaar1*VLOOKUP(B27,dagsoorttabel1,2,FALSE))-catfd_1_VZV_40)/catpn_1_VZB_1+catfd_1_VZV_40/catpn_1_VZV_40),0)</f>
        <v>0</v>
      </c>
      <c r="H27" s="51" t="s">
        <v>104</v>
      </c>
      <c r="I27" s="55">
        <f>IF(AND(catpn_1_VZB_1&gt;0,catpn_1_VZV_40&gt;0),(cattf_1_VZB_1*((dagenperjaar1*VLOOKUP(B27,dagsoorttabel1,2,FALSE))-catfd_1_VZV_40)/catpn_1_VZB_1+cattf_1_VZV_40*catfd_1_VZV_40/catpn_1_VZV_40)/(((dagenperjaar1*VLOOKUP(B27,dagsoorttabel1,2,FALSE))-catfd_1_VZV_40)/catpn_1_VZB_1+catfd_1_VZV_40/catpn_1_VZV_40),0)</f>
        <v>0</v>
      </c>
      <c r="J27" s="62">
        <f t="shared" si="1"/>
        <v>0</v>
      </c>
      <c r="K27" s="55">
        <f t="shared" si="2"/>
        <v>0</v>
      </c>
      <c r="L27" s="62">
        <f t="shared" si="3"/>
        <v>0</v>
      </c>
      <c r="M27" s="55">
        <f t="shared" si="4"/>
        <v>0</v>
      </c>
    </row>
    <row r="28" spans="1:13" x14ac:dyDescent="0.2">
      <c r="A28" s="65" t="s">
        <v>199</v>
      </c>
      <c r="B28" s="66"/>
      <c r="C28" s="66"/>
      <c r="D28" s="66"/>
      <c r="E28" s="66"/>
      <c r="F28" s="66"/>
      <c r="G28" s="66"/>
      <c r="H28" s="66"/>
      <c r="I28" s="66"/>
      <c r="J28" s="67">
        <f>SUM(J6:J27)</f>
        <v>0</v>
      </c>
      <c r="K28" s="68">
        <f>SUM(K6:K27)</f>
        <v>0</v>
      </c>
      <c r="L28" s="67">
        <f>SUM(L6:L27)</f>
        <v>0</v>
      </c>
      <c r="M28" s="69">
        <f>SUM(M6:M27)</f>
        <v>0</v>
      </c>
    </row>
    <row r="29" spans="1:13" x14ac:dyDescent="0.2">
      <c r="A29" s="70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71"/>
    </row>
    <row r="30" spans="1:13" x14ac:dyDescent="0.2">
      <c r="A30" s="65" t="s">
        <v>200</v>
      </c>
      <c r="B30" s="66"/>
      <c r="C30" s="66"/>
      <c r="D30" s="66"/>
      <c r="E30" s="66"/>
      <c r="F30" s="66"/>
      <c r="G30" s="66"/>
      <c r="H30" s="66"/>
      <c r="I30" s="68">
        <f>IF(urenjaar1&gt;0,SUMIF(L6:L27,"&gt;0",M6:M27)/urenjaar1,0)</f>
        <v>0</v>
      </c>
      <c r="J30" s="66"/>
      <c r="K30" s="66"/>
      <c r="L30" s="66"/>
      <c r="M30" s="71"/>
    </row>
    <row r="31" spans="1:13" x14ac:dyDescent="0.2">
      <c r="A31" s="70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71"/>
    </row>
    <row r="33" spans="1:13" x14ac:dyDescent="0.2">
      <c r="A33" s="65" t="s">
        <v>201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7">
        <f>urenjaar1</f>
        <v>0</v>
      </c>
      <c r="M33" s="68">
        <f>prijsjaar1</f>
        <v>0</v>
      </c>
    </row>
  </sheetData>
  <sheetProtection algorithmName="SHA-512" hashValue="vYgGrq5+fJaNCwTbE+mqRjloHt2X9ifdd4fq21KLILVp4Zk6QMxarxOfVCaLppNeRMrUSwJJLARtbz6VCEotiQ==" saltValue="Xk+G14gfP4m738onzPBaGA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D6CC-726F-4ED9-AF1D-8D4E0BDACAFC}">
  <dimension ref="A1:S279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40.625" customWidth="1"/>
    <col min="11" max="12" width="10.625" customWidth="1"/>
    <col min="13" max="13" width="11.625" customWidth="1"/>
    <col min="14" max="14" width="9.625" customWidth="1"/>
    <col min="15" max="17" width="11.625" customWidth="1"/>
    <col min="18" max="18" width="12.625" customWidth="1"/>
    <col min="19" max="19" width="14.625" customWidth="1"/>
  </cols>
  <sheetData>
    <row r="1" spans="1:19" x14ac:dyDescent="0.2">
      <c r="A1" s="1" t="str">
        <f>CONCATENATE("Bijlage F.2.3: ",tabeltype," ruimten werkdag")</f>
        <v>Bijlage F.2.3: Invultabel ruimten werkdag</v>
      </c>
    </row>
    <row r="3" spans="1:19" ht="38.25" x14ac:dyDescent="0.2">
      <c r="A3" s="72" t="s">
        <v>202</v>
      </c>
      <c r="B3" s="30" t="s">
        <v>203</v>
      </c>
      <c r="C3" s="30" t="s">
        <v>204</v>
      </c>
      <c r="D3" s="30" t="s">
        <v>205</v>
      </c>
      <c r="E3" s="30" t="s">
        <v>206</v>
      </c>
      <c r="F3" s="30" t="s">
        <v>207</v>
      </c>
      <c r="G3" s="30" t="s">
        <v>162</v>
      </c>
      <c r="H3" s="30" t="s">
        <v>7</v>
      </c>
      <c r="I3" s="30" t="s">
        <v>208</v>
      </c>
      <c r="J3" s="30" t="s">
        <v>209</v>
      </c>
      <c r="K3" s="30" t="s">
        <v>164</v>
      </c>
      <c r="L3" s="30" t="s">
        <v>165</v>
      </c>
      <c r="M3" s="30" t="s">
        <v>96</v>
      </c>
      <c r="N3" s="30" t="s">
        <v>98</v>
      </c>
      <c r="O3" s="30" t="s">
        <v>99</v>
      </c>
      <c r="P3" s="30" t="s">
        <v>166</v>
      </c>
      <c r="Q3" s="30" t="s">
        <v>167</v>
      </c>
      <c r="R3" s="30" t="s">
        <v>168</v>
      </c>
      <c r="S3" s="73" t="s">
        <v>169</v>
      </c>
    </row>
    <row r="4" spans="1:19" x14ac:dyDescent="0.2">
      <c r="A4" s="74" t="s">
        <v>210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64"/>
    </row>
    <row r="5" spans="1:19" ht="25.5" x14ac:dyDescent="0.2">
      <c r="A5" s="81" t="s">
        <v>211</v>
      </c>
      <c r="B5" s="82" t="s">
        <v>39</v>
      </c>
      <c r="C5" s="82" t="s">
        <v>212</v>
      </c>
      <c r="D5" s="82" t="s">
        <v>213</v>
      </c>
      <c r="E5" s="83" t="s">
        <v>214</v>
      </c>
      <c r="F5" s="82" t="s">
        <v>215</v>
      </c>
      <c r="G5" s="82" t="s">
        <v>181</v>
      </c>
      <c r="H5" s="82" t="s">
        <v>11</v>
      </c>
      <c r="I5" s="82" t="s">
        <v>171</v>
      </c>
      <c r="J5" s="83" t="s">
        <v>182</v>
      </c>
      <c r="K5" s="84">
        <v>79.61</v>
      </c>
      <c r="L5" s="84">
        <f t="shared" ref="L5:L25" si="0">K5*VLOOKUP(H5,dagsoorttabel1,2,FALSE)</f>
        <v>61.238461538461543</v>
      </c>
      <c r="M5" s="85">
        <f>prodnorm8</f>
        <v>0</v>
      </c>
      <c r="N5" s="82" t="s">
        <v>104</v>
      </c>
      <c r="O5" s="86">
        <f>uurtarief8</f>
        <v>0</v>
      </c>
      <c r="P5" s="84" t="e">
        <f t="shared" ref="P5:P25" si="1">IF(ISBLANK(M5),0,L5/ROUND(M5,4))</f>
        <v>#DIV/0!</v>
      </c>
      <c r="Q5" s="86" t="e">
        <f t="shared" ref="Q5:Q25" si="2">ROUND(O5,2)*P5</f>
        <v>#DIV/0!</v>
      </c>
      <c r="R5" s="84" t="e">
        <f t="shared" ref="R5:R25" si="3">P5*dagenperjaar1</f>
        <v>#DIV/0!</v>
      </c>
      <c r="S5" s="87" t="e">
        <f t="shared" ref="S5:S25" si="4">R5*ROUND(O5,2)</f>
        <v>#DIV/0!</v>
      </c>
    </row>
    <row r="6" spans="1:19" x14ac:dyDescent="0.2">
      <c r="A6" s="88" t="s">
        <v>211</v>
      </c>
      <c r="B6" s="89" t="s">
        <v>39</v>
      </c>
      <c r="C6" s="89" t="s">
        <v>212</v>
      </c>
      <c r="D6" s="89" t="s">
        <v>216</v>
      </c>
      <c r="E6" s="90" t="s">
        <v>217</v>
      </c>
      <c r="F6" s="89" t="s">
        <v>218</v>
      </c>
      <c r="G6" s="89" t="s">
        <v>183</v>
      </c>
      <c r="H6" s="89" t="s">
        <v>11</v>
      </c>
      <c r="I6" s="89" t="s">
        <v>171</v>
      </c>
      <c r="J6" s="90" t="s">
        <v>184</v>
      </c>
      <c r="K6" s="91">
        <v>53.63</v>
      </c>
      <c r="L6" s="91">
        <f t="shared" si="0"/>
        <v>41.253846153846155</v>
      </c>
      <c r="M6" s="92">
        <f>prodnorm11</f>
        <v>0</v>
      </c>
      <c r="N6" s="89" t="s">
        <v>104</v>
      </c>
      <c r="O6" s="17">
        <f>uurtarief11</f>
        <v>0</v>
      </c>
      <c r="P6" s="91" t="e">
        <f t="shared" si="1"/>
        <v>#DIV/0!</v>
      </c>
      <c r="Q6" s="17" t="e">
        <f t="shared" si="2"/>
        <v>#DIV/0!</v>
      </c>
      <c r="R6" s="91" t="e">
        <f t="shared" si="3"/>
        <v>#DIV/0!</v>
      </c>
      <c r="S6" s="18" t="e">
        <f t="shared" si="4"/>
        <v>#DIV/0!</v>
      </c>
    </row>
    <row r="7" spans="1:19" x14ac:dyDescent="0.2">
      <c r="A7" s="88" t="s">
        <v>211</v>
      </c>
      <c r="B7" s="89" t="s">
        <v>39</v>
      </c>
      <c r="C7" s="89" t="s">
        <v>212</v>
      </c>
      <c r="D7" s="89" t="s">
        <v>219</v>
      </c>
      <c r="E7" s="90" t="s">
        <v>220</v>
      </c>
      <c r="F7" s="89" t="s">
        <v>218</v>
      </c>
      <c r="G7" s="89" t="s">
        <v>191</v>
      </c>
      <c r="H7" s="89" t="s">
        <v>11</v>
      </c>
      <c r="I7" s="89" t="s">
        <v>171</v>
      </c>
      <c r="J7" s="90" t="s">
        <v>192</v>
      </c>
      <c r="K7" s="91">
        <v>4.5</v>
      </c>
      <c r="L7" s="91">
        <f t="shared" si="0"/>
        <v>3.4615384615384617</v>
      </c>
      <c r="M7" s="92">
        <f>prodnorm17</f>
        <v>0</v>
      </c>
      <c r="N7" s="89" t="s">
        <v>104</v>
      </c>
      <c r="O7" s="17">
        <f>uurtarief17</f>
        <v>0</v>
      </c>
      <c r="P7" s="91" t="e">
        <f t="shared" si="1"/>
        <v>#DIV/0!</v>
      </c>
      <c r="Q7" s="17" t="e">
        <f t="shared" si="2"/>
        <v>#DIV/0!</v>
      </c>
      <c r="R7" s="91" t="e">
        <f t="shared" si="3"/>
        <v>#DIV/0!</v>
      </c>
      <c r="S7" s="18" t="e">
        <f t="shared" si="4"/>
        <v>#DIV/0!</v>
      </c>
    </row>
    <row r="8" spans="1:19" x14ac:dyDescent="0.2">
      <c r="A8" s="88" t="s">
        <v>211</v>
      </c>
      <c r="B8" s="89" t="s">
        <v>39</v>
      </c>
      <c r="C8" s="89" t="s">
        <v>212</v>
      </c>
      <c r="D8" s="89" t="s">
        <v>221</v>
      </c>
      <c r="E8" s="90" t="s">
        <v>222</v>
      </c>
      <c r="F8" s="89" t="s">
        <v>218</v>
      </c>
      <c r="G8" s="89" t="s">
        <v>183</v>
      </c>
      <c r="H8" s="89" t="s">
        <v>11</v>
      </c>
      <c r="I8" s="89" t="s">
        <v>171</v>
      </c>
      <c r="J8" s="90" t="s">
        <v>184</v>
      </c>
      <c r="K8" s="91">
        <v>57.09</v>
      </c>
      <c r="L8" s="91">
        <f t="shared" si="0"/>
        <v>43.915384615384617</v>
      </c>
      <c r="M8" s="92">
        <f>prodnorm11</f>
        <v>0</v>
      </c>
      <c r="N8" s="89" t="s">
        <v>104</v>
      </c>
      <c r="O8" s="17">
        <f>uurtarief11</f>
        <v>0</v>
      </c>
      <c r="P8" s="91" t="e">
        <f t="shared" si="1"/>
        <v>#DIV/0!</v>
      </c>
      <c r="Q8" s="17" t="e">
        <f t="shared" si="2"/>
        <v>#DIV/0!</v>
      </c>
      <c r="R8" s="91" t="e">
        <f t="shared" si="3"/>
        <v>#DIV/0!</v>
      </c>
      <c r="S8" s="18" t="e">
        <f t="shared" si="4"/>
        <v>#DIV/0!</v>
      </c>
    </row>
    <row r="9" spans="1:19" x14ac:dyDescent="0.2">
      <c r="A9" s="88" t="s">
        <v>211</v>
      </c>
      <c r="B9" s="89" t="s">
        <v>39</v>
      </c>
      <c r="C9" s="89" t="s">
        <v>212</v>
      </c>
      <c r="D9" s="89" t="s">
        <v>223</v>
      </c>
      <c r="E9" s="90" t="s">
        <v>220</v>
      </c>
      <c r="F9" s="89" t="s">
        <v>218</v>
      </c>
      <c r="G9" s="89" t="s">
        <v>191</v>
      </c>
      <c r="H9" s="89" t="s">
        <v>11</v>
      </c>
      <c r="I9" s="89" t="s">
        <v>171</v>
      </c>
      <c r="J9" s="90" t="s">
        <v>192</v>
      </c>
      <c r="K9" s="91">
        <v>3.46</v>
      </c>
      <c r="L9" s="91">
        <f t="shared" si="0"/>
        <v>2.6615384615384619</v>
      </c>
      <c r="M9" s="92">
        <f>prodnorm17</f>
        <v>0</v>
      </c>
      <c r="N9" s="89" t="s">
        <v>104</v>
      </c>
      <c r="O9" s="17">
        <f>uurtarief17</f>
        <v>0</v>
      </c>
      <c r="P9" s="91" t="e">
        <f t="shared" si="1"/>
        <v>#DIV/0!</v>
      </c>
      <c r="Q9" s="17" t="e">
        <f t="shared" si="2"/>
        <v>#DIV/0!</v>
      </c>
      <c r="R9" s="91" t="e">
        <f t="shared" si="3"/>
        <v>#DIV/0!</v>
      </c>
      <c r="S9" s="18" t="e">
        <f t="shared" si="4"/>
        <v>#DIV/0!</v>
      </c>
    </row>
    <row r="10" spans="1:19" ht="25.5" x14ac:dyDescent="0.2">
      <c r="A10" s="88" t="s">
        <v>211</v>
      </c>
      <c r="B10" s="89" t="s">
        <v>39</v>
      </c>
      <c r="C10" s="89" t="s">
        <v>212</v>
      </c>
      <c r="D10" s="89" t="s">
        <v>224</v>
      </c>
      <c r="E10" s="90" t="s">
        <v>225</v>
      </c>
      <c r="F10" s="89" t="s">
        <v>218</v>
      </c>
      <c r="G10" s="89" t="s">
        <v>195</v>
      </c>
      <c r="H10" s="89" t="s">
        <v>11</v>
      </c>
      <c r="I10" s="89" t="s">
        <v>171</v>
      </c>
      <c r="J10" s="90" t="s">
        <v>196</v>
      </c>
      <c r="K10" s="91">
        <v>38.06</v>
      </c>
      <c r="L10" s="91">
        <f t="shared" si="0"/>
        <v>29.276923076923079</v>
      </c>
      <c r="M10" s="92">
        <f>prodnorm20</f>
        <v>0</v>
      </c>
      <c r="N10" s="89" t="s">
        <v>104</v>
      </c>
      <c r="O10" s="17">
        <f>uurtarief20</f>
        <v>0</v>
      </c>
      <c r="P10" s="91" t="e">
        <f t="shared" si="1"/>
        <v>#DIV/0!</v>
      </c>
      <c r="Q10" s="17" t="e">
        <f t="shared" si="2"/>
        <v>#DIV/0!</v>
      </c>
      <c r="R10" s="91" t="e">
        <f t="shared" si="3"/>
        <v>#DIV/0!</v>
      </c>
      <c r="S10" s="18" t="e">
        <f t="shared" si="4"/>
        <v>#DIV/0!</v>
      </c>
    </row>
    <row r="11" spans="1:19" x14ac:dyDescent="0.2">
      <c r="A11" s="88" t="s">
        <v>211</v>
      </c>
      <c r="B11" s="89" t="s">
        <v>39</v>
      </c>
      <c r="C11" s="89" t="s">
        <v>212</v>
      </c>
      <c r="D11" s="89" t="s">
        <v>226</v>
      </c>
      <c r="E11" s="90" t="s">
        <v>227</v>
      </c>
      <c r="F11" s="89" t="s">
        <v>228</v>
      </c>
      <c r="G11" s="89" t="s">
        <v>179</v>
      </c>
      <c r="H11" s="89" t="s">
        <v>11</v>
      </c>
      <c r="I11" s="89" t="s">
        <v>171</v>
      </c>
      <c r="J11" s="90" t="s">
        <v>180</v>
      </c>
      <c r="K11" s="91">
        <v>5.1899999999999995</v>
      </c>
      <c r="L11" s="91">
        <f t="shared" si="0"/>
        <v>3.9923076923076923</v>
      </c>
      <c r="M11" s="92">
        <f>prodnorm7</f>
        <v>0</v>
      </c>
      <c r="N11" s="89" t="s">
        <v>104</v>
      </c>
      <c r="O11" s="17">
        <f>uurtarief7</f>
        <v>0</v>
      </c>
      <c r="P11" s="91" t="e">
        <f t="shared" si="1"/>
        <v>#DIV/0!</v>
      </c>
      <c r="Q11" s="17" t="e">
        <f t="shared" si="2"/>
        <v>#DIV/0!</v>
      </c>
      <c r="R11" s="91" t="e">
        <f t="shared" si="3"/>
        <v>#DIV/0!</v>
      </c>
      <c r="S11" s="18" t="e">
        <f t="shared" si="4"/>
        <v>#DIV/0!</v>
      </c>
    </row>
    <row r="12" spans="1:19" x14ac:dyDescent="0.2">
      <c r="A12" s="88" t="s">
        <v>211</v>
      </c>
      <c r="B12" s="89" t="s">
        <v>39</v>
      </c>
      <c r="C12" s="89" t="s">
        <v>212</v>
      </c>
      <c r="D12" s="89" t="s">
        <v>229</v>
      </c>
      <c r="E12" s="90" t="s">
        <v>230</v>
      </c>
      <c r="F12" s="89" t="s">
        <v>218</v>
      </c>
      <c r="G12" s="89" t="s">
        <v>189</v>
      </c>
      <c r="H12" s="89" t="s">
        <v>11</v>
      </c>
      <c r="I12" s="89" t="s">
        <v>171</v>
      </c>
      <c r="J12" s="90" t="s">
        <v>190</v>
      </c>
      <c r="K12" s="91">
        <v>19.899999999999999</v>
      </c>
      <c r="L12" s="91">
        <f t="shared" si="0"/>
        <v>15.307692307692307</v>
      </c>
      <c r="M12" s="92">
        <f>prodnorm16</f>
        <v>0</v>
      </c>
      <c r="N12" s="89" t="s">
        <v>104</v>
      </c>
      <c r="O12" s="17">
        <f>uurtarief16</f>
        <v>0</v>
      </c>
      <c r="P12" s="91" t="e">
        <f t="shared" si="1"/>
        <v>#DIV/0!</v>
      </c>
      <c r="Q12" s="17" t="e">
        <f t="shared" si="2"/>
        <v>#DIV/0!</v>
      </c>
      <c r="R12" s="91" t="e">
        <f t="shared" si="3"/>
        <v>#DIV/0!</v>
      </c>
      <c r="S12" s="18" t="e">
        <f t="shared" si="4"/>
        <v>#DIV/0!</v>
      </c>
    </row>
    <row r="13" spans="1:19" x14ac:dyDescent="0.2">
      <c r="A13" s="88" t="s">
        <v>211</v>
      </c>
      <c r="B13" s="89" t="s">
        <v>39</v>
      </c>
      <c r="C13" s="89" t="s">
        <v>212</v>
      </c>
      <c r="D13" s="89" t="s">
        <v>231</v>
      </c>
      <c r="E13" s="90" t="s">
        <v>232</v>
      </c>
      <c r="F13" s="89" t="s">
        <v>218</v>
      </c>
      <c r="G13" s="89" t="s">
        <v>191</v>
      </c>
      <c r="H13" s="89" t="s">
        <v>11</v>
      </c>
      <c r="I13" s="89" t="s">
        <v>171</v>
      </c>
      <c r="J13" s="90" t="s">
        <v>192</v>
      </c>
      <c r="K13" s="91">
        <v>2.77</v>
      </c>
      <c r="L13" s="91">
        <f t="shared" si="0"/>
        <v>2.1307692307692307</v>
      </c>
      <c r="M13" s="92">
        <f>prodnorm17</f>
        <v>0</v>
      </c>
      <c r="N13" s="89" t="s">
        <v>104</v>
      </c>
      <c r="O13" s="17">
        <f>uurtarief17</f>
        <v>0</v>
      </c>
      <c r="P13" s="91" t="e">
        <f t="shared" si="1"/>
        <v>#DIV/0!</v>
      </c>
      <c r="Q13" s="17" t="e">
        <f t="shared" si="2"/>
        <v>#DIV/0!</v>
      </c>
      <c r="R13" s="91" t="e">
        <f t="shared" si="3"/>
        <v>#DIV/0!</v>
      </c>
      <c r="S13" s="18" t="e">
        <f t="shared" si="4"/>
        <v>#DIV/0!</v>
      </c>
    </row>
    <row r="14" spans="1:19" ht="25.5" x14ac:dyDescent="0.2">
      <c r="A14" s="88" t="s">
        <v>211</v>
      </c>
      <c r="B14" s="89" t="s">
        <v>39</v>
      </c>
      <c r="C14" s="89" t="s">
        <v>212</v>
      </c>
      <c r="D14" s="89" t="s">
        <v>233</v>
      </c>
      <c r="E14" s="90" t="s">
        <v>234</v>
      </c>
      <c r="F14" s="89" t="s">
        <v>218</v>
      </c>
      <c r="G14" s="89" t="s">
        <v>173</v>
      </c>
      <c r="H14" s="89" t="s">
        <v>11</v>
      </c>
      <c r="I14" s="89" t="s">
        <v>171</v>
      </c>
      <c r="J14" s="90" t="s">
        <v>174</v>
      </c>
      <c r="K14" s="91">
        <v>17.3</v>
      </c>
      <c r="L14" s="91">
        <f t="shared" si="0"/>
        <v>13.307692307692308</v>
      </c>
      <c r="M14" s="92">
        <f>prodnorm3</f>
        <v>0</v>
      </c>
      <c r="N14" s="89" t="s">
        <v>104</v>
      </c>
      <c r="O14" s="17">
        <f>uurtarief3</f>
        <v>0</v>
      </c>
      <c r="P14" s="91" t="e">
        <f t="shared" si="1"/>
        <v>#DIV/0!</v>
      </c>
      <c r="Q14" s="17" t="e">
        <f t="shared" si="2"/>
        <v>#DIV/0!</v>
      </c>
      <c r="R14" s="91" t="e">
        <f t="shared" si="3"/>
        <v>#DIV/0!</v>
      </c>
      <c r="S14" s="18" t="e">
        <f t="shared" si="4"/>
        <v>#DIV/0!</v>
      </c>
    </row>
    <row r="15" spans="1:19" ht="25.5" x14ac:dyDescent="0.2">
      <c r="A15" s="88" t="s">
        <v>211</v>
      </c>
      <c r="B15" s="89" t="s">
        <v>39</v>
      </c>
      <c r="C15" s="89" t="s">
        <v>212</v>
      </c>
      <c r="D15" s="89" t="s">
        <v>235</v>
      </c>
      <c r="E15" s="90" t="s">
        <v>234</v>
      </c>
      <c r="F15" s="89" t="s">
        <v>218</v>
      </c>
      <c r="G15" s="89" t="s">
        <v>173</v>
      </c>
      <c r="H15" s="89" t="s">
        <v>11</v>
      </c>
      <c r="I15" s="89" t="s">
        <v>171</v>
      </c>
      <c r="J15" s="90" t="s">
        <v>174</v>
      </c>
      <c r="K15" s="91">
        <v>6.92</v>
      </c>
      <c r="L15" s="91">
        <f t="shared" si="0"/>
        <v>5.3230769230769237</v>
      </c>
      <c r="M15" s="92">
        <f>prodnorm3</f>
        <v>0</v>
      </c>
      <c r="N15" s="89" t="s">
        <v>104</v>
      </c>
      <c r="O15" s="17">
        <f>uurtarief3</f>
        <v>0</v>
      </c>
      <c r="P15" s="91" t="e">
        <f t="shared" si="1"/>
        <v>#DIV/0!</v>
      </c>
      <c r="Q15" s="17" t="e">
        <f t="shared" si="2"/>
        <v>#DIV/0!</v>
      </c>
      <c r="R15" s="91" t="e">
        <f t="shared" si="3"/>
        <v>#DIV/0!</v>
      </c>
      <c r="S15" s="18" t="e">
        <f t="shared" si="4"/>
        <v>#DIV/0!</v>
      </c>
    </row>
    <row r="16" spans="1:19" x14ac:dyDescent="0.2">
      <c r="A16" s="88" t="s">
        <v>211</v>
      </c>
      <c r="B16" s="89" t="s">
        <v>39</v>
      </c>
      <c r="C16" s="89" t="s">
        <v>212</v>
      </c>
      <c r="D16" s="89" t="s">
        <v>236</v>
      </c>
      <c r="E16" s="90" t="s">
        <v>227</v>
      </c>
      <c r="F16" s="89" t="s">
        <v>228</v>
      </c>
      <c r="G16" s="89" t="s">
        <v>179</v>
      </c>
      <c r="H16" s="89" t="s">
        <v>11</v>
      </c>
      <c r="I16" s="89" t="s">
        <v>171</v>
      </c>
      <c r="J16" s="90" t="s">
        <v>180</v>
      </c>
      <c r="K16" s="91">
        <v>3.46</v>
      </c>
      <c r="L16" s="91">
        <f t="shared" si="0"/>
        <v>2.6615384615384619</v>
      </c>
      <c r="M16" s="92">
        <f>prodnorm7</f>
        <v>0</v>
      </c>
      <c r="N16" s="89" t="s">
        <v>104</v>
      </c>
      <c r="O16" s="17">
        <f>uurtarief7</f>
        <v>0</v>
      </c>
      <c r="P16" s="91" t="e">
        <f t="shared" si="1"/>
        <v>#DIV/0!</v>
      </c>
      <c r="Q16" s="17" t="e">
        <f t="shared" si="2"/>
        <v>#DIV/0!</v>
      </c>
      <c r="R16" s="91" t="e">
        <f t="shared" si="3"/>
        <v>#DIV/0!</v>
      </c>
      <c r="S16" s="18" t="e">
        <f t="shared" si="4"/>
        <v>#DIV/0!</v>
      </c>
    </row>
    <row r="17" spans="1:19" x14ac:dyDescent="0.2">
      <c r="A17" s="88" t="s">
        <v>211</v>
      </c>
      <c r="B17" s="89" t="s">
        <v>39</v>
      </c>
      <c r="C17" s="89" t="s">
        <v>212</v>
      </c>
      <c r="D17" s="89" t="s">
        <v>237</v>
      </c>
      <c r="E17" s="90" t="s">
        <v>238</v>
      </c>
      <c r="F17" s="89" t="s">
        <v>218</v>
      </c>
      <c r="G17" s="89" t="s">
        <v>183</v>
      </c>
      <c r="H17" s="89" t="s">
        <v>11</v>
      </c>
      <c r="I17" s="89" t="s">
        <v>171</v>
      </c>
      <c r="J17" s="90" t="s">
        <v>184</v>
      </c>
      <c r="K17" s="91">
        <v>55.36</v>
      </c>
      <c r="L17" s="91">
        <f t="shared" si="0"/>
        <v>42.58461538461539</v>
      </c>
      <c r="M17" s="92">
        <f>prodnorm11</f>
        <v>0</v>
      </c>
      <c r="N17" s="89" t="s">
        <v>104</v>
      </c>
      <c r="O17" s="17">
        <f>uurtarief11</f>
        <v>0</v>
      </c>
      <c r="P17" s="91" t="e">
        <f t="shared" si="1"/>
        <v>#DIV/0!</v>
      </c>
      <c r="Q17" s="17" t="e">
        <f t="shared" si="2"/>
        <v>#DIV/0!</v>
      </c>
      <c r="R17" s="91" t="e">
        <f t="shared" si="3"/>
        <v>#DIV/0!</v>
      </c>
      <c r="S17" s="18" t="e">
        <f t="shared" si="4"/>
        <v>#DIV/0!</v>
      </c>
    </row>
    <row r="18" spans="1:19" x14ac:dyDescent="0.2">
      <c r="A18" s="88" t="s">
        <v>211</v>
      </c>
      <c r="B18" s="89" t="s">
        <v>39</v>
      </c>
      <c r="C18" s="89" t="s">
        <v>212</v>
      </c>
      <c r="D18" s="89" t="s">
        <v>239</v>
      </c>
      <c r="E18" s="90" t="s">
        <v>238</v>
      </c>
      <c r="F18" s="89" t="s">
        <v>218</v>
      </c>
      <c r="G18" s="89" t="s">
        <v>183</v>
      </c>
      <c r="H18" s="89" t="s">
        <v>11</v>
      </c>
      <c r="I18" s="89" t="s">
        <v>171</v>
      </c>
      <c r="J18" s="90" t="s">
        <v>184</v>
      </c>
      <c r="K18" s="91">
        <v>55.36</v>
      </c>
      <c r="L18" s="91">
        <f t="shared" si="0"/>
        <v>42.58461538461539</v>
      </c>
      <c r="M18" s="92">
        <f>prodnorm11</f>
        <v>0</v>
      </c>
      <c r="N18" s="89" t="s">
        <v>104</v>
      </c>
      <c r="O18" s="17">
        <f>uurtarief11</f>
        <v>0</v>
      </c>
      <c r="P18" s="91" t="e">
        <f t="shared" si="1"/>
        <v>#DIV/0!</v>
      </c>
      <c r="Q18" s="17" t="e">
        <f t="shared" si="2"/>
        <v>#DIV/0!</v>
      </c>
      <c r="R18" s="91" t="e">
        <f t="shared" si="3"/>
        <v>#DIV/0!</v>
      </c>
      <c r="S18" s="18" t="e">
        <f t="shared" si="4"/>
        <v>#DIV/0!</v>
      </c>
    </row>
    <row r="19" spans="1:19" x14ac:dyDescent="0.2">
      <c r="A19" s="88" t="s">
        <v>211</v>
      </c>
      <c r="B19" s="89" t="s">
        <v>39</v>
      </c>
      <c r="C19" s="89" t="s">
        <v>212</v>
      </c>
      <c r="D19" s="89" t="s">
        <v>240</v>
      </c>
      <c r="E19" s="90" t="s">
        <v>238</v>
      </c>
      <c r="F19" s="89" t="s">
        <v>218</v>
      </c>
      <c r="G19" s="89" t="s">
        <v>183</v>
      </c>
      <c r="H19" s="89" t="s">
        <v>11</v>
      </c>
      <c r="I19" s="89" t="s">
        <v>171</v>
      </c>
      <c r="J19" s="90" t="s">
        <v>184</v>
      </c>
      <c r="K19" s="91">
        <v>55.36</v>
      </c>
      <c r="L19" s="91">
        <f t="shared" si="0"/>
        <v>42.58461538461539</v>
      </c>
      <c r="M19" s="92">
        <f>prodnorm11</f>
        <v>0</v>
      </c>
      <c r="N19" s="89" t="s">
        <v>104</v>
      </c>
      <c r="O19" s="17">
        <f>uurtarief11</f>
        <v>0</v>
      </c>
      <c r="P19" s="91" t="e">
        <f t="shared" si="1"/>
        <v>#DIV/0!</v>
      </c>
      <c r="Q19" s="17" t="e">
        <f t="shared" si="2"/>
        <v>#DIV/0!</v>
      </c>
      <c r="R19" s="91" t="e">
        <f t="shared" si="3"/>
        <v>#DIV/0!</v>
      </c>
      <c r="S19" s="18" t="e">
        <f t="shared" si="4"/>
        <v>#DIV/0!</v>
      </c>
    </row>
    <row r="20" spans="1:19" x14ac:dyDescent="0.2">
      <c r="A20" s="88" t="s">
        <v>211</v>
      </c>
      <c r="B20" s="89" t="s">
        <v>39</v>
      </c>
      <c r="C20" s="89" t="s">
        <v>212</v>
      </c>
      <c r="D20" s="89" t="s">
        <v>241</v>
      </c>
      <c r="E20" s="90" t="s">
        <v>232</v>
      </c>
      <c r="F20" s="89" t="s">
        <v>218</v>
      </c>
      <c r="G20" s="89" t="s">
        <v>191</v>
      </c>
      <c r="H20" s="89" t="s">
        <v>11</v>
      </c>
      <c r="I20" s="89" t="s">
        <v>171</v>
      </c>
      <c r="J20" s="90" t="s">
        <v>192</v>
      </c>
      <c r="K20" s="91">
        <v>6.92</v>
      </c>
      <c r="L20" s="91">
        <f t="shared" si="0"/>
        <v>5.3230769230769237</v>
      </c>
      <c r="M20" s="92">
        <f>prodnorm17</f>
        <v>0</v>
      </c>
      <c r="N20" s="89" t="s">
        <v>104</v>
      </c>
      <c r="O20" s="17">
        <f>uurtarief17</f>
        <v>0</v>
      </c>
      <c r="P20" s="91" t="e">
        <f t="shared" si="1"/>
        <v>#DIV/0!</v>
      </c>
      <c r="Q20" s="17" t="e">
        <f t="shared" si="2"/>
        <v>#DIV/0!</v>
      </c>
      <c r="R20" s="91" t="e">
        <f t="shared" si="3"/>
        <v>#DIV/0!</v>
      </c>
      <c r="S20" s="18" t="e">
        <f t="shared" si="4"/>
        <v>#DIV/0!</v>
      </c>
    </row>
    <row r="21" spans="1:19" x14ac:dyDescent="0.2">
      <c r="A21" s="88" t="s">
        <v>211</v>
      </c>
      <c r="B21" s="89" t="s">
        <v>39</v>
      </c>
      <c r="C21" s="89" t="s">
        <v>212</v>
      </c>
      <c r="D21" s="89" t="s">
        <v>242</v>
      </c>
      <c r="E21" s="90" t="s">
        <v>238</v>
      </c>
      <c r="F21" s="89" t="s">
        <v>218</v>
      </c>
      <c r="G21" s="89" t="s">
        <v>183</v>
      </c>
      <c r="H21" s="89" t="s">
        <v>11</v>
      </c>
      <c r="I21" s="89" t="s">
        <v>171</v>
      </c>
      <c r="J21" s="90" t="s">
        <v>184</v>
      </c>
      <c r="K21" s="91">
        <v>42.8</v>
      </c>
      <c r="L21" s="91">
        <f t="shared" si="0"/>
        <v>32.92307692307692</v>
      </c>
      <c r="M21" s="92">
        <f>prodnorm11</f>
        <v>0</v>
      </c>
      <c r="N21" s="89" t="s">
        <v>104</v>
      </c>
      <c r="O21" s="17">
        <f>uurtarief11</f>
        <v>0</v>
      </c>
      <c r="P21" s="91" t="e">
        <f t="shared" si="1"/>
        <v>#DIV/0!</v>
      </c>
      <c r="Q21" s="17" t="e">
        <f t="shared" si="2"/>
        <v>#DIV/0!</v>
      </c>
      <c r="R21" s="91" t="e">
        <f t="shared" si="3"/>
        <v>#DIV/0!</v>
      </c>
      <c r="S21" s="18" t="e">
        <f t="shared" si="4"/>
        <v>#DIV/0!</v>
      </c>
    </row>
    <row r="22" spans="1:19" x14ac:dyDescent="0.2">
      <c r="A22" s="88" t="s">
        <v>211</v>
      </c>
      <c r="B22" s="89" t="s">
        <v>39</v>
      </c>
      <c r="C22" s="89" t="s">
        <v>212</v>
      </c>
      <c r="D22" s="89" t="s">
        <v>243</v>
      </c>
      <c r="E22" s="90" t="s">
        <v>244</v>
      </c>
      <c r="F22" s="89" t="s">
        <v>218</v>
      </c>
      <c r="G22" s="89" t="s">
        <v>183</v>
      </c>
      <c r="H22" s="89" t="s">
        <v>11</v>
      </c>
      <c r="I22" s="89" t="s">
        <v>171</v>
      </c>
      <c r="J22" s="90" t="s">
        <v>184</v>
      </c>
      <c r="K22" s="91">
        <v>15.38</v>
      </c>
      <c r="L22" s="91">
        <f t="shared" si="0"/>
        <v>11.830769230769231</v>
      </c>
      <c r="M22" s="92">
        <f>prodnorm11</f>
        <v>0</v>
      </c>
      <c r="N22" s="89" t="s">
        <v>104</v>
      </c>
      <c r="O22" s="17">
        <f>uurtarief11</f>
        <v>0</v>
      </c>
      <c r="P22" s="91" t="e">
        <f t="shared" si="1"/>
        <v>#DIV/0!</v>
      </c>
      <c r="Q22" s="17" t="e">
        <f t="shared" si="2"/>
        <v>#DIV/0!</v>
      </c>
      <c r="R22" s="91" t="e">
        <f t="shared" si="3"/>
        <v>#DIV/0!</v>
      </c>
      <c r="S22" s="18" t="e">
        <f t="shared" si="4"/>
        <v>#DIV/0!</v>
      </c>
    </row>
    <row r="23" spans="1:19" ht="25.5" x14ac:dyDescent="0.2">
      <c r="A23" s="88" t="s">
        <v>211</v>
      </c>
      <c r="B23" s="89" t="s">
        <v>39</v>
      </c>
      <c r="C23" s="89" t="s">
        <v>212</v>
      </c>
      <c r="D23" s="89" t="s">
        <v>245</v>
      </c>
      <c r="E23" s="90" t="s">
        <v>225</v>
      </c>
      <c r="F23" s="89" t="s">
        <v>218</v>
      </c>
      <c r="G23" s="89" t="s">
        <v>195</v>
      </c>
      <c r="H23" s="89" t="s">
        <v>11</v>
      </c>
      <c r="I23" s="89" t="s">
        <v>171</v>
      </c>
      <c r="J23" s="90" t="s">
        <v>196</v>
      </c>
      <c r="K23" s="91">
        <v>20.759999999999998</v>
      </c>
      <c r="L23" s="91">
        <f t="shared" si="0"/>
        <v>15.969230769230769</v>
      </c>
      <c r="M23" s="92">
        <f>prodnorm20</f>
        <v>0</v>
      </c>
      <c r="N23" s="89" t="s">
        <v>104</v>
      </c>
      <c r="O23" s="17">
        <f>uurtarief20</f>
        <v>0</v>
      </c>
      <c r="P23" s="91" t="e">
        <f t="shared" si="1"/>
        <v>#DIV/0!</v>
      </c>
      <c r="Q23" s="17" t="e">
        <f t="shared" si="2"/>
        <v>#DIV/0!</v>
      </c>
      <c r="R23" s="91" t="e">
        <f t="shared" si="3"/>
        <v>#DIV/0!</v>
      </c>
      <c r="S23" s="18" t="e">
        <f t="shared" si="4"/>
        <v>#DIV/0!</v>
      </c>
    </row>
    <row r="24" spans="1:19" x14ac:dyDescent="0.2">
      <c r="A24" s="88" t="s">
        <v>211</v>
      </c>
      <c r="B24" s="89" t="s">
        <v>39</v>
      </c>
      <c r="C24" s="89" t="s">
        <v>212</v>
      </c>
      <c r="D24" s="89" t="s">
        <v>246</v>
      </c>
      <c r="E24" s="90" t="s">
        <v>247</v>
      </c>
      <c r="F24" s="89" t="s">
        <v>218</v>
      </c>
      <c r="G24" s="89" t="s">
        <v>170</v>
      </c>
      <c r="H24" s="89" t="s">
        <v>11</v>
      </c>
      <c r="I24" s="89" t="s">
        <v>171</v>
      </c>
      <c r="J24" s="90" t="s">
        <v>172</v>
      </c>
      <c r="K24" s="91">
        <v>72.66</v>
      </c>
      <c r="L24" s="91">
        <f t="shared" si="0"/>
        <v>55.892307692307696</v>
      </c>
      <c r="M24" s="92">
        <f>prodnorm2</f>
        <v>0</v>
      </c>
      <c r="N24" s="89" t="s">
        <v>104</v>
      </c>
      <c r="O24" s="17">
        <f>uurtarief2</f>
        <v>0</v>
      </c>
      <c r="P24" s="91" t="e">
        <f t="shared" si="1"/>
        <v>#DIV/0!</v>
      </c>
      <c r="Q24" s="17" t="e">
        <f t="shared" si="2"/>
        <v>#DIV/0!</v>
      </c>
      <c r="R24" s="91" t="e">
        <f t="shared" si="3"/>
        <v>#DIV/0!</v>
      </c>
      <c r="S24" s="18" t="e">
        <f t="shared" si="4"/>
        <v>#DIV/0!</v>
      </c>
    </row>
    <row r="25" spans="1:19" ht="25.5" x14ac:dyDescent="0.2">
      <c r="A25" s="93" t="s">
        <v>211</v>
      </c>
      <c r="B25" s="94" t="s">
        <v>39</v>
      </c>
      <c r="C25" s="94" t="s">
        <v>212</v>
      </c>
      <c r="D25" s="94" t="s">
        <v>248</v>
      </c>
      <c r="E25" s="95" t="s">
        <v>249</v>
      </c>
      <c r="F25" s="94" t="s">
        <v>218</v>
      </c>
      <c r="G25" s="94" t="s">
        <v>173</v>
      </c>
      <c r="H25" s="94" t="s">
        <v>11</v>
      </c>
      <c r="I25" s="94" t="s">
        <v>171</v>
      </c>
      <c r="J25" s="95" t="s">
        <v>174</v>
      </c>
      <c r="K25" s="96">
        <v>27.68</v>
      </c>
      <c r="L25" s="96">
        <f t="shared" si="0"/>
        <v>21.292307692307695</v>
      </c>
      <c r="M25" s="97">
        <f>prodnorm3</f>
        <v>0</v>
      </c>
      <c r="N25" s="94" t="s">
        <v>104</v>
      </c>
      <c r="O25" s="26">
        <f>uurtarief3</f>
        <v>0</v>
      </c>
      <c r="P25" s="96" t="e">
        <f t="shared" si="1"/>
        <v>#DIV/0!</v>
      </c>
      <c r="Q25" s="26" t="e">
        <f t="shared" si="2"/>
        <v>#DIV/0!</v>
      </c>
      <c r="R25" s="96" t="e">
        <f t="shared" si="3"/>
        <v>#DIV/0!</v>
      </c>
      <c r="S25" s="27" t="e">
        <f t="shared" si="4"/>
        <v>#DIV/0!</v>
      </c>
    </row>
    <row r="26" spans="1:19" x14ac:dyDescent="0.2">
      <c r="A26" s="98" t="s">
        <v>250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8" t="e">
        <f>IF(_xlfn.SINGLE(object1_urenjaar1)&gt;0,_xlfn.SINGLE(object1_prijsjaar1)/_xlfn.SINGLE(object1_urenjaar1),0)</f>
        <v>#DIV/0!</v>
      </c>
      <c r="P26" s="67" t="e">
        <f>SUM(P5:P25)</f>
        <v>#DIV/0!</v>
      </c>
      <c r="Q26" s="68" t="e">
        <f>SUM(Q5:Q25)</f>
        <v>#DIV/0!</v>
      </c>
      <c r="R26" s="67" t="e">
        <f>SUM(R5:R25)</f>
        <v>#DIV/0!</v>
      </c>
      <c r="S26" s="69" t="e">
        <f>SUM(S5:S25)</f>
        <v>#DIV/0!</v>
      </c>
    </row>
    <row r="27" spans="1:19" x14ac:dyDescent="0.2">
      <c r="A27" s="74" t="s">
        <v>251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64"/>
    </row>
    <row r="28" spans="1:19" ht="25.5" x14ac:dyDescent="0.2">
      <c r="A28" s="81" t="s">
        <v>252</v>
      </c>
      <c r="B28" s="82" t="s">
        <v>39</v>
      </c>
      <c r="C28" s="82" t="s">
        <v>212</v>
      </c>
      <c r="D28" s="82" t="s">
        <v>213</v>
      </c>
      <c r="E28" s="83" t="s">
        <v>214</v>
      </c>
      <c r="F28" s="82" t="s">
        <v>215</v>
      </c>
      <c r="G28" s="82" t="s">
        <v>181</v>
      </c>
      <c r="H28" s="82" t="s">
        <v>11</v>
      </c>
      <c r="I28" s="82" t="s">
        <v>171</v>
      </c>
      <c r="J28" s="83" t="s">
        <v>182</v>
      </c>
      <c r="K28" s="84">
        <v>69</v>
      </c>
      <c r="L28" s="84">
        <f t="shared" ref="L28:L55" si="5">K28*VLOOKUP(H28,dagsoorttabel1,2,FALSE)</f>
        <v>53.07692307692308</v>
      </c>
      <c r="M28" s="85">
        <f>prodnorm8</f>
        <v>0</v>
      </c>
      <c r="N28" s="82" t="s">
        <v>104</v>
      </c>
      <c r="O28" s="86">
        <f>uurtarief8</f>
        <v>0</v>
      </c>
      <c r="P28" s="84" t="e">
        <f t="shared" ref="P28:P55" si="6">IF(ISBLANK(M28),0,L28/ROUND(M28,4))</f>
        <v>#DIV/0!</v>
      </c>
      <c r="Q28" s="86" t="e">
        <f t="shared" ref="Q28:Q55" si="7">ROUND(O28,2)*P28</f>
        <v>#DIV/0!</v>
      </c>
      <c r="R28" s="84" t="e">
        <f t="shared" ref="R28:R55" si="8">P28*dagenperjaar1</f>
        <v>#DIV/0!</v>
      </c>
      <c r="S28" s="87" t="e">
        <f t="shared" ref="S28:S55" si="9">R28*ROUND(O28,2)</f>
        <v>#DIV/0!</v>
      </c>
    </row>
    <row r="29" spans="1:19" x14ac:dyDescent="0.2">
      <c r="A29" s="88" t="s">
        <v>252</v>
      </c>
      <c r="B29" s="89" t="s">
        <v>39</v>
      </c>
      <c r="C29" s="89" t="s">
        <v>212</v>
      </c>
      <c r="D29" s="89" t="s">
        <v>216</v>
      </c>
      <c r="E29" s="90" t="s">
        <v>232</v>
      </c>
      <c r="F29" s="89" t="s">
        <v>253</v>
      </c>
      <c r="G29" s="89" t="s">
        <v>191</v>
      </c>
      <c r="H29" s="89" t="s">
        <v>11</v>
      </c>
      <c r="I29" s="89" t="s">
        <v>171</v>
      </c>
      <c r="J29" s="90" t="s">
        <v>192</v>
      </c>
      <c r="K29" s="91">
        <v>2</v>
      </c>
      <c r="L29" s="91">
        <f t="shared" si="5"/>
        <v>1.5384615384615385</v>
      </c>
      <c r="M29" s="92">
        <f>prodnorm17</f>
        <v>0</v>
      </c>
      <c r="N29" s="89" t="s">
        <v>104</v>
      </c>
      <c r="O29" s="17">
        <f>uurtarief17</f>
        <v>0</v>
      </c>
      <c r="P29" s="91" t="e">
        <f t="shared" si="6"/>
        <v>#DIV/0!</v>
      </c>
      <c r="Q29" s="17" t="e">
        <f t="shared" si="7"/>
        <v>#DIV/0!</v>
      </c>
      <c r="R29" s="91" t="e">
        <f t="shared" si="8"/>
        <v>#DIV/0!</v>
      </c>
      <c r="S29" s="18" t="e">
        <f t="shared" si="9"/>
        <v>#DIV/0!</v>
      </c>
    </row>
    <row r="30" spans="1:19" x14ac:dyDescent="0.2">
      <c r="A30" s="88" t="s">
        <v>252</v>
      </c>
      <c r="B30" s="89" t="s">
        <v>39</v>
      </c>
      <c r="C30" s="89" t="s">
        <v>212</v>
      </c>
      <c r="D30" s="89" t="s">
        <v>221</v>
      </c>
      <c r="E30" s="90" t="s">
        <v>232</v>
      </c>
      <c r="F30" s="89" t="s">
        <v>253</v>
      </c>
      <c r="G30" s="89" t="s">
        <v>191</v>
      </c>
      <c r="H30" s="89" t="s">
        <v>11</v>
      </c>
      <c r="I30" s="89" t="s">
        <v>171</v>
      </c>
      <c r="J30" s="90" t="s">
        <v>192</v>
      </c>
      <c r="K30" s="91">
        <v>9</v>
      </c>
      <c r="L30" s="91">
        <f t="shared" si="5"/>
        <v>6.9230769230769234</v>
      </c>
      <c r="M30" s="92">
        <f>prodnorm17</f>
        <v>0</v>
      </c>
      <c r="N30" s="89" t="s">
        <v>104</v>
      </c>
      <c r="O30" s="17">
        <f>uurtarief17</f>
        <v>0</v>
      </c>
      <c r="P30" s="91" t="e">
        <f t="shared" si="6"/>
        <v>#DIV/0!</v>
      </c>
      <c r="Q30" s="17" t="e">
        <f t="shared" si="7"/>
        <v>#DIV/0!</v>
      </c>
      <c r="R30" s="91" t="e">
        <f t="shared" si="8"/>
        <v>#DIV/0!</v>
      </c>
      <c r="S30" s="18" t="e">
        <f t="shared" si="9"/>
        <v>#DIV/0!</v>
      </c>
    </row>
    <row r="31" spans="1:19" x14ac:dyDescent="0.2">
      <c r="A31" s="88" t="s">
        <v>252</v>
      </c>
      <c r="B31" s="89" t="s">
        <v>39</v>
      </c>
      <c r="C31" s="89" t="s">
        <v>212</v>
      </c>
      <c r="D31" s="89" t="s">
        <v>223</v>
      </c>
      <c r="E31" s="90" t="s">
        <v>238</v>
      </c>
      <c r="F31" s="89" t="s">
        <v>254</v>
      </c>
      <c r="G31" s="89" t="s">
        <v>183</v>
      </c>
      <c r="H31" s="89" t="s">
        <v>11</v>
      </c>
      <c r="I31" s="89" t="s">
        <v>171</v>
      </c>
      <c r="J31" s="90" t="s">
        <v>184</v>
      </c>
      <c r="K31" s="91">
        <v>57</v>
      </c>
      <c r="L31" s="91">
        <f t="shared" si="5"/>
        <v>43.846153846153847</v>
      </c>
      <c r="M31" s="92">
        <f>prodnorm11</f>
        <v>0</v>
      </c>
      <c r="N31" s="89" t="s">
        <v>104</v>
      </c>
      <c r="O31" s="17">
        <f>uurtarief11</f>
        <v>0</v>
      </c>
      <c r="P31" s="91" t="e">
        <f t="shared" si="6"/>
        <v>#DIV/0!</v>
      </c>
      <c r="Q31" s="17" t="e">
        <f t="shared" si="7"/>
        <v>#DIV/0!</v>
      </c>
      <c r="R31" s="91" t="e">
        <f t="shared" si="8"/>
        <v>#DIV/0!</v>
      </c>
      <c r="S31" s="18" t="e">
        <f t="shared" si="9"/>
        <v>#DIV/0!</v>
      </c>
    </row>
    <row r="32" spans="1:19" ht="25.5" x14ac:dyDescent="0.2">
      <c r="A32" s="88" t="s">
        <v>252</v>
      </c>
      <c r="B32" s="89" t="s">
        <v>39</v>
      </c>
      <c r="C32" s="89" t="s">
        <v>212</v>
      </c>
      <c r="D32" s="89" t="s">
        <v>224</v>
      </c>
      <c r="E32" s="90" t="s">
        <v>225</v>
      </c>
      <c r="F32" s="89" t="s">
        <v>255</v>
      </c>
      <c r="G32" s="89" t="s">
        <v>195</v>
      </c>
      <c r="H32" s="89" t="s">
        <v>11</v>
      </c>
      <c r="I32" s="89" t="s">
        <v>171</v>
      </c>
      <c r="J32" s="90" t="s">
        <v>196</v>
      </c>
      <c r="K32" s="91">
        <v>46</v>
      </c>
      <c r="L32" s="91">
        <f t="shared" si="5"/>
        <v>35.384615384615387</v>
      </c>
      <c r="M32" s="92">
        <f>prodnorm20</f>
        <v>0</v>
      </c>
      <c r="N32" s="89" t="s">
        <v>104</v>
      </c>
      <c r="O32" s="17">
        <f>uurtarief20</f>
        <v>0</v>
      </c>
      <c r="P32" s="91" t="e">
        <f t="shared" si="6"/>
        <v>#DIV/0!</v>
      </c>
      <c r="Q32" s="17" t="e">
        <f t="shared" si="7"/>
        <v>#DIV/0!</v>
      </c>
      <c r="R32" s="91" t="e">
        <f t="shared" si="8"/>
        <v>#DIV/0!</v>
      </c>
      <c r="S32" s="18" t="e">
        <f t="shared" si="9"/>
        <v>#DIV/0!</v>
      </c>
    </row>
    <row r="33" spans="1:19" x14ac:dyDescent="0.2">
      <c r="A33" s="88" t="s">
        <v>252</v>
      </c>
      <c r="B33" s="89" t="s">
        <v>39</v>
      </c>
      <c r="C33" s="89" t="s">
        <v>212</v>
      </c>
      <c r="D33" s="89" t="s">
        <v>226</v>
      </c>
      <c r="E33" s="90" t="s">
        <v>227</v>
      </c>
      <c r="F33" s="89" t="s">
        <v>228</v>
      </c>
      <c r="G33" s="89" t="s">
        <v>179</v>
      </c>
      <c r="H33" s="89" t="s">
        <v>11</v>
      </c>
      <c r="I33" s="89" t="s">
        <v>171</v>
      </c>
      <c r="J33" s="90" t="s">
        <v>180</v>
      </c>
      <c r="K33" s="91">
        <v>4</v>
      </c>
      <c r="L33" s="91">
        <f t="shared" si="5"/>
        <v>3.0769230769230771</v>
      </c>
      <c r="M33" s="92">
        <f>prodnorm7</f>
        <v>0</v>
      </c>
      <c r="N33" s="89" t="s">
        <v>104</v>
      </c>
      <c r="O33" s="17">
        <f>uurtarief7</f>
        <v>0</v>
      </c>
      <c r="P33" s="91" t="e">
        <f t="shared" si="6"/>
        <v>#DIV/0!</v>
      </c>
      <c r="Q33" s="17" t="e">
        <f t="shared" si="7"/>
        <v>#DIV/0!</v>
      </c>
      <c r="R33" s="91" t="e">
        <f t="shared" si="8"/>
        <v>#DIV/0!</v>
      </c>
      <c r="S33" s="18" t="e">
        <f t="shared" si="9"/>
        <v>#DIV/0!</v>
      </c>
    </row>
    <row r="34" spans="1:19" ht="25.5" x14ac:dyDescent="0.2">
      <c r="A34" s="88" t="s">
        <v>252</v>
      </c>
      <c r="B34" s="89" t="s">
        <v>39</v>
      </c>
      <c r="C34" s="89" t="s">
        <v>212</v>
      </c>
      <c r="D34" s="89" t="s">
        <v>233</v>
      </c>
      <c r="E34" s="90" t="s">
        <v>249</v>
      </c>
      <c r="F34" s="89" t="s">
        <v>218</v>
      </c>
      <c r="G34" s="89" t="s">
        <v>173</v>
      </c>
      <c r="H34" s="89" t="s">
        <v>11</v>
      </c>
      <c r="I34" s="89" t="s">
        <v>171</v>
      </c>
      <c r="J34" s="90" t="s">
        <v>174</v>
      </c>
      <c r="K34" s="91">
        <v>23</v>
      </c>
      <c r="L34" s="91">
        <f t="shared" si="5"/>
        <v>17.692307692307693</v>
      </c>
      <c r="M34" s="92">
        <f>prodnorm3</f>
        <v>0</v>
      </c>
      <c r="N34" s="89" t="s">
        <v>104</v>
      </c>
      <c r="O34" s="17">
        <f>uurtarief3</f>
        <v>0</v>
      </c>
      <c r="P34" s="91" t="e">
        <f t="shared" si="6"/>
        <v>#DIV/0!</v>
      </c>
      <c r="Q34" s="17" t="e">
        <f t="shared" si="7"/>
        <v>#DIV/0!</v>
      </c>
      <c r="R34" s="91" t="e">
        <f t="shared" si="8"/>
        <v>#DIV/0!</v>
      </c>
      <c r="S34" s="18" t="e">
        <f t="shared" si="9"/>
        <v>#DIV/0!</v>
      </c>
    </row>
    <row r="35" spans="1:19" ht="25.5" x14ac:dyDescent="0.2">
      <c r="A35" s="88" t="s">
        <v>252</v>
      </c>
      <c r="B35" s="89" t="s">
        <v>39</v>
      </c>
      <c r="C35" s="89" t="s">
        <v>212</v>
      </c>
      <c r="D35" s="89" t="s">
        <v>235</v>
      </c>
      <c r="E35" s="90" t="s">
        <v>225</v>
      </c>
      <c r="F35" s="89" t="s">
        <v>255</v>
      </c>
      <c r="G35" s="89" t="s">
        <v>195</v>
      </c>
      <c r="H35" s="89" t="s">
        <v>11</v>
      </c>
      <c r="I35" s="89" t="s">
        <v>171</v>
      </c>
      <c r="J35" s="90" t="s">
        <v>196</v>
      </c>
      <c r="K35" s="91">
        <v>21</v>
      </c>
      <c r="L35" s="91">
        <f t="shared" si="5"/>
        <v>16.153846153846153</v>
      </c>
      <c r="M35" s="92">
        <f>prodnorm20</f>
        <v>0</v>
      </c>
      <c r="N35" s="89" t="s">
        <v>104</v>
      </c>
      <c r="O35" s="17">
        <f>uurtarief20</f>
        <v>0</v>
      </c>
      <c r="P35" s="91" t="e">
        <f t="shared" si="6"/>
        <v>#DIV/0!</v>
      </c>
      <c r="Q35" s="17" t="e">
        <f t="shared" si="7"/>
        <v>#DIV/0!</v>
      </c>
      <c r="R35" s="91" t="e">
        <f t="shared" si="8"/>
        <v>#DIV/0!</v>
      </c>
      <c r="S35" s="18" t="e">
        <f t="shared" si="9"/>
        <v>#DIV/0!</v>
      </c>
    </row>
    <row r="36" spans="1:19" x14ac:dyDescent="0.2">
      <c r="A36" s="88" t="s">
        <v>252</v>
      </c>
      <c r="B36" s="89" t="s">
        <v>39</v>
      </c>
      <c r="C36" s="89" t="s">
        <v>212</v>
      </c>
      <c r="D36" s="89" t="s">
        <v>236</v>
      </c>
      <c r="E36" s="90" t="s">
        <v>256</v>
      </c>
      <c r="F36" s="89" t="s">
        <v>218</v>
      </c>
      <c r="G36" s="89" t="s">
        <v>187</v>
      </c>
      <c r="H36" s="89" t="s">
        <v>11</v>
      </c>
      <c r="I36" s="89" t="s">
        <v>171</v>
      </c>
      <c r="J36" s="90" t="s">
        <v>188</v>
      </c>
      <c r="K36" s="91">
        <v>10</v>
      </c>
      <c r="L36" s="91">
        <f t="shared" si="5"/>
        <v>7.6923076923076925</v>
      </c>
      <c r="M36" s="92">
        <f>prodnorm15</f>
        <v>0</v>
      </c>
      <c r="N36" s="89" t="s">
        <v>104</v>
      </c>
      <c r="O36" s="17">
        <f>uurtarief15</f>
        <v>0</v>
      </c>
      <c r="P36" s="91" t="e">
        <f t="shared" si="6"/>
        <v>#DIV/0!</v>
      </c>
      <c r="Q36" s="17" t="e">
        <f t="shared" si="7"/>
        <v>#DIV/0!</v>
      </c>
      <c r="R36" s="91" t="e">
        <f t="shared" si="8"/>
        <v>#DIV/0!</v>
      </c>
      <c r="S36" s="18" t="e">
        <f t="shared" si="9"/>
        <v>#DIV/0!</v>
      </c>
    </row>
    <row r="37" spans="1:19" x14ac:dyDescent="0.2">
      <c r="A37" s="88" t="s">
        <v>252</v>
      </c>
      <c r="B37" s="89" t="s">
        <v>39</v>
      </c>
      <c r="C37" s="89" t="s">
        <v>212</v>
      </c>
      <c r="D37" s="89" t="s">
        <v>237</v>
      </c>
      <c r="E37" s="90" t="s">
        <v>227</v>
      </c>
      <c r="F37" s="89" t="s">
        <v>257</v>
      </c>
      <c r="G37" s="89" t="s">
        <v>177</v>
      </c>
      <c r="H37" s="89" t="s">
        <v>11</v>
      </c>
      <c r="I37" s="89" t="s">
        <v>171</v>
      </c>
      <c r="J37" s="90" t="s">
        <v>178</v>
      </c>
      <c r="K37" s="91">
        <v>7.5</v>
      </c>
      <c r="L37" s="91">
        <f t="shared" si="5"/>
        <v>5.7692307692307692</v>
      </c>
      <c r="M37" s="92">
        <f>prodnorm6</f>
        <v>0</v>
      </c>
      <c r="N37" s="89" t="s">
        <v>104</v>
      </c>
      <c r="O37" s="17">
        <f>uurtarief6</f>
        <v>0</v>
      </c>
      <c r="P37" s="91" t="e">
        <f t="shared" si="6"/>
        <v>#DIV/0!</v>
      </c>
      <c r="Q37" s="17" t="e">
        <f t="shared" si="7"/>
        <v>#DIV/0!</v>
      </c>
      <c r="R37" s="91" t="e">
        <f t="shared" si="8"/>
        <v>#DIV/0!</v>
      </c>
      <c r="S37" s="18" t="e">
        <f t="shared" si="9"/>
        <v>#DIV/0!</v>
      </c>
    </row>
    <row r="38" spans="1:19" x14ac:dyDescent="0.2">
      <c r="A38" s="88" t="s">
        <v>252</v>
      </c>
      <c r="B38" s="89" t="s">
        <v>39</v>
      </c>
      <c r="C38" s="89" t="s">
        <v>212</v>
      </c>
      <c r="D38" s="89" t="s">
        <v>258</v>
      </c>
      <c r="E38" s="90" t="s">
        <v>227</v>
      </c>
      <c r="F38" s="89" t="s">
        <v>259</v>
      </c>
      <c r="G38" s="89" t="s">
        <v>179</v>
      </c>
      <c r="H38" s="89" t="s">
        <v>11</v>
      </c>
      <c r="I38" s="89" t="s">
        <v>171</v>
      </c>
      <c r="J38" s="90" t="s">
        <v>180</v>
      </c>
      <c r="K38" s="91">
        <v>2.5</v>
      </c>
      <c r="L38" s="91">
        <f t="shared" si="5"/>
        <v>1.9230769230769231</v>
      </c>
      <c r="M38" s="92">
        <f>prodnorm7</f>
        <v>0</v>
      </c>
      <c r="N38" s="89" t="s">
        <v>104</v>
      </c>
      <c r="O38" s="17">
        <f>uurtarief7</f>
        <v>0</v>
      </c>
      <c r="P38" s="91" t="e">
        <f t="shared" si="6"/>
        <v>#DIV/0!</v>
      </c>
      <c r="Q38" s="17" t="e">
        <f t="shared" si="7"/>
        <v>#DIV/0!</v>
      </c>
      <c r="R38" s="91" t="e">
        <f t="shared" si="8"/>
        <v>#DIV/0!</v>
      </c>
      <c r="S38" s="18" t="e">
        <f t="shared" si="9"/>
        <v>#DIV/0!</v>
      </c>
    </row>
    <row r="39" spans="1:19" ht="25.5" x14ac:dyDescent="0.2">
      <c r="A39" s="88" t="s">
        <v>252</v>
      </c>
      <c r="B39" s="89" t="s">
        <v>39</v>
      </c>
      <c r="C39" s="89" t="s">
        <v>212</v>
      </c>
      <c r="D39" s="89" t="s">
        <v>239</v>
      </c>
      <c r="E39" s="90" t="s">
        <v>225</v>
      </c>
      <c r="F39" s="89" t="s">
        <v>255</v>
      </c>
      <c r="G39" s="89" t="s">
        <v>195</v>
      </c>
      <c r="H39" s="89" t="s">
        <v>11</v>
      </c>
      <c r="I39" s="89" t="s">
        <v>171</v>
      </c>
      <c r="J39" s="90" t="s">
        <v>196</v>
      </c>
      <c r="K39" s="91">
        <v>52</v>
      </c>
      <c r="L39" s="91">
        <f t="shared" si="5"/>
        <v>40</v>
      </c>
      <c r="M39" s="92">
        <f>prodnorm20</f>
        <v>0</v>
      </c>
      <c r="N39" s="89" t="s">
        <v>104</v>
      </c>
      <c r="O39" s="17">
        <f>uurtarief20</f>
        <v>0</v>
      </c>
      <c r="P39" s="91" t="e">
        <f t="shared" si="6"/>
        <v>#DIV/0!</v>
      </c>
      <c r="Q39" s="17" t="e">
        <f t="shared" si="7"/>
        <v>#DIV/0!</v>
      </c>
      <c r="R39" s="91" t="e">
        <f t="shared" si="8"/>
        <v>#DIV/0!</v>
      </c>
      <c r="S39" s="18" t="e">
        <f t="shared" si="9"/>
        <v>#DIV/0!</v>
      </c>
    </row>
    <row r="40" spans="1:19" x14ac:dyDescent="0.2">
      <c r="A40" s="88" t="s">
        <v>252</v>
      </c>
      <c r="B40" s="89" t="s">
        <v>39</v>
      </c>
      <c r="C40" s="89" t="s">
        <v>212</v>
      </c>
      <c r="D40" s="89" t="s">
        <v>240</v>
      </c>
      <c r="E40" s="90" t="s">
        <v>247</v>
      </c>
      <c r="F40" s="89" t="s">
        <v>218</v>
      </c>
      <c r="G40" s="89" t="s">
        <v>170</v>
      </c>
      <c r="H40" s="89" t="s">
        <v>11</v>
      </c>
      <c r="I40" s="89" t="s">
        <v>171</v>
      </c>
      <c r="J40" s="90" t="s">
        <v>172</v>
      </c>
      <c r="K40" s="91">
        <v>93</v>
      </c>
      <c r="L40" s="91">
        <f t="shared" si="5"/>
        <v>71.538461538461547</v>
      </c>
      <c r="M40" s="92">
        <f>prodnorm2</f>
        <v>0</v>
      </c>
      <c r="N40" s="89" t="s">
        <v>104</v>
      </c>
      <c r="O40" s="17">
        <f>uurtarief2</f>
        <v>0</v>
      </c>
      <c r="P40" s="91" t="e">
        <f t="shared" si="6"/>
        <v>#DIV/0!</v>
      </c>
      <c r="Q40" s="17" t="e">
        <f t="shared" si="7"/>
        <v>#DIV/0!</v>
      </c>
      <c r="R40" s="91" t="e">
        <f t="shared" si="8"/>
        <v>#DIV/0!</v>
      </c>
      <c r="S40" s="18" t="e">
        <f t="shared" si="9"/>
        <v>#DIV/0!</v>
      </c>
    </row>
    <row r="41" spans="1:19" x14ac:dyDescent="0.2">
      <c r="A41" s="88" t="s">
        <v>252</v>
      </c>
      <c r="B41" s="89" t="s">
        <v>39</v>
      </c>
      <c r="C41" s="89" t="s">
        <v>212</v>
      </c>
      <c r="D41" s="89" t="s">
        <v>241</v>
      </c>
      <c r="E41" s="90" t="s">
        <v>260</v>
      </c>
      <c r="F41" s="89" t="s">
        <v>218</v>
      </c>
      <c r="G41" s="89" t="s">
        <v>189</v>
      </c>
      <c r="H41" s="89" t="s">
        <v>11</v>
      </c>
      <c r="I41" s="89" t="s">
        <v>171</v>
      </c>
      <c r="J41" s="90" t="s">
        <v>190</v>
      </c>
      <c r="K41" s="91">
        <v>39</v>
      </c>
      <c r="L41" s="91">
        <f t="shared" si="5"/>
        <v>30</v>
      </c>
      <c r="M41" s="92">
        <f>prodnorm16</f>
        <v>0</v>
      </c>
      <c r="N41" s="89" t="s">
        <v>104</v>
      </c>
      <c r="O41" s="17">
        <f>uurtarief16</f>
        <v>0</v>
      </c>
      <c r="P41" s="91" t="e">
        <f t="shared" si="6"/>
        <v>#DIV/0!</v>
      </c>
      <c r="Q41" s="17" t="e">
        <f t="shared" si="7"/>
        <v>#DIV/0!</v>
      </c>
      <c r="R41" s="91" t="e">
        <f t="shared" si="8"/>
        <v>#DIV/0!</v>
      </c>
      <c r="S41" s="18" t="e">
        <f t="shared" si="9"/>
        <v>#DIV/0!</v>
      </c>
    </row>
    <row r="42" spans="1:19" x14ac:dyDescent="0.2">
      <c r="A42" s="88" t="s">
        <v>252</v>
      </c>
      <c r="B42" s="89" t="s">
        <v>39</v>
      </c>
      <c r="C42" s="89" t="s">
        <v>212</v>
      </c>
      <c r="D42" s="89" t="s">
        <v>242</v>
      </c>
      <c r="E42" s="90" t="s">
        <v>232</v>
      </c>
      <c r="F42" s="89" t="s">
        <v>253</v>
      </c>
      <c r="G42" s="89" t="s">
        <v>191</v>
      </c>
      <c r="H42" s="89" t="s">
        <v>11</v>
      </c>
      <c r="I42" s="89" t="s">
        <v>171</v>
      </c>
      <c r="J42" s="90" t="s">
        <v>192</v>
      </c>
      <c r="K42" s="91">
        <v>8</v>
      </c>
      <c r="L42" s="91">
        <f t="shared" si="5"/>
        <v>6.1538461538461542</v>
      </c>
      <c r="M42" s="92">
        <f>prodnorm17</f>
        <v>0</v>
      </c>
      <c r="N42" s="89" t="s">
        <v>104</v>
      </c>
      <c r="O42" s="17">
        <f>uurtarief17</f>
        <v>0</v>
      </c>
      <c r="P42" s="91" t="e">
        <f t="shared" si="6"/>
        <v>#DIV/0!</v>
      </c>
      <c r="Q42" s="17" t="e">
        <f t="shared" si="7"/>
        <v>#DIV/0!</v>
      </c>
      <c r="R42" s="91" t="e">
        <f t="shared" si="8"/>
        <v>#DIV/0!</v>
      </c>
      <c r="S42" s="18" t="e">
        <f t="shared" si="9"/>
        <v>#DIV/0!</v>
      </c>
    </row>
    <row r="43" spans="1:19" x14ac:dyDescent="0.2">
      <c r="A43" s="88" t="s">
        <v>252</v>
      </c>
      <c r="B43" s="89" t="s">
        <v>39</v>
      </c>
      <c r="C43" s="89" t="s">
        <v>212</v>
      </c>
      <c r="D43" s="89" t="s">
        <v>243</v>
      </c>
      <c r="E43" s="90" t="s">
        <v>232</v>
      </c>
      <c r="F43" s="89" t="s">
        <v>253</v>
      </c>
      <c r="G43" s="89" t="s">
        <v>191</v>
      </c>
      <c r="H43" s="89" t="s">
        <v>11</v>
      </c>
      <c r="I43" s="89" t="s">
        <v>171</v>
      </c>
      <c r="J43" s="90" t="s">
        <v>192</v>
      </c>
      <c r="K43" s="91">
        <v>12</v>
      </c>
      <c r="L43" s="91">
        <f t="shared" si="5"/>
        <v>9.2307692307692317</v>
      </c>
      <c r="M43" s="92">
        <f>prodnorm17</f>
        <v>0</v>
      </c>
      <c r="N43" s="89" t="s">
        <v>104</v>
      </c>
      <c r="O43" s="17">
        <f>uurtarief17</f>
        <v>0</v>
      </c>
      <c r="P43" s="91" t="e">
        <f t="shared" si="6"/>
        <v>#DIV/0!</v>
      </c>
      <c r="Q43" s="17" t="e">
        <f t="shared" si="7"/>
        <v>#DIV/0!</v>
      </c>
      <c r="R43" s="91" t="e">
        <f t="shared" si="8"/>
        <v>#DIV/0!</v>
      </c>
      <c r="S43" s="18" t="e">
        <f t="shared" si="9"/>
        <v>#DIV/0!</v>
      </c>
    </row>
    <row r="44" spans="1:19" x14ac:dyDescent="0.2">
      <c r="A44" s="88" t="s">
        <v>252</v>
      </c>
      <c r="B44" s="89" t="s">
        <v>39</v>
      </c>
      <c r="C44" s="89" t="s">
        <v>212</v>
      </c>
      <c r="D44" s="89" t="s">
        <v>246</v>
      </c>
      <c r="E44" s="90" t="s">
        <v>238</v>
      </c>
      <c r="F44" s="89" t="s">
        <v>254</v>
      </c>
      <c r="G44" s="89" t="s">
        <v>183</v>
      </c>
      <c r="H44" s="89" t="s">
        <v>11</v>
      </c>
      <c r="I44" s="89" t="s">
        <v>171</v>
      </c>
      <c r="J44" s="90" t="s">
        <v>184</v>
      </c>
      <c r="K44" s="91">
        <v>32</v>
      </c>
      <c r="L44" s="91">
        <f t="shared" si="5"/>
        <v>24.615384615384617</v>
      </c>
      <c r="M44" s="92">
        <f>prodnorm11</f>
        <v>0</v>
      </c>
      <c r="N44" s="89" t="s">
        <v>104</v>
      </c>
      <c r="O44" s="17">
        <f>uurtarief11</f>
        <v>0</v>
      </c>
      <c r="P44" s="91" t="e">
        <f t="shared" si="6"/>
        <v>#DIV/0!</v>
      </c>
      <c r="Q44" s="17" t="e">
        <f t="shared" si="7"/>
        <v>#DIV/0!</v>
      </c>
      <c r="R44" s="91" t="e">
        <f t="shared" si="8"/>
        <v>#DIV/0!</v>
      </c>
      <c r="S44" s="18" t="e">
        <f t="shared" si="9"/>
        <v>#DIV/0!</v>
      </c>
    </row>
    <row r="45" spans="1:19" ht="25.5" x14ac:dyDescent="0.2">
      <c r="A45" s="88" t="s">
        <v>252</v>
      </c>
      <c r="B45" s="89" t="s">
        <v>39</v>
      </c>
      <c r="C45" s="89" t="s">
        <v>212</v>
      </c>
      <c r="D45" s="89" t="s">
        <v>261</v>
      </c>
      <c r="E45" s="90" t="s">
        <v>225</v>
      </c>
      <c r="F45" s="89" t="s">
        <v>255</v>
      </c>
      <c r="G45" s="89" t="s">
        <v>195</v>
      </c>
      <c r="H45" s="89" t="s">
        <v>11</v>
      </c>
      <c r="I45" s="89" t="s">
        <v>171</v>
      </c>
      <c r="J45" s="90" t="s">
        <v>196</v>
      </c>
      <c r="K45" s="91">
        <v>29</v>
      </c>
      <c r="L45" s="91">
        <f t="shared" si="5"/>
        <v>22.30769230769231</v>
      </c>
      <c r="M45" s="92">
        <f>prodnorm20</f>
        <v>0</v>
      </c>
      <c r="N45" s="89" t="s">
        <v>104</v>
      </c>
      <c r="O45" s="17">
        <f>uurtarief20</f>
        <v>0</v>
      </c>
      <c r="P45" s="91" t="e">
        <f t="shared" si="6"/>
        <v>#DIV/0!</v>
      </c>
      <c r="Q45" s="17" t="e">
        <f t="shared" si="7"/>
        <v>#DIV/0!</v>
      </c>
      <c r="R45" s="91" t="e">
        <f t="shared" si="8"/>
        <v>#DIV/0!</v>
      </c>
      <c r="S45" s="18" t="e">
        <f t="shared" si="9"/>
        <v>#DIV/0!</v>
      </c>
    </row>
    <row r="46" spans="1:19" ht="25.5" x14ac:dyDescent="0.2">
      <c r="A46" s="88" t="s">
        <v>252</v>
      </c>
      <c r="B46" s="89" t="s">
        <v>39</v>
      </c>
      <c r="C46" s="89" t="s">
        <v>212</v>
      </c>
      <c r="D46" s="89" t="s">
        <v>248</v>
      </c>
      <c r="E46" s="90" t="s">
        <v>262</v>
      </c>
      <c r="F46" s="89" t="s">
        <v>218</v>
      </c>
      <c r="G46" s="89" t="s">
        <v>195</v>
      </c>
      <c r="H46" s="89" t="s">
        <v>11</v>
      </c>
      <c r="I46" s="89" t="s">
        <v>171</v>
      </c>
      <c r="J46" s="90" t="s">
        <v>196</v>
      </c>
      <c r="K46" s="91">
        <v>7</v>
      </c>
      <c r="L46" s="91">
        <f t="shared" si="5"/>
        <v>5.384615384615385</v>
      </c>
      <c r="M46" s="92">
        <f>prodnorm20</f>
        <v>0</v>
      </c>
      <c r="N46" s="89" t="s">
        <v>104</v>
      </c>
      <c r="O46" s="17">
        <f>uurtarief20</f>
        <v>0</v>
      </c>
      <c r="P46" s="91" t="e">
        <f t="shared" si="6"/>
        <v>#DIV/0!</v>
      </c>
      <c r="Q46" s="17" t="e">
        <f t="shared" si="7"/>
        <v>#DIV/0!</v>
      </c>
      <c r="R46" s="91" t="e">
        <f t="shared" si="8"/>
        <v>#DIV/0!</v>
      </c>
      <c r="S46" s="18" t="e">
        <f t="shared" si="9"/>
        <v>#DIV/0!</v>
      </c>
    </row>
    <row r="47" spans="1:19" ht="25.5" x14ac:dyDescent="0.2">
      <c r="A47" s="88" t="s">
        <v>252</v>
      </c>
      <c r="B47" s="89" t="s">
        <v>39</v>
      </c>
      <c r="C47" s="89" t="s">
        <v>212</v>
      </c>
      <c r="D47" s="89" t="s">
        <v>263</v>
      </c>
      <c r="E47" s="90" t="s">
        <v>234</v>
      </c>
      <c r="F47" s="89" t="s">
        <v>218</v>
      </c>
      <c r="G47" s="89" t="s">
        <v>173</v>
      </c>
      <c r="H47" s="89" t="s">
        <v>11</v>
      </c>
      <c r="I47" s="89" t="s">
        <v>171</v>
      </c>
      <c r="J47" s="90" t="s">
        <v>174</v>
      </c>
      <c r="K47" s="91">
        <v>8</v>
      </c>
      <c r="L47" s="91">
        <f t="shared" si="5"/>
        <v>6.1538461538461542</v>
      </c>
      <c r="M47" s="92">
        <f>prodnorm3</f>
        <v>0</v>
      </c>
      <c r="N47" s="89" t="s">
        <v>104</v>
      </c>
      <c r="O47" s="17">
        <f>uurtarief3</f>
        <v>0</v>
      </c>
      <c r="P47" s="91" t="e">
        <f t="shared" si="6"/>
        <v>#DIV/0!</v>
      </c>
      <c r="Q47" s="17" t="e">
        <f t="shared" si="7"/>
        <v>#DIV/0!</v>
      </c>
      <c r="R47" s="91" t="e">
        <f t="shared" si="8"/>
        <v>#DIV/0!</v>
      </c>
      <c r="S47" s="18" t="e">
        <f t="shared" si="9"/>
        <v>#DIV/0!</v>
      </c>
    </row>
    <row r="48" spans="1:19" x14ac:dyDescent="0.2">
      <c r="A48" s="88" t="s">
        <v>252</v>
      </c>
      <c r="B48" s="89" t="s">
        <v>39</v>
      </c>
      <c r="C48" s="89" t="s">
        <v>212</v>
      </c>
      <c r="D48" s="89" t="s">
        <v>264</v>
      </c>
      <c r="E48" s="90" t="s">
        <v>238</v>
      </c>
      <c r="F48" s="89" t="s">
        <v>254</v>
      </c>
      <c r="G48" s="89" t="s">
        <v>183</v>
      </c>
      <c r="H48" s="89" t="s">
        <v>11</v>
      </c>
      <c r="I48" s="89" t="s">
        <v>171</v>
      </c>
      <c r="J48" s="90" t="s">
        <v>184</v>
      </c>
      <c r="K48" s="91">
        <v>51</v>
      </c>
      <c r="L48" s="91">
        <f t="shared" si="5"/>
        <v>39.230769230769234</v>
      </c>
      <c r="M48" s="92">
        <f>prodnorm11</f>
        <v>0</v>
      </c>
      <c r="N48" s="89" t="s">
        <v>104</v>
      </c>
      <c r="O48" s="17">
        <f>uurtarief11</f>
        <v>0</v>
      </c>
      <c r="P48" s="91" t="e">
        <f t="shared" si="6"/>
        <v>#DIV/0!</v>
      </c>
      <c r="Q48" s="17" t="e">
        <f t="shared" si="7"/>
        <v>#DIV/0!</v>
      </c>
      <c r="R48" s="91" t="e">
        <f t="shared" si="8"/>
        <v>#DIV/0!</v>
      </c>
      <c r="S48" s="18" t="e">
        <f t="shared" si="9"/>
        <v>#DIV/0!</v>
      </c>
    </row>
    <row r="49" spans="1:19" x14ac:dyDescent="0.2">
      <c r="A49" s="88" t="s">
        <v>252</v>
      </c>
      <c r="B49" s="89" t="s">
        <v>39</v>
      </c>
      <c r="C49" s="89" t="s">
        <v>212</v>
      </c>
      <c r="D49" s="89" t="s">
        <v>265</v>
      </c>
      <c r="E49" s="90" t="s">
        <v>238</v>
      </c>
      <c r="F49" s="89" t="s">
        <v>254</v>
      </c>
      <c r="G49" s="89" t="s">
        <v>183</v>
      </c>
      <c r="H49" s="89" t="s">
        <v>11</v>
      </c>
      <c r="I49" s="89" t="s">
        <v>171</v>
      </c>
      <c r="J49" s="90" t="s">
        <v>184</v>
      </c>
      <c r="K49" s="91">
        <v>66</v>
      </c>
      <c r="L49" s="91">
        <f t="shared" si="5"/>
        <v>50.769230769230774</v>
      </c>
      <c r="M49" s="92">
        <f>prodnorm11</f>
        <v>0</v>
      </c>
      <c r="N49" s="89" t="s">
        <v>104</v>
      </c>
      <c r="O49" s="17">
        <f>uurtarief11</f>
        <v>0</v>
      </c>
      <c r="P49" s="91" t="e">
        <f t="shared" si="6"/>
        <v>#DIV/0!</v>
      </c>
      <c r="Q49" s="17" t="e">
        <f t="shared" si="7"/>
        <v>#DIV/0!</v>
      </c>
      <c r="R49" s="91" t="e">
        <f t="shared" si="8"/>
        <v>#DIV/0!</v>
      </c>
      <c r="S49" s="18" t="e">
        <f t="shared" si="9"/>
        <v>#DIV/0!</v>
      </c>
    </row>
    <row r="50" spans="1:19" ht="25.5" x14ac:dyDescent="0.2">
      <c r="A50" s="88" t="s">
        <v>252</v>
      </c>
      <c r="B50" s="89" t="s">
        <v>39</v>
      </c>
      <c r="C50" s="89" t="s">
        <v>212</v>
      </c>
      <c r="D50" s="89" t="s">
        <v>266</v>
      </c>
      <c r="E50" s="90" t="s">
        <v>234</v>
      </c>
      <c r="F50" s="89" t="s">
        <v>218</v>
      </c>
      <c r="G50" s="89" t="s">
        <v>173</v>
      </c>
      <c r="H50" s="89" t="s">
        <v>11</v>
      </c>
      <c r="I50" s="89" t="s">
        <v>171</v>
      </c>
      <c r="J50" s="90" t="s">
        <v>174</v>
      </c>
      <c r="K50" s="91">
        <v>9</v>
      </c>
      <c r="L50" s="91">
        <f t="shared" si="5"/>
        <v>6.9230769230769234</v>
      </c>
      <c r="M50" s="92">
        <f>prodnorm3</f>
        <v>0</v>
      </c>
      <c r="N50" s="89" t="s">
        <v>104</v>
      </c>
      <c r="O50" s="17">
        <f>uurtarief3</f>
        <v>0</v>
      </c>
      <c r="P50" s="91" t="e">
        <f t="shared" si="6"/>
        <v>#DIV/0!</v>
      </c>
      <c r="Q50" s="17" t="e">
        <f t="shared" si="7"/>
        <v>#DIV/0!</v>
      </c>
      <c r="R50" s="91" t="e">
        <f t="shared" si="8"/>
        <v>#DIV/0!</v>
      </c>
      <c r="S50" s="18" t="e">
        <f t="shared" si="9"/>
        <v>#DIV/0!</v>
      </c>
    </row>
    <row r="51" spans="1:19" x14ac:dyDescent="0.2">
      <c r="A51" s="88" t="s">
        <v>252</v>
      </c>
      <c r="B51" s="89" t="s">
        <v>39</v>
      </c>
      <c r="C51" s="89" t="s">
        <v>212</v>
      </c>
      <c r="D51" s="89" t="s">
        <v>267</v>
      </c>
      <c r="E51" s="90" t="s">
        <v>227</v>
      </c>
      <c r="F51" s="89" t="s">
        <v>228</v>
      </c>
      <c r="G51" s="89" t="s">
        <v>179</v>
      </c>
      <c r="H51" s="89" t="s">
        <v>11</v>
      </c>
      <c r="I51" s="89" t="s">
        <v>171</v>
      </c>
      <c r="J51" s="90" t="s">
        <v>180</v>
      </c>
      <c r="K51" s="91">
        <v>4</v>
      </c>
      <c r="L51" s="91">
        <f t="shared" si="5"/>
        <v>3.0769230769230771</v>
      </c>
      <c r="M51" s="92">
        <f>prodnorm7</f>
        <v>0</v>
      </c>
      <c r="N51" s="89" t="s">
        <v>104</v>
      </c>
      <c r="O51" s="17">
        <f>uurtarief7</f>
        <v>0</v>
      </c>
      <c r="P51" s="91" t="e">
        <f t="shared" si="6"/>
        <v>#DIV/0!</v>
      </c>
      <c r="Q51" s="17" t="e">
        <f t="shared" si="7"/>
        <v>#DIV/0!</v>
      </c>
      <c r="R51" s="91" t="e">
        <f t="shared" si="8"/>
        <v>#DIV/0!</v>
      </c>
      <c r="S51" s="18" t="e">
        <f t="shared" si="9"/>
        <v>#DIV/0!</v>
      </c>
    </row>
    <row r="52" spans="1:19" x14ac:dyDescent="0.2">
      <c r="A52" s="88" t="s">
        <v>252</v>
      </c>
      <c r="B52" s="89" t="s">
        <v>39</v>
      </c>
      <c r="C52" s="89" t="s">
        <v>268</v>
      </c>
      <c r="D52" s="89" t="s">
        <v>269</v>
      </c>
      <c r="E52" s="90" t="s">
        <v>238</v>
      </c>
      <c r="F52" s="89" t="s">
        <v>228</v>
      </c>
      <c r="G52" s="89" t="s">
        <v>183</v>
      </c>
      <c r="H52" s="89" t="s">
        <v>11</v>
      </c>
      <c r="I52" s="89" t="s">
        <v>171</v>
      </c>
      <c r="J52" s="90" t="s">
        <v>184</v>
      </c>
      <c r="K52" s="91">
        <v>57</v>
      </c>
      <c r="L52" s="91">
        <f t="shared" si="5"/>
        <v>43.846153846153847</v>
      </c>
      <c r="M52" s="92">
        <f>prodnorm11</f>
        <v>0</v>
      </c>
      <c r="N52" s="89" t="s">
        <v>104</v>
      </c>
      <c r="O52" s="17">
        <f>uurtarief11</f>
        <v>0</v>
      </c>
      <c r="P52" s="91" t="e">
        <f t="shared" si="6"/>
        <v>#DIV/0!</v>
      </c>
      <c r="Q52" s="17" t="e">
        <f t="shared" si="7"/>
        <v>#DIV/0!</v>
      </c>
      <c r="R52" s="91" t="e">
        <f t="shared" si="8"/>
        <v>#DIV/0!</v>
      </c>
      <c r="S52" s="18" t="e">
        <f t="shared" si="9"/>
        <v>#DIV/0!</v>
      </c>
    </row>
    <row r="53" spans="1:19" ht="25.5" x14ac:dyDescent="0.2">
      <c r="A53" s="88" t="s">
        <v>252</v>
      </c>
      <c r="B53" s="89" t="s">
        <v>39</v>
      </c>
      <c r="C53" s="89" t="s">
        <v>268</v>
      </c>
      <c r="D53" s="89" t="s">
        <v>270</v>
      </c>
      <c r="E53" s="90" t="s">
        <v>225</v>
      </c>
      <c r="F53" s="89" t="s">
        <v>228</v>
      </c>
      <c r="G53" s="89" t="s">
        <v>197</v>
      </c>
      <c r="H53" s="89" t="s">
        <v>11</v>
      </c>
      <c r="I53" s="89" t="s">
        <v>171</v>
      </c>
      <c r="J53" s="90" t="s">
        <v>198</v>
      </c>
      <c r="K53" s="91">
        <v>17</v>
      </c>
      <c r="L53" s="91">
        <f t="shared" si="5"/>
        <v>13.076923076923078</v>
      </c>
      <c r="M53" s="92">
        <f>prodnorm22</f>
        <v>0</v>
      </c>
      <c r="N53" s="89" t="s">
        <v>104</v>
      </c>
      <c r="O53" s="17">
        <f>uurtarief22</f>
        <v>0</v>
      </c>
      <c r="P53" s="91" t="e">
        <f t="shared" si="6"/>
        <v>#DIV/0!</v>
      </c>
      <c r="Q53" s="17" t="e">
        <f t="shared" si="7"/>
        <v>#DIV/0!</v>
      </c>
      <c r="R53" s="91" t="e">
        <f t="shared" si="8"/>
        <v>#DIV/0!</v>
      </c>
      <c r="S53" s="18" t="e">
        <f t="shared" si="9"/>
        <v>#DIV/0!</v>
      </c>
    </row>
    <row r="54" spans="1:19" ht="25.5" x14ac:dyDescent="0.2">
      <c r="A54" s="88" t="s">
        <v>252</v>
      </c>
      <c r="B54" s="89" t="s">
        <v>39</v>
      </c>
      <c r="C54" s="89" t="s">
        <v>268</v>
      </c>
      <c r="D54" s="89" t="s">
        <v>271</v>
      </c>
      <c r="E54" s="90" t="s">
        <v>225</v>
      </c>
      <c r="F54" s="89" t="s">
        <v>255</v>
      </c>
      <c r="G54" s="89" t="s">
        <v>195</v>
      </c>
      <c r="H54" s="89" t="s">
        <v>11</v>
      </c>
      <c r="I54" s="89" t="s">
        <v>171</v>
      </c>
      <c r="J54" s="90" t="s">
        <v>196</v>
      </c>
      <c r="K54" s="91">
        <v>4</v>
      </c>
      <c r="L54" s="91">
        <f t="shared" si="5"/>
        <v>3.0769230769230771</v>
      </c>
      <c r="M54" s="92">
        <f>prodnorm20</f>
        <v>0</v>
      </c>
      <c r="N54" s="89" t="s">
        <v>104</v>
      </c>
      <c r="O54" s="17">
        <f>uurtarief20</f>
        <v>0</v>
      </c>
      <c r="P54" s="91" t="e">
        <f t="shared" si="6"/>
        <v>#DIV/0!</v>
      </c>
      <c r="Q54" s="17" t="e">
        <f t="shared" si="7"/>
        <v>#DIV/0!</v>
      </c>
      <c r="R54" s="91" t="e">
        <f t="shared" si="8"/>
        <v>#DIV/0!</v>
      </c>
      <c r="S54" s="18" t="e">
        <f t="shared" si="9"/>
        <v>#DIV/0!</v>
      </c>
    </row>
    <row r="55" spans="1:19" x14ac:dyDescent="0.2">
      <c r="A55" s="93" t="s">
        <v>252</v>
      </c>
      <c r="B55" s="94" t="s">
        <v>39</v>
      </c>
      <c r="C55" s="94" t="s">
        <v>268</v>
      </c>
      <c r="D55" s="94" t="s">
        <v>272</v>
      </c>
      <c r="E55" s="95" t="s">
        <v>273</v>
      </c>
      <c r="F55" s="94" t="s">
        <v>255</v>
      </c>
      <c r="G55" s="94" t="s">
        <v>193</v>
      </c>
      <c r="H55" s="94" t="s">
        <v>11</v>
      </c>
      <c r="I55" s="94" t="s">
        <v>171</v>
      </c>
      <c r="J55" s="95" t="s">
        <v>194</v>
      </c>
      <c r="K55" s="96">
        <v>11.6</v>
      </c>
      <c r="L55" s="96">
        <f t="shared" si="5"/>
        <v>8.9230769230769234</v>
      </c>
      <c r="M55" s="97">
        <f>prodnorm19</f>
        <v>0</v>
      </c>
      <c r="N55" s="94" t="s">
        <v>104</v>
      </c>
      <c r="O55" s="26">
        <f>uurtarief19</f>
        <v>0</v>
      </c>
      <c r="P55" s="96" t="e">
        <f t="shared" si="6"/>
        <v>#DIV/0!</v>
      </c>
      <c r="Q55" s="26" t="e">
        <f t="shared" si="7"/>
        <v>#DIV/0!</v>
      </c>
      <c r="R55" s="96" t="e">
        <f t="shared" si="8"/>
        <v>#DIV/0!</v>
      </c>
      <c r="S55" s="27" t="e">
        <f t="shared" si="9"/>
        <v>#DIV/0!</v>
      </c>
    </row>
    <row r="56" spans="1:19" x14ac:dyDescent="0.2">
      <c r="A56" s="98" t="s">
        <v>250</v>
      </c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8" t="e">
        <f>IF(_xlfn.SINGLE(object2_urenjaar1)&gt;0,_xlfn.SINGLE(object2_prijsjaar1)/_xlfn.SINGLE(object2_urenjaar1),0)</f>
        <v>#DIV/0!</v>
      </c>
      <c r="P56" s="67" t="e">
        <f>SUM(P28:P55)</f>
        <v>#DIV/0!</v>
      </c>
      <c r="Q56" s="68" t="e">
        <f>SUM(Q28:Q55)</f>
        <v>#DIV/0!</v>
      </c>
      <c r="R56" s="67" t="e">
        <f>SUM(R28:R55)</f>
        <v>#DIV/0!</v>
      </c>
      <c r="S56" s="69" t="e">
        <f>SUM(S28:S55)</f>
        <v>#DIV/0!</v>
      </c>
    </row>
    <row r="57" spans="1:19" x14ac:dyDescent="0.2">
      <c r="A57" s="74" t="s">
        <v>274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64"/>
    </row>
    <row r="58" spans="1:19" x14ac:dyDescent="0.2">
      <c r="A58" s="81" t="s">
        <v>275</v>
      </c>
      <c r="B58" s="82" t="s">
        <v>39</v>
      </c>
      <c r="C58" s="82" t="s">
        <v>212</v>
      </c>
      <c r="D58" s="82" t="s">
        <v>213</v>
      </c>
      <c r="E58" s="83" t="s">
        <v>227</v>
      </c>
      <c r="F58" s="82" t="s">
        <v>228</v>
      </c>
      <c r="G58" s="82" t="s">
        <v>179</v>
      </c>
      <c r="H58" s="82" t="s">
        <v>11</v>
      </c>
      <c r="I58" s="82" t="s">
        <v>171</v>
      </c>
      <c r="J58" s="83" t="s">
        <v>180</v>
      </c>
      <c r="K58" s="84">
        <v>17</v>
      </c>
      <c r="L58" s="84">
        <f t="shared" ref="L58:L96" si="10">K58*VLOOKUP(H58,dagsoorttabel1,2,FALSE)</f>
        <v>13.076923076923078</v>
      </c>
      <c r="M58" s="85">
        <f>prodnorm7</f>
        <v>0</v>
      </c>
      <c r="N58" s="82" t="s">
        <v>104</v>
      </c>
      <c r="O58" s="86">
        <f>uurtarief7</f>
        <v>0</v>
      </c>
      <c r="P58" s="84" t="e">
        <f t="shared" ref="P58:P96" si="11">IF(ISBLANK(M58),0,L58/ROUND(M58,4))</f>
        <v>#DIV/0!</v>
      </c>
      <c r="Q58" s="86" t="e">
        <f t="shared" ref="Q58:Q96" si="12">ROUND(O58,2)*P58</f>
        <v>#DIV/0!</v>
      </c>
      <c r="R58" s="84" t="e">
        <f t="shared" ref="R58:R96" si="13">P58*dagenperjaar1</f>
        <v>#DIV/0!</v>
      </c>
      <c r="S58" s="87" t="e">
        <f t="shared" ref="S58:S96" si="14">R58*ROUND(O58,2)</f>
        <v>#DIV/0!</v>
      </c>
    </row>
    <row r="59" spans="1:19" ht="25.5" x14ac:dyDescent="0.2">
      <c r="A59" s="88" t="s">
        <v>275</v>
      </c>
      <c r="B59" s="89" t="s">
        <v>39</v>
      </c>
      <c r="C59" s="89" t="s">
        <v>212</v>
      </c>
      <c r="D59" s="89" t="s">
        <v>276</v>
      </c>
      <c r="E59" s="90" t="s">
        <v>234</v>
      </c>
      <c r="F59" s="89" t="s">
        <v>254</v>
      </c>
      <c r="G59" s="89" t="s">
        <v>173</v>
      </c>
      <c r="H59" s="89" t="s">
        <v>11</v>
      </c>
      <c r="I59" s="89" t="s">
        <v>171</v>
      </c>
      <c r="J59" s="90" t="s">
        <v>174</v>
      </c>
      <c r="K59" s="91">
        <v>17</v>
      </c>
      <c r="L59" s="91">
        <f t="shared" si="10"/>
        <v>13.076923076923078</v>
      </c>
      <c r="M59" s="92">
        <f>prodnorm3</f>
        <v>0</v>
      </c>
      <c r="N59" s="89" t="s">
        <v>104</v>
      </c>
      <c r="O59" s="17">
        <f>uurtarief3</f>
        <v>0</v>
      </c>
      <c r="P59" s="91" t="e">
        <f t="shared" si="11"/>
        <v>#DIV/0!</v>
      </c>
      <c r="Q59" s="17" t="e">
        <f t="shared" si="12"/>
        <v>#DIV/0!</v>
      </c>
      <c r="R59" s="91" t="e">
        <f t="shared" si="13"/>
        <v>#DIV/0!</v>
      </c>
      <c r="S59" s="18" t="e">
        <f t="shared" si="14"/>
        <v>#DIV/0!</v>
      </c>
    </row>
    <row r="60" spans="1:19" ht="25.5" x14ac:dyDescent="0.2">
      <c r="A60" s="88" t="s">
        <v>275</v>
      </c>
      <c r="B60" s="89" t="s">
        <v>39</v>
      </c>
      <c r="C60" s="89" t="s">
        <v>212</v>
      </c>
      <c r="D60" s="89" t="s">
        <v>216</v>
      </c>
      <c r="E60" s="90" t="s">
        <v>214</v>
      </c>
      <c r="F60" s="89" t="s">
        <v>254</v>
      </c>
      <c r="G60" s="89" t="s">
        <v>181</v>
      </c>
      <c r="H60" s="89" t="s">
        <v>11</v>
      </c>
      <c r="I60" s="89" t="s">
        <v>171</v>
      </c>
      <c r="J60" s="90" t="s">
        <v>182</v>
      </c>
      <c r="K60" s="91">
        <v>100</v>
      </c>
      <c r="L60" s="91">
        <f t="shared" si="10"/>
        <v>76.923076923076934</v>
      </c>
      <c r="M60" s="92">
        <f>prodnorm8</f>
        <v>0</v>
      </c>
      <c r="N60" s="89" t="s">
        <v>104</v>
      </c>
      <c r="O60" s="17">
        <f>uurtarief8</f>
        <v>0</v>
      </c>
      <c r="P60" s="91" t="e">
        <f t="shared" si="11"/>
        <v>#DIV/0!</v>
      </c>
      <c r="Q60" s="17" t="e">
        <f t="shared" si="12"/>
        <v>#DIV/0!</v>
      </c>
      <c r="R60" s="91" t="e">
        <f t="shared" si="13"/>
        <v>#DIV/0!</v>
      </c>
      <c r="S60" s="18" t="e">
        <f t="shared" si="14"/>
        <v>#DIV/0!</v>
      </c>
    </row>
    <row r="61" spans="1:19" x14ac:dyDescent="0.2">
      <c r="A61" s="88" t="s">
        <v>275</v>
      </c>
      <c r="B61" s="89" t="s">
        <v>39</v>
      </c>
      <c r="C61" s="89" t="s">
        <v>212</v>
      </c>
      <c r="D61" s="89" t="s">
        <v>219</v>
      </c>
      <c r="E61" s="90" t="s">
        <v>227</v>
      </c>
      <c r="F61" s="89" t="s">
        <v>228</v>
      </c>
      <c r="G61" s="89" t="s">
        <v>179</v>
      </c>
      <c r="H61" s="89" t="s">
        <v>11</v>
      </c>
      <c r="I61" s="89" t="s">
        <v>171</v>
      </c>
      <c r="J61" s="90" t="s">
        <v>180</v>
      </c>
      <c r="K61" s="91">
        <v>5</v>
      </c>
      <c r="L61" s="91">
        <f t="shared" si="10"/>
        <v>3.8461538461538463</v>
      </c>
      <c r="M61" s="92">
        <f>prodnorm7</f>
        <v>0</v>
      </c>
      <c r="N61" s="89" t="s">
        <v>104</v>
      </c>
      <c r="O61" s="17">
        <f>uurtarief7</f>
        <v>0</v>
      </c>
      <c r="P61" s="91" t="e">
        <f t="shared" si="11"/>
        <v>#DIV/0!</v>
      </c>
      <c r="Q61" s="17" t="e">
        <f t="shared" si="12"/>
        <v>#DIV/0!</v>
      </c>
      <c r="R61" s="91" t="e">
        <f t="shared" si="13"/>
        <v>#DIV/0!</v>
      </c>
      <c r="S61" s="18" t="e">
        <f t="shared" si="14"/>
        <v>#DIV/0!</v>
      </c>
    </row>
    <row r="62" spans="1:19" x14ac:dyDescent="0.2">
      <c r="A62" s="88" t="s">
        <v>275</v>
      </c>
      <c r="B62" s="89" t="s">
        <v>39</v>
      </c>
      <c r="C62" s="89" t="s">
        <v>212</v>
      </c>
      <c r="D62" s="89" t="s">
        <v>221</v>
      </c>
      <c r="E62" s="90" t="s">
        <v>217</v>
      </c>
      <c r="F62" s="89" t="s">
        <v>254</v>
      </c>
      <c r="G62" s="89" t="s">
        <v>183</v>
      </c>
      <c r="H62" s="89" t="s">
        <v>11</v>
      </c>
      <c r="I62" s="89" t="s">
        <v>171</v>
      </c>
      <c r="J62" s="90" t="s">
        <v>184</v>
      </c>
      <c r="K62" s="91">
        <v>60</v>
      </c>
      <c r="L62" s="91">
        <f t="shared" si="10"/>
        <v>46.153846153846153</v>
      </c>
      <c r="M62" s="92">
        <f>prodnorm11</f>
        <v>0</v>
      </c>
      <c r="N62" s="89" t="s">
        <v>104</v>
      </c>
      <c r="O62" s="17">
        <f>uurtarief11</f>
        <v>0</v>
      </c>
      <c r="P62" s="91" t="e">
        <f t="shared" si="11"/>
        <v>#DIV/0!</v>
      </c>
      <c r="Q62" s="17" t="e">
        <f t="shared" si="12"/>
        <v>#DIV/0!</v>
      </c>
      <c r="R62" s="91" t="e">
        <f t="shared" si="13"/>
        <v>#DIV/0!</v>
      </c>
      <c r="S62" s="18" t="e">
        <f t="shared" si="14"/>
        <v>#DIV/0!</v>
      </c>
    </row>
    <row r="63" spans="1:19" x14ac:dyDescent="0.2">
      <c r="A63" s="88" t="s">
        <v>275</v>
      </c>
      <c r="B63" s="89" t="s">
        <v>39</v>
      </c>
      <c r="C63" s="89" t="s">
        <v>212</v>
      </c>
      <c r="D63" s="89" t="s">
        <v>223</v>
      </c>
      <c r="E63" s="90" t="s">
        <v>217</v>
      </c>
      <c r="F63" s="89" t="s">
        <v>254</v>
      </c>
      <c r="G63" s="89" t="s">
        <v>183</v>
      </c>
      <c r="H63" s="89" t="s">
        <v>11</v>
      </c>
      <c r="I63" s="89" t="s">
        <v>171</v>
      </c>
      <c r="J63" s="90" t="s">
        <v>184</v>
      </c>
      <c r="K63" s="91">
        <v>60</v>
      </c>
      <c r="L63" s="91">
        <f t="shared" si="10"/>
        <v>46.153846153846153</v>
      </c>
      <c r="M63" s="92">
        <f>prodnorm11</f>
        <v>0</v>
      </c>
      <c r="N63" s="89" t="s">
        <v>104</v>
      </c>
      <c r="O63" s="17">
        <f>uurtarief11</f>
        <v>0</v>
      </c>
      <c r="P63" s="91" t="e">
        <f t="shared" si="11"/>
        <v>#DIV/0!</v>
      </c>
      <c r="Q63" s="17" t="e">
        <f t="shared" si="12"/>
        <v>#DIV/0!</v>
      </c>
      <c r="R63" s="91" t="e">
        <f t="shared" si="13"/>
        <v>#DIV/0!</v>
      </c>
      <c r="S63" s="18" t="e">
        <f t="shared" si="14"/>
        <v>#DIV/0!</v>
      </c>
    </row>
    <row r="64" spans="1:19" x14ac:dyDescent="0.2">
      <c r="A64" s="88" t="s">
        <v>275</v>
      </c>
      <c r="B64" s="89" t="s">
        <v>39</v>
      </c>
      <c r="C64" s="89" t="s">
        <v>212</v>
      </c>
      <c r="D64" s="89" t="s">
        <v>224</v>
      </c>
      <c r="E64" s="90" t="s">
        <v>277</v>
      </c>
      <c r="F64" s="89" t="s">
        <v>253</v>
      </c>
      <c r="G64" s="89" t="s">
        <v>191</v>
      </c>
      <c r="H64" s="89" t="s">
        <v>11</v>
      </c>
      <c r="I64" s="89" t="s">
        <v>171</v>
      </c>
      <c r="J64" s="90" t="s">
        <v>192</v>
      </c>
      <c r="K64" s="91">
        <v>5</v>
      </c>
      <c r="L64" s="91">
        <f t="shared" si="10"/>
        <v>3.8461538461538463</v>
      </c>
      <c r="M64" s="92">
        <f>prodnorm17</f>
        <v>0</v>
      </c>
      <c r="N64" s="89" t="s">
        <v>104</v>
      </c>
      <c r="O64" s="17">
        <f>uurtarief17</f>
        <v>0</v>
      </c>
      <c r="P64" s="91" t="e">
        <f t="shared" si="11"/>
        <v>#DIV/0!</v>
      </c>
      <c r="Q64" s="17" t="e">
        <f t="shared" si="12"/>
        <v>#DIV/0!</v>
      </c>
      <c r="R64" s="91" t="e">
        <f t="shared" si="13"/>
        <v>#DIV/0!</v>
      </c>
      <c r="S64" s="18" t="e">
        <f t="shared" si="14"/>
        <v>#DIV/0!</v>
      </c>
    </row>
    <row r="65" spans="1:19" x14ac:dyDescent="0.2">
      <c r="A65" s="88" t="s">
        <v>275</v>
      </c>
      <c r="B65" s="89" t="s">
        <v>39</v>
      </c>
      <c r="C65" s="89" t="s">
        <v>212</v>
      </c>
      <c r="D65" s="89" t="s">
        <v>226</v>
      </c>
      <c r="E65" s="90" t="s">
        <v>278</v>
      </c>
      <c r="F65" s="89" t="s">
        <v>254</v>
      </c>
      <c r="G65" s="89" t="s">
        <v>170</v>
      </c>
      <c r="H65" s="89" t="s">
        <v>11</v>
      </c>
      <c r="I65" s="89" t="s">
        <v>171</v>
      </c>
      <c r="J65" s="90" t="s">
        <v>172</v>
      </c>
      <c r="K65" s="91">
        <v>64</v>
      </c>
      <c r="L65" s="91">
        <f t="shared" si="10"/>
        <v>49.230769230769234</v>
      </c>
      <c r="M65" s="92">
        <f>prodnorm2</f>
        <v>0</v>
      </c>
      <c r="N65" s="89" t="s">
        <v>104</v>
      </c>
      <c r="O65" s="17">
        <f>uurtarief2</f>
        <v>0</v>
      </c>
      <c r="P65" s="91" t="e">
        <f t="shared" si="11"/>
        <v>#DIV/0!</v>
      </c>
      <c r="Q65" s="17" t="e">
        <f t="shared" si="12"/>
        <v>#DIV/0!</v>
      </c>
      <c r="R65" s="91" t="e">
        <f t="shared" si="13"/>
        <v>#DIV/0!</v>
      </c>
      <c r="S65" s="18" t="e">
        <f t="shared" si="14"/>
        <v>#DIV/0!</v>
      </c>
    </row>
    <row r="66" spans="1:19" x14ac:dyDescent="0.2">
      <c r="A66" s="88" t="s">
        <v>275</v>
      </c>
      <c r="B66" s="89" t="s">
        <v>39</v>
      </c>
      <c r="C66" s="89" t="s">
        <v>212</v>
      </c>
      <c r="D66" s="89" t="s">
        <v>229</v>
      </c>
      <c r="E66" s="90" t="s">
        <v>277</v>
      </c>
      <c r="F66" s="89" t="s">
        <v>253</v>
      </c>
      <c r="G66" s="89" t="s">
        <v>191</v>
      </c>
      <c r="H66" s="89" t="s">
        <v>11</v>
      </c>
      <c r="I66" s="89" t="s">
        <v>171</v>
      </c>
      <c r="J66" s="90" t="s">
        <v>192</v>
      </c>
      <c r="K66" s="91">
        <v>5</v>
      </c>
      <c r="L66" s="91">
        <f t="shared" si="10"/>
        <v>3.8461538461538463</v>
      </c>
      <c r="M66" s="92">
        <f>prodnorm17</f>
        <v>0</v>
      </c>
      <c r="N66" s="89" t="s">
        <v>104</v>
      </c>
      <c r="O66" s="17">
        <f>uurtarief17</f>
        <v>0</v>
      </c>
      <c r="P66" s="91" t="e">
        <f t="shared" si="11"/>
        <v>#DIV/0!</v>
      </c>
      <c r="Q66" s="17" t="e">
        <f t="shared" si="12"/>
        <v>#DIV/0!</v>
      </c>
      <c r="R66" s="91" t="e">
        <f t="shared" si="13"/>
        <v>#DIV/0!</v>
      </c>
      <c r="S66" s="18" t="e">
        <f t="shared" si="14"/>
        <v>#DIV/0!</v>
      </c>
    </row>
    <row r="67" spans="1:19" x14ac:dyDescent="0.2">
      <c r="A67" s="88" t="s">
        <v>275</v>
      </c>
      <c r="B67" s="89" t="s">
        <v>39</v>
      </c>
      <c r="C67" s="89" t="s">
        <v>212</v>
      </c>
      <c r="D67" s="89" t="s">
        <v>279</v>
      </c>
      <c r="E67" s="90" t="s">
        <v>232</v>
      </c>
      <c r="F67" s="89" t="s">
        <v>253</v>
      </c>
      <c r="G67" s="89" t="s">
        <v>191</v>
      </c>
      <c r="H67" s="89" t="s">
        <v>11</v>
      </c>
      <c r="I67" s="89" t="s">
        <v>171</v>
      </c>
      <c r="J67" s="90" t="s">
        <v>192</v>
      </c>
      <c r="K67" s="91">
        <v>3.65</v>
      </c>
      <c r="L67" s="91">
        <f t="shared" si="10"/>
        <v>2.8076923076923079</v>
      </c>
      <c r="M67" s="92">
        <f>prodnorm17</f>
        <v>0</v>
      </c>
      <c r="N67" s="89" t="s">
        <v>104</v>
      </c>
      <c r="O67" s="17">
        <f>uurtarief17</f>
        <v>0</v>
      </c>
      <c r="P67" s="91" t="e">
        <f t="shared" si="11"/>
        <v>#DIV/0!</v>
      </c>
      <c r="Q67" s="17" t="e">
        <f t="shared" si="12"/>
        <v>#DIV/0!</v>
      </c>
      <c r="R67" s="91" t="e">
        <f t="shared" si="13"/>
        <v>#DIV/0!</v>
      </c>
      <c r="S67" s="18" t="e">
        <f t="shared" si="14"/>
        <v>#DIV/0!</v>
      </c>
    </row>
    <row r="68" spans="1:19" x14ac:dyDescent="0.2">
      <c r="A68" s="88" t="s">
        <v>275</v>
      </c>
      <c r="B68" s="89" t="s">
        <v>39</v>
      </c>
      <c r="C68" s="89" t="s">
        <v>212</v>
      </c>
      <c r="D68" s="89" t="s">
        <v>233</v>
      </c>
      <c r="E68" s="90" t="s">
        <v>238</v>
      </c>
      <c r="F68" s="89" t="s">
        <v>218</v>
      </c>
      <c r="G68" s="89" t="s">
        <v>183</v>
      </c>
      <c r="H68" s="89" t="s">
        <v>11</v>
      </c>
      <c r="I68" s="89" t="s">
        <v>171</v>
      </c>
      <c r="J68" s="90" t="s">
        <v>184</v>
      </c>
      <c r="K68" s="91">
        <v>55</v>
      </c>
      <c r="L68" s="91">
        <f t="shared" si="10"/>
        <v>42.307692307692307</v>
      </c>
      <c r="M68" s="92">
        <f>prodnorm11</f>
        <v>0</v>
      </c>
      <c r="N68" s="89" t="s">
        <v>104</v>
      </c>
      <c r="O68" s="17">
        <f>uurtarief11</f>
        <v>0</v>
      </c>
      <c r="P68" s="91" t="e">
        <f t="shared" si="11"/>
        <v>#DIV/0!</v>
      </c>
      <c r="Q68" s="17" t="e">
        <f t="shared" si="12"/>
        <v>#DIV/0!</v>
      </c>
      <c r="R68" s="91" t="e">
        <f t="shared" si="13"/>
        <v>#DIV/0!</v>
      </c>
      <c r="S68" s="18" t="e">
        <f t="shared" si="14"/>
        <v>#DIV/0!</v>
      </c>
    </row>
    <row r="69" spans="1:19" x14ac:dyDescent="0.2">
      <c r="A69" s="88" t="s">
        <v>275</v>
      </c>
      <c r="B69" s="89" t="s">
        <v>39</v>
      </c>
      <c r="C69" s="89" t="s">
        <v>212</v>
      </c>
      <c r="D69" s="89" t="s">
        <v>235</v>
      </c>
      <c r="E69" s="90" t="s">
        <v>238</v>
      </c>
      <c r="F69" s="89" t="s">
        <v>218</v>
      </c>
      <c r="G69" s="89" t="s">
        <v>183</v>
      </c>
      <c r="H69" s="89" t="s">
        <v>11</v>
      </c>
      <c r="I69" s="89" t="s">
        <v>171</v>
      </c>
      <c r="J69" s="90" t="s">
        <v>184</v>
      </c>
      <c r="K69" s="91">
        <v>55</v>
      </c>
      <c r="L69" s="91">
        <f t="shared" si="10"/>
        <v>42.307692307692307</v>
      </c>
      <c r="M69" s="92">
        <f>prodnorm11</f>
        <v>0</v>
      </c>
      <c r="N69" s="89" t="s">
        <v>104</v>
      </c>
      <c r="O69" s="17">
        <f>uurtarief11</f>
        <v>0</v>
      </c>
      <c r="P69" s="91" t="e">
        <f t="shared" si="11"/>
        <v>#DIV/0!</v>
      </c>
      <c r="Q69" s="17" t="e">
        <f t="shared" si="12"/>
        <v>#DIV/0!</v>
      </c>
      <c r="R69" s="91" t="e">
        <f t="shared" si="13"/>
        <v>#DIV/0!</v>
      </c>
      <c r="S69" s="18" t="e">
        <f t="shared" si="14"/>
        <v>#DIV/0!</v>
      </c>
    </row>
    <row r="70" spans="1:19" x14ac:dyDescent="0.2">
      <c r="A70" s="88" t="s">
        <v>275</v>
      </c>
      <c r="B70" s="89" t="s">
        <v>39</v>
      </c>
      <c r="C70" s="89" t="s">
        <v>212</v>
      </c>
      <c r="D70" s="89" t="s">
        <v>236</v>
      </c>
      <c r="E70" s="90" t="s">
        <v>232</v>
      </c>
      <c r="F70" s="89" t="s">
        <v>253</v>
      </c>
      <c r="G70" s="89" t="s">
        <v>191</v>
      </c>
      <c r="H70" s="89" t="s">
        <v>11</v>
      </c>
      <c r="I70" s="89" t="s">
        <v>171</v>
      </c>
      <c r="J70" s="90" t="s">
        <v>192</v>
      </c>
      <c r="K70" s="91">
        <v>7</v>
      </c>
      <c r="L70" s="91">
        <f t="shared" si="10"/>
        <v>5.384615384615385</v>
      </c>
      <c r="M70" s="92">
        <f>prodnorm17</f>
        <v>0</v>
      </c>
      <c r="N70" s="89" t="s">
        <v>104</v>
      </c>
      <c r="O70" s="17">
        <f>uurtarief17</f>
        <v>0</v>
      </c>
      <c r="P70" s="91" t="e">
        <f t="shared" si="11"/>
        <v>#DIV/0!</v>
      </c>
      <c r="Q70" s="17" t="e">
        <f t="shared" si="12"/>
        <v>#DIV/0!</v>
      </c>
      <c r="R70" s="91" t="e">
        <f t="shared" si="13"/>
        <v>#DIV/0!</v>
      </c>
      <c r="S70" s="18" t="e">
        <f t="shared" si="14"/>
        <v>#DIV/0!</v>
      </c>
    </row>
    <row r="71" spans="1:19" x14ac:dyDescent="0.2">
      <c r="A71" s="88" t="s">
        <v>275</v>
      </c>
      <c r="B71" s="89" t="s">
        <v>39</v>
      </c>
      <c r="C71" s="89" t="s">
        <v>212</v>
      </c>
      <c r="D71" s="89" t="s">
        <v>237</v>
      </c>
      <c r="E71" s="90" t="s">
        <v>232</v>
      </c>
      <c r="F71" s="89" t="s">
        <v>253</v>
      </c>
      <c r="G71" s="89" t="s">
        <v>191</v>
      </c>
      <c r="H71" s="89" t="s">
        <v>11</v>
      </c>
      <c r="I71" s="89" t="s">
        <v>171</v>
      </c>
      <c r="J71" s="90" t="s">
        <v>192</v>
      </c>
      <c r="K71" s="91">
        <v>7</v>
      </c>
      <c r="L71" s="91">
        <f t="shared" si="10"/>
        <v>5.384615384615385</v>
      </c>
      <c r="M71" s="92">
        <f>prodnorm17</f>
        <v>0</v>
      </c>
      <c r="N71" s="89" t="s">
        <v>104</v>
      </c>
      <c r="O71" s="17">
        <f>uurtarief17</f>
        <v>0</v>
      </c>
      <c r="P71" s="91" t="e">
        <f t="shared" si="11"/>
        <v>#DIV/0!</v>
      </c>
      <c r="Q71" s="17" t="e">
        <f t="shared" si="12"/>
        <v>#DIV/0!</v>
      </c>
      <c r="R71" s="91" t="e">
        <f t="shared" si="13"/>
        <v>#DIV/0!</v>
      </c>
      <c r="S71" s="18" t="e">
        <f t="shared" si="14"/>
        <v>#DIV/0!</v>
      </c>
    </row>
    <row r="72" spans="1:19" x14ac:dyDescent="0.2">
      <c r="A72" s="88" t="s">
        <v>275</v>
      </c>
      <c r="B72" s="89" t="s">
        <v>39</v>
      </c>
      <c r="C72" s="89" t="s">
        <v>212</v>
      </c>
      <c r="D72" s="89" t="s">
        <v>240</v>
      </c>
      <c r="E72" s="90" t="s">
        <v>232</v>
      </c>
      <c r="F72" s="89" t="s">
        <v>253</v>
      </c>
      <c r="G72" s="89" t="s">
        <v>191</v>
      </c>
      <c r="H72" s="89" t="s">
        <v>11</v>
      </c>
      <c r="I72" s="89" t="s">
        <v>171</v>
      </c>
      <c r="J72" s="90" t="s">
        <v>192</v>
      </c>
      <c r="K72" s="91">
        <v>7</v>
      </c>
      <c r="L72" s="91">
        <f t="shared" si="10"/>
        <v>5.384615384615385</v>
      </c>
      <c r="M72" s="92">
        <f>prodnorm17</f>
        <v>0</v>
      </c>
      <c r="N72" s="89" t="s">
        <v>104</v>
      </c>
      <c r="O72" s="17">
        <f>uurtarief17</f>
        <v>0</v>
      </c>
      <c r="P72" s="91" t="e">
        <f t="shared" si="11"/>
        <v>#DIV/0!</v>
      </c>
      <c r="Q72" s="17" t="e">
        <f t="shared" si="12"/>
        <v>#DIV/0!</v>
      </c>
      <c r="R72" s="91" t="e">
        <f t="shared" si="13"/>
        <v>#DIV/0!</v>
      </c>
      <c r="S72" s="18" t="e">
        <f t="shared" si="14"/>
        <v>#DIV/0!</v>
      </c>
    </row>
    <row r="73" spans="1:19" x14ac:dyDescent="0.2">
      <c r="A73" s="88" t="s">
        <v>275</v>
      </c>
      <c r="B73" s="89" t="s">
        <v>39</v>
      </c>
      <c r="C73" s="89" t="s">
        <v>212</v>
      </c>
      <c r="D73" s="89" t="s">
        <v>241</v>
      </c>
      <c r="E73" s="90" t="s">
        <v>232</v>
      </c>
      <c r="F73" s="89" t="s">
        <v>253</v>
      </c>
      <c r="G73" s="89" t="s">
        <v>191</v>
      </c>
      <c r="H73" s="89" t="s">
        <v>11</v>
      </c>
      <c r="I73" s="89" t="s">
        <v>171</v>
      </c>
      <c r="J73" s="90" t="s">
        <v>192</v>
      </c>
      <c r="K73" s="91">
        <v>7</v>
      </c>
      <c r="L73" s="91">
        <f t="shared" si="10"/>
        <v>5.384615384615385</v>
      </c>
      <c r="M73" s="92">
        <f>prodnorm17</f>
        <v>0</v>
      </c>
      <c r="N73" s="89" t="s">
        <v>104</v>
      </c>
      <c r="O73" s="17">
        <f>uurtarief17</f>
        <v>0</v>
      </c>
      <c r="P73" s="91" t="e">
        <f t="shared" si="11"/>
        <v>#DIV/0!</v>
      </c>
      <c r="Q73" s="17" t="e">
        <f t="shared" si="12"/>
        <v>#DIV/0!</v>
      </c>
      <c r="R73" s="91" t="e">
        <f t="shared" si="13"/>
        <v>#DIV/0!</v>
      </c>
      <c r="S73" s="18" t="e">
        <f t="shared" si="14"/>
        <v>#DIV/0!</v>
      </c>
    </row>
    <row r="74" spans="1:19" x14ac:dyDescent="0.2">
      <c r="A74" s="88" t="s">
        <v>275</v>
      </c>
      <c r="B74" s="89" t="s">
        <v>39</v>
      </c>
      <c r="C74" s="89" t="s">
        <v>212</v>
      </c>
      <c r="D74" s="89" t="s">
        <v>242</v>
      </c>
      <c r="E74" s="90" t="s">
        <v>280</v>
      </c>
      <c r="F74" s="89" t="s">
        <v>253</v>
      </c>
      <c r="G74" s="89" t="s">
        <v>191</v>
      </c>
      <c r="H74" s="89" t="s">
        <v>11</v>
      </c>
      <c r="I74" s="89" t="s">
        <v>171</v>
      </c>
      <c r="J74" s="90" t="s">
        <v>192</v>
      </c>
      <c r="K74" s="91">
        <v>4</v>
      </c>
      <c r="L74" s="91">
        <f t="shared" si="10"/>
        <v>3.0769230769230771</v>
      </c>
      <c r="M74" s="92">
        <f>prodnorm17</f>
        <v>0</v>
      </c>
      <c r="N74" s="89" t="s">
        <v>104</v>
      </c>
      <c r="O74" s="17">
        <f>uurtarief17</f>
        <v>0</v>
      </c>
      <c r="P74" s="91" t="e">
        <f t="shared" si="11"/>
        <v>#DIV/0!</v>
      </c>
      <c r="Q74" s="17" t="e">
        <f t="shared" si="12"/>
        <v>#DIV/0!</v>
      </c>
      <c r="R74" s="91" t="e">
        <f t="shared" si="13"/>
        <v>#DIV/0!</v>
      </c>
      <c r="S74" s="18" t="e">
        <f t="shared" si="14"/>
        <v>#DIV/0!</v>
      </c>
    </row>
    <row r="75" spans="1:19" ht="25.5" x14ac:dyDescent="0.2">
      <c r="A75" s="88" t="s">
        <v>275</v>
      </c>
      <c r="B75" s="89" t="s">
        <v>39</v>
      </c>
      <c r="C75" s="89" t="s">
        <v>212</v>
      </c>
      <c r="D75" s="89" t="s">
        <v>243</v>
      </c>
      <c r="E75" s="90" t="s">
        <v>225</v>
      </c>
      <c r="F75" s="89" t="s">
        <v>254</v>
      </c>
      <c r="G75" s="89" t="s">
        <v>195</v>
      </c>
      <c r="H75" s="89" t="s">
        <v>11</v>
      </c>
      <c r="I75" s="89" t="s">
        <v>171</v>
      </c>
      <c r="J75" s="90" t="s">
        <v>196</v>
      </c>
      <c r="K75" s="91">
        <v>186.07</v>
      </c>
      <c r="L75" s="91">
        <f t="shared" si="10"/>
        <v>143.13076923076923</v>
      </c>
      <c r="M75" s="92">
        <f>prodnorm20</f>
        <v>0</v>
      </c>
      <c r="N75" s="89" t="s">
        <v>104</v>
      </c>
      <c r="O75" s="17">
        <f>uurtarief20</f>
        <v>0</v>
      </c>
      <c r="P75" s="91" t="e">
        <f t="shared" si="11"/>
        <v>#DIV/0!</v>
      </c>
      <c r="Q75" s="17" t="e">
        <f t="shared" si="12"/>
        <v>#DIV/0!</v>
      </c>
      <c r="R75" s="91" t="e">
        <f t="shared" si="13"/>
        <v>#DIV/0!</v>
      </c>
      <c r="S75" s="18" t="e">
        <f t="shared" si="14"/>
        <v>#DIV/0!</v>
      </c>
    </row>
    <row r="76" spans="1:19" x14ac:dyDescent="0.2">
      <c r="A76" s="88" t="s">
        <v>275</v>
      </c>
      <c r="B76" s="89" t="s">
        <v>39</v>
      </c>
      <c r="C76" s="89" t="s">
        <v>212</v>
      </c>
      <c r="D76" s="89" t="s">
        <v>245</v>
      </c>
      <c r="E76" s="90" t="s">
        <v>217</v>
      </c>
      <c r="F76" s="89" t="s">
        <v>218</v>
      </c>
      <c r="G76" s="89" t="s">
        <v>183</v>
      </c>
      <c r="H76" s="89" t="s">
        <v>11</v>
      </c>
      <c r="I76" s="89" t="s">
        <v>171</v>
      </c>
      <c r="J76" s="90" t="s">
        <v>184</v>
      </c>
      <c r="K76" s="91">
        <v>61</v>
      </c>
      <c r="L76" s="91">
        <f t="shared" si="10"/>
        <v>46.923076923076927</v>
      </c>
      <c r="M76" s="92">
        <f>prodnorm11</f>
        <v>0</v>
      </c>
      <c r="N76" s="89" t="s">
        <v>104</v>
      </c>
      <c r="O76" s="17">
        <f>uurtarief11</f>
        <v>0</v>
      </c>
      <c r="P76" s="91" t="e">
        <f t="shared" si="11"/>
        <v>#DIV/0!</v>
      </c>
      <c r="Q76" s="17" t="e">
        <f t="shared" si="12"/>
        <v>#DIV/0!</v>
      </c>
      <c r="R76" s="91" t="e">
        <f t="shared" si="13"/>
        <v>#DIV/0!</v>
      </c>
      <c r="S76" s="18" t="e">
        <f t="shared" si="14"/>
        <v>#DIV/0!</v>
      </c>
    </row>
    <row r="77" spans="1:19" x14ac:dyDescent="0.2">
      <c r="A77" s="88" t="s">
        <v>275</v>
      </c>
      <c r="B77" s="89" t="s">
        <v>39</v>
      </c>
      <c r="C77" s="89" t="s">
        <v>212</v>
      </c>
      <c r="D77" s="89" t="s">
        <v>246</v>
      </c>
      <c r="E77" s="90" t="s">
        <v>238</v>
      </c>
      <c r="F77" s="89" t="s">
        <v>254</v>
      </c>
      <c r="G77" s="89" t="s">
        <v>183</v>
      </c>
      <c r="H77" s="89" t="s">
        <v>11</v>
      </c>
      <c r="I77" s="89" t="s">
        <v>171</v>
      </c>
      <c r="J77" s="90" t="s">
        <v>184</v>
      </c>
      <c r="K77" s="91">
        <v>61</v>
      </c>
      <c r="L77" s="91">
        <f t="shared" si="10"/>
        <v>46.923076923076927</v>
      </c>
      <c r="M77" s="92">
        <f>prodnorm11</f>
        <v>0</v>
      </c>
      <c r="N77" s="89" t="s">
        <v>104</v>
      </c>
      <c r="O77" s="17">
        <f>uurtarief11</f>
        <v>0</v>
      </c>
      <c r="P77" s="91" t="e">
        <f t="shared" si="11"/>
        <v>#DIV/0!</v>
      </c>
      <c r="Q77" s="17" t="e">
        <f t="shared" si="12"/>
        <v>#DIV/0!</v>
      </c>
      <c r="R77" s="91" t="e">
        <f t="shared" si="13"/>
        <v>#DIV/0!</v>
      </c>
      <c r="S77" s="18" t="e">
        <f t="shared" si="14"/>
        <v>#DIV/0!</v>
      </c>
    </row>
    <row r="78" spans="1:19" x14ac:dyDescent="0.2">
      <c r="A78" s="88" t="s">
        <v>275</v>
      </c>
      <c r="B78" s="89" t="s">
        <v>39</v>
      </c>
      <c r="C78" s="89" t="s">
        <v>212</v>
      </c>
      <c r="D78" s="89" t="s">
        <v>261</v>
      </c>
      <c r="E78" s="90" t="s">
        <v>256</v>
      </c>
      <c r="F78" s="89" t="s">
        <v>254</v>
      </c>
      <c r="G78" s="89" t="s">
        <v>187</v>
      </c>
      <c r="H78" s="89" t="s">
        <v>11</v>
      </c>
      <c r="I78" s="89" t="s">
        <v>171</v>
      </c>
      <c r="J78" s="90" t="s">
        <v>188</v>
      </c>
      <c r="K78" s="91">
        <v>16</v>
      </c>
      <c r="L78" s="91">
        <f t="shared" si="10"/>
        <v>12.307692307692308</v>
      </c>
      <c r="M78" s="92">
        <f>prodnorm15</f>
        <v>0</v>
      </c>
      <c r="N78" s="89" t="s">
        <v>104</v>
      </c>
      <c r="O78" s="17">
        <f>uurtarief15</f>
        <v>0</v>
      </c>
      <c r="P78" s="91" t="e">
        <f t="shared" si="11"/>
        <v>#DIV/0!</v>
      </c>
      <c r="Q78" s="17" t="e">
        <f t="shared" si="12"/>
        <v>#DIV/0!</v>
      </c>
      <c r="R78" s="91" t="e">
        <f t="shared" si="13"/>
        <v>#DIV/0!</v>
      </c>
      <c r="S78" s="18" t="e">
        <f t="shared" si="14"/>
        <v>#DIV/0!</v>
      </c>
    </row>
    <row r="79" spans="1:19" ht="25.5" x14ac:dyDescent="0.2">
      <c r="A79" s="88" t="s">
        <v>275</v>
      </c>
      <c r="B79" s="89" t="s">
        <v>39</v>
      </c>
      <c r="C79" s="89" t="s">
        <v>212</v>
      </c>
      <c r="D79" s="89" t="s">
        <v>248</v>
      </c>
      <c r="E79" s="90" t="s">
        <v>234</v>
      </c>
      <c r="F79" s="89" t="s">
        <v>254</v>
      </c>
      <c r="G79" s="89" t="s">
        <v>173</v>
      </c>
      <c r="H79" s="89" t="s">
        <v>11</v>
      </c>
      <c r="I79" s="89" t="s">
        <v>171</v>
      </c>
      <c r="J79" s="90" t="s">
        <v>174</v>
      </c>
      <c r="K79" s="91">
        <v>25</v>
      </c>
      <c r="L79" s="91">
        <f t="shared" si="10"/>
        <v>19.230769230769234</v>
      </c>
      <c r="M79" s="92">
        <f>prodnorm3</f>
        <v>0</v>
      </c>
      <c r="N79" s="89" t="s">
        <v>104</v>
      </c>
      <c r="O79" s="17">
        <f>uurtarief3</f>
        <v>0</v>
      </c>
      <c r="P79" s="91" t="e">
        <f t="shared" si="11"/>
        <v>#DIV/0!</v>
      </c>
      <c r="Q79" s="17" t="e">
        <f t="shared" si="12"/>
        <v>#DIV/0!</v>
      </c>
      <c r="R79" s="91" t="e">
        <f t="shared" si="13"/>
        <v>#DIV/0!</v>
      </c>
      <c r="S79" s="18" t="e">
        <f t="shared" si="14"/>
        <v>#DIV/0!</v>
      </c>
    </row>
    <row r="80" spans="1:19" ht="25.5" x14ac:dyDescent="0.2">
      <c r="A80" s="88" t="s">
        <v>275</v>
      </c>
      <c r="B80" s="89" t="s">
        <v>39</v>
      </c>
      <c r="C80" s="89" t="s">
        <v>212</v>
      </c>
      <c r="D80" s="89" t="s">
        <v>263</v>
      </c>
      <c r="E80" s="90" t="s">
        <v>234</v>
      </c>
      <c r="F80" s="89" t="s">
        <v>254</v>
      </c>
      <c r="G80" s="89" t="s">
        <v>173</v>
      </c>
      <c r="H80" s="89" t="s">
        <v>11</v>
      </c>
      <c r="I80" s="89" t="s">
        <v>171</v>
      </c>
      <c r="J80" s="90" t="s">
        <v>174</v>
      </c>
      <c r="K80" s="91">
        <v>44</v>
      </c>
      <c r="L80" s="91">
        <f t="shared" si="10"/>
        <v>33.846153846153847</v>
      </c>
      <c r="M80" s="92">
        <f>prodnorm3</f>
        <v>0</v>
      </c>
      <c r="N80" s="89" t="s">
        <v>104</v>
      </c>
      <c r="O80" s="17">
        <f>uurtarief3</f>
        <v>0</v>
      </c>
      <c r="P80" s="91" t="e">
        <f t="shared" si="11"/>
        <v>#DIV/0!</v>
      </c>
      <c r="Q80" s="17" t="e">
        <f t="shared" si="12"/>
        <v>#DIV/0!</v>
      </c>
      <c r="R80" s="91" t="e">
        <f t="shared" si="13"/>
        <v>#DIV/0!</v>
      </c>
      <c r="S80" s="18" t="e">
        <f t="shared" si="14"/>
        <v>#DIV/0!</v>
      </c>
    </row>
    <row r="81" spans="1:19" x14ac:dyDescent="0.2">
      <c r="A81" s="88" t="s">
        <v>275</v>
      </c>
      <c r="B81" s="89" t="s">
        <v>39</v>
      </c>
      <c r="C81" s="89" t="s">
        <v>212</v>
      </c>
      <c r="D81" s="89" t="s">
        <v>264</v>
      </c>
      <c r="E81" s="90" t="s">
        <v>232</v>
      </c>
      <c r="F81" s="89" t="s">
        <v>253</v>
      </c>
      <c r="G81" s="89" t="s">
        <v>191</v>
      </c>
      <c r="H81" s="89" t="s">
        <v>11</v>
      </c>
      <c r="I81" s="89" t="s">
        <v>171</v>
      </c>
      <c r="J81" s="90" t="s">
        <v>192</v>
      </c>
      <c r="K81" s="91">
        <v>1.2</v>
      </c>
      <c r="L81" s="91">
        <f t="shared" si="10"/>
        <v>0.92307692307692313</v>
      </c>
      <c r="M81" s="92">
        <f>prodnorm17</f>
        <v>0</v>
      </c>
      <c r="N81" s="89" t="s">
        <v>104</v>
      </c>
      <c r="O81" s="17">
        <f>uurtarief17</f>
        <v>0</v>
      </c>
      <c r="P81" s="91" t="e">
        <f t="shared" si="11"/>
        <v>#DIV/0!</v>
      </c>
      <c r="Q81" s="17" t="e">
        <f t="shared" si="12"/>
        <v>#DIV/0!</v>
      </c>
      <c r="R81" s="91" t="e">
        <f t="shared" si="13"/>
        <v>#DIV/0!</v>
      </c>
      <c r="S81" s="18" t="e">
        <f t="shared" si="14"/>
        <v>#DIV/0!</v>
      </c>
    </row>
    <row r="82" spans="1:19" ht="25.5" x14ac:dyDescent="0.2">
      <c r="A82" s="88" t="s">
        <v>275</v>
      </c>
      <c r="B82" s="89" t="s">
        <v>39</v>
      </c>
      <c r="C82" s="89" t="s">
        <v>212</v>
      </c>
      <c r="D82" s="89" t="s">
        <v>265</v>
      </c>
      <c r="E82" s="90" t="s">
        <v>225</v>
      </c>
      <c r="F82" s="89" t="s">
        <v>228</v>
      </c>
      <c r="G82" s="89" t="s">
        <v>195</v>
      </c>
      <c r="H82" s="89" t="s">
        <v>11</v>
      </c>
      <c r="I82" s="89" t="s">
        <v>171</v>
      </c>
      <c r="J82" s="90" t="s">
        <v>196</v>
      </c>
      <c r="K82" s="91">
        <v>5</v>
      </c>
      <c r="L82" s="91">
        <f t="shared" si="10"/>
        <v>3.8461538461538463</v>
      </c>
      <c r="M82" s="92">
        <f>prodnorm20</f>
        <v>0</v>
      </c>
      <c r="N82" s="89" t="s">
        <v>104</v>
      </c>
      <c r="O82" s="17">
        <f>uurtarief20</f>
        <v>0</v>
      </c>
      <c r="P82" s="91" t="e">
        <f t="shared" si="11"/>
        <v>#DIV/0!</v>
      </c>
      <c r="Q82" s="17" t="e">
        <f t="shared" si="12"/>
        <v>#DIV/0!</v>
      </c>
      <c r="R82" s="91" t="e">
        <f t="shared" si="13"/>
        <v>#DIV/0!</v>
      </c>
      <c r="S82" s="18" t="e">
        <f t="shared" si="14"/>
        <v>#DIV/0!</v>
      </c>
    </row>
    <row r="83" spans="1:19" x14ac:dyDescent="0.2">
      <c r="A83" s="88" t="s">
        <v>275</v>
      </c>
      <c r="B83" s="89" t="s">
        <v>39</v>
      </c>
      <c r="C83" s="89" t="s">
        <v>212</v>
      </c>
      <c r="D83" s="89" t="s">
        <v>266</v>
      </c>
      <c r="E83" s="90" t="s">
        <v>232</v>
      </c>
      <c r="F83" s="89" t="s">
        <v>253</v>
      </c>
      <c r="G83" s="89" t="s">
        <v>191</v>
      </c>
      <c r="H83" s="89" t="s">
        <v>11</v>
      </c>
      <c r="I83" s="89" t="s">
        <v>171</v>
      </c>
      <c r="J83" s="90" t="s">
        <v>192</v>
      </c>
      <c r="K83" s="91">
        <v>8</v>
      </c>
      <c r="L83" s="91">
        <f t="shared" si="10"/>
        <v>6.1538461538461542</v>
      </c>
      <c r="M83" s="92">
        <f>prodnorm17</f>
        <v>0</v>
      </c>
      <c r="N83" s="89" t="s">
        <v>104</v>
      </c>
      <c r="O83" s="17">
        <f>uurtarief17</f>
        <v>0</v>
      </c>
      <c r="P83" s="91" t="e">
        <f t="shared" si="11"/>
        <v>#DIV/0!</v>
      </c>
      <c r="Q83" s="17" t="e">
        <f t="shared" si="12"/>
        <v>#DIV/0!</v>
      </c>
      <c r="R83" s="91" t="e">
        <f t="shared" si="13"/>
        <v>#DIV/0!</v>
      </c>
      <c r="S83" s="18" t="e">
        <f t="shared" si="14"/>
        <v>#DIV/0!</v>
      </c>
    </row>
    <row r="84" spans="1:19" x14ac:dyDescent="0.2">
      <c r="A84" s="88" t="s">
        <v>275</v>
      </c>
      <c r="B84" s="89" t="s">
        <v>39</v>
      </c>
      <c r="C84" s="89" t="s">
        <v>212</v>
      </c>
      <c r="D84" s="89" t="s">
        <v>267</v>
      </c>
      <c r="E84" s="90" t="s">
        <v>232</v>
      </c>
      <c r="F84" s="89" t="s">
        <v>253</v>
      </c>
      <c r="G84" s="89" t="s">
        <v>191</v>
      </c>
      <c r="H84" s="89" t="s">
        <v>11</v>
      </c>
      <c r="I84" s="89" t="s">
        <v>171</v>
      </c>
      <c r="J84" s="90" t="s">
        <v>192</v>
      </c>
      <c r="K84" s="91">
        <v>8</v>
      </c>
      <c r="L84" s="91">
        <f t="shared" si="10"/>
        <v>6.1538461538461542</v>
      </c>
      <c r="M84" s="92">
        <f>prodnorm17</f>
        <v>0</v>
      </c>
      <c r="N84" s="89" t="s">
        <v>104</v>
      </c>
      <c r="O84" s="17">
        <f>uurtarief17</f>
        <v>0</v>
      </c>
      <c r="P84" s="91" t="e">
        <f t="shared" si="11"/>
        <v>#DIV/0!</v>
      </c>
      <c r="Q84" s="17" t="e">
        <f t="shared" si="12"/>
        <v>#DIV/0!</v>
      </c>
      <c r="R84" s="91" t="e">
        <f t="shared" si="13"/>
        <v>#DIV/0!</v>
      </c>
      <c r="S84" s="18" t="e">
        <f t="shared" si="14"/>
        <v>#DIV/0!</v>
      </c>
    </row>
    <row r="85" spans="1:19" x14ac:dyDescent="0.2">
      <c r="A85" s="88" t="s">
        <v>275</v>
      </c>
      <c r="B85" s="89" t="s">
        <v>39</v>
      </c>
      <c r="C85" s="89" t="s">
        <v>212</v>
      </c>
      <c r="D85" s="89" t="s">
        <v>281</v>
      </c>
      <c r="E85" s="90" t="s">
        <v>238</v>
      </c>
      <c r="F85" s="89" t="s">
        <v>254</v>
      </c>
      <c r="G85" s="89" t="s">
        <v>183</v>
      </c>
      <c r="H85" s="89" t="s">
        <v>11</v>
      </c>
      <c r="I85" s="89" t="s">
        <v>171</v>
      </c>
      <c r="J85" s="90" t="s">
        <v>184</v>
      </c>
      <c r="K85" s="91">
        <v>55</v>
      </c>
      <c r="L85" s="91">
        <f t="shared" si="10"/>
        <v>42.307692307692307</v>
      </c>
      <c r="M85" s="92">
        <f>prodnorm11</f>
        <v>0</v>
      </c>
      <c r="N85" s="89" t="s">
        <v>104</v>
      </c>
      <c r="O85" s="17">
        <f>uurtarief11</f>
        <v>0</v>
      </c>
      <c r="P85" s="91" t="e">
        <f t="shared" si="11"/>
        <v>#DIV/0!</v>
      </c>
      <c r="Q85" s="17" t="e">
        <f t="shared" si="12"/>
        <v>#DIV/0!</v>
      </c>
      <c r="R85" s="91" t="e">
        <f t="shared" si="13"/>
        <v>#DIV/0!</v>
      </c>
      <c r="S85" s="18" t="e">
        <f t="shared" si="14"/>
        <v>#DIV/0!</v>
      </c>
    </row>
    <row r="86" spans="1:19" x14ac:dyDescent="0.2">
      <c r="A86" s="88" t="s">
        <v>275</v>
      </c>
      <c r="B86" s="89" t="s">
        <v>39</v>
      </c>
      <c r="C86" s="89" t="s">
        <v>212</v>
      </c>
      <c r="D86" s="89" t="s">
        <v>282</v>
      </c>
      <c r="E86" s="90" t="s">
        <v>238</v>
      </c>
      <c r="F86" s="89" t="s">
        <v>254</v>
      </c>
      <c r="G86" s="89" t="s">
        <v>183</v>
      </c>
      <c r="H86" s="89" t="s">
        <v>11</v>
      </c>
      <c r="I86" s="89" t="s">
        <v>171</v>
      </c>
      <c r="J86" s="90" t="s">
        <v>184</v>
      </c>
      <c r="K86" s="91">
        <v>55</v>
      </c>
      <c r="L86" s="91">
        <f t="shared" si="10"/>
        <v>42.307692307692307</v>
      </c>
      <c r="M86" s="92">
        <f>prodnorm11</f>
        <v>0</v>
      </c>
      <c r="N86" s="89" t="s">
        <v>104</v>
      </c>
      <c r="O86" s="17">
        <f>uurtarief11</f>
        <v>0</v>
      </c>
      <c r="P86" s="91" t="e">
        <f t="shared" si="11"/>
        <v>#DIV/0!</v>
      </c>
      <c r="Q86" s="17" t="e">
        <f t="shared" si="12"/>
        <v>#DIV/0!</v>
      </c>
      <c r="R86" s="91" t="e">
        <f t="shared" si="13"/>
        <v>#DIV/0!</v>
      </c>
      <c r="S86" s="18" t="e">
        <f t="shared" si="14"/>
        <v>#DIV/0!</v>
      </c>
    </row>
    <row r="87" spans="1:19" ht="25.5" x14ac:dyDescent="0.2">
      <c r="A87" s="88" t="s">
        <v>275</v>
      </c>
      <c r="B87" s="89" t="s">
        <v>39</v>
      </c>
      <c r="C87" s="89" t="s">
        <v>212</v>
      </c>
      <c r="D87" s="89" t="s">
        <v>283</v>
      </c>
      <c r="E87" s="90" t="s">
        <v>225</v>
      </c>
      <c r="F87" s="89" t="s">
        <v>255</v>
      </c>
      <c r="G87" s="89" t="s">
        <v>195</v>
      </c>
      <c r="H87" s="89" t="s">
        <v>11</v>
      </c>
      <c r="I87" s="89" t="s">
        <v>171</v>
      </c>
      <c r="J87" s="90" t="s">
        <v>196</v>
      </c>
      <c r="K87" s="91">
        <v>42</v>
      </c>
      <c r="L87" s="91">
        <f t="shared" si="10"/>
        <v>32.307692307692307</v>
      </c>
      <c r="M87" s="92">
        <f>prodnorm20</f>
        <v>0</v>
      </c>
      <c r="N87" s="89" t="s">
        <v>104</v>
      </c>
      <c r="O87" s="17">
        <f>uurtarief20</f>
        <v>0</v>
      </c>
      <c r="P87" s="91" t="e">
        <f t="shared" si="11"/>
        <v>#DIV/0!</v>
      </c>
      <c r="Q87" s="17" t="e">
        <f t="shared" si="12"/>
        <v>#DIV/0!</v>
      </c>
      <c r="R87" s="91" t="e">
        <f t="shared" si="13"/>
        <v>#DIV/0!</v>
      </c>
      <c r="S87" s="18" t="e">
        <f t="shared" si="14"/>
        <v>#DIV/0!</v>
      </c>
    </row>
    <row r="88" spans="1:19" x14ac:dyDescent="0.2">
      <c r="A88" s="88" t="s">
        <v>275</v>
      </c>
      <c r="B88" s="89" t="s">
        <v>39</v>
      </c>
      <c r="C88" s="89" t="s">
        <v>212</v>
      </c>
      <c r="D88" s="89" t="s">
        <v>284</v>
      </c>
      <c r="E88" s="90" t="s">
        <v>227</v>
      </c>
      <c r="F88" s="89" t="s">
        <v>228</v>
      </c>
      <c r="G88" s="89" t="s">
        <v>179</v>
      </c>
      <c r="H88" s="89" t="s">
        <v>11</v>
      </c>
      <c r="I88" s="89" t="s">
        <v>171</v>
      </c>
      <c r="J88" s="90" t="s">
        <v>180</v>
      </c>
      <c r="K88" s="91">
        <v>2</v>
      </c>
      <c r="L88" s="91">
        <f t="shared" si="10"/>
        <v>1.5384615384615385</v>
      </c>
      <c r="M88" s="92">
        <f>prodnorm7</f>
        <v>0</v>
      </c>
      <c r="N88" s="89" t="s">
        <v>104</v>
      </c>
      <c r="O88" s="17">
        <f>uurtarief7</f>
        <v>0</v>
      </c>
      <c r="P88" s="91" t="e">
        <f t="shared" si="11"/>
        <v>#DIV/0!</v>
      </c>
      <c r="Q88" s="17" t="e">
        <f t="shared" si="12"/>
        <v>#DIV/0!</v>
      </c>
      <c r="R88" s="91" t="e">
        <f t="shared" si="13"/>
        <v>#DIV/0!</v>
      </c>
      <c r="S88" s="18" t="e">
        <f t="shared" si="14"/>
        <v>#DIV/0!</v>
      </c>
    </row>
    <row r="89" spans="1:19" x14ac:dyDescent="0.2">
      <c r="A89" s="88" t="s">
        <v>275</v>
      </c>
      <c r="B89" s="89" t="s">
        <v>39</v>
      </c>
      <c r="C89" s="89" t="s">
        <v>212</v>
      </c>
      <c r="D89" s="89" t="s">
        <v>285</v>
      </c>
      <c r="E89" s="90" t="s">
        <v>232</v>
      </c>
      <c r="F89" s="89" t="s">
        <v>253</v>
      </c>
      <c r="G89" s="89" t="s">
        <v>191</v>
      </c>
      <c r="H89" s="89" t="s">
        <v>11</v>
      </c>
      <c r="I89" s="89" t="s">
        <v>171</v>
      </c>
      <c r="J89" s="90" t="s">
        <v>192</v>
      </c>
      <c r="K89" s="91">
        <v>8</v>
      </c>
      <c r="L89" s="91">
        <f t="shared" si="10"/>
        <v>6.1538461538461542</v>
      </c>
      <c r="M89" s="92">
        <f>prodnorm17</f>
        <v>0</v>
      </c>
      <c r="N89" s="89" t="s">
        <v>104</v>
      </c>
      <c r="O89" s="17">
        <f>uurtarief17</f>
        <v>0</v>
      </c>
      <c r="P89" s="91" t="e">
        <f t="shared" si="11"/>
        <v>#DIV/0!</v>
      </c>
      <c r="Q89" s="17" t="e">
        <f t="shared" si="12"/>
        <v>#DIV/0!</v>
      </c>
      <c r="R89" s="91" t="e">
        <f t="shared" si="13"/>
        <v>#DIV/0!</v>
      </c>
      <c r="S89" s="18" t="e">
        <f t="shared" si="14"/>
        <v>#DIV/0!</v>
      </c>
    </row>
    <row r="90" spans="1:19" x14ac:dyDescent="0.2">
      <c r="A90" s="88" t="s">
        <v>275</v>
      </c>
      <c r="B90" s="89" t="s">
        <v>39</v>
      </c>
      <c r="C90" s="89" t="s">
        <v>212</v>
      </c>
      <c r="D90" s="89" t="s">
        <v>286</v>
      </c>
      <c r="E90" s="90" t="s">
        <v>238</v>
      </c>
      <c r="F90" s="89" t="s">
        <v>254</v>
      </c>
      <c r="G90" s="89" t="s">
        <v>183</v>
      </c>
      <c r="H90" s="89" t="s">
        <v>11</v>
      </c>
      <c r="I90" s="89" t="s">
        <v>171</v>
      </c>
      <c r="J90" s="90" t="s">
        <v>184</v>
      </c>
      <c r="K90" s="91">
        <v>53</v>
      </c>
      <c r="L90" s="91">
        <f t="shared" si="10"/>
        <v>40.769230769230774</v>
      </c>
      <c r="M90" s="92">
        <f>prodnorm11</f>
        <v>0</v>
      </c>
      <c r="N90" s="89" t="s">
        <v>104</v>
      </c>
      <c r="O90" s="17">
        <f>uurtarief11</f>
        <v>0</v>
      </c>
      <c r="P90" s="91" t="e">
        <f t="shared" si="11"/>
        <v>#DIV/0!</v>
      </c>
      <c r="Q90" s="17" t="e">
        <f t="shared" si="12"/>
        <v>#DIV/0!</v>
      </c>
      <c r="R90" s="91" t="e">
        <f t="shared" si="13"/>
        <v>#DIV/0!</v>
      </c>
      <c r="S90" s="18" t="e">
        <f t="shared" si="14"/>
        <v>#DIV/0!</v>
      </c>
    </row>
    <row r="91" spans="1:19" x14ac:dyDescent="0.2">
      <c r="A91" s="88" t="s">
        <v>275</v>
      </c>
      <c r="B91" s="89" t="s">
        <v>39</v>
      </c>
      <c r="C91" s="89" t="s">
        <v>212</v>
      </c>
      <c r="D91" s="89" t="s">
        <v>287</v>
      </c>
      <c r="E91" s="90" t="s">
        <v>238</v>
      </c>
      <c r="F91" s="89" t="s">
        <v>254</v>
      </c>
      <c r="G91" s="89" t="s">
        <v>183</v>
      </c>
      <c r="H91" s="89" t="s">
        <v>11</v>
      </c>
      <c r="I91" s="89" t="s">
        <v>171</v>
      </c>
      <c r="J91" s="90" t="s">
        <v>184</v>
      </c>
      <c r="K91" s="91">
        <v>61</v>
      </c>
      <c r="L91" s="91">
        <f t="shared" si="10"/>
        <v>46.923076923076927</v>
      </c>
      <c r="M91" s="92">
        <f>prodnorm11</f>
        <v>0</v>
      </c>
      <c r="N91" s="89" t="s">
        <v>104</v>
      </c>
      <c r="O91" s="17">
        <f>uurtarief11</f>
        <v>0</v>
      </c>
      <c r="P91" s="91" t="e">
        <f t="shared" si="11"/>
        <v>#DIV/0!</v>
      </c>
      <c r="Q91" s="17" t="e">
        <f t="shared" si="12"/>
        <v>#DIV/0!</v>
      </c>
      <c r="R91" s="91" t="e">
        <f t="shared" si="13"/>
        <v>#DIV/0!</v>
      </c>
      <c r="S91" s="18" t="e">
        <f t="shared" si="14"/>
        <v>#DIV/0!</v>
      </c>
    </row>
    <row r="92" spans="1:19" x14ac:dyDescent="0.2">
      <c r="A92" s="88" t="s">
        <v>275</v>
      </c>
      <c r="B92" s="89" t="s">
        <v>288</v>
      </c>
      <c r="C92" s="89" t="s">
        <v>212</v>
      </c>
      <c r="D92" s="89" t="s">
        <v>289</v>
      </c>
      <c r="E92" s="90" t="s">
        <v>238</v>
      </c>
      <c r="F92" s="89" t="s">
        <v>228</v>
      </c>
      <c r="G92" s="89" t="s">
        <v>185</v>
      </c>
      <c r="H92" s="89" t="s">
        <v>11</v>
      </c>
      <c r="I92" s="89" t="s">
        <v>171</v>
      </c>
      <c r="J92" s="90" t="s">
        <v>186</v>
      </c>
      <c r="K92" s="91">
        <v>49.790000000000006</v>
      </c>
      <c r="L92" s="91">
        <f t="shared" si="10"/>
        <v>38.300000000000004</v>
      </c>
      <c r="M92" s="92">
        <f>prodnorm14</f>
        <v>0</v>
      </c>
      <c r="N92" s="89" t="s">
        <v>104</v>
      </c>
      <c r="O92" s="17">
        <f>uurtarief14</f>
        <v>0</v>
      </c>
      <c r="P92" s="91" t="e">
        <f t="shared" si="11"/>
        <v>#DIV/0!</v>
      </c>
      <c r="Q92" s="17" t="e">
        <f t="shared" si="12"/>
        <v>#DIV/0!</v>
      </c>
      <c r="R92" s="91" t="e">
        <f t="shared" si="13"/>
        <v>#DIV/0!</v>
      </c>
      <c r="S92" s="18" t="e">
        <f t="shared" si="14"/>
        <v>#DIV/0!</v>
      </c>
    </row>
    <row r="93" spans="1:19" x14ac:dyDescent="0.2">
      <c r="A93" s="88" t="s">
        <v>275</v>
      </c>
      <c r="B93" s="89" t="s">
        <v>288</v>
      </c>
      <c r="C93" s="89" t="s">
        <v>212</v>
      </c>
      <c r="D93" s="89" t="s">
        <v>290</v>
      </c>
      <c r="E93" s="90" t="s">
        <v>238</v>
      </c>
      <c r="F93" s="89" t="s">
        <v>254</v>
      </c>
      <c r="G93" s="89" t="s">
        <v>183</v>
      </c>
      <c r="H93" s="89" t="s">
        <v>11</v>
      </c>
      <c r="I93" s="89" t="s">
        <v>171</v>
      </c>
      <c r="J93" s="90" t="s">
        <v>184</v>
      </c>
      <c r="K93" s="91">
        <v>34.200000000000003</v>
      </c>
      <c r="L93" s="91">
        <f t="shared" si="10"/>
        <v>26.30769230769231</v>
      </c>
      <c r="M93" s="92">
        <f>prodnorm11</f>
        <v>0</v>
      </c>
      <c r="N93" s="89" t="s">
        <v>104</v>
      </c>
      <c r="O93" s="17">
        <f>uurtarief11</f>
        <v>0</v>
      </c>
      <c r="P93" s="91" t="e">
        <f t="shared" si="11"/>
        <v>#DIV/0!</v>
      </c>
      <c r="Q93" s="17" t="e">
        <f t="shared" si="12"/>
        <v>#DIV/0!</v>
      </c>
      <c r="R93" s="91" t="e">
        <f t="shared" si="13"/>
        <v>#DIV/0!</v>
      </c>
      <c r="S93" s="18" t="e">
        <f t="shared" si="14"/>
        <v>#DIV/0!</v>
      </c>
    </row>
    <row r="94" spans="1:19" x14ac:dyDescent="0.2">
      <c r="A94" s="88" t="s">
        <v>275</v>
      </c>
      <c r="B94" s="89" t="s">
        <v>288</v>
      </c>
      <c r="C94" s="89" t="s">
        <v>212</v>
      </c>
      <c r="D94" s="89" t="s">
        <v>291</v>
      </c>
      <c r="E94" s="90" t="s">
        <v>238</v>
      </c>
      <c r="F94" s="89" t="s">
        <v>228</v>
      </c>
      <c r="G94" s="89" t="s">
        <v>183</v>
      </c>
      <c r="H94" s="89" t="s">
        <v>11</v>
      </c>
      <c r="I94" s="89" t="s">
        <v>171</v>
      </c>
      <c r="J94" s="90" t="s">
        <v>184</v>
      </c>
      <c r="K94" s="91">
        <v>49.790000000000006</v>
      </c>
      <c r="L94" s="91">
        <f t="shared" si="10"/>
        <v>38.300000000000004</v>
      </c>
      <c r="M94" s="92">
        <f>prodnorm11</f>
        <v>0</v>
      </c>
      <c r="N94" s="89" t="s">
        <v>104</v>
      </c>
      <c r="O94" s="17">
        <f>uurtarief11</f>
        <v>0</v>
      </c>
      <c r="P94" s="91" t="e">
        <f t="shared" si="11"/>
        <v>#DIV/0!</v>
      </c>
      <c r="Q94" s="17" t="e">
        <f t="shared" si="12"/>
        <v>#DIV/0!</v>
      </c>
      <c r="R94" s="91" t="e">
        <f t="shared" si="13"/>
        <v>#DIV/0!</v>
      </c>
      <c r="S94" s="18" t="e">
        <f t="shared" si="14"/>
        <v>#DIV/0!</v>
      </c>
    </row>
    <row r="95" spans="1:19" x14ac:dyDescent="0.2">
      <c r="A95" s="88" t="s">
        <v>275</v>
      </c>
      <c r="B95" s="89" t="s">
        <v>288</v>
      </c>
      <c r="C95" s="89" t="s">
        <v>212</v>
      </c>
      <c r="D95" s="89" t="s">
        <v>292</v>
      </c>
      <c r="E95" s="90" t="s">
        <v>232</v>
      </c>
      <c r="F95" s="89" t="s">
        <v>254</v>
      </c>
      <c r="G95" s="89" t="s">
        <v>191</v>
      </c>
      <c r="H95" s="89" t="s">
        <v>11</v>
      </c>
      <c r="I95" s="89" t="s">
        <v>171</v>
      </c>
      <c r="J95" s="90" t="s">
        <v>192</v>
      </c>
      <c r="K95" s="91">
        <v>3.32</v>
      </c>
      <c r="L95" s="91">
        <f t="shared" si="10"/>
        <v>2.5538461538461537</v>
      </c>
      <c r="M95" s="92">
        <f>prodnorm17</f>
        <v>0</v>
      </c>
      <c r="N95" s="89" t="s">
        <v>104</v>
      </c>
      <c r="O95" s="17">
        <f>uurtarief17</f>
        <v>0</v>
      </c>
      <c r="P95" s="91" t="e">
        <f t="shared" si="11"/>
        <v>#DIV/0!</v>
      </c>
      <c r="Q95" s="17" t="e">
        <f t="shared" si="12"/>
        <v>#DIV/0!</v>
      </c>
      <c r="R95" s="91" t="e">
        <f t="shared" si="13"/>
        <v>#DIV/0!</v>
      </c>
      <c r="S95" s="18" t="e">
        <f t="shared" si="14"/>
        <v>#DIV/0!</v>
      </c>
    </row>
    <row r="96" spans="1:19" ht="25.5" x14ac:dyDescent="0.2">
      <c r="A96" s="93" t="s">
        <v>275</v>
      </c>
      <c r="B96" s="94" t="s">
        <v>288</v>
      </c>
      <c r="C96" s="94" t="s">
        <v>212</v>
      </c>
      <c r="D96" s="94" t="s">
        <v>293</v>
      </c>
      <c r="E96" s="95" t="s">
        <v>225</v>
      </c>
      <c r="F96" s="94" t="s">
        <v>254</v>
      </c>
      <c r="G96" s="94" t="s">
        <v>195</v>
      </c>
      <c r="H96" s="94" t="s">
        <v>11</v>
      </c>
      <c r="I96" s="94" t="s">
        <v>171</v>
      </c>
      <c r="J96" s="95" t="s">
        <v>196</v>
      </c>
      <c r="K96" s="96">
        <v>11.62</v>
      </c>
      <c r="L96" s="96">
        <f t="shared" si="10"/>
        <v>8.9384615384615387</v>
      </c>
      <c r="M96" s="97">
        <f>prodnorm20</f>
        <v>0</v>
      </c>
      <c r="N96" s="94" t="s">
        <v>104</v>
      </c>
      <c r="O96" s="26">
        <f>uurtarief20</f>
        <v>0</v>
      </c>
      <c r="P96" s="96" t="e">
        <f t="shared" si="11"/>
        <v>#DIV/0!</v>
      </c>
      <c r="Q96" s="26" t="e">
        <f t="shared" si="12"/>
        <v>#DIV/0!</v>
      </c>
      <c r="R96" s="96" t="e">
        <f t="shared" si="13"/>
        <v>#DIV/0!</v>
      </c>
      <c r="S96" s="27" t="e">
        <f t="shared" si="14"/>
        <v>#DIV/0!</v>
      </c>
    </row>
    <row r="97" spans="1:19" x14ac:dyDescent="0.2">
      <c r="A97" s="98" t="s">
        <v>250</v>
      </c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8" t="e">
        <f>IF(_xlfn.SINGLE(object3_urenjaar1)&gt;0,_xlfn.SINGLE(object3_prijsjaar1)/_xlfn.SINGLE(object3_urenjaar1),0)</f>
        <v>#DIV/0!</v>
      </c>
      <c r="P97" s="67" t="e">
        <f>SUM(P58:P96)</f>
        <v>#DIV/0!</v>
      </c>
      <c r="Q97" s="68" t="e">
        <f>SUM(Q58:Q96)</f>
        <v>#DIV/0!</v>
      </c>
      <c r="R97" s="67" t="e">
        <f>SUM(R58:R96)</f>
        <v>#DIV/0!</v>
      </c>
      <c r="S97" s="69" t="e">
        <f>SUM(S58:S96)</f>
        <v>#DIV/0!</v>
      </c>
    </row>
    <row r="98" spans="1:19" x14ac:dyDescent="0.2">
      <c r="A98" s="74" t="s">
        <v>294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64"/>
    </row>
    <row r="99" spans="1:19" x14ac:dyDescent="0.2">
      <c r="A99" s="81" t="s">
        <v>295</v>
      </c>
      <c r="B99" s="82" t="s">
        <v>39</v>
      </c>
      <c r="C99" s="82" t="s">
        <v>212</v>
      </c>
      <c r="D99" s="82" t="s">
        <v>213</v>
      </c>
      <c r="E99" s="83" t="s">
        <v>296</v>
      </c>
      <c r="F99" s="82" t="s">
        <v>254</v>
      </c>
      <c r="G99" s="82" t="s">
        <v>183</v>
      </c>
      <c r="H99" s="82" t="s">
        <v>11</v>
      </c>
      <c r="I99" s="82" t="s">
        <v>171</v>
      </c>
      <c r="J99" s="83" t="s">
        <v>184</v>
      </c>
      <c r="K99" s="84">
        <v>56.2</v>
      </c>
      <c r="L99" s="84">
        <f t="shared" ref="L99:L105" si="15">K99*VLOOKUP(H99,dagsoorttabel1,2,FALSE)</f>
        <v>43.230769230769234</v>
      </c>
      <c r="M99" s="85">
        <f>prodnorm11</f>
        <v>0</v>
      </c>
      <c r="N99" s="82" t="s">
        <v>104</v>
      </c>
      <c r="O99" s="86">
        <f>uurtarief11</f>
        <v>0</v>
      </c>
      <c r="P99" s="84" t="e">
        <f t="shared" ref="P99:P105" si="16">IF(ISBLANK(M99),0,L99/ROUND(M99,4))</f>
        <v>#DIV/0!</v>
      </c>
      <c r="Q99" s="86" t="e">
        <f t="shared" ref="Q99:Q105" si="17">ROUND(O99,2)*P99</f>
        <v>#DIV/0!</v>
      </c>
      <c r="R99" s="84" t="e">
        <f t="shared" ref="R99:R105" si="18">P99*dagenperjaar1</f>
        <v>#DIV/0!</v>
      </c>
      <c r="S99" s="87" t="e">
        <f t="shared" ref="S99:S105" si="19">R99*ROUND(O99,2)</f>
        <v>#DIV/0!</v>
      </c>
    </row>
    <row r="100" spans="1:19" x14ac:dyDescent="0.2">
      <c r="A100" s="88" t="s">
        <v>295</v>
      </c>
      <c r="B100" s="89" t="s">
        <v>39</v>
      </c>
      <c r="C100" s="89" t="s">
        <v>212</v>
      </c>
      <c r="D100" s="89" t="s">
        <v>276</v>
      </c>
      <c r="E100" s="90" t="s">
        <v>296</v>
      </c>
      <c r="F100" s="89" t="s">
        <v>254</v>
      </c>
      <c r="G100" s="89" t="s">
        <v>183</v>
      </c>
      <c r="H100" s="89" t="s">
        <v>11</v>
      </c>
      <c r="I100" s="89" t="s">
        <v>171</v>
      </c>
      <c r="J100" s="90" t="s">
        <v>184</v>
      </c>
      <c r="K100" s="91">
        <v>56.2</v>
      </c>
      <c r="L100" s="91">
        <f t="shared" si="15"/>
        <v>43.230769230769234</v>
      </c>
      <c r="M100" s="92">
        <f>prodnorm11</f>
        <v>0</v>
      </c>
      <c r="N100" s="89" t="s">
        <v>104</v>
      </c>
      <c r="O100" s="17">
        <f>uurtarief11</f>
        <v>0</v>
      </c>
      <c r="P100" s="91" t="e">
        <f t="shared" si="16"/>
        <v>#DIV/0!</v>
      </c>
      <c r="Q100" s="17" t="e">
        <f t="shared" si="17"/>
        <v>#DIV/0!</v>
      </c>
      <c r="R100" s="91" t="e">
        <f t="shared" si="18"/>
        <v>#DIV/0!</v>
      </c>
      <c r="S100" s="18" t="e">
        <f t="shared" si="19"/>
        <v>#DIV/0!</v>
      </c>
    </row>
    <row r="101" spans="1:19" x14ac:dyDescent="0.2">
      <c r="A101" s="88" t="s">
        <v>295</v>
      </c>
      <c r="B101" s="89" t="s">
        <v>39</v>
      </c>
      <c r="C101" s="89" t="s">
        <v>212</v>
      </c>
      <c r="D101" s="89" t="s">
        <v>216</v>
      </c>
      <c r="E101" s="90" t="s">
        <v>296</v>
      </c>
      <c r="F101" s="89" t="s">
        <v>254</v>
      </c>
      <c r="G101" s="89" t="s">
        <v>183</v>
      </c>
      <c r="H101" s="89" t="s">
        <v>11</v>
      </c>
      <c r="I101" s="89" t="s">
        <v>171</v>
      </c>
      <c r="J101" s="90" t="s">
        <v>184</v>
      </c>
      <c r="K101" s="91">
        <v>56.2</v>
      </c>
      <c r="L101" s="91">
        <f t="shared" si="15"/>
        <v>43.230769230769234</v>
      </c>
      <c r="M101" s="92">
        <f>prodnorm11</f>
        <v>0</v>
      </c>
      <c r="N101" s="89" t="s">
        <v>104</v>
      </c>
      <c r="O101" s="17">
        <f>uurtarief11</f>
        <v>0</v>
      </c>
      <c r="P101" s="91" t="e">
        <f t="shared" si="16"/>
        <v>#DIV/0!</v>
      </c>
      <c r="Q101" s="17" t="e">
        <f t="shared" si="17"/>
        <v>#DIV/0!</v>
      </c>
      <c r="R101" s="91" t="e">
        <f t="shared" si="18"/>
        <v>#DIV/0!</v>
      </c>
      <c r="S101" s="18" t="e">
        <f t="shared" si="19"/>
        <v>#DIV/0!</v>
      </c>
    </row>
    <row r="102" spans="1:19" ht="25.5" x14ac:dyDescent="0.2">
      <c r="A102" s="88" t="s">
        <v>295</v>
      </c>
      <c r="B102" s="89" t="s">
        <v>39</v>
      </c>
      <c r="C102" s="89" t="s">
        <v>212</v>
      </c>
      <c r="D102" s="89" t="s">
        <v>219</v>
      </c>
      <c r="E102" s="90" t="s">
        <v>297</v>
      </c>
      <c r="F102" s="89" t="s">
        <v>254</v>
      </c>
      <c r="G102" s="89" t="s">
        <v>195</v>
      </c>
      <c r="H102" s="89" t="s">
        <v>11</v>
      </c>
      <c r="I102" s="89" t="s">
        <v>171</v>
      </c>
      <c r="J102" s="90" t="s">
        <v>196</v>
      </c>
      <c r="K102" s="91">
        <v>75.099999999999994</v>
      </c>
      <c r="L102" s="91">
        <f t="shared" si="15"/>
        <v>57.769230769230766</v>
      </c>
      <c r="M102" s="92">
        <f>prodnorm20</f>
        <v>0</v>
      </c>
      <c r="N102" s="89" t="s">
        <v>104</v>
      </c>
      <c r="O102" s="17">
        <f>uurtarief20</f>
        <v>0</v>
      </c>
      <c r="P102" s="91" t="e">
        <f t="shared" si="16"/>
        <v>#DIV/0!</v>
      </c>
      <c r="Q102" s="17" t="e">
        <f t="shared" si="17"/>
        <v>#DIV/0!</v>
      </c>
      <c r="R102" s="91" t="e">
        <f t="shared" si="18"/>
        <v>#DIV/0!</v>
      </c>
      <c r="S102" s="18" t="e">
        <f t="shared" si="19"/>
        <v>#DIV/0!</v>
      </c>
    </row>
    <row r="103" spans="1:19" ht="25.5" x14ac:dyDescent="0.2">
      <c r="A103" s="88" t="s">
        <v>295</v>
      </c>
      <c r="B103" s="89" t="s">
        <v>39</v>
      </c>
      <c r="C103" s="89" t="s">
        <v>212</v>
      </c>
      <c r="D103" s="89" t="s">
        <v>223</v>
      </c>
      <c r="E103" s="90" t="s">
        <v>297</v>
      </c>
      <c r="F103" s="89" t="s">
        <v>254</v>
      </c>
      <c r="G103" s="89" t="s">
        <v>195</v>
      </c>
      <c r="H103" s="89" t="s">
        <v>11</v>
      </c>
      <c r="I103" s="89" t="s">
        <v>171</v>
      </c>
      <c r="J103" s="90" t="s">
        <v>196</v>
      </c>
      <c r="K103" s="91">
        <v>35.299999999999997</v>
      </c>
      <c r="L103" s="91">
        <f t="shared" si="15"/>
        <v>27.153846153846153</v>
      </c>
      <c r="M103" s="92">
        <f>prodnorm20</f>
        <v>0</v>
      </c>
      <c r="N103" s="89" t="s">
        <v>104</v>
      </c>
      <c r="O103" s="17">
        <f>uurtarief20</f>
        <v>0</v>
      </c>
      <c r="P103" s="91" t="e">
        <f t="shared" si="16"/>
        <v>#DIV/0!</v>
      </c>
      <c r="Q103" s="17" t="e">
        <f t="shared" si="17"/>
        <v>#DIV/0!</v>
      </c>
      <c r="R103" s="91" t="e">
        <f t="shared" si="18"/>
        <v>#DIV/0!</v>
      </c>
      <c r="S103" s="18" t="e">
        <f t="shared" si="19"/>
        <v>#DIV/0!</v>
      </c>
    </row>
    <row r="104" spans="1:19" x14ac:dyDescent="0.2">
      <c r="A104" s="88" t="s">
        <v>295</v>
      </c>
      <c r="B104" s="89" t="s">
        <v>39</v>
      </c>
      <c r="C104" s="89" t="s">
        <v>212</v>
      </c>
      <c r="D104" s="89" t="s">
        <v>224</v>
      </c>
      <c r="E104" s="90" t="s">
        <v>298</v>
      </c>
      <c r="F104" s="89" t="s">
        <v>259</v>
      </c>
      <c r="G104" s="89" t="s">
        <v>179</v>
      </c>
      <c r="H104" s="89" t="s">
        <v>11</v>
      </c>
      <c r="I104" s="89" t="s">
        <v>171</v>
      </c>
      <c r="J104" s="90" t="s">
        <v>180</v>
      </c>
      <c r="K104" s="91">
        <v>8.25</v>
      </c>
      <c r="L104" s="91">
        <f t="shared" si="15"/>
        <v>6.3461538461538467</v>
      </c>
      <c r="M104" s="92">
        <f>prodnorm7</f>
        <v>0</v>
      </c>
      <c r="N104" s="89" t="s">
        <v>104</v>
      </c>
      <c r="O104" s="17">
        <f>uurtarief7</f>
        <v>0</v>
      </c>
      <c r="P104" s="91" t="e">
        <f t="shared" si="16"/>
        <v>#DIV/0!</v>
      </c>
      <c r="Q104" s="17" t="e">
        <f t="shared" si="17"/>
        <v>#DIV/0!</v>
      </c>
      <c r="R104" s="91" t="e">
        <f t="shared" si="18"/>
        <v>#DIV/0!</v>
      </c>
      <c r="S104" s="18" t="e">
        <f t="shared" si="19"/>
        <v>#DIV/0!</v>
      </c>
    </row>
    <row r="105" spans="1:19" x14ac:dyDescent="0.2">
      <c r="A105" s="88" t="s">
        <v>295</v>
      </c>
      <c r="B105" s="89" t="s">
        <v>39</v>
      </c>
      <c r="C105" s="89" t="s">
        <v>212</v>
      </c>
      <c r="D105" s="89" t="s">
        <v>226</v>
      </c>
      <c r="E105" s="90" t="s">
        <v>299</v>
      </c>
      <c r="F105" s="89" t="s">
        <v>300</v>
      </c>
      <c r="G105" s="89" t="s">
        <v>191</v>
      </c>
      <c r="H105" s="89" t="s">
        <v>11</v>
      </c>
      <c r="I105" s="89" t="s">
        <v>171</v>
      </c>
      <c r="J105" s="90" t="s">
        <v>192</v>
      </c>
      <c r="K105" s="91">
        <v>9.6</v>
      </c>
      <c r="L105" s="91">
        <f t="shared" si="15"/>
        <v>7.384615384615385</v>
      </c>
      <c r="M105" s="92">
        <f>prodnorm17</f>
        <v>0</v>
      </c>
      <c r="N105" s="89" t="s">
        <v>104</v>
      </c>
      <c r="O105" s="17">
        <f>uurtarief17</f>
        <v>0</v>
      </c>
      <c r="P105" s="91" t="e">
        <f t="shared" si="16"/>
        <v>#DIV/0!</v>
      </c>
      <c r="Q105" s="17" t="e">
        <f t="shared" si="17"/>
        <v>#DIV/0!</v>
      </c>
      <c r="R105" s="91" t="e">
        <f t="shared" si="18"/>
        <v>#DIV/0!</v>
      </c>
      <c r="S105" s="18" t="e">
        <f t="shared" si="19"/>
        <v>#DIV/0!</v>
      </c>
    </row>
    <row r="106" spans="1:19" x14ac:dyDescent="0.2">
      <c r="A106" s="88" t="s">
        <v>295</v>
      </c>
      <c r="B106" s="89" t="s">
        <v>39</v>
      </c>
      <c r="C106" s="89" t="s">
        <v>212</v>
      </c>
      <c r="D106" s="89" t="s">
        <v>229</v>
      </c>
      <c r="E106" s="90" t="s">
        <v>301</v>
      </c>
      <c r="F106" s="89" t="s">
        <v>254</v>
      </c>
      <c r="G106" s="89" t="s">
        <v>302</v>
      </c>
      <c r="H106" s="89"/>
      <c r="I106" s="89"/>
      <c r="J106" s="89"/>
      <c r="K106" s="91">
        <v>8.6999999999999993</v>
      </c>
      <c r="L106" s="91"/>
      <c r="M106" s="92"/>
      <c r="N106" s="89"/>
      <c r="O106" s="17"/>
      <c r="P106" s="91"/>
      <c r="Q106" s="17"/>
      <c r="R106" s="99"/>
      <c r="S106" s="18"/>
    </row>
    <row r="107" spans="1:19" x14ac:dyDescent="0.2">
      <c r="A107" s="88" t="s">
        <v>295</v>
      </c>
      <c r="B107" s="89" t="s">
        <v>39</v>
      </c>
      <c r="C107" s="89" t="s">
        <v>212</v>
      </c>
      <c r="D107" s="89" t="s">
        <v>231</v>
      </c>
      <c r="E107" s="90" t="s">
        <v>296</v>
      </c>
      <c r="F107" s="89" t="s">
        <v>254</v>
      </c>
      <c r="G107" s="89" t="s">
        <v>183</v>
      </c>
      <c r="H107" s="89" t="s">
        <v>11</v>
      </c>
      <c r="I107" s="89" t="s">
        <v>171</v>
      </c>
      <c r="J107" s="90" t="s">
        <v>184</v>
      </c>
      <c r="K107" s="91">
        <v>56.2</v>
      </c>
      <c r="L107" s="91">
        <f t="shared" ref="L107:L124" si="20">K107*VLOOKUP(H107,dagsoorttabel1,2,FALSE)</f>
        <v>43.230769230769234</v>
      </c>
      <c r="M107" s="92">
        <f>prodnorm11</f>
        <v>0</v>
      </c>
      <c r="N107" s="89" t="s">
        <v>104</v>
      </c>
      <c r="O107" s="17">
        <f>uurtarief11</f>
        <v>0</v>
      </c>
      <c r="P107" s="91" t="e">
        <f t="shared" ref="P107:P124" si="21">IF(ISBLANK(M107),0,L107/ROUND(M107,4))</f>
        <v>#DIV/0!</v>
      </c>
      <c r="Q107" s="17" t="e">
        <f t="shared" ref="Q107:Q124" si="22">ROUND(O107,2)*P107</f>
        <v>#DIV/0!</v>
      </c>
      <c r="R107" s="91" t="e">
        <f t="shared" ref="R107:R124" si="23">P107*dagenperjaar1</f>
        <v>#DIV/0!</v>
      </c>
      <c r="S107" s="18" t="e">
        <f t="shared" ref="S107:S124" si="24">R107*ROUND(O107,2)</f>
        <v>#DIV/0!</v>
      </c>
    </row>
    <row r="108" spans="1:19" x14ac:dyDescent="0.2">
      <c r="A108" s="88" t="s">
        <v>295</v>
      </c>
      <c r="B108" s="89" t="s">
        <v>39</v>
      </c>
      <c r="C108" s="89" t="s">
        <v>212</v>
      </c>
      <c r="D108" s="89" t="s">
        <v>233</v>
      </c>
      <c r="E108" s="90" t="s">
        <v>303</v>
      </c>
      <c r="F108" s="89" t="s">
        <v>300</v>
      </c>
      <c r="G108" s="89" t="s">
        <v>191</v>
      </c>
      <c r="H108" s="89" t="s">
        <v>11</v>
      </c>
      <c r="I108" s="89" t="s">
        <v>171</v>
      </c>
      <c r="J108" s="90" t="s">
        <v>192</v>
      </c>
      <c r="K108" s="91">
        <v>1.4</v>
      </c>
      <c r="L108" s="91">
        <f t="shared" si="20"/>
        <v>1.0769230769230769</v>
      </c>
      <c r="M108" s="92">
        <f>prodnorm17</f>
        <v>0</v>
      </c>
      <c r="N108" s="89" t="s">
        <v>104</v>
      </c>
      <c r="O108" s="17">
        <f>uurtarief17</f>
        <v>0</v>
      </c>
      <c r="P108" s="91" t="e">
        <f t="shared" si="21"/>
        <v>#DIV/0!</v>
      </c>
      <c r="Q108" s="17" t="e">
        <f t="shared" si="22"/>
        <v>#DIV/0!</v>
      </c>
      <c r="R108" s="91" t="e">
        <f t="shared" si="23"/>
        <v>#DIV/0!</v>
      </c>
      <c r="S108" s="18" t="e">
        <f t="shared" si="24"/>
        <v>#DIV/0!</v>
      </c>
    </row>
    <row r="109" spans="1:19" ht="25.5" x14ac:dyDescent="0.2">
      <c r="A109" s="88" t="s">
        <v>295</v>
      </c>
      <c r="B109" s="89" t="s">
        <v>39</v>
      </c>
      <c r="C109" s="89" t="s">
        <v>212</v>
      </c>
      <c r="D109" s="89" t="s">
        <v>235</v>
      </c>
      <c r="E109" s="90" t="s">
        <v>297</v>
      </c>
      <c r="F109" s="89" t="s">
        <v>254</v>
      </c>
      <c r="G109" s="89" t="s">
        <v>195</v>
      </c>
      <c r="H109" s="89" t="s">
        <v>11</v>
      </c>
      <c r="I109" s="89" t="s">
        <v>171</v>
      </c>
      <c r="J109" s="90" t="s">
        <v>196</v>
      </c>
      <c r="K109" s="91">
        <v>31.150000000000002</v>
      </c>
      <c r="L109" s="91">
        <f t="shared" si="20"/>
        <v>23.961538461538463</v>
      </c>
      <c r="M109" s="92">
        <f>prodnorm20</f>
        <v>0</v>
      </c>
      <c r="N109" s="89" t="s">
        <v>104</v>
      </c>
      <c r="O109" s="17">
        <f>uurtarief20</f>
        <v>0</v>
      </c>
      <c r="P109" s="91" t="e">
        <f t="shared" si="21"/>
        <v>#DIV/0!</v>
      </c>
      <c r="Q109" s="17" t="e">
        <f t="shared" si="22"/>
        <v>#DIV/0!</v>
      </c>
      <c r="R109" s="91" t="e">
        <f t="shared" si="23"/>
        <v>#DIV/0!</v>
      </c>
      <c r="S109" s="18" t="e">
        <f t="shared" si="24"/>
        <v>#DIV/0!</v>
      </c>
    </row>
    <row r="110" spans="1:19" x14ac:dyDescent="0.2">
      <c r="A110" s="88" t="s">
        <v>295</v>
      </c>
      <c r="B110" s="89" t="s">
        <v>39</v>
      </c>
      <c r="C110" s="89" t="s">
        <v>212</v>
      </c>
      <c r="D110" s="89" t="s">
        <v>236</v>
      </c>
      <c r="E110" s="90" t="s">
        <v>299</v>
      </c>
      <c r="F110" s="89" t="s">
        <v>300</v>
      </c>
      <c r="G110" s="89" t="s">
        <v>191</v>
      </c>
      <c r="H110" s="89" t="s">
        <v>11</v>
      </c>
      <c r="I110" s="89" t="s">
        <v>171</v>
      </c>
      <c r="J110" s="90" t="s">
        <v>192</v>
      </c>
      <c r="K110" s="91">
        <v>6.9</v>
      </c>
      <c r="L110" s="91">
        <f t="shared" si="20"/>
        <v>5.3076923076923084</v>
      </c>
      <c r="M110" s="92">
        <f>prodnorm17</f>
        <v>0</v>
      </c>
      <c r="N110" s="89" t="s">
        <v>104</v>
      </c>
      <c r="O110" s="17">
        <f>uurtarief17</f>
        <v>0</v>
      </c>
      <c r="P110" s="91" t="e">
        <f t="shared" si="21"/>
        <v>#DIV/0!</v>
      </c>
      <c r="Q110" s="17" t="e">
        <f t="shared" si="22"/>
        <v>#DIV/0!</v>
      </c>
      <c r="R110" s="91" t="e">
        <f t="shared" si="23"/>
        <v>#DIV/0!</v>
      </c>
      <c r="S110" s="18" t="e">
        <f t="shared" si="24"/>
        <v>#DIV/0!</v>
      </c>
    </row>
    <row r="111" spans="1:19" x14ac:dyDescent="0.2">
      <c r="A111" s="88" t="s">
        <v>295</v>
      </c>
      <c r="B111" s="89" t="s">
        <v>39</v>
      </c>
      <c r="C111" s="89" t="s">
        <v>212</v>
      </c>
      <c r="D111" s="89" t="s">
        <v>237</v>
      </c>
      <c r="E111" s="90" t="s">
        <v>299</v>
      </c>
      <c r="F111" s="89" t="s">
        <v>300</v>
      </c>
      <c r="G111" s="89" t="s">
        <v>191</v>
      </c>
      <c r="H111" s="89" t="s">
        <v>11</v>
      </c>
      <c r="I111" s="89" t="s">
        <v>171</v>
      </c>
      <c r="J111" s="90" t="s">
        <v>192</v>
      </c>
      <c r="K111" s="91">
        <v>6.9</v>
      </c>
      <c r="L111" s="91">
        <f t="shared" si="20"/>
        <v>5.3076923076923084</v>
      </c>
      <c r="M111" s="92">
        <f>prodnorm17</f>
        <v>0</v>
      </c>
      <c r="N111" s="89" t="s">
        <v>104</v>
      </c>
      <c r="O111" s="17">
        <f>uurtarief17</f>
        <v>0</v>
      </c>
      <c r="P111" s="91" t="e">
        <f t="shared" si="21"/>
        <v>#DIV/0!</v>
      </c>
      <c r="Q111" s="17" t="e">
        <f t="shared" si="22"/>
        <v>#DIV/0!</v>
      </c>
      <c r="R111" s="91" t="e">
        <f t="shared" si="23"/>
        <v>#DIV/0!</v>
      </c>
      <c r="S111" s="18" t="e">
        <f t="shared" si="24"/>
        <v>#DIV/0!</v>
      </c>
    </row>
    <row r="112" spans="1:19" x14ac:dyDescent="0.2">
      <c r="A112" s="88" t="s">
        <v>295</v>
      </c>
      <c r="B112" s="89" t="s">
        <v>39</v>
      </c>
      <c r="C112" s="89" t="s">
        <v>212</v>
      </c>
      <c r="D112" s="89" t="s">
        <v>239</v>
      </c>
      <c r="E112" s="90" t="s">
        <v>298</v>
      </c>
      <c r="F112" s="89" t="s">
        <v>259</v>
      </c>
      <c r="G112" s="89" t="s">
        <v>179</v>
      </c>
      <c r="H112" s="89" t="s">
        <v>11</v>
      </c>
      <c r="I112" s="89" t="s">
        <v>171</v>
      </c>
      <c r="J112" s="90" t="s">
        <v>180</v>
      </c>
      <c r="K112" s="91">
        <v>8.25</v>
      </c>
      <c r="L112" s="91">
        <f t="shared" si="20"/>
        <v>6.3461538461538467</v>
      </c>
      <c r="M112" s="92">
        <f>prodnorm7</f>
        <v>0</v>
      </c>
      <c r="N112" s="89" t="s">
        <v>104</v>
      </c>
      <c r="O112" s="17">
        <f>uurtarief7</f>
        <v>0</v>
      </c>
      <c r="P112" s="91" t="e">
        <f t="shared" si="21"/>
        <v>#DIV/0!</v>
      </c>
      <c r="Q112" s="17" t="e">
        <f t="shared" si="22"/>
        <v>#DIV/0!</v>
      </c>
      <c r="R112" s="91" t="e">
        <f t="shared" si="23"/>
        <v>#DIV/0!</v>
      </c>
      <c r="S112" s="18" t="e">
        <f t="shared" si="24"/>
        <v>#DIV/0!</v>
      </c>
    </row>
    <row r="113" spans="1:19" ht="25.5" x14ac:dyDescent="0.2">
      <c r="A113" s="88" t="s">
        <v>295</v>
      </c>
      <c r="B113" s="89" t="s">
        <v>39</v>
      </c>
      <c r="C113" s="89" t="s">
        <v>212</v>
      </c>
      <c r="D113" s="89" t="s">
        <v>240</v>
      </c>
      <c r="E113" s="90" t="s">
        <v>304</v>
      </c>
      <c r="F113" s="89" t="s">
        <v>215</v>
      </c>
      <c r="G113" s="89" t="s">
        <v>181</v>
      </c>
      <c r="H113" s="89" t="s">
        <v>11</v>
      </c>
      <c r="I113" s="89" t="s">
        <v>171</v>
      </c>
      <c r="J113" s="90" t="s">
        <v>182</v>
      </c>
      <c r="K113" s="91">
        <v>78</v>
      </c>
      <c r="L113" s="91">
        <f t="shared" si="20"/>
        <v>60</v>
      </c>
      <c r="M113" s="92">
        <f>prodnorm8</f>
        <v>0</v>
      </c>
      <c r="N113" s="89" t="s">
        <v>104</v>
      </c>
      <c r="O113" s="17">
        <f>uurtarief8</f>
        <v>0</v>
      </c>
      <c r="P113" s="91" t="e">
        <f t="shared" si="21"/>
        <v>#DIV/0!</v>
      </c>
      <c r="Q113" s="17" t="e">
        <f t="shared" si="22"/>
        <v>#DIV/0!</v>
      </c>
      <c r="R113" s="91" t="e">
        <f t="shared" si="23"/>
        <v>#DIV/0!</v>
      </c>
      <c r="S113" s="18" t="e">
        <f t="shared" si="24"/>
        <v>#DIV/0!</v>
      </c>
    </row>
    <row r="114" spans="1:19" ht="25.5" x14ac:dyDescent="0.2">
      <c r="A114" s="88" t="s">
        <v>295</v>
      </c>
      <c r="B114" s="89" t="s">
        <v>39</v>
      </c>
      <c r="C114" s="89" t="s">
        <v>212</v>
      </c>
      <c r="D114" s="89" t="s">
        <v>305</v>
      </c>
      <c r="E114" s="90" t="s">
        <v>306</v>
      </c>
      <c r="F114" s="89" t="s">
        <v>254</v>
      </c>
      <c r="G114" s="89" t="s">
        <v>181</v>
      </c>
      <c r="H114" s="89" t="s">
        <v>17</v>
      </c>
      <c r="I114" s="89" t="s">
        <v>171</v>
      </c>
      <c r="J114" s="90" t="s">
        <v>182</v>
      </c>
      <c r="K114" s="91">
        <v>8.18</v>
      </c>
      <c r="L114" s="91">
        <f t="shared" si="20"/>
        <v>1.2584615384615385</v>
      </c>
      <c r="M114" s="92">
        <f>prodnorm9</f>
        <v>0</v>
      </c>
      <c r="N114" s="89" t="s">
        <v>104</v>
      </c>
      <c r="O114" s="17">
        <f>uurtarief9</f>
        <v>0</v>
      </c>
      <c r="P114" s="91" t="e">
        <f t="shared" si="21"/>
        <v>#DIV/0!</v>
      </c>
      <c r="Q114" s="17" t="e">
        <f t="shared" si="22"/>
        <v>#DIV/0!</v>
      </c>
      <c r="R114" s="91" t="e">
        <f t="shared" si="23"/>
        <v>#DIV/0!</v>
      </c>
      <c r="S114" s="18" t="e">
        <f t="shared" si="24"/>
        <v>#DIV/0!</v>
      </c>
    </row>
    <row r="115" spans="1:19" x14ac:dyDescent="0.2">
      <c r="A115" s="88" t="s">
        <v>295</v>
      </c>
      <c r="B115" s="89" t="s">
        <v>39</v>
      </c>
      <c r="C115" s="89" t="s">
        <v>212</v>
      </c>
      <c r="D115" s="89" t="s">
        <v>241</v>
      </c>
      <c r="E115" s="90" t="s">
        <v>307</v>
      </c>
      <c r="F115" s="89" t="s">
        <v>254</v>
      </c>
      <c r="G115" s="89" t="s">
        <v>170</v>
      </c>
      <c r="H115" s="89" t="s">
        <v>11</v>
      </c>
      <c r="I115" s="89" t="s">
        <v>171</v>
      </c>
      <c r="J115" s="90" t="s">
        <v>172</v>
      </c>
      <c r="K115" s="91">
        <v>115.23</v>
      </c>
      <c r="L115" s="91">
        <f t="shared" si="20"/>
        <v>88.638461538461542</v>
      </c>
      <c r="M115" s="92">
        <f>prodnorm2</f>
        <v>0</v>
      </c>
      <c r="N115" s="89" t="s">
        <v>104</v>
      </c>
      <c r="O115" s="17">
        <f>uurtarief2</f>
        <v>0</v>
      </c>
      <c r="P115" s="91" t="e">
        <f t="shared" si="21"/>
        <v>#DIV/0!</v>
      </c>
      <c r="Q115" s="17" t="e">
        <f t="shared" si="22"/>
        <v>#DIV/0!</v>
      </c>
      <c r="R115" s="91" t="e">
        <f t="shared" si="23"/>
        <v>#DIV/0!</v>
      </c>
      <c r="S115" s="18" t="e">
        <f t="shared" si="24"/>
        <v>#DIV/0!</v>
      </c>
    </row>
    <row r="116" spans="1:19" ht="25.5" x14ac:dyDescent="0.2">
      <c r="A116" s="88" t="s">
        <v>295</v>
      </c>
      <c r="B116" s="89" t="s">
        <v>39</v>
      </c>
      <c r="C116" s="89" t="s">
        <v>212</v>
      </c>
      <c r="D116" s="89" t="s">
        <v>242</v>
      </c>
      <c r="E116" s="90" t="s">
        <v>308</v>
      </c>
      <c r="F116" s="89" t="s">
        <v>309</v>
      </c>
      <c r="G116" s="89" t="s">
        <v>195</v>
      </c>
      <c r="H116" s="89" t="s">
        <v>11</v>
      </c>
      <c r="I116" s="89" t="s">
        <v>171</v>
      </c>
      <c r="J116" s="90" t="s">
        <v>196</v>
      </c>
      <c r="K116" s="91">
        <v>16.150000000000002</v>
      </c>
      <c r="L116" s="91">
        <f t="shared" si="20"/>
        <v>12.423076923076925</v>
      </c>
      <c r="M116" s="92">
        <f>prodnorm20</f>
        <v>0</v>
      </c>
      <c r="N116" s="89" t="s">
        <v>104</v>
      </c>
      <c r="O116" s="17">
        <f>uurtarief20</f>
        <v>0</v>
      </c>
      <c r="P116" s="91" t="e">
        <f t="shared" si="21"/>
        <v>#DIV/0!</v>
      </c>
      <c r="Q116" s="17" t="e">
        <f t="shared" si="22"/>
        <v>#DIV/0!</v>
      </c>
      <c r="R116" s="91" t="e">
        <f t="shared" si="23"/>
        <v>#DIV/0!</v>
      </c>
      <c r="S116" s="18" t="e">
        <f t="shared" si="24"/>
        <v>#DIV/0!</v>
      </c>
    </row>
    <row r="117" spans="1:19" x14ac:dyDescent="0.2">
      <c r="A117" s="88" t="s">
        <v>295</v>
      </c>
      <c r="B117" s="89" t="s">
        <v>39</v>
      </c>
      <c r="C117" s="89" t="s">
        <v>212</v>
      </c>
      <c r="D117" s="89" t="s">
        <v>243</v>
      </c>
      <c r="E117" s="90" t="s">
        <v>310</v>
      </c>
      <c r="F117" s="89" t="s">
        <v>254</v>
      </c>
      <c r="G117" s="89" t="s">
        <v>187</v>
      </c>
      <c r="H117" s="89" t="s">
        <v>11</v>
      </c>
      <c r="I117" s="89" t="s">
        <v>171</v>
      </c>
      <c r="J117" s="90" t="s">
        <v>188</v>
      </c>
      <c r="K117" s="91">
        <v>16.399999999999999</v>
      </c>
      <c r="L117" s="91">
        <f t="shared" si="20"/>
        <v>12.615384615384615</v>
      </c>
      <c r="M117" s="92">
        <f>prodnorm15</f>
        <v>0</v>
      </c>
      <c r="N117" s="89" t="s">
        <v>104</v>
      </c>
      <c r="O117" s="17">
        <f>uurtarief15</f>
        <v>0</v>
      </c>
      <c r="P117" s="91" t="e">
        <f t="shared" si="21"/>
        <v>#DIV/0!</v>
      </c>
      <c r="Q117" s="17" t="e">
        <f t="shared" si="22"/>
        <v>#DIV/0!</v>
      </c>
      <c r="R117" s="91" t="e">
        <f t="shared" si="23"/>
        <v>#DIV/0!</v>
      </c>
      <c r="S117" s="18" t="e">
        <f t="shared" si="24"/>
        <v>#DIV/0!</v>
      </c>
    </row>
    <row r="118" spans="1:19" ht="25.5" x14ac:dyDescent="0.2">
      <c r="A118" s="88" t="s">
        <v>295</v>
      </c>
      <c r="B118" s="89" t="s">
        <v>39</v>
      </c>
      <c r="C118" s="89" t="s">
        <v>212</v>
      </c>
      <c r="D118" s="89" t="s">
        <v>245</v>
      </c>
      <c r="E118" s="90" t="s">
        <v>311</v>
      </c>
      <c r="F118" s="89" t="s">
        <v>254</v>
      </c>
      <c r="G118" s="89" t="s">
        <v>173</v>
      </c>
      <c r="H118" s="89" t="s">
        <v>11</v>
      </c>
      <c r="I118" s="89" t="s">
        <v>171</v>
      </c>
      <c r="J118" s="90" t="s">
        <v>174</v>
      </c>
      <c r="K118" s="91">
        <v>32.6</v>
      </c>
      <c r="L118" s="91">
        <f t="shared" si="20"/>
        <v>25.07692307692308</v>
      </c>
      <c r="M118" s="92">
        <f>prodnorm3</f>
        <v>0</v>
      </c>
      <c r="N118" s="89" t="s">
        <v>104</v>
      </c>
      <c r="O118" s="17">
        <f>uurtarief3</f>
        <v>0</v>
      </c>
      <c r="P118" s="91" t="e">
        <f t="shared" si="21"/>
        <v>#DIV/0!</v>
      </c>
      <c r="Q118" s="17" t="e">
        <f t="shared" si="22"/>
        <v>#DIV/0!</v>
      </c>
      <c r="R118" s="91" t="e">
        <f t="shared" si="23"/>
        <v>#DIV/0!</v>
      </c>
      <c r="S118" s="18" t="e">
        <f t="shared" si="24"/>
        <v>#DIV/0!</v>
      </c>
    </row>
    <row r="119" spans="1:19" ht="25.5" x14ac:dyDescent="0.2">
      <c r="A119" s="88" t="s">
        <v>295</v>
      </c>
      <c r="B119" s="89" t="s">
        <v>39</v>
      </c>
      <c r="C119" s="89" t="s">
        <v>212</v>
      </c>
      <c r="D119" s="89" t="s">
        <v>246</v>
      </c>
      <c r="E119" s="90" t="s">
        <v>312</v>
      </c>
      <c r="F119" s="89" t="s">
        <v>254</v>
      </c>
      <c r="G119" s="89" t="s">
        <v>173</v>
      </c>
      <c r="H119" s="89" t="s">
        <v>11</v>
      </c>
      <c r="I119" s="89" t="s">
        <v>171</v>
      </c>
      <c r="J119" s="90" t="s">
        <v>174</v>
      </c>
      <c r="K119" s="91">
        <v>14.53</v>
      </c>
      <c r="L119" s="91">
        <f t="shared" si="20"/>
        <v>11.176923076923076</v>
      </c>
      <c r="M119" s="92">
        <f>prodnorm3</f>
        <v>0</v>
      </c>
      <c r="N119" s="89" t="s">
        <v>104</v>
      </c>
      <c r="O119" s="17">
        <f>uurtarief3</f>
        <v>0</v>
      </c>
      <c r="P119" s="91" t="e">
        <f t="shared" si="21"/>
        <v>#DIV/0!</v>
      </c>
      <c r="Q119" s="17" t="e">
        <f t="shared" si="22"/>
        <v>#DIV/0!</v>
      </c>
      <c r="R119" s="91" t="e">
        <f t="shared" si="23"/>
        <v>#DIV/0!</v>
      </c>
      <c r="S119" s="18" t="e">
        <f t="shared" si="24"/>
        <v>#DIV/0!</v>
      </c>
    </row>
    <row r="120" spans="1:19" ht="25.5" x14ac:dyDescent="0.2">
      <c r="A120" s="88" t="s">
        <v>295</v>
      </c>
      <c r="B120" s="89" t="s">
        <v>39</v>
      </c>
      <c r="C120" s="89" t="s">
        <v>212</v>
      </c>
      <c r="D120" s="89" t="s">
        <v>261</v>
      </c>
      <c r="E120" s="90" t="s">
        <v>297</v>
      </c>
      <c r="F120" s="89" t="s">
        <v>254</v>
      </c>
      <c r="G120" s="89" t="s">
        <v>195</v>
      </c>
      <c r="H120" s="89" t="s">
        <v>11</v>
      </c>
      <c r="I120" s="89" t="s">
        <v>171</v>
      </c>
      <c r="J120" s="90" t="s">
        <v>196</v>
      </c>
      <c r="K120" s="91">
        <v>5.3</v>
      </c>
      <c r="L120" s="91">
        <f t="shared" si="20"/>
        <v>4.0769230769230766</v>
      </c>
      <c r="M120" s="92">
        <f>prodnorm20</f>
        <v>0</v>
      </c>
      <c r="N120" s="89" t="s">
        <v>104</v>
      </c>
      <c r="O120" s="17">
        <f>uurtarief20</f>
        <v>0</v>
      </c>
      <c r="P120" s="91" t="e">
        <f t="shared" si="21"/>
        <v>#DIV/0!</v>
      </c>
      <c r="Q120" s="17" t="e">
        <f t="shared" si="22"/>
        <v>#DIV/0!</v>
      </c>
      <c r="R120" s="91" t="e">
        <f t="shared" si="23"/>
        <v>#DIV/0!</v>
      </c>
      <c r="S120" s="18" t="e">
        <f t="shared" si="24"/>
        <v>#DIV/0!</v>
      </c>
    </row>
    <row r="121" spans="1:19" x14ac:dyDescent="0.2">
      <c r="A121" s="88" t="s">
        <v>295</v>
      </c>
      <c r="B121" s="89" t="s">
        <v>39</v>
      </c>
      <c r="C121" s="89" t="s">
        <v>212</v>
      </c>
      <c r="D121" s="89" t="s">
        <v>248</v>
      </c>
      <c r="E121" s="90" t="s">
        <v>298</v>
      </c>
      <c r="F121" s="89" t="s">
        <v>259</v>
      </c>
      <c r="G121" s="89" t="s">
        <v>179</v>
      </c>
      <c r="H121" s="89" t="s">
        <v>11</v>
      </c>
      <c r="I121" s="89" t="s">
        <v>171</v>
      </c>
      <c r="J121" s="90" t="s">
        <v>180</v>
      </c>
      <c r="K121" s="91">
        <v>8.25</v>
      </c>
      <c r="L121" s="91">
        <f t="shared" si="20"/>
        <v>6.3461538461538467</v>
      </c>
      <c r="M121" s="92">
        <f>prodnorm7</f>
        <v>0</v>
      </c>
      <c r="N121" s="89" t="s">
        <v>104</v>
      </c>
      <c r="O121" s="17">
        <f>uurtarief7</f>
        <v>0</v>
      </c>
      <c r="P121" s="91" t="e">
        <f t="shared" si="21"/>
        <v>#DIV/0!</v>
      </c>
      <c r="Q121" s="17" t="e">
        <f t="shared" si="22"/>
        <v>#DIV/0!</v>
      </c>
      <c r="R121" s="91" t="e">
        <f t="shared" si="23"/>
        <v>#DIV/0!</v>
      </c>
      <c r="S121" s="18" t="e">
        <f t="shared" si="24"/>
        <v>#DIV/0!</v>
      </c>
    </row>
    <row r="122" spans="1:19" ht="25.5" x14ac:dyDescent="0.2">
      <c r="A122" s="88" t="s">
        <v>295</v>
      </c>
      <c r="B122" s="89" t="s">
        <v>39</v>
      </c>
      <c r="C122" s="89" t="s">
        <v>212</v>
      </c>
      <c r="D122" s="89" t="s">
        <v>263</v>
      </c>
      <c r="E122" s="90" t="s">
        <v>297</v>
      </c>
      <c r="F122" s="89" t="s">
        <v>254</v>
      </c>
      <c r="G122" s="89" t="s">
        <v>195</v>
      </c>
      <c r="H122" s="89" t="s">
        <v>11</v>
      </c>
      <c r="I122" s="89" t="s">
        <v>171</v>
      </c>
      <c r="J122" s="90" t="s">
        <v>196</v>
      </c>
      <c r="K122" s="91">
        <v>36.11</v>
      </c>
      <c r="L122" s="91">
        <f t="shared" si="20"/>
        <v>27.776923076923079</v>
      </c>
      <c r="M122" s="92">
        <f>prodnorm20</f>
        <v>0</v>
      </c>
      <c r="N122" s="89" t="s">
        <v>104</v>
      </c>
      <c r="O122" s="17">
        <f>uurtarief20</f>
        <v>0</v>
      </c>
      <c r="P122" s="91" t="e">
        <f t="shared" si="21"/>
        <v>#DIV/0!</v>
      </c>
      <c r="Q122" s="17" t="e">
        <f t="shared" si="22"/>
        <v>#DIV/0!</v>
      </c>
      <c r="R122" s="91" t="e">
        <f t="shared" si="23"/>
        <v>#DIV/0!</v>
      </c>
      <c r="S122" s="18" t="e">
        <f t="shared" si="24"/>
        <v>#DIV/0!</v>
      </c>
    </row>
    <row r="123" spans="1:19" x14ac:dyDescent="0.2">
      <c r="A123" s="88" t="s">
        <v>295</v>
      </c>
      <c r="B123" s="89" t="s">
        <v>39</v>
      </c>
      <c r="C123" s="89" t="s">
        <v>212</v>
      </c>
      <c r="D123" s="89" t="s">
        <v>264</v>
      </c>
      <c r="E123" s="90" t="s">
        <v>296</v>
      </c>
      <c r="F123" s="89" t="s">
        <v>254</v>
      </c>
      <c r="G123" s="89" t="s">
        <v>183</v>
      </c>
      <c r="H123" s="89" t="s">
        <v>11</v>
      </c>
      <c r="I123" s="89" t="s">
        <v>171</v>
      </c>
      <c r="J123" s="90" t="s">
        <v>184</v>
      </c>
      <c r="K123" s="91">
        <v>70.53</v>
      </c>
      <c r="L123" s="91">
        <f t="shared" si="20"/>
        <v>54.253846153846155</v>
      </c>
      <c r="M123" s="92">
        <f>prodnorm11</f>
        <v>0</v>
      </c>
      <c r="N123" s="89" t="s">
        <v>104</v>
      </c>
      <c r="O123" s="17">
        <f>uurtarief11</f>
        <v>0</v>
      </c>
      <c r="P123" s="91" t="e">
        <f t="shared" si="21"/>
        <v>#DIV/0!</v>
      </c>
      <c r="Q123" s="17" t="e">
        <f t="shared" si="22"/>
        <v>#DIV/0!</v>
      </c>
      <c r="R123" s="91" t="e">
        <f t="shared" si="23"/>
        <v>#DIV/0!</v>
      </c>
      <c r="S123" s="18" t="e">
        <f t="shared" si="24"/>
        <v>#DIV/0!</v>
      </c>
    </row>
    <row r="124" spans="1:19" x14ac:dyDescent="0.2">
      <c r="A124" s="88" t="s">
        <v>295</v>
      </c>
      <c r="B124" s="89" t="s">
        <v>39</v>
      </c>
      <c r="C124" s="89" t="s">
        <v>212</v>
      </c>
      <c r="D124" s="89" t="s">
        <v>265</v>
      </c>
      <c r="E124" s="90" t="s">
        <v>303</v>
      </c>
      <c r="F124" s="89" t="s">
        <v>300</v>
      </c>
      <c r="G124" s="89" t="s">
        <v>191</v>
      </c>
      <c r="H124" s="89" t="s">
        <v>11</v>
      </c>
      <c r="I124" s="89" t="s">
        <v>171</v>
      </c>
      <c r="J124" s="90" t="s">
        <v>192</v>
      </c>
      <c r="K124" s="91">
        <v>4</v>
      </c>
      <c r="L124" s="91">
        <f t="shared" si="20"/>
        <v>3.0769230769230771</v>
      </c>
      <c r="M124" s="92">
        <f>prodnorm17</f>
        <v>0</v>
      </c>
      <c r="N124" s="89" t="s">
        <v>104</v>
      </c>
      <c r="O124" s="17">
        <f>uurtarief17</f>
        <v>0</v>
      </c>
      <c r="P124" s="91" t="e">
        <f t="shared" si="21"/>
        <v>#DIV/0!</v>
      </c>
      <c r="Q124" s="17" t="e">
        <f t="shared" si="22"/>
        <v>#DIV/0!</v>
      </c>
      <c r="R124" s="91" t="e">
        <f t="shared" si="23"/>
        <v>#DIV/0!</v>
      </c>
      <c r="S124" s="18" t="e">
        <f t="shared" si="24"/>
        <v>#DIV/0!</v>
      </c>
    </row>
    <row r="125" spans="1:19" x14ac:dyDescent="0.2">
      <c r="A125" s="88" t="s">
        <v>295</v>
      </c>
      <c r="B125" s="89" t="s">
        <v>39</v>
      </c>
      <c r="C125" s="89" t="s">
        <v>212</v>
      </c>
      <c r="D125" s="89" t="s">
        <v>266</v>
      </c>
      <c r="E125" s="90" t="s">
        <v>301</v>
      </c>
      <c r="F125" s="89" t="s">
        <v>254</v>
      </c>
      <c r="G125" s="89" t="s">
        <v>302</v>
      </c>
      <c r="H125" s="89"/>
      <c r="I125" s="89"/>
      <c r="J125" s="89"/>
      <c r="K125" s="91">
        <v>17.8</v>
      </c>
      <c r="L125" s="91"/>
      <c r="M125" s="92"/>
      <c r="N125" s="89"/>
      <c r="O125" s="17"/>
      <c r="P125" s="91"/>
      <c r="Q125" s="17"/>
      <c r="R125" s="99"/>
      <c r="S125" s="18"/>
    </row>
    <row r="126" spans="1:19" x14ac:dyDescent="0.2">
      <c r="A126" s="88" t="s">
        <v>295</v>
      </c>
      <c r="B126" s="89" t="s">
        <v>39</v>
      </c>
      <c r="C126" s="89" t="s">
        <v>212</v>
      </c>
      <c r="D126" s="89" t="s">
        <v>267</v>
      </c>
      <c r="E126" s="90" t="s">
        <v>299</v>
      </c>
      <c r="F126" s="89" t="s">
        <v>300</v>
      </c>
      <c r="G126" s="89" t="s">
        <v>191</v>
      </c>
      <c r="H126" s="89" t="s">
        <v>11</v>
      </c>
      <c r="I126" s="89" t="s">
        <v>171</v>
      </c>
      <c r="J126" s="90" t="s">
        <v>192</v>
      </c>
      <c r="K126" s="91">
        <v>9.1999999999999993</v>
      </c>
      <c r="L126" s="91">
        <f>K126*VLOOKUP(H126,dagsoorttabel1,2,FALSE)</f>
        <v>7.0769230769230766</v>
      </c>
      <c r="M126" s="92">
        <f>prodnorm17</f>
        <v>0</v>
      </c>
      <c r="N126" s="89" t="s">
        <v>104</v>
      </c>
      <c r="O126" s="17">
        <f>uurtarief17</f>
        <v>0</v>
      </c>
      <c r="P126" s="91" t="e">
        <f>IF(ISBLANK(M126),0,L126/ROUND(M126,4))</f>
        <v>#DIV/0!</v>
      </c>
      <c r="Q126" s="17" t="e">
        <f>ROUND(O126,2)*P126</f>
        <v>#DIV/0!</v>
      </c>
      <c r="R126" s="91" t="e">
        <f>P126*dagenperjaar1</f>
        <v>#DIV/0!</v>
      </c>
      <c r="S126" s="18" t="e">
        <f>R126*ROUND(O126,2)</f>
        <v>#DIV/0!</v>
      </c>
    </row>
    <row r="127" spans="1:19" ht="25.5" x14ac:dyDescent="0.2">
      <c r="A127" s="93" t="s">
        <v>295</v>
      </c>
      <c r="B127" s="94" t="s">
        <v>39</v>
      </c>
      <c r="C127" s="94" t="s">
        <v>212</v>
      </c>
      <c r="D127" s="94" t="s">
        <v>281</v>
      </c>
      <c r="E127" s="95" t="s">
        <v>312</v>
      </c>
      <c r="F127" s="94" t="s">
        <v>228</v>
      </c>
      <c r="G127" s="94" t="s">
        <v>175</v>
      </c>
      <c r="H127" s="94" t="s">
        <v>11</v>
      </c>
      <c r="I127" s="94" t="s">
        <v>171</v>
      </c>
      <c r="J127" s="95" t="s">
        <v>176</v>
      </c>
      <c r="K127" s="96">
        <v>21.9</v>
      </c>
      <c r="L127" s="96">
        <f>K127*VLOOKUP(H127,dagsoorttabel1,2,FALSE)</f>
        <v>16.846153846153847</v>
      </c>
      <c r="M127" s="97">
        <f>prodnorm4</f>
        <v>0</v>
      </c>
      <c r="N127" s="94" t="s">
        <v>104</v>
      </c>
      <c r="O127" s="26">
        <f>uurtarief4</f>
        <v>0</v>
      </c>
      <c r="P127" s="96" t="e">
        <f>IF(ISBLANK(M127),0,L127/ROUND(M127,4))</f>
        <v>#DIV/0!</v>
      </c>
      <c r="Q127" s="26" t="e">
        <f>ROUND(O127,2)*P127</f>
        <v>#DIV/0!</v>
      </c>
      <c r="R127" s="96" t="e">
        <f>P127*dagenperjaar1</f>
        <v>#DIV/0!</v>
      </c>
      <c r="S127" s="27" t="e">
        <f>R127*ROUND(O127,2)</f>
        <v>#DIV/0!</v>
      </c>
    </row>
    <row r="128" spans="1:19" x14ac:dyDescent="0.2">
      <c r="A128" s="98" t="s">
        <v>250</v>
      </c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8" t="e">
        <f>IF(_xlfn.SINGLE(object5_urenjaar1)&gt;0,_xlfn.SINGLE(object5_prijsjaar1)/_xlfn.SINGLE(object5_urenjaar1),0)</f>
        <v>#DIV/0!</v>
      </c>
      <c r="P128" s="67" t="e">
        <f>SUM(P99:P127)</f>
        <v>#DIV/0!</v>
      </c>
      <c r="Q128" s="68" t="e">
        <f>SUM(Q99:Q127)</f>
        <v>#DIV/0!</v>
      </c>
      <c r="R128" s="67" t="e">
        <f>SUM(R99:R127)</f>
        <v>#DIV/0!</v>
      </c>
      <c r="S128" s="69" t="e">
        <f>SUM(S99:S127)</f>
        <v>#DIV/0!</v>
      </c>
    </row>
    <row r="129" spans="1:19" x14ac:dyDescent="0.2">
      <c r="A129" s="74" t="s">
        <v>313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64"/>
    </row>
    <row r="130" spans="1:19" x14ac:dyDescent="0.2">
      <c r="A130" s="81" t="s">
        <v>314</v>
      </c>
      <c r="B130" s="82" t="s">
        <v>39</v>
      </c>
      <c r="C130" s="82" t="s">
        <v>212</v>
      </c>
      <c r="D130" s="82" t="s">
        <v>213</v>
      </c>
      <c r="E130" s="83" t="s">
        <v>296</v>
      </c>
      <c r="F130" s="82" t="s">
        <v>218</v>
      </c>
      <c r="G130" s="82" t="s">
        <v>183</v>
      </c>
      <c r="H130" s="82" t="s">
        <v>11</v>
      </c>
      <c r="I130" s="82" t="s">
        <v>171</v>
      </c>
      <c r="J130" s="83" t="s">
        <v>184</v>
      </c>
      <c r="K130" s="84">
        <v>52.5</v>
      </c>
      <c r="L130" s="84">
        <f t="shared" ref="L130:L156" si="25">K130*VLOOKUP(H130,dagsoorttabel1,2,FALSE)</f>
        <v>40.384615384615387</v>
      </c>
      <c r="M130" s="85">
        <f>prodnorm11</f>
        <v>0</v>
      </c>
      <c r="N130" s="82" t="s">
        <v>104</v>
      </c>
      <c r="O130" s="86">
        <f>uurtarief11</f>
        <v>0</v>
      </c>
      <c r="P130" s="84" t="e">
        <f t="shared" ref="P130:P156" si="26">IF(ISBLANK(M130),0,L130/ROUND(M130,4))</f>
        <v>#DIV/0!</v>
      </c>
      <c r="Q130" s="86" t="e">
        <f t="shared" ref="Q130:Q156" si="27">ROUND(O130,2)*P130</f>
        <v>#DIV/0!</v>
      </c>
      <c r="R130" s="84" t="e">
        <f t="shared" ref="R130:R156" si="28">P130*dagenperjaar1</f>
        <v>#DIV/0!</v>
      </c>
      <c r="S130" s="87" t="e">
        <f t="shared" ref="S130:S156" si="29">R130*ROUND(O130,2)</f>
        <v>#DIV/0!</v>
      </c>
    </row>
    <row r="131" spans="1:19" ht="25.5" x14ac:dyDescent="0.2">
      <c r="A131" s="88" t="s">
        <v>314</v>
      </c>
      <c r="B131" s="89" t="s">
        <v>39</v>
      </c>
      <c r="C131" s="89" t="s">
        <v>212</v>
      </c>
      <c r="D131" s="89" t="s">
        <v>276</v>
      </c>
      <c r="E131" s="90" t="s">
        <v>315</v>
      </c>
      <c r="F131" s="89" t="s">
        <v>228</v>
      </c>
      <c r="G131" s="89" t="s">
        <v>197</v>
      </c>
      <c r="H131" s="89" t="s">
        <v>11</v>
      </c>
      <c r="I131" s="89" t="s">
        <v>171</v>
      </c>
      <c r="J131" s="90" t="s">
        <v>198</v>
      </c>
      <c r="K131" s="91">
        <v>8.2299999999999986</v>
      </c>
      <c r="L131" s="91">
        <f t="shared" si="25"/>
        <v>6.3307692307692305</v>
      </c>
      <c r="M131" s="92">
        <f>prodnorm22</f>
        <v>0</v>
      </c>
      <c r="N131" s="89" t="s">
        <v>104</v>
      </c>
      <c r="O131" s="17">
        <f>uurtarief22</f>
        <v>0</v>
      </c>
      <c r="P131" s="91" t="e">
        <f t="shared" si="26"/>
        <v>#DIV/0!</v>
      </c>
      <c r="Q131" s="17" t="e">
        <f t="shared" si="27"/>
        <v>#DIV/0!</v>
      </c>
      <c r="R131" s="91" t="e">
        <f t="shared" si="28"/>
        <v>#DIV/0!</v>
      </c>
      <c r="S131" s="18" t="e">
        <f t="shared" si="29"/>
        <v>#DIV/0!</v>
      </c>
    </row>
    <row r="132" spans="1:19" x14ac:dyDescent="0.2">
      <c r="A132" s="88" t="s">
        <v>314</v>
      </c>
      <c r="B132" s="89" t="s">
        <v>39</v>
      </c>
      <c r="C132" s="89" t="s">
        <v>212</v>
      </c>
      <c r="D132" s="89" t="s">
        <v>216</v>
      </c>
      <c r="E132" s="90" t="s">
        <v>299</v>
      </c>
      <c r="F132" s="89" t="s">
        <v>254</v>
      </c>
      <c r="G132" s="89" t="s">
        <v>191</v>
      </c>
      <c r="H132" s="89" t="s">
        <v>11</v>
      </c>
      <c r="I132" s="89" t="s">
        <v>171</v>
      </c>
      <c r="J132" s="90" t="s">
        <v>192</v>
      </c>
      <c r="K132" s="91">
        <v>13.25</v>
      </c>
      <c r="L132" s="91">
        <f t="shared" si="25"/>
        <v>10.192307692307693</v>
      </c>
      <c r="M132" s="92">
        <f>prodnorm17</f>
        <v>0</v>
      </c>
      <c r="N132" s="89" t="s">
        <v>104</v>
      </c>
      <c r="O132" s="17">
        <f>uurtarief17</f>
        <v>0</v>
      </c>
      <c r="P132" s="91" t="e">
        <f t="shared" si="26"/>
        <v>#DIV/0!</v>
      </c>
      <c r="Q132" s="17" t="e">
        <f t="shared" si="27"/>
        <v>#DIV/0!</v>
      </c>
      <c r="R132" s="91" t="e">
        <f t="shared" si="28"/>
        <v>#DIV/0!</v>
      </c>
      <c r="S132" s="18" t="e">
        <f t="shared" si="29"/>
        <v>#DIV/0!</v>
      </c>
    </row>
    <row r="133" spans="1:19" ht="25.5" x14ac:dyDescent="0.2">
      <c r="A133" s="88" t="s">
        <v>314</v>
      </c>
      <c r="B133" s="89" t="s">
        <v>39</v>
      </c>
      <c r="C133" s="89" t="s">
        <v>212</v>
      </c>
      <c r="D133" s="89" t="s">
        <v>219</v>
      </c>
      <c r="E133" s="90" t="s">
        <v>297</v>
      </c>
      <c r="F133" s="89" t="s">
        <v>254</v>
      </c>
      <c r="G133" s="89" t="s">
        <v>195</v>
      </c>
      <c r="H133" s="89" t="s">
        <v>11</v>
      </c>
      <c r="I133" s="89" t="s">
        <v>171</v>
      </c>
      <c r="J133" s="90" t="s">
        <v>196</v>
      </c>
      <c r="K133" s="91">
        <v>39.5</v>
      </c>
      <c r="L133" s="91">
        <f t="shared" si="25"/>
        <v>30.384615384615387</v>
      </c>
      <c r="M133" s="92">
        <f>prodnorm20</f>
        <v>0</v>
      </c>
      <c r="N133" s="89" t="s">
        <v>104</v>
      </c>
      <c r="O133" s="17">
        <f>uurtarief20</f>
        <v>0</v>
      </c>
      <c r="P133" s="91" t="e">
        <f t="shared" si="26"/>
        <v>#DIV/0!</v>
      </c>
      <c r="Q133" s="17" t="e">
        <f t="shared" si="27"/>
        <v>#DIV/0!</v>
      </c>
      <c r="R133" s="91" t="e">
        <f t="shared" si="28"/>
        <v>#DIV/0!</v>
      </c>
      <c r="S133" s="18" t="e">
        <f t="shared" si="29"/>
        <v>#DIV/0!</v>
      </c>
    </row>
    <row r="134" spans="1:19" x14ac:dyDescent="0.2">
      <c r="A134" s="88" t="s">
        <v>314</v>
      </c>
      <c r="B134" s="89" t="s">
        <v>39</v>
      </c>
      <c r="C134" s="89" t="s">
        <v>212</v>
      </c>
      <c r="D134" s="89" t="s">
        <v>221</v>
      </c>
      <c r="E134" s="90" t="s">
        <v>296</v>
      </c>
      <c r="F134" s="89" t="s">
        <v>254</v>
      </c>
      <c r="G134" s="89" t="s">
        <v>183</v>
      </c>
      <c r="H134" s="89" t="s">
        <v>11</v>
      </c>
      <c r="I134" s="89" t="s">
        <v>171</v>
      </c>
      <c r="J134" s="90" t="s">
        <v>184</v>
      </c>
      <c r="K134" s="91">
        <v>37.5</v>
      </c>
      <c r="L134" s="91">
        <f t="shared" si="25"/>
        <v>28.846153846153847</v>
      </c>
      <c r="M134" s="92">
        <f>prodnorm11</f>
        <v>0</v>
      </c>
      <c r="N134" s="89" t="s">
        <v>104</v>
      </c>
      <c r="O134" s="17">
        <f>uurtarief11</f>
        <v>0</v>
      </c>
      <c r="P134" s="91" t="e">
        <f t="shared" si="26"/>
        <v>#DIV/0!</v>
      </c>
      <c r="Q134" s="17" t="e">
        <f t="shared" si="27"/>
        <v>#DIV/0!</v>
      </c>
      <c r="R134" s="91" t="e">
        <f t="shared" si="28"/>
        <v>#DIV/0!</v>
      </c>
      <c r="S134" s="18" t="e">
        <f t="shared" si="29"/>
        <v>#DIV/0!</v>
      </c>
    </row>
    <row r="135" spans="1:19" x14ac:dyDescent="0.2">
      <c r="A135" s="88" t="s">
        <v>314</v>
      </c>
      <c r="B135" s="89" t="s">
        <v>39</v>
      </c>
      <c r="C135" s="89" t="s">
        <v>212</v>
      </c>
      <c r="D135" s="89" t="s">
        <v>223</v>
      </c>
      <c r="E135" s="90" t="s">
        <v>296</v>
      </c>
      <c r="F135" s="89" t="s">
        <v>254</v>
      </c>
      <c r="G135" s="89" t="s">
        <v>183</v>
      </c>
      <c r="H135" s="89" t="s">
        <v>11</v>
      </c>
      <c r="I135" s="89" t="s">
        <v>171</v>
      </c>
      <c r="J135" s="90" t="s">
        <v>184</v>
      </c>
      <c r="K135" s="91">
        <v>52.5</v>
      </c>
      <c r="L135" s="91">
        <f t="shared" si="25"/>
        <v>40.384615384615387</v>
      </c>
      <c r="M135" s="92">
        <f>prodnorm11</f>
        <v>0</v>
      </c>
      <c r="N135" s="89" t="s">
        <v>104</v>
      </c>
      <c r="O135" s="17">
        <f>uurtarief11</f>
        <v>0</v>
      </c>
      <c r="P135" s="91" t="e">
        <f t="shared" si="26"/>
        <v>#DIV/0!</v>
      </c>
      <c r="Q135" s="17" t="e">
        <f t="shared" si="27"/>
        <v>#DIV/0!</v>
      </c>
      <c r="R135" s="91" t="e">
        <f t="shared" si="28"/>
        <v>#DIV/0!</v>
      </c>
      <c r="S135" s="18" t="e">
        <f t="shared" si="29"/>
        <v>#DIV/0!</v>
      </c>
    </row>
    <row r="136" spans="1:19" x14ac:dyDescent="0.2">
      <c r="A136" s="88" t="s">
        <v>314</v>
      </c>
      <c r="B136" s="89" t="s">
        <v>39</v>
      </c>
      <c r="C136" s="89" t="s">
        <v>212</v>
      </c>
      <c r="D136" s="89" t="s">
        <v>224</v>
      </c>
      <c r="E136" s="90" t="s">
        <v>298</v>
      </c>
      <c r="F136" s="89" t="s">
        <v>259</v>
      </c>
      <c r="G136" s="89" t="s">
        <v>179</v>
      </c>
      <c r="H136" s="89" t="s">
        <v>11</v>
      </c>
      <c r="I136" s="89" t="s">
        <v>171</v>
      </c>
      <c r="J136" s="90" t="s">
        <v>180</v>
      </c>
      <c r="K136" s="91">
        <v>4.4000000000000004</v>
      </c>
      <c r="L136" s="91">
        <f t="shared" si="25"/>
        <v>3.384615384615385</v>
      </c>
      <c r="M136" s="92">
        <f>prodnorm7</f>
        <v>0</v>
      </c>
      <c r="N136" s="89" t="s">
        <v>104</v>
      </c>
      <c r="O136" s="17">
        <f>uurtarief7</f>
        <v>0</v>
      </c>
      <c r="P136" s="91" t="e">
        <f t="shared" si="26"/>
        <v>#DIV/0!</v>
      </c>
      <c r="Q136" s="17" t="e">
        <f t="shared" si="27"/>
        <v>#DIV/0!</v>
      </c>
      <c r="R136" s="91" t="e">
        <f t="shared" si="28"/>
        <v>#DIV/0!</v>
      </c>
      <c r="S136" s="18" t="e">
        <f t="shared" si="29"/>
        <v>#DIV/0!</v>
      </c>
    </row>
    <row r="137" spans="1:19" ht="25.5" x14ac:dyDescent="0.2">
      <c r="A137" s="88" t="s">
        <v>314</v>
      </c>
      <c r="B137" s="89" t="s">
        <v>39</v>
      </c>
      <c r="C137" s="89" t="s">
        <v>212</v>
      </c>
      <c r="D137" s="89" t="s">
        <v>226</v>
      </c>
      <c r="E137" s="90" t="s">
        <v>297</v>
      </c>
      <c r="F137" s="89" t="s">
        <v>228</v>
      </c>
      <c r="G137" s="89" t="s">
        <v>197</v>
      </c>
      <c r="H137" s="89" t="s">
        <v>11</v>
      </c>
      <c r="I137" s="89" t="s">
        <v>171</v>
      </c>
      <c r="J137" s="90" t="s">
        <v>198</v>
      </c>
      <c r="K137" s="91">
        <v>13.629999999999999</v>
      </c>
      <c r="L137" s="91">
        <f t="shared" si="25"/>
        <v>10.484615384615385</v>
      </c>
      <c r="M137" s="92">
        <f>prodnorm22</f>
        <v>0</v>
      </c>
      <c r="N137" s="89" t="s">
        <v>104</v>
      </c>
      <c r="O137" s="17">
        <f>uurtarief22</f>
        <v>0</v>
      </c>
      <c r="P137" s="91" t="e">
        <f t="shared" si="26"/>
        <v>#DIV/0!</v>
      </c>
      <c r="Q137" s="17" t="e">
        <f t="shared" si="27"/>
        <v>#DIV/0!</v>
      </c>
      <c r="R137" s="91" t="e">
        <f t="shared" si="28"/>
        <v>#DIV/0!</v>
      </c>
      <c r="S137" s="18" t="e">
        <f t="shared" si="29"/>
        <v>#DIV/0!</v>
      </c>
    </row>
    <row r="138" spans="1:19" x14ac:dyDescent="0.2">
      <c r="A138" s="88" t="s">
        <v>314</v>
      </c>
      <c r="B138" s="89" t="s">
        <v>39</v>
      </c>
      <c r="C138" s="89" t="s">
        <v>212</v>
      </c>
      <c r="D138" s="89" t="s">
        <v>229</v>
      </c>
      <c r="E138" s="90" t="s">
        <v>316</v>
      </c>
      <c r="F138" s="89" t="s">
        <v>309</v>
      </c>
      <c r="G138" s="89" t="s">
        <v>193</v>
      </c>
      <c r="H138" s="89" t="s">
        <v>11</v>
      </c>
      <c r="I138" s="89" t="s">
        <v>171</v>
      </c>
      <c r="J138" s="90" t="s">
        <v>194</v>
      </c>
      <c r="K138" s="91">
        <v>9.7899999999999991</v>
      </c>
      <c r="L138" s="91">
        <f t="shared" si="25"/>
        <v>7.5307692307692307</v>
      </c>
      <c r="M138" s="92">
        <f>prodnorm19</f>
        <v>0</v>
      </c>
      <c r="N138" s="89" t="s">
        <v>104</v>
      </c>
      <c r="O138" s="17">
        <f>uurtarief19</f>
        <v>0</v>
      </c>
      <c r="P138" s="91" t="e">
        <f t="shared" si="26"/>
        <v>#DIV/0!</v>
      </c>
      <c r="Q138" s="17" t="e">
        <f t="shared" si="27"/>
        <v>#DIV/0!</v>
      </c>
      <c r="R138" s="91" t="e">
        <f t="shared" si="28"/>
        <v>#DIV/0!</v>
      </c>
      <c r="S138" s="18" t="e">
        <f t="shared" si="29"/>
        <v>#DIV/0!</v>
      </c>
    </row>
    <row r="139" spans="1:19" x14ac:dyDescent="0.2">
      <c r="A139" s="88" t="s">
        <v>314</v>
      </c>
      <c r="B139" s="89" t="s">
        <v>39</v>
      </c>
      <c r="C139" s="89" t="s">
        <v>212</v>
      </c>
      <c r="D139" s="89" t="s">
        <v>231</v>
      </c>
      <c r="E139" s="90" t="s">
        <v>296</v>
      </c>
      <c r="F139" s="89" t="s">
        <v>254</v>
      </c>
      <c r="G139" s="89" t="s">
        <v>183</v>
      </c>
      <c r="H139" s="89" t="s">
        <v>11</v>
      </c>
      <c r="I139" s="89" t="s">
        <v>171</v>
      </c>
      <c r="J139" s="90" t="s">
        <v>184</v>
      </c>
      <c r="K139" s="91">
        <v>52.5</v>
      </c>
      <c r="L139" s="91">
        <f t="shared" si="25"/>
        <v>40.384615384615387</v>
      </c>
      <c r="M139" s="92">
        <f>prodnorm11</f>
        <v>0</v>
      </c>
      <c r="N139" s="89" t="s">
        <v>104</v>
      </c>
      <c r="O139" s="17">
        <f>uurtarief11</f>
        <v>0</v>
      </c>
      <c r="P139" s="91" t="e">
        <f t="shared" si="26"/>
        <v>#DIV/0!</v>
      </c>
      <c r="Q139" s="17" t="e">
        <f t="shared" si="27"/>
        <v>#DIV/0!</v>
      </c>
      <c r="R139" s="91" t="e">
        <f t="shared" si="28"/>
        <v>#DIV/0!</v>
      </c>
      <c r="S139" s="18" t="e">
        <f t="shared" si="29"/>
        <v>#DIV/0!</v>
      </c>
    </row>
    <row r="140" spans="1:19" x14ac:dyDescent="0.2">
      <c r="A140" s="88" t="s">
        <v>314</v>
      </c>
      <c r="B140" s="89" t="s">
        <v>39</v>
      </c>
      <c r="C140" s="89" t="s">
        <v>212</v>
      </c>
      <c r="D140" s="89" t="s">
        <v>233</v>
      </c>
      <c r="E140" s="90" t="s">
        <v>296</v>
      </c>
      <c r="F140" s="89" t="s">
        <v>254</v>
      </c>
      <c r="G140" s="89" t="s">
        <v>183</v>
      </c>
      <c r="H140" s="89" t="s">
        <v>11</v>
      </c>
      <c r="I140" s="89" t="s">
        <v>171</v>
      </c>
      <c r="J140" s="90" t="s">
        <v>184</v>
      </c>
      <c r="K140" s="91">
        <v>54.5</v>
      </c>
      <c r="L140" s="91">
        <f t="shared" si="25"/>
        <v>41.923076923076927</v>
      </c>
      <c r="M140" s="92">
        <f>prodnorm11</f>
        <v>0</v>
      </c>
      <c r="N140" s="89" t="s">
        <v>104</v>
      </c>
      <c r="O140" s="17">
        <f>uurtarief11</f>
        <v>0</v>
      </c>
      <c r="P140" s="91" t="e">
        <f t="shared" si="26"/>
        <v>#DIV/0!</v>
      </c>
      <c r="Q140" s="17" t="e">
        <f t="shared" si="27"/>
        <v>#DIV/0!</v>
      </c>
      <c r="R140" s="91" t="e">
        <f t="shared" si="28"/>
        <v>#DIV/0!</v>
      </c>
      <c r="S140" s="18" t="e">
        <f t="shared" si="29"/>
        <v>#DIV/0!</v>
      </c>
    </row>
    <row r="141" spans="1:19" ht="25.5" x14ac:dyDescent="0.2">
      <c r="A141" s="88" t="s">
        <v>314</v>
      </c>
      <c r="B141" s="89" t="s">
        <v>39</v>
      </c>
      <c r="C141" s="89" t="s">
        <v>212</v>
      </c>
      <c r="D141" s="89" t="s">
        <v>235</v>
      </c>
      <c r="E141" s="90" t="s">
        <v>312</v>
      </c>
      <c r="F141" s="89" t="s">
        <v>254</v>
      </c>
      <c r="G141" s="89" t="s">
        <v>173</v>
      </c>
      <c r="H141" s="89" t="s">
        <v>11</v>
      </c>
      <c r="I141" s="89" t="s">
        <v>171</v>
      </c>
      <c r="J141" s="90" t="s">
        <v>174</v>
      </c>
      <c r="K141" s="91">
        <v>15.4</v>
      </c>
      <c r="L141" s="91">
        <f t="shared" si="25"/>
        <v>11.846153846153847</v>
      </c>
      <c r="M141" s="92">
        <f>prodnorm3</f>
        <v>0</v>
      </c>
      <c r="N141" s="89" t="s">
        <v>104</v>
      </c>
      <c r="O141" s="17">
        <f>uurtarief3</f>
        <v>0</v>
      </c>
      <c r="P141" s="91" t="e">
        <f t="shared" si="26"/>
        <v>#DIV/0!</v>
      </c>
      <c r="Q141" s="17" t="e">
        <f t="shared" si="27"/>
        <v>#DIV/0!</v>
      </c>
      <c r="R141" s="91" t="e">
        <f t="shared" si="28"/>
        <v>#DIV/0!</v>
      </c>
      <c r="S141" s="18" t="e">
        <f t="shared" si="29"/>
        <v>#DIV/0!</v>
      </c>
    </row>
    <row r="142" spans="1:19" ht="25.5" x14ac:dyDescent="0.2">
      <c r="A142" s="88" t="s">
        <v>314</v>
      </c>
      <c r="B142" s="89" t="s">
        <v>39</v>
      </c>
      <c r="C142" s="89" t="s">
        <v>212</v>
      </c>
      <c r="D142" s="89" t="s">
        <v>236</v>
      </c>
      <c r="E142" s="90" t="s">
        <v>312</v>
      </c>
      <c r="F142" s="89" t="s">
        <v>254</v>
      </c>
      <c r="G142" s="89" t="s">
        <v>173</v>
      </c>
      <c r="H142" s="89" t="s">
        <v>11</v>
      </c>
      <c r="I142" s="89" t="s">
        <v>171</v>
      </c>
      <c r="J142" s="90" t="s">
        <v>174</v>
      </c>
      <c r="K142" s="91">
        <v>10.360000000000001</v>
      </c>
      <c r="L142" s="91">
        <f t="shared" si="25"/>
        <v>7.9692307692307702</v>
      </c>
      <c r="M142" s="92">
        <f>prodnorm3</f>
        <v>0</v>
      </c>
      <c r="N142" s="89" t="s">
        <v>104</v>
      </c>
      <c r="O142" s="17">
        <f>uurtarief3</f>
        <v>0</v>
      </c>
      <c r="P142" s="91" t="e">
        <f t="shared" si="26"/>
        <v>#DIV/0!</v>
      </c>
      <c r="Q142" s="17" t="e">
        <f t="shared" si="27"/>
        <v>#DIV/0!</v>
      </c>
      <c r="R142" s="91" t="e">
        <f t="shared" si="28"/>
        <v>#DIV/0!</v>
      </c>
      <c r="S142" s="18" t="e">
        <f t="shared" si="29"/>
        <v>#DIV/0!</v>
      </c>
    </row>
    <row r="143" spans="1:19" ht="25.5" x14ac:dyDescent="0.2">
      <c r="A143" s="88" t="s">
        <v>314</v>
      </c>
      <c r="B143" s="89" t="s">
        <v>39</v>
      </c>
      <c r="C143" s="89" t="s">
        <v>212</v>
      </c>
      <c r="D143" s="89" t="s">
        <v>237</v>
      </c>
      <c r="E143" s="90" t="s">
        <v>297</v>
      </c>
      <c r="F143" s="89" t="s">
        <v>254</v>
      </c>
      <c r="G143" s="89" t="s">
        <v>195</v>
      </c>
      <c r="H143" s="89" t="s">
        <v>11</v>
      </c>
      <c r="I143" s="89" t="s">
        <v>171</v>
      </c>
      <c r="J143" s="90" t="s">
        <v>196</v>
      </c>
      <c r="K143" s="91">
        <v>46.2</v>
      </c>
      <c r="L143" s="91">
        <f t="shared" si="25"/>
        <v>35.53846153846154</v>
      </c>
      <c r="M143" s="92">
        <f>prodnorm20</f>
        <v>0</v>
      </c>
      <c r="N143" s="89" t="s">
        <v>104</v>
      </c>
      <c r="O143" s="17">
        <f>uurtarief20</f>
        <v>0</v>
      </c>
      <c r="P143" s="91" t="e">
        <f t="shared" si="26"/>
        <v>#DIV/0!</v>
      </c>
      <c r="Q143" s="17" t="e">
        <f t="shared" si="27"/>
        <v>#DIV/0!</v>
      </c>
      <c r="R143" s="91" t="e">
        <f t="shared" si="28"/>
        <v>#DIV/0!</v>
      </c>
      <c r="S143" s="18" t="e">
        <f t="shared" si="29"/>
        <v>#DIV/0!</v>
      </c>
    </row>
    <row r="144" spans="1:19" x14ac:dyDescent="0.2">
      <c r="A144" s="88" t="s">
        <v>314</v>
      </c>
      <c r="B144" s="89" t="s">
        <v>39</v>
      </c>
      <c r="C144" s="89" t="s">
        <v>212</v>
      </c>
      <c r="D144" s="89" t="s">
        <v>239</v>
      </c>
      <c r="E144" s="90" t="s">
        <v>299</v>
      </c>
      <c r="F144" s="89" t="s">
        <v>300</v>
      </c>
      <c r="G144" s="89" t="s">
        <v>191</v>
      </c>
      <c r="H144" s="89" t="s">
        <v>11</v>
      </c>
      <c r="I144" s="89" t="s">
        <v>171</v>
      </c>
      <c r="J144" s="90" t="s">
        <v>192</v>
      </c>
      <c r="K144" s="91">
        <v>3.9</v>
      </c>
      <c r="L144" s="91">
        <f t="shared" si="25"/>
        <v>3</v>
      </c>
      <c r="M144" s="92">
        <f>prodnorm17</f>
        <v>0</v>
      </c>
      <c r="N144" s="89" t="s">
        <v>104</v>
      </c>
      <c r="O144" s="17">
        <f>uurtarief17</f>
        <v>0</v>
      </c>
      <c r="P144" s="91" t="e">
        <f t="shared" si="26"/>
        <v>#DIV/0!</v>
      </c>
      <c r="Q144" s="17" t="e">
        <f t="shared" si="27"/>
        <v>#DIV/0!</v>
      </c>
      <c r="R144" s="91" t="e">
        <f t="shared" si="28"/>
        <v>#DIV/0!</v>
      </c>
      <c r="S144" s="18" t="e">
        <f t="shared" si="29"/>
        <v>#DIV/0!</v>
      </c>
    </row>
    <row r="145" spans="1:19" x14ac:dyDescent="0.2">
      <c r="A145" s="88" t="s">
        <v>314</v>
      </c>
      <c r="B145" s="89" t="s">
        <v>39</v>
      </c>
      <c r="C145" s="89" t="s">
        <v>212</v>
      </c>
      <c r="D145" s="89" t="s">
        <v>240</v>
      </c>
      <c r="E145" s="90" t="s">
        <v>299</v>
      </c>
      <c r="F145" s="89" t="s">
        <v>300</v>
      </c>
      <c r="G145" s="89" t="s">
        <v>191</v>
      </c>
      <c r="H145" s="89" t="s">
        <v>11</v>
      </c>
      <c r="I145" s="89" t="s">
        <v>171</v>
      </c>
      <c r="J145" s="90" t="s">
        <v>192</v>
      </c>
      <c r="K145" s="91">
        <v>6.3</v>
      </c>
      <c r="L145" s="91">
        <f t="shared" si="25"/>
        <v>4.8461538461538467</v>
      </c>
      <c r="M145" s="92">
        <f>prodnorm17</f>
        <v>0</v>
      </c>
      <c r="N145" s="89" t="s">
        <v>104</v>
      </c>
      <c r="O145" s="17">
        <f>uurtarief17</f>
        <v>0</v>
      </c>
      <c r="P145" s="91" t="e">
        <f t="shared" si="26"/>
        <v>#DIV/0!</v>
      </c>
      <c r="Q145" s="17" t="e">
        <f t="shared" si="27"/>
        <v>#DIV/0!</v>
      </c>
      <c r="R145" s="91" t="e">
        <f t="shared" si="28"/>
        <v>#DIV/0!</v>
      </c>
      <c r="S145" s="18" t="e">
        <f t="shared" si="29"/>
        <v>#DIV/0!</v>
      </c>
    </row>
    <row r="146" spans="1:19" ht="25.5" x14ac:dyDescent="0.2">
      <c r="A146" s="88" t="s">
        <v>314</v>
      </c>
      <c r="B146" s="89" t="s">
        <v>39</v>
      </c>
      <c r="C146" s="89" t="s">
        <v>212</v>
      </c>
      <c r="D146" s="89" t="s">
        <v>241</v>
      </c>
      <c r="E146" s="90" t="s">
        <v>308</v>
      </c>
      <c r="F146" s="89" t="s">
        <v>228</v>
      </c>
      <c r="G146" s="89" t="s">
        <v>197</v>
      </c>
      <c r="H146" s="89" t="s">
        <v>11</v>
      </c>
      <c r="I146" s="89" t="s">
        <v>171</v>
      </c>
      <c r="J146" s="90" t="s">
        <v>198</v>
      </c>
      <c r="K146" s="91">
        <v>8.8000000000000007</v>
      </c>
      <c r="L146" s="91">
        <f t="shared" si="25"/>
        <v>6.7692307692307701</v>
      </c>
      <c r="M146" s="92">
        <f>prodnorm22</f>
        <v>0</v>
      </c>
      <c r="N146" s="89" t="s">
        <v>104</v>
      </c>
      <c r="O146" s="17">
        <f>uurtarief22</f>
        <v>0</v>
      </c>
      <c r="P146" s="91" t="e">
        <f t="shared" si="26"/>
        <v>#DIV/0!</v>
      </c>
      <c r="Q146" s="17" t="e">
        <f t="shared" si="27"/>
        <v>#DIV/0!</v>
      </c>
      <c r="R146" s="91" t="e">
        <f t="shared" si="28"/>
        <v>#DIV/0!</v>
      </c>
      <c r="S146" s="18" t="e">
        <f t="shared" si="29"/>
        <v>#DIV/0!</v>
      </c>
    </row>
    <row r="147" spans="1:19" x14ac:dyDescent="0.2">
      <c r="A147" s="88" t="s">
        <v>314</v>
      </c>
      <c r="B147" s="89" t="s">
        <v>39</v>
      </c>
      <c r="C147" s="89" t="s">
        <v>212</v>
      </c>
      <c r="D147" s="89" t="s">
        <v>242</v>
      </c>
      <c r="E147" s="90" t="s">
        <v>317</v>
      </c>
      <c r="F147" s="89" t="s">
        <v>253</v>
      </c>
      <c r="G147" s="89" t="s">
        <v>170</v>
      </c>
      <c r="H147" s="89" t="s">
        <v>11</v>
      </c>
      <c r="I147" s="89" t="s">
        <v>171</v>
      </c>
      <c r="J147" s="90" t="s">
        <v>172</v>
      </c>
      <c r="K147" s="91">
        <v>81.53</v>
      </c>
      <c r="L147" s="91">
        <f t="shared" si="25"/>
        <v>62.715384615384622</v>
      </c>
      <c r="M147" s="92">
        <f>prodnorm2</f>
        <v>0</v>
      </c>
      <c r="N147" s="89" t="s">
        <v>104</v>
      </c>
      <c r="O147" s="17">
        <f>uurtarief2</f>
        <v>0</v>
      </c>
      <c r="P147" s="91" t="e">
        <f t="shared" si="26"/>
        <v>#DIV/0!</v>
      </c>
      <c r="Q147" s="17" t="e">
        <f t="shared" si="27"/>
        <v>#DIV/0!</v>
      </c>
      <c r="R147" s="91" t="e">
        <f t="shared" si="28"/>
        <v>#DIV/0!</v>
      </c>
      <c r="S147" s="18" t="e">
        <f t="shared" si="29"/>
        <v>#DIV/0!</v>
      </c>
    </row>
    <row r="148" spans="1:19" ht="25.5" x14ac:dyDescent="0.2">
      <c r="A148" s="88" t="s">
        <v>314</v>
      </c>
      <c r="B148" s="89" t="s">
        <v>39</v>
      </c>
      <c r="C148" s="89" t="s">
        <v>212</v>
      </c>
      <c r="D148" s="89" t="s">
        <v>243</v>
      </c>
      <c r="E148" s="90" t="s">
        <v>297</v>
      </c>
      <c r="F148" s="89" t="s">
        <v>253</v>
      </c>
      <c r="G148" s="89" t="s">
        <v>195</v>
      </c>
      <c r="H148" s="89" t="s">
        <v>11</v>
      </c>
      <c r="I148" s="89" t="s">
        <v>171</v>
      </c>
      <c r="J148" s="90" t="s">
        <v>196</v>
      </c>
      <c r="K148" s="91">
        <v>31.6</v>
      </c>
      <c r="L148" s="91">
        <f t="shared" si="25"/>
        <v>24.30769230769231</v>
      </c>
      <c r="M148" s="92">
        <f>prodnorm20</f>
        <v>0</v>
      </c>
      <c r="N148" s="89" t="s">
        <v>104</v>
      </c>
      <c r="O148" s="17">
        <f>uurtarief20</f>
        <v>0</v>
      </c>
      <c r="P148" s="91" t="e">
        <f t="shared" si="26"/>
        <v>#DIV/0!</v>
      </c>
      <c r="Q148" s="17" t="e">
        <f t="shared" si="27"/>
        <v>#DIV/0!</v>
      </c>
      <c r="R148" s="91" t="e">
        <f t="shared" si="28"/>
        <v>#DIV/0!</v>
      </c>
      <c r="S148" s="18" t="e">
        <f t="shared" si="29"/>
        <v>#DIV/0!</v>
      </c>
    </row>
    <row r="149" spans="1:19" ht="25.5" x14ac:dyDescent="0.2">
      <c r="A149" s="88" t="s">
        <v>314</v>
      </c>
      <c r="B149" s="89" t="s">
        <v>39</v>
      </c>
      <c r="C149" s="89" t="s">
        <v>212</v>
      </c>
      <c r="D149" s="89" t="s">
        <v>245</v>
      </c>
      <c r="E149" s="90" t="s">
        <v>312</v>
      </c>
      <c r="F149" s="89" t="s">
        <v>254</v>
      </c>
      <c r="G149" s="89" t="s">
        <v>173</v>
      </c>
      <c r="H149" s="89" t="s">
        <v>11</v>
      </c>
      <c r="I149" s="89" t="s">
        <v>171</v>
      </c>
      <c r="J149" s="90" t="s">
        <v>174</v>
      </c>
      <c r="K149" s="91">
        <v>13.5</v>
      </c>
      <c r="L149" s="91">
        <f t="shared" si="25"/>
        <v>10.384615384615385</v>
      </c>
      <c r="M149" s="92">
        <f>prodnorm3</f>
        <v>0</v>
      </c>
      <c r="N149" s="89" t="s">
        <v>104</v>
      </c>
      <c r="O149" s="17">
        <f>uurtarief3</f>
        <v>0</v>
      </c>
      <c r="P149" s="91" t="e">
        <f t="shared" si="26"/>
        <v>#DIV/0!</v>
      </c>
      <c r="Q149" s="17" t="e">
        <f t="shared" si="27"/>
        <v>#DIV/0!</v>
      </c>
      <c r="R149" s="91" t="e">
        <f t="shared" si="28"/>
        <v>#DIV/0!</v>
      </c>
      <c r="S149" s="18" t="e">
        <f t="shared" si="29"/>
        <v>#DIV/0!</v>
      </c>
    </row>
    <row r="150" spans="1:19" ht="25.5" x14ac:dyDescent="0.2">
      <c r="A150" s="88" t="s">
        <v>314</v>
      </c>
      <c r="B150" s="89" t="s">
        <v>39</v>
      </c>
      <c r="C150" s="89" t="s">
        <v>212</v>
      </c>
      <c r="D150" s="89" t="s">
        <v>246</v>
      </c>
      <c r="E150" s="90" t="s">
        <v>318</v>
      </c>
      <c r="F150" s="89" t="s">
        <v>254</v>
      </c>
      <c r="G150" s="89" t="s">
        <v>173</v>
      </c>
      <c r="H150" s="89" t="s">
        <v>11</v>
      </c>
      <c r="I150" s="89" t="s">
        <v>171</v>
      </c>
      <c r="J150" s="90" t="s">
        <v>174</v>
      </c>
      <c r="K150" s="91">
        <v>21.67</v>
      </c>
      <c r="L150" s="91">
        <f t="shared" si="25"/>
        <v>16.669230769230772</v>
      </c>
      <c r="M150" s="92">
        <f>prodnorm3</f>
        <v>0</v>
      </c>
      <c r="N150" s="89" t="s">
        <v>104</v>
      </c>
      <c r="O150" s="17">
        <f>uurtarief3</f>
        <v>0</v>
      </c>
      <c r="P150" s="91" t="e">
        <f t="shared" si="26"/>
        <v>#DIV/0!</v>
      </c>
      <c r="Q150" s="17" t="e">
        <f t="shared" si="27"/>
        <v>#DIV/0!</v>
      </c>
      <c r="R150" s="91" t="e">
        <f t="shared" si="28"/>
        <v>#DIV/0!</v>
      </c>
      <c r="S150" s="18" t="e">
        <f t="shared" si="29"/>
        <v>#DIV/0!</v>
      </c>
    </row>
    <row r="151" spans="1:19" x14ac:dyDescent="0.2">
      <c r="A151" s="88" t="s">
        <v>314</v>
      </c>
      <c r="B151" s="89" t="s">
        <v>39</v>
      </c>
      <c r="C151" s="89" t="s">
        <v>212</v>
      </c>
      <c r="D151" s="89" t="s">
        <v>261</v>
      </c>
      <c r="E151" s="90" t="s">
        <v>319</v>
      </c>
      <c r="F151" s="89" t="s">
        <v>300</v>
      </c>
      <c r="G151" s="89" t="s">
        <v>187</v>
      </c>
      <c r="H151" s="89" t="s">
        <v>11</v>
      </c>
      <c r="I151" s="89" t="s">
        <v>171</v>
      </c>
      <c r="J151" s="90" t="s">
        <v>188</v>
      </c>
      <c r="K151" s="91">
        <v>9</v>
      </c>
      <c r="L151" s="91">
        <f t="shared" si="25"/>
        <v>6.9230769230769234</v>
      </c>
      <c r="M151" s="92">
        <f>prodnorm15</f>
        <v>0</v>
      </c>
      <c r="N151" s="89" t="s">
        <v>104</v>
      </c>
      <c r="O151" s="17">
        <f>uurtarief15</f>
        <v>0</v>
      </c>
      <c r="P151" s="91" t="e">
        <f t="shared" si="26"/>
        <v>#DIV/0!</v>
      </c>
      <c r="Q151" s="17" t="e">
        <f t="shared" si="27"/>
        <v>#DIV/0!</v>
      </c>
      <c r="R151" s="91" t="e">
        <f t="shared" si="28"/>
        <v>#DIV/0!</v>
      </c>
      <c r="S151" s="18" t="e">
        <f t="shared" si="29"/>
        <v>#DIV/0!</v>
      </c>
    </row>
    <row r="152" spans="1:19" x14ac:dyDescent="0.2">
      <c r="A152" s="88" t="s">
        <v>314</v>
      </c>
      <c r="B152" s="89" t="s">
        <v>39</v>
      </c>
      <c r="C152" s="89" t="s">
        <v>212</v>
      </c>
      <c r="D152" s="89" t="s">
        <v>248</v>
      </c>
      <c r="E152" s="90" t="s">
        <v>298</v>
      </c>
      <c r="F152" s="89" t="s">
        <v>228</v>
      </c>
      <c r="G152" s="89" t="s">
        <v>179</v>
      </c>
      <c r="H152" s="89" t="s">
        <v>11</v>
      </c>
      <c r="I152" s="89" t="s">
        <v>171</v>
      </c>
      <c r="J152" s="90" t="s">
        <v>180</v>
      </c>
      <c r="K152" s="91">
        <v>6.3</v>
      </c>
      <c r="L152" s="91">
        <f t="shared" si="25"/>
        <v>4.8461538461538467</v>
      </c>
      <c r="M152" s="92">
        <f>prodnorm7</f>
        <v>0</v>
      </c>
      <c r="N152" s="89" t="s">
        <v>104</v>
      </c>
      <c r="O152" s="17">
        <f>uurtarief7</f>
        <v>0</v>
      </c>
      <c r="P152" s="91" t="e">
        <f t="shared" si="26"/>
        <v>#DIV/0!</v>
      </c>
      <c r="Q152" s="17" t="e">
        <f t="shared" si="27"/>
        <v>#DIV/0!</v>
      </c>
      <c r="R152" s="91" t="e">
        <f t="shared" si="28"/>
        <v>#DIV/0!</v>
      </c>
      <c r="S152" s="18" t="e">
        <f t="shared" si="29"/>
        <v>#DIV/0!</v>
      </c>
    </row>
    <row r="153" spans="1:19" ht="25.5" x14ac:dyDescent="0.2">
      <c r="A153" s="88" t="s">
        <v>314</v>
      </c>
      <c r="B153" s="89" t="s">
        <v>39</v>
      </c>
      <c r="C153" s="89" t="s">
        <v>212</v>
      </c>
      <c r="D153" s="89" t="s">
        <v>263</v>
      </c>
      <c r="E153" s="90" t="s">
        <v>297</v>
      </c>
      <c r="F153" s="89" t="s">
        <v>254</v>
      </c>
      <c r="G153" s="89" t="s">
        <v>195</v>
      </c>
      <c r="H153" s="89" t="s">
        <v>11</v>
      </c>
      <c r="I153" s="89" t="s">
        <v>171</v>
      </c>
      <c r="J153" s="90" t="s">
        <v>196</v>
      </c>
      <c r="K153" s="91">
        <v>15.860000000000001</v>
      </c>
      <c r="L153" s="91">
        <f t="shared" si="25"/>
        <v>12.200000000000001</v>
      </c>
      <c r="M153" s="92">
        <f>prodnorm20</f>
        <v>0</v>
      </c>
      <c r="N153" s="89" t="s">
        <v>104</v>
      </c>
      <c r="O153" s="17">
        <f>uurtarief20</f>
        <v>0</v>
      </c>
      <c r="P153" s="91" t="e">
        <f t="shared" si="26"/>
        <v>#DIV/0!</v>
      </c>
      <c r="Q153" s="17" t="e">
        <f t="shared" si="27"/>
        <v>#DIV/0!</v>
      </c>
      <c r="R153" s="91" t="e">
        <f t="shared" si="28"/>
        <v>#DIV/0!</v>
      </c>
      <c r="S153" s="18" t="e">
        <f t="shared" si="29"/>
        <v>#DIV/0!</v>
      </c>
    </row>
    <row r="154" spans="1:19" x14ac:dyDescent="0.2">
      <c r="A154" s="88" t="s">
        <v>314</v>
      </c>
      <c r="B154" s="89" t="s">
        <v>39</v>
      </c>
      <c r="C154" s="89" t="s">
        <v>212</v>
      </c>
      <c r="D154" s="89" t="s">
        <v>264</v>
      </c>
      <c r="E154" s="90" t="s">
        <v>299</v>
      </c>
      <c r="F154" s="89" t="s">
        <v>300</v>
      </c>
      <c r="G154" s="89" t="s">
        <v>191</v>
      </c>
      <c r="H154" s="89" t="s">
        <v>11</v>
      </c>
      <c r="I154" s="89" t="s">
        <v>171</v>
      </c>
      <c r="J154" s="90" t="s">
        <v>192</v>
      </c>
      <c r="K154" s="91">
        <v>6</v>
      </c>
      <c r="L154" s="91">
        <f t="shared" si="25"/>
        <v>4.6153846153846159</v>
      </c>
      <c r="M154" s="92">
        <f>prodnorm17</f>
        <v>0</v>
      </c>
      <c r="N154" s="89" t="s">
        <v>104</v>
      </c>
      <c r="O154" s="17">
        <f>uurtarief17</f>
        <v>0</v>
      </c>
      <c r="P154" s="91" t="e">
        <f t="shared" si="26"/>
        <v>#DIV/0!</v>
      </c>
      <c r="Q154" s="17" t="e">
        <f t="shared" si="27"/>
        <v>#DIV/0!</v>
      </c>
      <c r="R154" s="91" t="e">
        <f t="shared" si="28"/>
        <v>#DIV/0!</v>
      </c>
      <c r="S154" s="18" t="e">
        <f t="shared" si="29"/>
        <v>#DIV/0!</v>
      </c>
    </row>
    <row r="155" spans="1:19" x14ac:dyDescent="0.2">
      <c r="A155" s="88" t="s">
        <v>314</v>
      </c>
      <c r="B155" s="89" t="s">
        <v>39</v>
      </c>
      <c r="C155" s="89" t="s">
        <v>212</v>
      </c>
      <c r="D155" s="89" t="s">
        <v>265</v>
      </c>
      <c r="E155" s="90" t="s">
        <v>296</v>
      </c>
      <c r="F155" s="89" t="s">
        <v>254</v>
      </c>
      <c r="G155" s="89" t="s">
        <v>183</v>
      </c>
      <c r="H155" s="89" t="s">
        <v>11</v>
      </c>
      <c r="I155" s="89" t="s">
        <v>171</v>
      </c>
      <c r="J155" s="90" t="s">
        <v>184</v>
      </c>
      <c r="K155" s="91">
        <v>53.8</v>
      </c>
      <c r="L155" s="91">
        <f t="shared" si="25"/>
        <v>41.384615384615387</v>
      </c>
      <c r="M155" s="92">
        <f>prodnorm11</f>
        <v>0</v>
      </c>
      <c r="N155" s="89" t="s">
        <v>104</v>
      </c>
      <c r="O155" s="17">
        <f>uurtarief11</f>
        <v>0</v>
      </c>
      <c r="P155" s="91" t="e">
        <f t="shared" si="26"/>
        <v>#DIV/0!</v>
      </c>
      <c r="Q155" s="17" t="e">
        <f t="shared" si="27"/>
        <v>#DIV/0!</v>
      </c>
      <c r="R155" s="91" t="e">
        <f t="shared" si="28"/>
        <v>#DIV/0!</v>
      </c>
      <c r="S155" s="18" t="e">
        <f t="shared" si="29"/>
        <v>#DIV/0!</v>
      </c>
    </row>
    <row r="156" spans="1:19" x14ac:dyDescent="0.2">
      <c r="A156" s="88" t="s">
        <v>314</v>
      </c>
      <c r="B156" s="89" t="s">
        <v>39</v>
      </c>
      <c r="C156" s="89" t="s">
        <v>212</v>
      </c>
      <c r="D156" s="89" t="s">
        <v>266</v>
      </c>
      <c r="E156" s="90" t="s">
        <v>299</v>
      </c>
      <c r="F156" s="89" t="s">
        <v>300</v>
      </c>
      <c r="G156" s="89" t="s">
        <v>191</v>
      </c>
      <c r="H156" s="89" t="s">
        <v>11</v>
      </c>
      <c r="I156" s="89" t="s">
        <v>171</v>
      </c>
      <c r="J156" s="90" t="s">
        <v>192</v>
      </c>
      <c r="K156" s="91">
        <v>4.9000000000000004</v>
      </c>
      <c r="L156" s="91">
        <f t="shared" si="25"/>
        <v>3.7692307692307696</v>
      </c>
      <c r="M156" s="92">
        <f>prodnorm17</f>
        <v>0</v>
      </c>
      <c r="N156" s="89" t="s">
        <v>104</v>
      </c>
      <c r="O156" s="17">
        <f>uurtarief17</f>
        <v>0</v>
      </c>
      <c r="P156" s="91" t="e">
        <f t="shared" si="26"/>
        <v>#DIV/0!</v>
      </c>
      <c r="Q156" s="17" t="e">
        <f t="shared" si="27"/>
        <v>#DIV/0!</v>
      </c>
      <c r="R156" s="91" t="e">
        <f t="shared" si="28"/>
        <v>#DIV/0!</v>
      </c>
      <c r="S156" s="18" t="e">
        <f t="shared" si="29"/>
        <v>#DIV/0!</v>
      </c>
    </row>
    <row r="157" spans="1:19" x14ac:dyDescent="0.2">
      <c r="A157" s="88" t="s">
        <v>314</v>
      </c>
      <c r="B157" s="89" t="s">
        <v>39</v>
      </c>
      <c r="C157" s="89" t="s">
        <v>212</v>
      </c>
      <c r="D157" s="89" t="s">
        <v>267</v>
      </c>
      <c r="E157" s="90" t="s">
        <v>301</v>
      </c>
      <c r="F157" s="89" t="s">
        <v>254</v>
      </c>
      <c r="G157" s="89" t="s">
        <v>302</v>
      </c>
      <c r="H157" s="89"/>
      <c r="I157" s="89"/>
      <c r="J157" s="89"/>
      <c r="K157" s="91">
        <v>10.83</v>
      </c>
      <c r="L157" s="91"/>
      <c r="M157" s="92"/>
      <c r="N157" s="89"/>
      <c r="O157" s="17"/>
      <c r="P157" s="91"/>
      <c r="Q157" s="17"/>
      <c r="R157" s="99"/>
      <c r="S157" s="18"/>
    </row>
    <row r="158" spans="1:19" ht="25.5" x14ac:dyDescent="0.2">
      <c r="A158" s="88" t="s">
        <v>314</v>
      </c>
      <c r="B158" s="89" t="s">
        <v>39</v>
      </c>
      <c r="C158" s="89" t="s">
        <v>212</v>
      </c>
      <c r="D158" s="89" t="s">
        <v>269</v>
      </c>
      <c r="E158" s="90" t="s">
        <v>297</v>
      </c>
      <c r="F158" s="89" t="s">
        <v>228</v>
      </c>
      <c r="G158" s="89" t="s">
        <v>197</v>
      </c>
      <c r="H158" s="89" t="s">
        <v>11</v>
      </c>
      <c r="I158" s="89" t="s">
        <v>171</v>
      </c>
      <c r="J158" s="90" t="s">
        <v>198</v>
      </c>
      <c r="K158" s="91">
        <v>4.8</v>
      </c>
      <c r="L158" s="91">
        <f t="shared" ref="L158:L163" si="30">K158*VLOOKUP(H158,dagsoorttabel1,2,FALSE)</f>
        <v>3.6923076923076925</v>
      </c>
      <c r="M158" s="92">
        <f>prodnorm22</f>
        <v>0</v>
      </c>
      <c r="N158" s="89" t="s">
        <v>104</v>
      </c>
      <c r="O158" s="17">
        <f>uurtarief22</f>
        <v>0</v>
      </c>
      <c r="P158" s="91" t="e">
        <f t="shared" ref="P158:P163" si="31">IF(ISBLANK(M158),0,L158/ROUND(M158,4))</f>
        <v>#DIV/0!</v>
      </c>
      <c r="Q158" s="17" t="e">
        <f t="shared" ref="Q158:Q163" si="32">ROUND(O158,2)*P158</f>
        <v>#DIV/0!</v>
      </c>
      <c r="R158" s="91" t="e">
        <f t="shared" ref="R158:R163" si="33">P158*dagenperjaar1</f>
        <v>#DIV/0!</v>
      </c>
      <c r="S158" s="18" t="e">
        <f t="shared" ref="S158:S163" si="34">R158*ROUND(O158,2)</f>
        <v>#DIV/0!</v>
      </c>
    </row>
    <row r="159" spans="1:19" x14ac:dyDescent="0.2">
      <c r="A159" s="88" t="s">
        <v>314</v>
      </c>
      <c r="B159" s="89" t="s">
        <v>39</v>
      </c>
      <c r="C159" s="89" t="s">
        <v>212</v>
      </c>
      <c r="D159" s="89" t="s">
        <v>270</v>
      </c>
      <c r="E159" s="90" t="s">
        <v>299</v>
      </c>
      <c r="F159" s="89" t="s">
        <v>253</v>
      </c>
      <c r="G159" s="89" t="s">
        <v>191</v>
      </c>
      <c r="H159" s="89" t="s">
        <v>11</v>
      </c>
      <c r="I159" s="89" t="s">
        <v>171</v>
      </c>
      <c r="J159" s="90" t="s">
        <v>192</v>
      </c>
      <c r="K159" s="91">
        <v>1.6700000000000002</v>
      </c>
      <c r="L159" s="91">
        <f t="shared" si="30"/>
        <v>1.2846153846153847</v>
      </c>
      <c r="M159" s="92">
        <f>prodnorm17</f>
        <v>0</v>
      </c>
      <c r="N159" s="89" t="s">
        <v>104</v>
      </c>
      <c r="O159" s="17">
        <f>uurtarief17</f>
        <v>0</v>
      </c>
      <c r="P159" s="91" t="e">
        <f t="shared" si="31"/>
        <v>#DIV/0!</v>
      </c>
      <c r="Q159" s="17" t="e">
        <f t="shared" si="32"/>
        <v>#DIV/0!</v>
      </c>
      <c r="R159" s="91" t="e">
        <f t="shared" si="33"/>
        <v>#DIV/0!</v>
      </c>
      <c r="S159" s="18" t="e">
        <f t="shared" si="34"/>
        <v>#DIV/0!</v>
      </c>
    </row>
    <row r="160" spans="1:19" x14ac:dyDescent="0.2">
      <c r="A160" s="88" t="s">
        <v>314</v>
      </c>
      <c r="B160" s="89" t="s">
        <v>39</v>
      </c>
      <c r="C160" s="89" t="s">
        <v>212</v>
      </c>
      <c r="D160" s="89" t="s">
        <v>271</v>
      </c>
      <c r="E160" s="90" t="s">
        <v>299</v>
      </c>
      <c r="F160" s="89" t="s">
        <v>253</v>
      </c>
      <c r="G160" s="89" t="s">
        <v>191</v>
      </c>
      <c r="H160" s="89" t="s">
        <v>11</v>
      </c>
      <c r="I160" s="89" t="s">
        <v>171</v>
      </c>
      <c r="J160" s="90" t="s">
        <v>192</v>
      </c>
      <c r="K160" s="91">
        <v>1.6700000000000002</v>
      </c>
      <c r="L160" s="91">
        <f t="shared" si="30"/>
        <v>1.2846153846153847</v>
      </c>
      <c r="M160" s="92">
        <f>prodnorm17</f>
        <v>0</v>
      </c>
      <c r="N160" s="89" t="s">
        <v>104</v>
      </c>
      <c r="O160" s="17">
        <f>uurtarief17</f>
        <v>0</v>
      </c>
      <c r="P160" s="91" t="e">
        <f t="shared" si="31"/>
        <v>#DIV/0!</v>
      </c>
      <c r="Q160" s="17" t="e">
        <f t="shared" si="32"/>
        <v>#DIV/0!</v>
      </c>
      <c r="R160" s="91" t="e">
        <f t="shared" si="33"/>
        <v>#DIV/0!</v>
      </c>
      <c r="S160" s="18" t="e">
        <f t="shared" si="34"/>
        <v>#DIV/0!</v>
      </c>
    </row>
    <row r="161" spans="1:19" x14ac:dyDescent="0.2">
      <c r="A161" s="88" t="s">
        <v>314</v>
      </c>
      <c r="B161" s="89" t="s">
        <v>39</v>
      </c>
      <c r="C161" s="89" t="s">
        <v>212</v>
      </c>
      <c r="D161" s="89" t="s">
        <v>320</v>
      </c>
      <c r="E161" s="90" t="s">
        <v>296</v>
      </c>
      <c r="F161" s="89" t="s">
        <v>228</v>
      </c>
      <c r="G161" s="89" t="s">
        <v>185</v>
      </c>
      <c r="H161" s="89" t="s">
        <v>11</v>
      </c>
      <c r="I161" s="89" t="s">
        <v>171</v>
      </c>
      <c r="J161" s="90" t="s">
        <v>186</v>
      </c>
      <c r="K161" s="91">
        <v>36</v>
      </c>
      <c r="L161" s="91">
        <f t="shared" si="30"/>
        <v>27.692307692307693</v>
      </c>
      <c r="M161" s="92">
        <f>prodnorm14</f>
        <v>0</v>
      </c>
      <c r="N161" s="89" t="s">
        <v>104</v>
      </c>
      <c r="O161" s="17">
        <f>uurtarief14</f>
        <v>0</v>
      </c>
      <c r="P161" s="91" t="e">
        <f t="shared" si="31"/>
        <v>#DIV/0!</v>
      </c>
      <c r="Q161" s="17" t="e">
        <f t="shared" si="32"/>
        <v>#DIV/0!</v>
      </c>
      <c r="R161" s="91" t="e">
        <f t="shared" si="33"/>
        <v>#DIV/0!</v>
      </c>
      <c r="S161" s="18" t="e">
        <f t="shared" si="34"/>
        <v>#DIV/0!</v>
      </c>
    </row>
    <row r="162" spans="1:19" x14ac:dyDescent="0.2">
      <c r="A162" s="88" t="s">
        <v>314</v>
      </c>
      <c r="B162" s="89" t="s">
        <v>39</v>
      </c>
      <c r="C162" s="89" t="s">
        <v>212</v>
      </c>
      <c r="D162" s="89" t="s">
        <v>272</v>
      </c>
      <c r="E162" s="90" t="s">
        <v>296</v>
      </c>
      <c r="F162" s="89" t="s">
        <v>228</v>
      </c>
      <c r="G162" s="89" t="s">
        <v>185</v>
      </c>
      <c r="H162" s="89" t="s">
        <v>11</v>
      </c>
      <c r="I162" s="89" t="s">
        <v>171</v>
      </c>
      <c r="J162" s="90" t="s">
        <v>186</v>
      </c>
      <c r="K162" s="91">
        <v>41</v>
      </c>
      <c r="L162" s="91">
        <f t="shared" si="30"/>
        <v>31.53846153846154</v>
      </c>
      <c r="M162" s="92">
        <f>prodnorm14</f>
        <v>0</v>
      </c>
      <c r="N162" s="89" t="s">
        <v>104</v>
      </c>
      <c r="O162" s="17">
        <f>uurtarief14</f>
        <v>0</v>
      </c>
      <c r="P162" s="91" t="e">
        <f t="shared" si="31"/>
        <v>#DIV/0!</v>
      </c>
      <c r="Q162" s="17" t="e">
        <f t="shared" si="32"/>
        <v>#DIV/0!</v>
      </c>
      <c r="R162" s="91" t="e">
        <f t="shared" si="33"/>
        <v>#DIV/0!</v>
      </c>
      <c r="S162" s="18" t="e">
        <f t="shared" si="34"/>
        <v>#DIV/0!</v>
      </c>
    </row>
    <row r="163" spans="1:19" ht="25.5" x14ac:dyDescent="0.2">
      <c r="A163" s="93" t="s">
        <v>314</v>
      </c>
      <c r="B163" s="94" t="s">
        <v>39</v>
      </c>
      <c r="C163" s="94" t="s">
        <v>212</v>
      </c>
      <c r="D163" s="94" t="s">
        <v>321</v>
      </c>
      <c r="E163" s="95" t="s">
        <v>312</v>
      </c>
      <c r="F163" s="94" t="s">
        <v>228</v>
      </c>
      <c r="G163" s="94" t="s">
        <v>175</v>
      </c>
      <c r="H163" s="94" t="s">
        <v>11</v>
      </c>
      <c r="I163" s="94" t="s">
        <v>171</v>
      </c>
      <c r="J163" s="95" t="s">
        <v>176</v>
      </c>
      <c r="K163" s="96">
        <v>15.9</v>
      </c>
      <c r="L163" s="96">
        <f t="shared" si="30"/>
        <v>12.230769230769232</v>
      </c>
      <c r="M163" s="97">
        <f>prodnorm4</f>
        <v>0</v>
      </c>
      <c r="N163" s="94" t="s">
        <v>104</v>
      </c>
      <c r="O163" s="26">
        <f>uurtarief4</f>
        <v>0</v>
      </c>
      <c r="P163" s="96" t="e">
        <f t="shared" si="31"/>
        <v>#DIV/0!</v>
      </c>
      <c r="Q163" s="26" t="e">
        <f t="shared" si="32"/>
        <v>#DIV/0!</v>
      </c>
      <c r="R163" s="96" t="e">
        <f t="shared" si="33"/>
        <v>#DIV/0!</v>
      </c>
      <c r="S163" s="27" t="e">
        <f t="shared" si="34"/>
        <v>#DIV/0!</v>
      </c>
    </row>
    <row r="164" spans="1:19" x14ac:dyDescent="0.2">
      <c r="A164" s="98" t="s">
        <v>250</v>
      </c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8" t="e">
        <f>IF(_xlfn.SINGLE(object7_urenjaar1)&gt;0,_xlfn.SINGLE(object7_prijsjaar1)/_xlfn.SINGLE(object7_urenjaar1),0)</f>
        <v>#DIV/0!</v>
      </c>
      <c r="P164" s="67" t="e">
        <f>SUM(P130:P163)</f>
        <v>#DIV/0!</v>
      </c>
      <c r="Q164" s="68" t="e">
        <f>SUM(Q130:Q163)</f>
        <v>#DIV/0!</v>
      </c>
      <c r="R164" s="67" t="e">
        <f>SUM(R130:R163)</f>
        <v>#DIV/0!</v>
      </c>
      <c r="S164" s="69" t="e">
        <f>SUM(S130:S163)</f>
        <v>#DIV/0!</v>
      </c>
    </row>
    <row r="165" spans="1:19" x14ac:dyDescent="0.2">
      <c r="A165" s="74" t="s">
        <v>322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64"/>
    </row>
    <row r="166" spans="1:19" ht="25.5" x14ac:dyDescent="0.2">
      <c r="A166" s="81" t="s">
        <v>323</v>
      </c>
      <c r="B166" s="82" t="s">
        <v>39</v>
      </c>
      <c r="C166" s="82" t="s">
        <v>212</v>
      </c>
      <c r="D166" s="82" t="s">
        <v>213</v>
      </c>
      <c r="E166" s="83" t="s">
        <v>304</v>
      </c>
      <c r="F166" s="82" t="s">
        <v>215</v>
      </c>
      <c r="G166" s="82" t="s">
        <v>181</v>
      </c>
      <c r="H166" s="82" t="s">
        <v>11</v>
      </c>
      <c r="I166" s="82" t="s">
        <v>171</v>
      </c>
      <c r="J166" s="83" t="s">
        <v>182</v>
      </c>
      <c r="K166" s="84">
        <v>71.3</v>
      </c>
      <c r="L166" s="84">
        <f t="shared" ref="L166:L188" si="35">K166*VLOOKUP(H166,dagsoorttabel1,2,FALSE)</f>
        <v>54.846153846153847</v>
      </c>
      <c r="M166" s="85">
        <f>prodnorm8</f>
        <v>0</v>
      </c>
      <c r="N166" s="82" t="s">
        <v>104</v>
      </c>
      <c r="O166" s="86">
        <f>uurtarief8</f>
        <v>0</v>
      </c>
      <c r="P166" s="84" t="e">
        <f t="shared" ref="P166:P188" si="36">IF(ISBLANK(M166),0,L166/ROUND(M166,4))</f>
        <v>#DIV/0!</v>
      </c>
      <c r="Q166" s="86" t="e">
        <f t="shared" ref="Q166:Q188" si="37">ROUND(O166,2)*P166</f>
        <v>#DIV/0!</v>
      </c>
      <c r="R166" s="84" t="e">
        <f t="shared" ref="R166:R188" si="38">P166*dagenperjaar1</f>
        <v>#DIV/0!</v>
      </c>
      <c r="S166" s="87" t="e">
        <f t="shared" ref="S166:S188" si="39">R166*ROUND(O166,2)</f>
        <v>#DIV/0!</v>
      </c>
    </row>
    <row r="167" spans="1:19" x14ac:dyDescent="0.2">
      <c r="A167" s="88" t="s">
        <v>323</v>
      </c>
      <c r="B167" s="89" t="s">
        <v>39</v>
      </c>
      <c r="C167" s="89" t="s">
        <v>212</v>
      </c>
      <c r="D167" s="89" t="s">
        <v>276</v>
      </c>
      <c r="E167" s="90" t="s">
        <v>299</v>
      </c>
      <c r="F167" s="89" t="s">
        <v>254</v>
      </c>
      <c r="G167" s="89" t="s">
        <v>191</v>
      </c>
      <c r="H167" s="89" t="s">
        <v>11</v>
      </c>
      <c r="I167" s="89" t="s">
        <v>171</v>
      </c>
      <c r="J167" s="90" t="s">
        <v>192</v>
      </c>
      <c r="K167" s="91">
        <v>3.8</v>
      </c>
      <c r="L167" s="91">
        <f t="shared" si="35"/>
        <v>2.9230769230769229</v>
      </c>
      <c r="M167" s="92">
        <f>prodnorm17</f>
        <v>0</v>
      </c>
      <c r="N167" s="89" t="s">
        <v>104</v>
      </c>
      <c r="O167" s="17">
        <f>uurtarief17</f>
        <v>0</v>
      </c>
      <c r="P167" s="91" t="e">
        <f t="shared" si="36"/>
        <v>#DIV/0!</v>
      </c>
      <c r="Q167" s="17" t="e">
        <f t="shared" si="37"/>
        <v>#DIV/0!</v>
      </c>
      <c r="R167" s="91" t="e">
        <f t="shared" si="38"/>
        <v>#DIV/0!</v>
      </c>
      <c r="S167" s="18" t="e">
        <f t="shared" si="39"/>
        <v>#DIV/0!</v>
      </c>
    </row>
    <row r="168" spans="1:19" x14ac:dyDescent="0.2">
      <c r="A168" s="88" t="s">
        <v>323</v>
      </c>
      <c r="B168" s="89" t="s">
        <v>39</v>
      </c>
      <c r="C168" s="89" t="s">
        <v>212</v>
      </c>
      <c r="D168" s="89" t="s">
        <v>216</v>
      </c>
      <c r="E168" s="90" t="s">
        <v>299</v>
      </c>
      <c r="F168" s="89" t="s">
        <v>253</v>
      </c>
      <c r="G168" s="89" t="s">
        <v>191</v>
      </c>
      <c r="H168" s="89" t="s">
        <v>11</v>
      </c>
      <c r="I168" s="89" t="s">
        <v>171</v>
      </c>
      <c r="J168" s="90" t="s">
        <v>192</v>
      </c>
      <c r="K168" s="91">
        <v>5.0999999999999996</v>
      </c>
      <c r="L168" s="91">
        <f t="shared" si="35"/>
        <v>3.9230769230769229</v>
      </c>
      <c r="M168" s="92">
        <f>prodnorm17</f>
        <v>0</v>
      </c>
      <c r="N168" s="89" t="s">
        <v>104</v>
      </c>
      <c r="O168" s="17">
        <f>uurtarief17</f>
        <v>0</v>
      </c>
      <c r="P168" s="91" t="e">
        <f t="shared" si="36"/>
        <v>#DIV/0!</v>
      </c>
      <c r="Q168" s="17" t="e">
        <f t="shared" si="37"/>
        <v>#DIV/0!</v>
      </c>
      <c r="R168" s="91" t="e">
        <f t="shared" si="38"/>
        <v>#DIV/0!</v>
      </c>
      <c r="S168" s="18" t="e">
        <f t="shared" si="39"/>
        <v>#DIV/0!</v>
      </c>
    </row>
    <row r="169" spans="1:19" x14ac:dyDescent="0.2">
      <c r="A169" s="88" t="s">
        <v>323</v>
      </c>
      <c r="B169" s="89" t="s">
        <v>39</v>
      </c>
      <c r="C169" s="89" t="s">
        <v>212</v>
      </c>
      <c r="D169" s="89" t="s">
        <v>219</v>
      </c>
      <c r="E169" s="90" t="s">
        <v>299</v>
      </c>
      <c r="F169" s="89" t="s">
        <v>253</v>
      </c>
      <c r="G169" s="89" t="s">
        <v>191</v>
      </c>
      <c r="H169" s="89" t="s">
        <v>11</v>
      </c>
      <c r="I169" s="89" t="s">
        <v>171</v>
      </c>
      <c r="J169" s="90" t="s">
        <v>192</v>
      </c>
      <c r="K169" s="91">
        <v>5.0999999999999996</v>
      </c>
      <c r="L169" s="91">
        <f t="shared" si="35"/>
        <v>3.9230769230769229</v>
      </c>
      <c r="M169" s="92">
        <f>prodnorm17</f>
        <v>0</v>
      </c>
      <c r="N169" s="89" t="s">
        <v>104</v>
      </c>
      <c r="O169" s="17">
        <f>uurtarief17</f>
        <v>0</v>
      </c>
      <c r="P169" s="91" t="e">
        <f t="shared" si="36"/>
        <v>#DIV/0!</v>
      </c>
      <c r="Q169" s="17" t="e">
        <f t="shared" si="37"/>
        <v>#DIV/0!</v>
      </c>
      <c r="R169" s="91" t="e">
        <f t="shared" si="38"/>
        <v>#DIV/0!</v>
      </c>
      <c r="S169" s="18" t="e">
        <f t="shared" si="39"/>
        <v>#DIV/0!</v>
      </c>
    </row>
    <row r="170" spans="1:19" x14ac:dyDescent="0.2">
      <c r="A170" s="88" t="s">
        <v>323</v>
      </c>
      <c r="B170" s="89" t="s">
        <v>39</v>
      </c>
      <c r="C170" s="89" t="s">
        <v>212</v>
      </c>
      <c r="D170" s="89" t="s">
        <v>221</v>
      </c>
      <c r="E170" s="90" t="s">
        <v>299</v>
      </c>
      <c r="F170" s="89" t="s">
        <v>254</v>
      </c>
      <c r="G170" s="89" t="s">
        <v>191</v>
      </c>
      <c r="H170" s="89" t="s">
        <v>11</v>
      </c>
      <c r="I170" s="89" t="s">
        <v>171</v>
      </c>
      <c r="J170" s="90" t="s">
        <v>192</v>
      </c>
      <c r="K170" s="91">
        <v>3.8099999999999996</v>
      </c>
      <c r="L170" s="91">
        <f t="shared" si="35"/>
        <v>2.9307692307692306</v>
      </c>
      <c r="M170" s="92">
        <f>prodnorm17</f>
        <v>0</v>
      </c>
      <c r="N170" s="89" t="s">
        <v>104</v>
      </c>
      <c r="O170" s="17">
        <f>uurtarief17</f>
        <v>0</v>
      </c>
      <c r="P170" s="91" t="e">
        <f t="shared" si="36"/>
        <v>#DIV/0!</v>
      </c>
      <c r="Q170" s="17" t="e">
        <f t="shared" si="37"/>
        <v>#DIV/0!</v>
      </c>
      <c r="R170" s="91" t="e">
        <f t="shared" si="38"/>
        <v>#DIV/0!</v>
      </c>
      <c r="S170" s="18" t="e">
        <f t="shared" si="39"/>
        <v>#DIV/0!</v>
      </c>
    </row>
    <row r="171" spans="1:19" ht="25.5" x14ac:dyDescent="0.2">
      <c r="A171" s="88" t="s">
        <v>323</v>
      </c>
      <c r="B171" s="89" t="s">
        <v>39</v>
      </c>
      <c r="C171" s="89" t="s">
        <v>212</v>
      </c>
      <c r="D171" s="89" t="s">
        <v>223</v>
      </c>
      <c r="E171" s="90" t="s">
        <v>312</v>
      </c>
      <c r="F171" s="89" t="s">
        <v>253</v>
      </c>
      <c r="G171" s="89" t="s">
        <v>173</v>
      </c>
      <c r="H171" s="89" t="s">
        <v>11</v>
      </c>
      <c r="I171" s="89" t="s">
        <v>171</v>
      </c>
      <c r="J171" s="90" t="s">
        <v>174</v>
      </c>
      <c r="K171" s="91">
        <v>25.02</v>
      </c>
      <c r="L171" s="91">
        <f t="shared" si="35"/>
        <v>19.246153846153845</v>
      </c>
      <c r="M171" s="92">
        <f>prodnorm3</f>
        <v>0</v>
      </c>
      <c r="N171" s="89" t="s">
        <v>104</v>
      </c>
      <c r="O171" s="17">
        <f>uurtarief3</f>
        <v>0</v>
      </c>
      <c r="P171" s="91" t="e">
        <f t="shared" si="36"/>
        <v>#DIV/0!</v>
      </c>
      <c r="Q171" s="17" t="e">
        <f t="shared" si="37"/>
        <v>#DIV/0!</v>
      </c>
      <c r="R171" s="91" t="e">
        <f t="shared" si="38"/>
        <v>#DIV/0!</v>
      </c>
      <c r="S171" s="18" t="e">
        <f t="shared" si="39"/>
        <v>#DIV/0!</v>
      </c>
    </row>
    <row r="172" spans="1:19" x14ac:dyDescent="0.2">
      <c r="A172" s="88" t="s">
        <v>323</v>
      </c>
      <c r="B172" s="89" t="s">
        <v>39</v>
      </c>
      <c r="C172" s="89" t="s">
        <v>212</v>
      </c>
      <c r="D172" s="89" t="s">
        <v>224</v>
      </c>
      <c r="E172" s="90" t="s">
        <v>319</v>
      </c>
      <c r="F172" s="89" t="s">
        <v>253</v>
      </c>
      <c r="G172" s="89" t="s">
        <v>187</v>
      </c>
      <c r="H172" s="89" t="s">
        <v>11</v>
      </c>
      <c r="I172" s="89" t="s">
        <v>171</v>
      </c>
      <c r="J172" s="90" t="s">
        <v>188</v>
      </c>
      <c r="K172" s="91">
        <v>3.4299999999999997</v>
      </c>
      <c r="L172" s="91">
        <f t="shared" si="35"/>
        <v>2.6384615384615384</v>
      </c>
      <c r="M172" s="92">
        <f>prodnorm15</f>
        <v>0</v>
      </c>
      <c r="N172" s="89" t="s">
        <v>104</v>
      </c>
      <c r="O172" s="17">
        <f>uurtarief15</f>
        <v>0</v>
      </c>
      <c r="P172" s="91" t="e">
        <f t="shared" si="36"/>
        <v>#DIV/0!</v>
      </c>
      <c r="Q172" s="17" t="e">
        <f t="shared" si="37"/>
        <v>#DIV/0!</v>
      </c>
      <c r="R172" s="91" t="e">
        <f t="shared" si="38"/>
        <v>#DIV/0!</v>
      </c>
      <c r="S172" s="18" t="e">
        <f t="shared" si="39"/>
        <v>#DIV/0!</v>
      </c>
    </row>
    <row r="173" spans="1:19" x14ac:dyDescent="0.2">
      <c r="A173" s="88" t="s">
        <v>323</v>
      </c>
      <c r="B173" s="89" t="s">
        <v>39</v>
      </c>
      <c r="C173" s="89" t="s">
        <v>212</v>
      </c>
      <c r="D173" s="89" t="s">
        <v>226</v>
      </c>
      <c r="E173" s="90" t="s">
        <v>296</v>
      </c>
      <c r="F173" s="89" t="s">
        <v>254</v>
      </c>
      <c r="G173" s="89" t="s">
        <v>183</v>
      </c>
      <c r="H173" s="89" t="s">
        <v>11</v>
      </c>
      <c r="I173" s="89" t="s">
        <v>171</v>
      </c>
      <c r="J173" s="90" t="s">
        <v>184</v>
      </c>
      <c r="K173" s="91">
        <v>50.78</v>
      </c>
      <c r="L173" s="91">
        <f t="shared" si="35"/>
        <v>39.061538461538461</v>
      </c>
      <c r="M173" s="92">
        <f>prodnorm11</f>
        <v>0</v>
      </c>
      <c r="N173" s="89" t="s">
        <v>104</v>
      </c>
      <c r="O173" s="17">
        <f>uurtarief11</f>
        <v>0</v>
      </c>
      <c r="P173" s="91" t="e">
        <f t="shared" si="36"/>
        <v>#DIV/0!</v>
      </c>
      <c r="Q173" s="17" t="e">
        <f t="shared" si="37"/>
        <v>#DIV/0!</v>
      </c>
      <c r="R173" s="91" t="e">
        <f t="shared" si="38"/>
        <v>#DIV/0!</v>
      </c>
      <c r="S173" s="18" t="e">
        <f t="shared" si="39"/>
        <v>#DIV/0!</v>
      </c>
    </row>
    <row r="174" spans="1:19" ht="25.5" x14ac:dyDescent="0.2">
      <c r="A174" s="88" t="s">
        <v>323</v>
      </c>
      <c r="B174" s="89" t="s">
        <v>39</v>
      </c>
      <c r="C174" s="89" t="s">
        <v>212</v>
      </c>
      <c r="D174" s="89" t="s">
        <v>229</v>
      </c>
      <c r="E174" s="90" t="s">
        <v>324</v>
      </c>
      <c r="F174" s="89" t="s">
        <v>254</v>
      </c>
      <c r="G174" s="89" t="s">
        <v>195</v>
      </c>
      <c r="H174" s="89" t="s">
        <v>11</v>
      </c>
      <c r="I174" s="89" t="s">
        <v>171</v>
      </c>
      <c r="J174" s="90" t="s">
        <v>196</v>
      </c>
      <c r="K174" s="91">
        <v>40.160000000000004</v>
      </c>
      <c r="L174" s="91">
        <f t="shared" si="35"/>
        <v>30.892307692307696</v>
      </c>
      <c r="M174" s="92">
        <f>prodnorm20</f>
        <v>0</v>
      </c>
      <c r="N174" s="89" t="s">
        <v>104</v>
      </c>
      <c r="O174" s="17">
        <f>uurtarief20</f>
        <v>0</v>
      </c>
      <c r="P174" s="91" t="e">
        <f t="shared" si="36"/>
        <v>#DIV/0!</v>
      </c>
      <c r="Q174" s="17" t="e">
        <f t="shared" si="37"/>
        <v>#DIV/0!</v>
      </c>
      <c r="R174" s="91" t="e">
        <f t="shared" si="38"/>
        <v>#DIV/0!</v>
      </c>
      <c r="S174" s="18" t="e">
        <f t="shared" si="39"/>
        <v>#DIV/0!</v>
      </c>
    </row>
    <row r="175" spans="1:19" x14ac:dyDescent="0.2">
      <c r="A175" s="88" t="s">
        <v>323</v>
      </c>
      <c r="B175" s="89" t="s">
        <v>39</v>
      </c>
      <c r="C175" s="89" t="s">
        <v>212</v>
      </c>
      <c r="D175" s="89" t="s">
        <v>231</v>
      </c>
      <c r="E175" s="90" t="s">
        <v>325</v>
      </c>
      <c r="F175" s="89" t="s">
        <v>253</v>
      </c>
      <c r="G175" s="89" t="s">
        <v>191</v>
      </c>
      <c r="H175" s="89" t="s">
        <v>11</v>
      </c>
      <c r="I175" s="89" t="s">
        <v>171</v>
      </c>
      <c r="J175" s="90" t="s">
        <v>192</v>
      </c>
      <c r="K175" s="91">
        <v>9.4</v>
      </c>
      <c r="L175" s="91">
        <f t="shared" si="35"/>
        <v>7.2307692307692317</v>
      </c>
      <c r="M175" s="92">
        <f>prodnorm17</f>
        <v>0</v>
      </c>
      <c r="N175" s="89" t="s">
        <v>104</v>
      </c>
      <c r="O175" s="17">
        <f>uurtarief17</f>
        <v>0</v>
      </c>
      <c r="P175" s="91" t="e">
        <f t="shared" si="36"/>
        <v>#DIV/0!</v>
      </c>
      <c r="Q175" s="17" t="e">
        <f t="shared" si="37"/>
        <v>#DIV/0!</v>
      </c>
      <c r="R175" s="91" t="e">
        <f t="shared" si="38"/>
        <v>#DIV/0!</v>
      </c>
      <c r="S175" s="18" t="e">
        <f t="shared" si="39"/>
        <v>#DIV/0!</v>
      </c>
    </row>
    <row r="176" spans="1:19" x14ac:dyDescent="0.2">
      <c r="A176" s="88" t="s">
        <v>323</v>
      </c>
      <c r="B176" s="89" t="s">
        <v>39</v>
      </c>
      <c r="C176" s="89" t="s">
        <v>212</v>
      </c>
      <c r="D176" s="89" t="s">
        <v>233</v>
      </c>
      <c r="E176" s="90" t="s">
        <v>298</v>
      </c>
      <c r="F176" s="89" t="s">
        <v>259</v>
      </c>
      <c r="G176" s="89" t="s">
        <v>179</v>
      </c>
      <c r="H176" s="89" t="s">
        <v>11</v>
      </c>
      <c r="I176" s="89" t="s">
        <v>171</v>
      </c>
      <c r="J176" s="90" t="s">
        <v>180</v>
      </c>
      <c r="K176" s="91">
        <v>5.48</v>
      </c>
      <c r="L176" s="91">
        <f t="shared" si="35"/>
        <v>4.2153846153846155</v>
      </c>
      <c r="M176" s="92">
        <f>prodnorm7</f>
        <v>0</v>
      </c>
      <c r="N176" s="89" t="s">
        <v>104</v>
      </c>
      <c r="O176" s="17">
        <f>uurtarief7</f>
        <v>0</v>
      </c>
      <c r="P176" s="91" t="e">
        <f t="shared" si="36"/>
        <v>#DIV/0!</v>
      </c>
      <c r="Q176" s="17" t="e">
        <f t="shared" si="37"/>
        <v>#DIV/0!</v>
      </c>
      <c r="R176" s="91" t="e">
        <f t="shared" si="38"/>
        <v>#DIV/0!</v>
      </c>
      <c r="S176" s="18" t="e">
        <f t="shared" si="39"/>
        <v>#DIV/0!</v>
      </c>
    </row>
    <row r="177" spans="1:19" x14ac:dyDescent="0.2">
      <c r="A177" s="88" t="s">
        <v>323</v>
      </c>
      <c r="B177" s="89" t="s">
        <v>39</v>
      </c>
      <c r="C177" s="89" t="s">
        <v>212</v>
      </c>
      <c r="D177" s="89" t="s">
        <v>235</v>
      </c>
      <c r="E177" s="90" t="s">
        <v>296</v>
      </c>
      <c r="F177" s="89" t="s">
        <v>254</v>
      </c>
      <c r="G177" s="89" t="s">
        <v>183</v>
      </c>
      <c r="H177" s="89" t="s">
        <v>11</v>
      </c>
      <c r="I177" s="89" t="s">
        <v>171</v>
      </c>
      <c r="J177" s="90" t="s">
        <v>184</v>
      </c>
      <c r="K177" s="91">
        <v>52.78</v>
      </c>
      <c r="L177" s="91">
        <f t="shared" si="35"/>
        <v>40.6</v>
      </c>
      <c r="M177" s="92">
        <f>prodnorm11</f>
        <v>0</v>
      </c>
      <c r="N177" s="89" t="s">
        <v>104</v>
      </c>
      <c r="O177" s="17">
        <f>uurtarief11</f>
        <v>0</v>
      </c>
      <c r="P177" s="91" t="e">
        <f t="shared" si="36"/>
        <v>#DIV/0!</v>
      </c>
      <c r="Q177" s="17" t="e">
        <f t="shared" si="37"/>
        <v>#DIV/0!</v>
      </c>
      <c r="R177" s="91" t="e">
        <f t="shared" si="38"/>
        <v>#DIV/0!</v>
      </c>
      <c r="S177" s="18" t="e">
        <f t="shared" si="39"/>
        <v>#DIV/0!</v>
      </c>
    </row>
    <row r="178" spans="1:19" x14ac:dyDescent="0.2">
      <c r="A178" s="88" t="s">
        <v>323</v>
      </c>
      <c r="B178" s="89" t="s">
        <v>39</v>
      </c>
      <c r="C178" s="89" t="s">
        <v>212</v>
      </c>
      <c r="D178" s="89" t="s">
        <v>236</v>
      </c>
      <c r="E178" s="90" t="s">
        <v>296</v>
      </c>
      <c r="F178" s="89" t="s">
        <v>254</v>
      </c>
      <c r="G178" s="89" t="s">
        <v>183</v>
      </c>
      <c r="H178" s="89" t="s">
        <v>11</v>
      </c>
      <c r="I178" s="89" t="s">
        <v>171</v>
      </c>
      <c r="J178" s="90" t="s">
        <v>184</v>
      </c>
      <c r="K178" s="91">
        <v>52.78</v>
      </c>
      <c r="L178" s="91">
        <f t="shared" si="35"/>
        <v>40.6</v>
      </c>
      <c r="M178" s="92">
        <f>prodnorm11</f>
        <v>0</v>
      </c>
      <c r="N178" s="89" t="s">
        <v>104</v>
      </c>
      <c r="O178" s="17">
        <f>uurtarief11</f>
        <v>0</v>
      </c>
      <c r="P178" s="91" t="e">
        <f t="shared" si="36"/>
        <v>#DIV/0!</v>
      </c>
      <c r="Q178" s="17" t="e">
        <f t="shared" si="37"/>
        <v>#DIV/0!</v>
      </c>
      <c r="R178" s="91" t="e">
        <f t="shared" si="38"/>
        <v>#DIV/0!</v>
      </c>
      <c r="S178" s="18" t="e">
        <f t="shared" si="39"/>
        <v>#DIV/0!</v>
      </c>
    </row>
    <row r="179" spans="1:19" x14ac:dyDescent="0.2">
      <c r="A179" s="88" t="s">
        <v>323</v>
      </c>
      <c r="B179" s="89" t="s">
        <v>39</v>
      </c>
      <c r="C179" s="89" t="s">
        <v>212</v>
      </c>
      <c r="D179" s="89" t="s">
        <v>237</v>
      </c>
      <c r="E179" s="90" t="s">
        <v>296</v>
      </c>
      <c r="F179" s="89" t="s">
        <v>254</v>
      </c>
      <c r="G179" s="89" t="s">
        <v>183</v>
      </c>
      <c r="H179" s="89" t="s">
        <v>11</v>
      </c>
      <c r="I179" s="89" t="s">
        <v>171</v>
      </c>
      <c r="J179" s="90" t="s">
        <v>184</v>
      </c>
      <c r="K179" s="91">
        <v>52.78</v>
      </c>
      <c r="L179" s="91">
        <f t="shared" si="35"/>
        <v>40.6</v>
      </c>
      <c r="M179" s="92">
        <f>prodnorm11</f>
        <v>0</v>
      </c>
      <c r="N179" s="89" t="s">
        <v>104</v>
      </c>
      <c r="O179" s="17">
        <f>uurtarief11</f>
        <v>0</v>
      </c>
      <c r="P179" s="91" t="e">
        <f t="shared" si="36"/>
        <v>#DIV/0!</v>
      </c>
      <c r="Q179" s="17" t="e">
        <f t="shared" si="37"/>
        <v>#DIV/0!</v>
      </c>
      <c r="R179" s="91" t="e">
        <f t="shared" si="38"/>
        <v>#DIV/0!</v>
      </c>
      <c r="S179" s="18" t="e">
        <f t="shared" si="39"/>
        <v>#DIV/0!</v>
      </c>
    </row>
    <row r="180" spans="1:19" x14ac:dyDescent="0.2">
      <c r="A180" s="88" t="s">
        <v>323</v>
      </c>
      <c r="B180" s="89" t="s">
        <v>39</v>
      </c>
      <c r="C180" s="89" t="s">
        <v>212</v>
      </c>
      <c r="D180" s="89" t="s">
        <v>239</v>
      </c>
      <c r="E180" s="90" t="s">
        <v>296</v>
      </c>
      <c r="F180" s="89" t="s">
        <v>254</v>
      </c>
      <c r="G180" s="89" t="s">
        <v>183</v>
      </c>
      <c r="H180" s="89" t="s">
        <v>11</v>
      </c>
      <c r="I180" s="89" t="s">
        <v>171</v>
      </c>
      <c r="J180" s="90" t="s">
        <v>184</v>
      </c>
      <c r="K180" s="91">
        <v>44.24</v>
      </c>
      <c r="L180" s="91">
        <f t="shared" si="35"/>
        <v>34.030769230769231</v>
      </c>
      <c r="M180" s="92">
        <f>prodnorm11</f>
        <v>0</v>
      </c>
      <c r="N180" s="89" t="s">
        <v>104</v>
      </c>
      <c r="O180" s="17">
        <f>uurtarief11</f>
        <v>0</v>
      </c>
      <c r="P180" s="91" t="e">
        <f t="shared" si="36"/>
        <v>#DIV/0!</v>
      </c>
      <c r="Q180" s="17" t="e">
        <f t="shared" si="37"/>
        <v>#DIV/0!</v>
      </c>
      <c r="R180" s="91" t="e">
        <f t="shared" si="38"/>
        <v>#DIV/0!</v>
      </c>
      <c r="S180" s="18" t="e">
        <f t="shared" si="39"/>
        <v>#DIV/0!</v>
      </c>
    </row>
    <row r="181" spans="1:19" ht="25.5" x14ac:dyDescent="0.2">
      <c r="A181" s="88" t="s">
        <v>323</v>
      </c>
      <c r="B181" s="89" t="s">
        <v>39</v>
      </c>
      <c r="C181" s="89" t="s">
        <v>212</v>
      </c>
      <c r="D181" s="89" t="s">
        <v>240</v>
      </c>
      <c r="E181" s="90" t="s">
        <v>297</v>
      </c>
      <c r="F181" s="89" t="s">
        <v>254</v>
      </c>
      <c r="G181" s="89" t="s">
        <v>195</v>
      </c>
      <c r="H181" s="89" t="s">
        <v>11</v>
      </c>
      <c r="I181" s="89" t="s">
        <v>171</v>
      </c>
      <c r="J181" s="90" t="s">
        <v>196</v>
      </c>
      <c r="K181" s="91">
        <v>62.5</v>
      </c>
      <c r="L181" s="91">
        <f t="shared" si="35"/>
        <v>48.07692307692308</v>
      </c>
      <c r="M181" s="92">
        <f>prodnorm20</f>
        <v>0</v>
      </c>
      <c r="N181" s="89" t="s">
        <v>104</v>
      </c>
      <c r="O181" s="17">
        <f>uurtarief20</f>
        <v>0</v>
      </c>
      <c r="P181" s="91" t="e">
        <f t="shared" si="36"/>
        <v>#DIV/0!</v>
      </c>
      <c r="Q181" s="17" t="e">
        <f t="shared" si="37"/>
        <v>#DIV/0!</v>
      </c>
      <c r="R181" s="91" t="e">
        <f t="shared" si="38"/>
        <v>#DIV/0!</v>
      </c>
      <c r="S181" s="18" t="e">
        <f t="shared" si="39"/>
        <v>#DIV/0!</v>
      </c>
    </row>
    <row r="182" spans="1:19" x14ac:dyDescent="0.2">
      <c r="A182" s="88" t="s">
        <v>323</v>
      </c>
      <c r="B182" s="89" t="s">
        <v>39</v>
      </c>
      <c r="C182" s="89" t="s">
        <v>212</v>
      </c>
      <c r="D182" s="89" t="s">
        <v>241</v>
      </c>
      <c r="E182" s="90" t="s">
        <v>299</v>
      </c>
      <c r="F182" s="89" t="s">
        <v>253</v>
      </c>
      <c r="G182" s="89" t="s">
        <v>191</v>
      </c>
      <c r="H182" s="89" t="s">
        <v>11</v>
      </c>
      <c r="I182" s="89" t="s">
        <v>171</v>
      </c>
      <c r="J182" s="90" t="s">
        <v>192</v>
      </c>
      <c r="K182" s="91">
        <v>11.43</v>
      </c>
      <c r="L182" s="91">
        <f t="shared" si="35"/>
        <v>8.792307692307693</v>
      </c>
      <c r="M182" s="92">
        <f>prodnorm17</f>
        <v>0</v>
      </c>
      <c r="N182" s="89" t="s">
        <v>104</v>
      </c>
      <c r="O182" s="17">
        <f>uurtarief17</f>
        <v>0</v>
      </c>
      <c r="P182" s="91" t="e">
        <f t="shared" si="36"/>
        <v>#DIV/0!</v>
      </c>
      <c r="Q182" s="17" t="e">
        <f t="shared" si="37"/>
        <v>#DIV/0!</v>
      </c>
      <c r="R182" s="91" t="e">
        <f t="shared" si="38"/>
        <v>#DIV/0!</v>
      </c>
      <c r="S182" s="18" t="e">
        <f t="shared" si="39"/>
        <v>#DIV/0!</v>
      </c>
    </row>
    <row r="183" spans="1:19" ht="25.5" x14ac:dyDescent="0.2">
      <c r="A183" s="88" t="s">
        <v>323</v>
      </c>
      <c r="B183" s="89" t="s">
        <v>39</v>
      </c>
      <c r="C183" s="89" t="s">
        <v>212</v>
      </c>
      <c r="D183" s="89" t="s">
        <v>242</v>
      </c>
      <c r="E183" s="90" t="s">
        <v>297</v>
      </c>
      <c r="F183" s="89" t="s">
        <v>228</v>
      </c>
      <c r="G183" s="89" t="s">
        <v>197</v>
      </c>
      <c r="H183" s="89" t="s">
        <v>11</v>
      </c>
      <c r="I183" s="89" t="s">
        <v>171</v>
      </c>
      <c r="J183" s="90" t="s">
        <v>198</v>
      </c>
      <c r="K183" s="91">
        <v>1.24</v>
      </c>
      <c r="L183" s="91">
        <f t="shared" si="35"/>
        <v>0.9538461538461539</v>
      </c>
      <c r="M183" s="92">
        <f>prodnorm22</f>
        <v>0</v>
      </c>
      <c r="N183" s="89" t="s">
        <v>104</v>
      </c>
      <c r="O183" s="17">
        <f>uurtarief22</f>
        <v>0</v>
      </c>
      <c r="P183" s="91" t="e">
        <f t="shared" si="36"/>
        <v>#DIV/0!</v>
      </c>
      <c r="Q183" s="17" t="e">
        <f t="shared" si="37"/>
        <v>#DIV/0!</v>
      </c>
      <c r="R183" s="91" t="e">
        <f t="shared" si="38"/>
        <v>#DIV/0!</v>
      </c>
      <c r="S183" s="18" t="e">
        <f t="shared" si="39"/>
        <v>#DIV/0!</v>
      </c>
    </row>
    <row r="184" spans="1:19" x14ac:dyDescent="0.2">
      <c r="A184" s="88" t="s">
        <v>323</v>
      </c>
      <c r="B184" s="89" t="s">
        <v>39</v>
      </c>
      <c r="C184" s="89" t="s">
        <v>212</v>
      </c>
      <c r="D184" s="89" t="s">
        <v>243</v>
      </c>
      <c r="E184" s="90" t="s">
        <v>299</v>
      </c>
      <c r="F184" s="89" t="s">
        <v>300</v>
      </c>
      <c r="G184" s="89" t="s">
        <v>191</v>
      </c>
      <c r="H184" s="89" t="s">
        <v>11</v>
      </c>
      <c r="I184" s="89" t="s">
        <v>171</v>
      </c>
      <c r="J184" s="90" t="s">
        <v>192</v>
      </c>
      <c r="K184" s="91">
        <v>2.6</v>
      </c>
      <c r="L184" s="91">
        <f t="shared" si="35"/>
        <v>2</v>
      </c>
      <c r="M184" s="92">
        <f>prodnorm17</f>
        <v>0</v>
      </c>
      <c r="N184" s="89" t="s">
        <v>104</v>
      </c>
      <c r="O184" s="17">
        <f>uurtarief17</f>
        <v>0</v>
      </c>
      <c r="P184" s="91" t="e">
        <f t="shared" si="36"/>
        <v>#DIV/0!</v>
      </c>
      <c r="Q184" s="17" t="e">
        <f t="shared" si="37"/>
        <v>#DIV/0!</v>
      </c>
      <c r="R184" s="91" t="e">
        <f t="shared" si="38"/>
        <v>#DIV/0!</v>
      </c>
      <c r="S184" s="18" t="e">
        <f t="shared" si="39"/>
        <v>#DIV/0!</v>
      </c>
    </row>
    <row r="185" spans="1:19" ht="25.5" x14ac:dyDescent="0.2">
      <c r="A185" s="88" t="s">
        <v>323</v>
      </c>
      <c r="B185" s="89" t="s">
        <v>39</v>
      </c>
      <c r="C185" s="89" t="s">
        <v>212</v>
      </c>
      <c r="D185" s="89" t="s">
        <v>245</v>
      </c>
      <c r="E185" s="90" t="s">
        <v>315</v>
      </c>
      <c r="F185" s="89" t="s">
        <v>253</v>
      </c>
      <c r="G185" s="89" t="s">
        <v>195</v>
      </c>
      <c r="H185" s="89" t="s">
        <v>11</v>
      </c>
      <c r="I185" s="89" t="s">
        <v>171</v>
      </c>
      <c r="J185" s="90" t="s">
        <v>196</v>
      </c>
      <c r="K185" s="91">
        <v>7.9</v>
      </c>
      <c r="L185" s="91">
        <f t="shared" si="35"/>
        <v>6.0769230769230775</v>
      </c>
      <c r="M185" s="92">
        <f>prodnorm20</f>
        <v>0</v>
      </c>
      <c r="N185" s="89" t="s">
        <v>104</v>
      </c>
      <c r="O185" s="17">
        <f>uurtarief20</f>
        <v>0</v>
      </c>
      <c r="P185" s="91" t="e">
        <f t="shared" si="36"/>
        <v>#DIV/0!</v>
      </c>
      <c r="Q185" s="17" t="e">
        <f t="shared" si="37"/>
        <v>#DIV/0!</v>
      </c>
      <c r="R185" s="91" t="e">
        <f t="shared" si="38"/>
        <v>#DIV/0!</v>
      </c>
      <c r="S185" s="18" t="e">
        <f t="shared" si="39"/>
        <v>#DIV/0!</v>
      </c>
    </row>
    <row r="186" spans="1:19" x14ac:dyDescent="0.2">
      <c r="A186" s="88" t="s">
        <v>323</v>
      </c>
      <c r="B186" s="89" t="s">
        <v>39</v>
      </c>
      <c r="C186" s="89" t="s">
        <v>212</v>
      </c>
      <c r="D186" s="89" t="s">
        <v>246</v>
      </c>
      <c r="E186" s="90" t="s">
        <v>316</v>
      </c>
      <c r="F186" s="89" t="s">
        <v>309</v>
      </c>
      <c r="G186" s="89" t="s">
        <v>193</v>
      </c>
      <c r="H186" s="89" t="s">
        <v>11</v>
      </c>
      <c r="I186" s="89" t="s">
        <v>171</v>
      </c>
      <c r="J186" s="90" t="s">
        <v>194</v>
      </c>
      <c r="K186" s="91">
        <v>6.9</v>
      </c>
      <c r="L186" s="91">
        <f t="shared" si="35"/>
        <v>5.3076923076923084</v>
      </c>
      <c r="M186" s="92">
        <f>prodnorm19</f>
        <v>0</v>
      </c>
      <c r="N186" s="89" t="s">
        <v>104</v>
      </c>
      <c r="O186" s="17">
        <f>uurtarief19</f>
        <v>0</v>
      </c>
      <c r="P186" s="91" t="e">
        <f t="shared" si="36"/>
        <v>#DIV/0!</v>
      </c>
      <c r="Q186" s="17" t="e">
        <f t="shared" si="37"/>
        <v>#DIV/0!</v>
      </c>
      <c r="R186" s="91" t="e">
        <f t="shared" si="38"/>
        <v>#DIV/0!</v>
      </c>
      <c r="S186" s="18" t="e">
        <f t="shared" si="39"/>
        <v>#DIV/0!</v>
      </c>
    </row>
    <row r="187" spans="1:19" ht="25.5" x14ac:dyDescent="0.2">
      <c r="A187" s="88" t="s">
        <v>323</v>
      </c>
      <c r="B187" s="89" t="s">
        <v>39</v>
      </c>
      <c r="C187" s="89" t="s">
        <v>268</v>
      </c>
      <c r="D187" s="89" t="s">
        <v>269</v>
      </c>
      <c r="E187" s="90" t="s">
        <v>312</v>
      </c>
      <c r="F187" s="89" t="s">
        <v>228</v>
      </c>
      <c r="G187" s="89" t="s">
        <v>175</v>
      </c>
      <c r="H187" s="89" t="s">
        <v>17</v>
      </c>
      <c r="I187" s="89" t="s">
        <v>171</v>
      </c>
      <c r="J187" s="90" t="s">
        <v>176</v>
      </c>
      <c r="K187" s="91">
        <v>22</v>
      </c>
      <c r="L187" s="91">
        <f t="shared" si="35"/>
        <v>3.384615384615385</v>
      </c>
      <c r="M187" s="92">
        <f>prodnorm5</f>
        <v>0</v>
      </c>
      <c r="N187" s="89" t="s">
        <v>104</v>
      </c>
      <c r="O187" s="17">
        <f>uurtarief5</f>
        <v>0</v>
      </c>
      <c r="P187" s="91" t="e">
        <f t="shared" si="36"/>
        <v>#DIV/0!</v>
      </c>
      <c r="Q187" s="17" t="e">
        <f t="shared" si="37"/>
        <v>#DIV/0!</v>
      </c>
      <c r="R187" s="91" t="e">
        <f t="shared" si="38"/>
        <v>#DIV/0!</v>
      </c>
      <c r="S187" s="18" t="e">
        <f t="shared" si="39"/>
        <v>#DIV/0!</v>
      </c>
    </row>
    <row r="188" spans="1:19" ht="25.5" x14ac:dyDescent="0.2">
      <c r="A188" s="93" t="s">
        <v>323</v>
      </c>
      <c r="B188" s="94" t="s">
        <v>39</v>
      </c>
      <c r="C188" s="94" t="s">
        <v>268</v>
      </c>
      <c r="D188" s="94" t="s">
        <v>270</v>
      </c>
      <c r="E188" s="95" t="s">
        <v>297</v>
      </c>
      <c r="F188" s="94" t="s">
        <v>228</v>
      </c>
      <c r="G188" s="94" t="s">
        <v>197</v>
      </c>
      <c r="H188" s="94" t="s">
        <v>17</v>
      </c>
      <c r="I188" s="94" t="s">
        <v>171</v>
      </c>
      <c r="J188" s="95" t="s">
        <v>198</v>
      </c>
      <c r="K188" s="96">
        <v>6.2</v>
      </c>
      <c r="L188" s="96">
        <f t="shared" si="35"/>
        <v>0.9538461538461539</v>
      </c>
      <c r="M188" s="97">
        <f>prodnorm23</f>
        <v>0</v>
      </c>
      <c r="N188" s="94" t="s">
        <v>104</v>
      </c>
      <c r="O188" s="26">
        <f>uurtarief23</f>
        <v>0</v>
      </c>
      <c r="P188" s="96" t="e">
        <f t="shared" si="36"/>
        <v>#DIV/0!</v>
      </c>
      <c r="Q188" s="26" t="e">
        <f t="shared" si="37"/>
        <v>#DIV/0!</v>
      </c>
      <c r="R188" s="96" t="e">
        <f t="shared" si="38"/>
        <v>#DIV/0!</v>
      </c>
      <c r="S188" s="27" t="e">
        <f t="shared" si="39"/>
        <v>#DIV/0!</v>
      </c>
    </row>
    <row r="189" spans="1:19" x14ac:dyDescent="0.2">
      <c r="A189" s="98" t="s">
        <v>250</v>
      </c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8" t="e">
        <f>IF(_xlfn.SINGLE(object9_urenjaar1)&gt;0,_xlfn.SINGLE(object9_prijsjaar1)/_xlfn.SINGLE(object9_urenjaar1),0)</f>
        <v>#DIV/0!</v>
      </c>
      <c r="P189" s="67" t="e">
        <f>SUM(P166:P188)</f>
        <v>#DIV/0!</v>
      </c>
      <c r="Q189" s="68" t="e">
        <f>SUM(Q166:Q188)</f>
        <v>#DIV/0!</v>
      </c>
      <c r="R189" s="67" t="e">
        <f>SUM(R166:R188)</f>
        <v>#DIV/0!</v>
      </c>
      <c r="S189" s="69" t="e">
        <f>SUM(S166:S188)</f>
        <v>#DIV/0!</v>
      </c>
    </row>
    <row r="190" spans="1:19" x14ac:dyDescent="0.2">
      <c r="A190" s="74" t="s">
        <v>326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64"/>
    </row>
    <row r="191" spans="1:19" ht="25.5" x14ac:dyDescent="0.2">
      <c r="A191" s="81" t="s">
        <v>327</v>
      </c>
      <c r="B191" s="82" t="s">
        <v>39</v>
      </c>
      <c r="C191" s="82" t="s">
        <v>212</v>
      </c>
      <c r="D191" s="82" t="s">
        <v>213</v>
      </c>
      <c r="E191" s="83" t="s">
        <v>328</v>
      </c>
      <c r="F191" s="82" t="s">
        <v>254</v>
      </c>
      <c r="G191" s="82" t="s">
        <v>173</v>
      </c>
      <c r="H191" s="82" t="s">
        <v>11</v>
      </c>
      <c r="I191" s="82" t="s">
        <v>171</v>
      </c>
      <c r="J191" s="83" t="s">
        <v>174</v>
      </c>
      <c r="K191" s="84">
        <v>51.1</v>
      </c>
      <c r="L191" s="84">
        <f t="shared" ref="L191:L220" si="40">K191*VLOOKUP(H191,dagsoorttabel1,2,FALSE)</f>
        <v>39.307692307692314</v>
      </c>
      <c r="M191" s="85">
        <f>prodnorm3</f>
        <v>0</v>
      </c>
      <c r="N191" s="82" t="s">
        <v>104</v>
      </c>
      <c r="O191" s="86">
        <f>uurtarief3</f>
        <v>0</v>
      </c>
      <c r="P191" s="84" t="e">
        <f t="shared" ref="P191:P220" si="41">IF(ISBLANK(M191),0,L191/ROUND(M191,4))</f>
        <v>#DIV/0!</v>
      </c>
      <c r="Q191" s="86" t="e">
        <f t="shared" ref="Q191:Q220" si="42">ROUND(O191,2)*P191</f>
        <v>#DIV/0!</v>
      </c>
      <c r="R191" s="84" t="e">
        <f t="shared" ref="R191:R220" si="43">P191*dagenperjaar1</f>
        <v>#DIV/0!</v>
      </c>
      <c r="S191" s="87" t="e">
        <f t="shared" ref="S191:S220" si="44">R191*ROUND(O191,2)</f>
        <v>#DIV/0!</v>
      </c>
    </row>
    <row r="192" spans="1:19" ht="25.5" x14ac:dyDescent="0.2">
      <c r="A192" s="88" t="s">
        <v>327</v>
      </c>
      <c r="B192" s="89" t="s">
        <v>39</v>
      </c>
      <c r="C192" s="89" t="s">
        <v>212</v>
      </c>
      <c r="D192" s="89" t="s">
        <v>276</v>
      </c>
      <c r="E192" s="90" t="s">
        <v>312</v>
      </c>
      <c r="F192" s="89" t="s">
        <v>254</v>
      </c>
      <c r="G192" s="89" t="s">
        <v>173</v>
      </c>
      <c r="H192" s="89" t="s">
        <v>11</v>
      </c>
      <c r="I192" s="89" t="s">
        <v>171</v>
      </c>
      <c r="J192" s="90" t="s">
        <v>174</v>
      </c>
      <c r="K192" s="91">
        <v>9.06</v>
      </c>
      <c r="L192" s="91">
        <f t="shared" si="40"/>
        <v>6.9692307692307702</v>
      </c>
      <c r="M192" s="92">
        <f>prodnorm3</f>
        <v>0</v>
      </c>
      <c r="N192" s="89" t="s">
        <v>104</v>
      </c>
      <c r="O192" s="17">
        <f>uurtarief3</f>
        <v>0</v>
      </c>
      <c r="P192" s="91" t="e">
        <f t="shared" si="41"/>
        <v>#DIV/0!</v>
      </c>
      <c r="Q192" s="17" t="e">
        <f t="shared" si="42"/>
        <v>#DIV/0!</v>
      </c>
      <c r="R192" s="91" t="e">
        <f t="shared" si="43"/>
        <v>#DIV/0!</v>
      </c>
      <c r="S192" s="18" t="e">
        <f t="shared" si="44"/>
        <v>#DIV/0!</v>
      </c>
    </row>
    <row r="193" spans="1:19" ht="25.5" x14ac:dyDescent="0.2">
      <c r="A193" s="88" t="s">
        <v>327</v>
      </c>
      <c r="B193" s="89" t="s">
        <v>39</v>
      </c>
      <c r="C193" s="89" t="s">
        <v>212</v>
      </c>
      <c r="D193" s="89" t="s">
        <v>216</v>
      </c>
      <c r="E193" s="90" t="s">
        <v>324</v>
      </c>
      <c r="F193" s="89" t="s">
        <v>254</v>
      </c>
      <c r="G193" s="89" t="s">
        <v>195</v>
      </c>
      <c r="H193" s="89" t="s">
        <v>11</v>
      </c>
      <c r="I193" s="89" t="s">
        <v>171</v>
      </c>
      <c r="J193" s="90" t="s">
        <v>196</v>
      </c>
      <c r="K193" s="91">
        <v>57.93</v>
      </c>
      <c r="L193" s="91">
        <f t="shared" si="40"/>
        <v>44.561538461538461</v>
      </c>
      <c r="M193" s="92">
        <f>prodnorm20</f>
        <v>0</v>
      </c>
      <c r="N193" s="89" t="s">
        <v>104</v>
      </c>
      <c r="O193" s="17">
        <f>uurtarief20</f>
        <v>0</v>
      </c>
      <c r="P193" s="91" t="e">
        <f t="shared" si="41"/>
        <v>#DIV/0!</v>
      </c>
      <c r="Q193" s="17" t="e">
        <f t="shared" si="42"/>
        <v>#DIV/0!</v>
      </c>
      <c r="R193" s="91" t="e">
        <f t="shared" si="43"/>
        <v>#DIV/0!</v>
      </c>
      <c r="S193" s="18" t="e">
        <f t="shared" si="44"/>
        <v>#DIV/0!</v>
      </c>
    </row>
    <row r="194" spans="1:19" x14ac:dyDescent="0.2">
      <c r="A194" s="88" t="s">
        <v>327</v>
      </c>
      <c r="B194" s="89" t="s">
        <v>39</v>
      </c>
      <c r="C194" s="89" t="s">
        <v>212</v>
      </c>
      <c r="D194" s="89" t="s">
        <v>219</v>
      </c>
      <c r="E194" s="90" t="s">
        <v>296</v>
      </c>
      <c r="F194" s="89" t="s">
        <v>254</v>
      </c>
      <c r="G194" s="89" t="s">
        <v>183</v>
      </c>
      <c r="H194" s="89" t="s">
        <v>11</v>
      </c>
      <c r="I194" s="89" t="s">
        <v>171</v>
      </c>
      <c r="J194" s="90" t="s">
        <v>184</v>
      </c>
      <c r="K194" s="91">
        <v>66.099999999999994</v>
      </c>
      <c r="L194" s="91">
        <f t="shared" si="40"/>
        <v>50.846153846153847</v>
      </c>
      <c r="M194" s="92">
        <f>prodnorm11</f>
        <v>0</v>
      </c>
      <c r="N194" s="89" t="s">
        <v>104</v>
      </c>
      <c r="O194" s="17">
        <f>uurtarief11</f>
        <v>0</v>
      </c>
      <c r="P194" s="91" t="e">
        <f t="shared" si="41"/>
        <v>#DIV/0!</v>
      </c>
      <c r="Q194" s="17" t="e">
        <f t="shared" si="42"/>
        <v>#DIV/0!</v>
      </c>
      <c r="R194" s="91" t="e">
        <f t="shared" si="43"/>
        <v>#DIV/0!</v>
      </c>
      <c r="S194" s="18" t="e">
        <f t="shared" si="44"/>
        <v>#DIV/0!</v>
      </c>
    </row>
    <row r="195" spans="1:19" x14ac:dyDescent="0.2">
      <c r="A195" s="88" t="s">
        <v>327</v>
      </c>
      <c r="B195" s="89" t="s">
        <v>39</v>
      </c>
      <c r="C195" s="89" t="s">
        <v>212</v>
      </c>
      <c r="D195" s="89" t="s">
        <v>221</v>
      </c>
      <c r="E195" s="90" t="s">
        <v>298</v>
      </c>
      <c r="F195" s="89" t="s">
        <v>259</v>
      </c>
      <c r="G195" s="89" t="s">
        <v>179</v>
      </c>
      <c r="H195" s="89" t="s">
        <v>11</v>
      </c>
      <c r="I195" s="89" t="s">
        <v>171</v>
      </c>
      <c r="J195" s="90" t="s">
        <v>180</v>
      </c>
      <c r="K195" s="91">
        <v>7.9</v>
      </c>
      <c r="L195" s="91">
        <f t="shared" si="40"/>
        <v>6.0769230769230775</v>
      </c>
      <c r="M195" s="92">
        <f>prodnorm7</f>
        <v>0</v>
      </c>
      <c r="N195" s="89" t="s">
        <v>104</v>
      </c>
      <c r="O195" s="17">
        <f>uurtarief7</f>
        <v>0</v>
      </c>
      <c r="P195" s="91" t="e">
        <f t="shared" si="41"/>
        <v>#DIV/0!</v>
      </c>
      <c r="Q195" s="17" t="e">
        <f t="shared" si="42"/>
        <v>#DIV/0!</v>
      </c>
      <c r="R195" s="91" t="e">
        <f t="shared" si="43"/>
        <v>#DIV/0!</v>
      </c>
      <c r="S195" s="18" t="e">
        <f t="shared" si="44"/>
        <v>#DIV/0!</v>
      </c>
    </row>
    <row r="196" spans="1:19" ht="25.5" x14ac:dyDescent="0.2">
      <c r="A196" s="88" t="s">
        <v>327</v>
      </c>
      <c r="B196" s="89" t="s">
        <v>39</v>
      </c>
      <c r="C196" s="89" t="s">
        <v>212</v>
      </c>
      <c r="D196" s="89" t="s">
        <v>223</v>
      </c>
      <c r="E196" s="90" t="s">
        <v>324</v>
      </c>
      <c r="F196" s="89" t="s">
        <v>254</v>
      </c>
      <c r="G196" s="89" t="s">
        <v>195</v>
      </c>
      <c r="H196" s="89" t="s">
        <v>11</v>
      </c>
      <c r="I196" s="89" t="s">
        <v>171</v>
      </c>
      <c r="J196" s="90" t="s">
        <v>196</v>
      </c>
      <c r="K196" s="91">
        <v>47.3</v>
      </c>
      <c r="L196" s="91">
        <f t="shared" si="40"/>
        <v>36.384615384615387</v>
      </c>
      <c r="M196" s="92">
        <f>prodnorm20</f>
        <v>0</v>
      </c>
      <c r="N196" s="89" t="s">
        <v>104</v>
      </c>
      <c r="O196" s="17">
        <f>uurtarief20</f>
        <v>0</v>
      </c>
      <c r="P196" s="91" t="e">
        <f t="shared" si="41"/>
        <v>#DIV/0!</v>
      </c>
      <c r="Q196" s="17" t="e">
        <f t="shared" si="42"/>
        <v>#DIV/0!</v>
      </c>
      <c r="R196" s="91" t="e">
        <f t="shared" si="43"/>
        <v>#DIV/0!</v>
      </c>
      <c r="S196" s="18" t="e">
        <f t="shared" si="44"/>
        <v>#DIV/0!</v>
      </c>
    </row>
    <row r="197" spans="1:19" ht="25.5" x14ac:dyDescent="0.2">
      <c r="A197" s="88" t="s">
        <v>327</v>
      </c>
      <c r="B197" s="89" t="s">
        <v>39</v>
      </c>
      <c r="C197" s="89" t="s">
        <v>212</v>
      </c>
      <c r="D197" s="89" t="s">
        <v>329</v>
      </c>
      <c r="E197" s="90" t="s">
        <v>324</v>
      </c>
      <c r="F197" s="89" t="s">
        <v>259</v>
      </c>
      <c r="G197" s="89" t="s">
        <v>197</v>
      </c>
      <c r="H197" s="89" t="s">
        <v>11</v>
      </c>
      <c r="I197" s="89" t="s">
        <v>171</v>
      </c>
      <c r="J197" s="90" t="s">
        <v>198</v>
      </c>
      <c r="K197" s="91">
        <v>5.9</v>
      </c>
      <c r="L197" s="91">
        <f t="shared" si="40"/>
        <v>4.5384615384615392</v>
      </c>
      <c r="M197" s="92">
        <f>prodnorm22</f>
        <v>0</v>
      </c>
      <c r="N197" s="89" t="s">
        <v>104</v>
      </c>
      <c r="O197" s="17">
        <f>uurtarief22</f>
        <v>0</v>
      </c>
      <c r="P197" s="91" t="e">
        <f t="shared" si="41"/>
        <v>#DIV/0!</v>
      </c>
      <c r="Q197" s="17" t="e">
        <f t="shared" si="42"/>
        <v>#DIV/0!</v>
      </c>
      <c r="R197" s="91" t="e">
        <f t="shared" si="43"/>
        <v>#DIV/0!</v>
      </c>
      <c r="S197" s="18" t="e">
        <f t="shared" si="44"/>
        <v>#DIV/0!</v>
      </c>
    </row>
    <row r="198" spans="1:19" x14ac:dyDescent="0.2">
      <c r="A198" s="88" t="s">
        <v>327</v>
      </c>
      <c r="B198" s="89" t="s">
        <v>39</v>
      </c>
      <c r="C198" s="89" t="s">
        <v>212</v>
      </c>
      <c r="D198" s="89" t="s">
        <v>224</v>
      </c>
      <c r="E198" s="90" t="s">
        <v>299</v>
      </c>
      <c r="F198" s="89" t="s">
        <v>253</v>
      </c>
      <c r="G198" s="89" t="s">
        <v>191</v>
      </c>
      <c r="H198" s="89" t="s">
        <v>11</v>
      </c>
      <c r="I198" s="89" t="s">
        <v>171</v>
      </c>
      <c r="J198" s="90" t="s">
        <v>192</v>
      </c>
      <c r="K198" s="91">
        <v>7.5</v>
      </c>
      <c r="L198" s="91">
        <f t="shared" si="40"/>
        <v>5.7692307692307692</v>
      </c>
      <c r="M198" s="92">
        <f>prodnorm17</f>
        <v>0</v>
      </c>
      <c r="N198" s="89" t="s">
        <v>104</v>
      </c>
      <c r="O198" s="17">
        <f>uurtarief17</f>
        <v>0</v>
      </c>
      <c r="P198" s="91" t="e">
        <f t="shared" si="41"/>
        <v>#DIV/0!</v>
      </c>
      <c r="Q198" s="17" t="e">
        <f t="shared" si="42"/>
        <v>#DIV/0!</v>
      </c>
      <c r="R198" s="91" t="e">
        <f t="shared" si="43"/>
        <v>#DIV/0!</v>
      </c>
      <c r="S198" s="18" t="e">
        <f t="shared" si="44"/>
        <v>#DIV/0!</v>
      </c>
    </row>
    <row r="199" spans="1:19" ht="25.5" x14ac:dyDescent="0.2">
      <c r="A199" s="88" t="s">
        <v>327</v>
      </c>
      <c r="B199" s="89" t="s">
        <v>39</v>
      </c>
      <c r="C199" s="89" t="s">
        <v>212</v>
      </c>
      <c r="D199" s="89" t="s">
        <v>226</v>
      </c>
      <c r="E199" s="90" t="s">
        <v>315</v>
      </c>
      <c r="F199" s="89" t="s">
        <v>254</v>
      </c>
      <c r="G199" s="89" t="s">
        <v>195</v>
      </c>
      <c r="H199" s="89" t="s">
        <v>11</v>
      </c>
      <c r="I199" s="89" t="s">
        <v>171</v>
      </c>
      <c r="J199" s="90" t="s">
        <v>196</v>
      </c>
      <c r="K199" s="91">
        <v>14.43</v>
      </c>
      <c r="L199" s="91">
        <f t="shared" si="40"/>
        <v>11.1</v>
      </c>
      <c r="M199" s="92">
        <f>prodnorm20</f>
        <v>0</v>
      </c>
      <c r="N199" s="89" t="s">
        <v>104</v>
      </c>
      <c r="O199" s="17">
        <f>uurtarief20</f>
        <v>0</v>
      </c>
      <c r="P199" s="91" t="e">
        <f t="shared" si="41"/>
        <v>#DIV/0!</v>
      </c>
      <c r="Q199" s="17" t="e">
        <f t="shared" si="42"/>
        <v>#DIV/0!</v>
      </c>
      <c r="R199" s="91" t="e">
        <f t="shared" si="43"/>
        <v>#DIV/0!</v>
      </c>
      <c r="S199" s="18" t="e">
        <f t="shared" si="44"/>
        <v>#DIV/0!</v>
      </c>
    </row>
    <row r="200" spans="1:19" ht="25.5" x14ac:dyDescent="0.2">
      <c r="A200" s="88" t="s">
        <v>327</v>
      </c>
      <c r="B200" s="89" t="s">
        <v>39</v>
      </c>
      <c r="C200" s="89" t="s">
        <v>212</v>
      </c>
      <c r="D200" s="89" t="s">
        <v>229</v>
      </c>
      <c r="E200" s="90" t="s">
        <v>318</v>
      </c>
      <c r="F200" s="89" t="s">
        <v>254</v>
      </c>
      <c r="G200" s="89" t="s">
        <v>173</v>
      </c>
      <c r="H200" s="89" t="s">
        <v>11</v>
      </c>
      <c r="I200" s="89" t="s">
        <v>171</v>
      </c>
      <c r="J200" s="90" t="s">
        <v>174</v>
      </c>
      <c r="K200" s="91">
        <v>32.28</v>
      </c>
      <c r="L200" s="91">
        <f t="shared" si="40"/>
        <v>24.830769230769231</v>
      </c>
      <c r="M200" s="92">
        <f>prodnorm3</f>
        <v>0</v>
      </c>
      <c r="N200" s="89" t="s">
        <v>104</v>
      </c>
      <c r="O200" s="17">
        <f>uurtarief3</f>
        <v>0</v>
      </c>
      <c r="P200" s="91" t="e">
        <f t="shared" si="41"/>
        <v>#DIV/0!</v>
      </c>
      <c r="Q200" s="17" t="e">
        <f t="shared" si="42"/>
        <v>#DIV/0!</v>
      </c>
      <c r="R200" s="91" t="e">
        <f t="shared" si="43"/>
        <v>#DIV/0!</v>
      </c>
      <c r="S200" s="18" t="e">
        <f t="shared" si="44"/>
        <v>#DIV/0!</v>
      </c>
    </row>
    <row r="201" spans="1:19" ht="25.5" x14ac:dyDescent="0.2">
      <c r="A201" s="88" t="s">
        <v>327</v>
      </c>
      <c r="B201" s="89" t="s">
        <v>39</v>
      </c>
      <c r="C201" s="89" t="s">
        <v>212</v>
      </c>
      <c r="D201" s="89" t="s">
        <v>231</v>
      </c>
      <c r="E201" s="90" t="s">
        <v>330</v>
      </c>
      <c r="F201" s="89" t="s">
        <v>215</v>
      </c>
      <c r="G201" s="89" t="s">
        <v>181</v>
      </c>
      <c r="H201" s="89" t="s">
        <v>11</v>
      </c>
      <c r="I201" s="89" t="s">
        <v>171</v>
      </c>
      <c r="J201" s="90" t="s">
        <v>182</v>
      </c>
      <c r="K201" s="91">
        <v>81</v>
      </c>
      <c r="L201" s="91">
        <f t="shared" si="40"/>
        <v>62.307692307692314</v>
      </c>
      <c r="M201" s="92">
        <f>prodnorm8</f>
        <v>0</v>
      </c>
      <c r="N201" s="89" t="s">
        <v>104</v>
      </c>
      <c r="O201" s="17">
        <f>uurtarief8</f>
        <v>0</v>
      </c>
      <c r="P201" s="91" t="e">
        <f t="shared" si="41"/>
        <v>#DIV/0!</v>
      </c>
      <c r="Q201" s="17" t="e">
        <f t="shared" si="42"/>
        <v>#DIV/0!</v>
      </c>
      <c r="R201" s="91" t="e">
        <f t="shared" si="43"/>
        <v>#DIV/0!</v>
      </c>
      <c r="S201" s="18" t="e">
        <f t="shared" si="44"/>
        <v>#DIV/0!</v>
      </c>
    </row>
    <row r="202" spans="1:19" ht="25.5" x14ac:dyDescent="0.2">
      <c r="A202" s="88" t="s">
        <v>327</v>
      </c>
      <c r="B202" s="89" t="s">
        <v>39</v>
      </c>
      <c r="C202" s="89" t="s">
        <v>212</v>
      </c>
      <c r="D202" s="89" t="s">
        <v>331</v>
      </c>
      <c r="E202" s="90" t="s">
        <v>306</v>
      </c>
      <c r="F202" s="89" t="s">
        <v>215</v>
      </c>
      <c r="G202" s="89" t="s">
        <v>181</v>
      </c>
      <c r="H202" s="89" t="s">
        <v>17</v>
      </c>
      <c r="I202" s="89" t="s">
        <v>171</v>
      </c>
      <c r="J202" s="90" t="s">
        <v>182</v>
      </c>
      <c r="K202" s="91">
        <v>5.9</v>
      </c>
      <c r="L202" s="91">
        <f t="shared" si="40"/>
        <v>0.9076923076923078</v>
      </c>
      <c r="M202" s="92">
        <f>prodnorm9</f>
        <v>0</v>
      </c>
      <c r="N202" s="89" t="s">
        <v>104</v>
      </c>
      <c r="O202" s="17">
        <f>uurtarief9</f>
        <v>0</v>
      </c>
      <c r="P202" s="91" t="e">
        <f t="shared" si="41"/>
        <v>#DIV/0!</v>
      </c>
      <c r="Q202" s="17" t="e">
        <f t="shared" si="42"/>
        <v>#DIV/0!</v>
      </c>
      <c r="R202" s="91" t="e">
        <f t="shared" si="43"/>
        <v>#DIV/0!</v>
      </c>
      <c r="S202" s="18" t="e">
        <f t="shared" si="44"/>
        <v>#DIV/0!</v>
      </c>
    </row>
    <row r="203" spans="1:19" x14ac:dyDescent="0.2">
      <c r="A203" s="88" t="s">
        <v>327</v>
      </c>
      <c r="B203" s="89" t="s">
        <v>39</v>
      </c>
      <c r="C203" s="89" t="s">
        <v>212</v>
      </c>
      <c r="D203" s="89" t="s">
        <v>233</v>
      </c>
      <c r="E203" s="90" t="s">
        <v>316</v>
      </c>
      <c r="F203" s="89" t="s">
        <v>254</v>
      </c>
      <c r="G203" s="89" t="s">
        <v>193</v>
      </c>
      <c r="H203" s="89" t="s">
        <v>11</v>
      </c>
      <c r="I203" s="89" t="s">
        <v>171</v>
      </c>
      <c r="J203" s="90" t="s">
        <v>194</v>
      </c>
      <c r="K203" s="91">
        <v>5</v>
      </c>
      <c r="L203" s="91">
        <f t="shared" si="40"/>
        <v>3.8461538461538463</v>
      </c>
      <c r="M203" s="92">
        <f>prodnorm19</f>
        <v>0</v>
      </c>
      <c r="N203" s="89" t="s">
        <v>104</v>
      </c>
      <c r="O203" s="17">
        <f>uurtarief19</f>
        <v>0</v>
      </c>
      <c r="P203" s="91" t="e">
        <f t="shared" si="41"/>
        <v>#DIV/0!</v>
      </c>
      <c r="Q203" s="17" t="e">
        <f t="shared" si="42"/>
        <v>#DIV/0!</v>
      </c>
      <c r="R203" s="91" t="e">
        <f t="shared" si="43"/>
        <v>#DIV/0!</v>
      </c>
      <c r="S203" s="18" t="e">
        <f t="shared" si="44"/>
        <v>#DIV/0!</v>
      </c>
    </row>
    <row r="204" spans="1:19" x14ac:dyDescent="0.2">
      <c r="A204" s="88" t="s">
        <v>327</v>
      </c>
      <c r="B204" s="89" t="s">
        <v>39</v>
      </c>
      <c r="C204" s="89" t="s">
        <v>212</v>
      </c>
      <c r="D204" s="89" t="s">
        <v>235</v>
      </c>
      <c r="E204" s="90" t="s">
        <v>319</v>
      </c>
      <c r="F204" s="89" t="s">
        <v>254</v>
      </c>
      <c r="G204" s="89" t="s">
        <v>187</v>
      </c>
      <c r="H204" s="89" t="s">
        <v>11</v>
      </c>
      <c r="I204" s="89" t="s">
        <v>171</v>
      </c>
      <c r="J204" s="90" t="s">
        <v>188</v>
      </c>
      <c r="K204" s="91">
        <v>4.8</v>
      </c>
      <c r="L204" s="91">
        <f t="shared" si="40"/>
        <v>3.6923076923076925</v>
      </c>
      <c r="M204" s="92">
        <f>prodnorm15</f>
        <v>0</v>
      </c>
      <c r="N204" s="89" t="s">
        <v>104</v>
      </c>
      <c r="O204" s="17">
        <f>uurtarief15</f>
        <v>0</v>
      </c>
      <c r="P204" s="91" t="e">
        <f t="shared" si="41"/>
        <v>#DIV/0!</v>
      </c>
      <c r="Q204" s="17" t="e">
        <f t="shared" si="42"/>
        <v>#DIV/0!</v>
      </c>
      <c r="R204" s="91" t="e">
        <f t="shared" si="43"/>
        <v>#DIV/0!</v>
      </c>
      <c r="S204" s="18" t="e">
        <f t="shared" si="44"/>
        <v>#DIV/0!</v>
      </c>
    </row>
    <row r="205" spans="1:19" x14ac:dyDescent="0.2">
      <c r="A205" s="88" t="s">
        <v>327</v>
      </c>
      <c r="B205" s="89" t="s">
        <v>39</v>
      </c>
      <c r="C205" s="89" t="s">
        <v>212</v>
      </c>
      <c r="D205" s="89" t="s">
        <v>236</v>
      </c>
      <c r="E205" s="90" t="s">
        <v>296</v>
      </c>
      <c r="F205" s="89" t="s">
        <v>254</v>
      </c>
      <c r="G205" s="89" t="s">
        <v>183</v>
      </c>
      <c r="H205" s="89" t="s">
        <v>11</v>
      </c>
      <c r="I205" s="89" t="s">
        <v>171</v>
      </c>
      <c r="J205" s="90" t="s">
        <v>184</v>
      </c>
      <c r="K205" s="91">
        <v>58.849999999999994</v>
      </c>
      <c r="L205" s="91">
        <f t="shared" si="40"/>
        <v>45.269230769230766</v>
      </c>
      <c r="M205" s="92">
        <f>prodnorm11</f>
        <v>0</v>
      </c>
      <c r="N205" s="89" t="s">
        <v>104</v>
      </c>
      <c r="O205" s="17">
        <f>uurtarief11</f>
        <v>0</v>
      </c>
      <c r="P205" s="91" t="e">
        <f t="shared" si="41"/>
        <v>#DIV/0!</v>
      </c>
      <c r="Q205" s="17" t="e">
        <f t="shared" si="42"/>
        <v>#DIV/0!</v>
      </c>
      <c r="R205" s="91" t="e">
        <f t="shared" si="43"/>
        <v>#DIV/0!</v>
      </c>
      <c r="S205" s="18" t="e">
        <f t="shared" si="44"/>
        <v>#DIV/0!</v>
      </c>
    </row>
    <row r="206" spans="1:19" x14ac:dyDescent="0.2">
      <c r="A206" s="88" t="s">
        <v>327</v>
      </c>
      <c r="B206" s="89" t="s">
        <v>39</v>
      </c>
      <c r="C206" s="89" t="s">
        <v>212</v>
      </c>
      <c r="D206" s="89" t="s">
        <v>237</v>
      </c>
      <c r="E206" s="90" t="s">
        <v>296</v>
      </c>
      <c r="F206" s="89" t="s">
        <v>254</v>
      </c>
      <c r="G206" s="89" t="s">
        <v>183</v>
      </c>
      <c r="H206" s="89" t="s">
        <v>11</v>
      </c>
      <c r="I206" s="89" t="s">
        <v>171</v>
      </c>
      <c r="J206" s="90" t="s">
        <v>184</v>
      </c>
      <c r="K206" s="91">
        <v>58.849999999999994</v>
      </c>
      <c r="L206" s="91">
        <f t="shared" si="40"/>
        <v>45.269230769230766</v>
      </c>
      <c r="M206" s="92">
        <f>prodnorm11</f>
        <v>0</v>
      </c>
      <c r="N206" s="89" t="s">
        <v>104</v>
      </c>
      <c r="O206" s="17">
        <f>uurtarief11</f>
        <v>0</v>
      </c>
      <c r="P206" s="91" t="e">
        <f t="shared" si="41"/>
        <v>#DIV/0!</v>
      </c>
      <c r="Q206" s="17" t="e">
        <f t="shared" si="42"/>
        <v>#DIV/0!</v>
      </c>
      <c r="R206" s="91" t="e">
        <f t="shared" si="43"/>
        <v>#DIV/0!</v>
      </c>
      <c r="S206" s="18" t="e">
        <f t="shared" si="44"/>
        <v>#DIV/0!</v>
      </c>
    </row>
    <row r="207" spans="1:19" x14ac:dyDescent="0.2">
      <c r="A207" s="88" t="s">
        <v>327</v>
      </c>
      <c r="B207" s="89" t="s">
        <v>39</v>
      </c>
      <c r="C207" s="89" t="s">
        <v>212</v>
      </c>
      <c r="D207" s="89" t="s">
        <v>239</v>
      </c>
      <c r="E207" s="90" t="s">
        <v>299</v>
      </c>
      <c r="F207" s="89" t="s">
        <v>300</v>
      </c>
      <c r="G207" s="89" t="s">
        <v>191</v>
      </c>
      <c r="H207" s="89" t="s">
        <v>11</v>
      </c>
      <c r="I207" s="89" t="s">
        <v>171</v>
      </c>
      <c r="J207" s="90" t="s">
        <v>192</v>
      </c>
      <c r="K207" s="91">
        <v>4.8</v>
      </c>
      <c r="L207" s="91">
        <f t="shared" si="40"/>
        <v>3.6923076923076925</v>
      </c>
      <c r="M207" s="92">
        <f>prodnorm17</f>
        <v>0</v>
      </c>
      <c r="N207" s="89" t="s">
        <v>104</v>
      </c>
      <c r="O207" s="17">
        <f>uurtarief17</f>
        <v>0</v>
      </c>
      <c r="P207" s="91" t="e">
        <f t="shared" si="41"/>
        <v>#DIV/0!</v>
      </c>
      <c r="Q207" s="17" t="e">
        <f t="shared" si="42"/>
        <v>#DIV/0!</v>
      </c>
      <c r="R207" s="91" t="e">
        <f t="shared" si="43"/>
        <v>#DIV/0!</v>
      </c>
      <c r="S207" s="18" t="e">
        <f t="shared" si="44"/>
        <v>#DIV/0!</v>
      </c>
    </row>
    <row r="208" spans="1:19" x14ac:dyDescent="0.2">
      <c r="A208" s="88" t="s">
        <v>327</v>
      </c>
      <c r="B208" s="89" t="s">
        <v>39</v>
      </c>
      <c r="C208" s="89" t="s">
        <v>212</v>
      </c>
      <c r="D208" s="89" t="s">
        <v>240</v>
      </c>
      <c r="E208" s="90" t="s">
        <v>298</v>
      </c>
      <c r="F208" s="89" t="s">
        <v>259</v>
      </c>
      <c r="G208" s="89" t="s">
        <v>179</v>
      </c>
      <c r="H208" s="89" t="s">
        <v>11</v>
      </c>
      <c r="I208" s="89" t="s">
        <v>171</v>
      </c>
      <c r="J208" s="90" t="s">
        <v>180</v>
      </c>
      <c r="K208" s="91">
        <v>7.7</v>
      </c>
      <c r="L208" s="91">
        <f t="shared" si="40"/>
        <v>5.9230769230769234</v>
      </c>
      <c r="M208" s="92">
        <f>prodnorm7</f>
        <v>0</v>
      </c>
      <c r="N208" s="89" t="s">
        <v>104</v>
      </c>
      <c r="O208" s="17">
        <f>uurtarief7</f>
        <v>0</v>
      </c>
      <c r="P208" s="91" t="e">
        <f t="shared" si="41"/>
        <v>#DIV/0!</v>
      </c>
      <c r="Q208" s="17" t="e">
        <f t="shared" si="42"/>
        <v>#DIV/0!</v>
      </c>
      <c r="R208" s="91" t="e">
        <f t="shared" si="43"/>
        <v>#DIV/0!</v>
      </c>
      <c r="S208" s="18" t="e">
        <f t="shared" si="44"/>
        <v>#DIV/0!</v>
      </c>
    </row>
    <row r="209" spans="1:19" x14ac:dyDescent="0.2">
      <c r="A209" s="88" t="s">
        <v>327</v>
      </c>
      <c r="B209" s="89" t="s">
        <v>39</v>
      </c>
      <c r="C209" s="89" t="s">
        <v>212</v>
      </c>
      <c r="D209" s="89" t="s">
        <v>241</v>
      </c>
      <c r="E209" s="90" t="s">
        <v>296</v>
      </c>
      <c r="F209" s="89" t="s">
        <v>254</v>
      </c>
      <c r="G209" s="89" t="s">
        <v>183</v>
      </c>
      <c r="H209" s="89" t="s">
        <v>11</v>
      </c>
      <c r="I209" s="89" t="s">
        <v>171</v>
      </c>
      <c r="J209" s="90" t="s">
        <v>184</v>
      </c>
      <c r="K209" s="91">
        <v>56</v>
      </c>
      <c r="L209" s="91">
        <f t="shared" si="40"/>
        <v>43.07692307692308</v>
      </c>
      <c r="M209" s="92">
        <f>prodnorm11</f>
        <v>0</v>
      </c>
      <c r="N209" s="89" t="s">
        <v>104</v>
      </c>
      <c r="O209" s="17">
        <f>uurtarief11</f>
        <v>0</v>
      </c>
      <c r="P209" s="91" t="e">
        <f t="shared" si="41"/>
        <v>#DIV/0!</v>
      </c>
      <c r="Q209" s="17" t="e">
        <f t="shared" si="42"/>
        <v>#DIV/0!</v>
      </c>
      <c r="R209" s="91" t="e">
        <f t="shared" si="43"/>
        <v>#DIV/0!</v>
      </c>
      <c r="S209" s="18" t="e">
        <f t="shared" si="44"/>
        <v>#DIV/0!</v>
      </c>
    </row>
    <row r="210" spans="1:19" x14ac:dyDescent="0.2">
      <c r="A210" s="88" t="s">
        <v>327</v>
      </c>
      <c r="B210" s="89" t="s">
        <v>39</v>
      </c>
      <c r="C210" s="89" t="s">
        <v>212</v>
      </c>
      <c r="D210" s="89" t="s">
        <v>242</v>
      </c>
      <c r="E210" s="90" t="s">
        <v>296</v>
      </c>
      <c r="F210" s="89" t="s">
        <v>254</v>
      </c>
      <c r="G210" s="89" t="s">
        <v>183</v>
      </c>
      <c r="H210" s="89" t="s">
        <v>11</v>
      </c>
      <c r="I210" s="89" t="s">
        <v>171</v>
      </c>
      <c r="J210" s="90" t="s">
        <v>184</v>
      </c>
      <c r="K210" s="91">
        <v>56</v>
      </c>
      <c r="L210" s="91">
        <f t="shared" si="40"/>
        <v>43.07692307692308</v>
      </c>
      <c r="M210" s="92">
        <f>prodnorm11</f>
        <v>0</v>
      </c>
      <c r="N210" s="89" t="s">
        <v>104</v>
      </c>
      <c r="O210" s="17">
        <f>uurtarief11</f>
        <v>0</v>
      </c>
      <c r="P210" s="91" t="e">
        <f t="shared" si="41"/>
        <v>#DIV/0!</v>
      </c>
      <c r="Q210" s="17" t="e">
        <f t="shared" si="42"/>
        <v>#DIV/0!</v>
      </c>
      <c r="R210" s="91" t="e">
        <f t="shared" si="43"/>
        <v>#DIV/0!</v>
      </c>
      <c r="S210" s="18" t="e">
        <f t="shared" si="44"/>
        <v>#DIV/0!</v>
      </c>
    </row>
    <row r="211" spans="1:19" x14ac:dyDescent="0.2">
      <c r="A211" s="88" t="s">
        <v>327</v>
      </c>
      <c r="B211" s="89" t="s">
        <v>39</v>
      </c>
      <c r="C211" s="89" t="s">
        <v>212</v>
      </c>
      <c r="D211" s="89" t="s">
        <v>243</v>
      </c>
      <c r="E211" s="90" t="s">
        <v>299</v>
      </c>
      <c r="F211" s="89" t="s">
        <v>300</v>
      </c>
      <c r="G211" s="89" t="s">
        <v>191</v>
      </c>
      <c r="H211" s="89" t="s">
        <v>11</v>
      </c>
      <c r="I211" s="89" t="s">
        <v>171</v>
      </c>
      <c r="J211" s="90" t="s">
        <v>192</v>
      </c>
      <c r="K211" s="91">
        <v>7.05</v>
      </c>
      <c r="L211" s="91">
        <f t="shared" si="40"/>
        <v>5.4230769230769234</v>
      </c>
      <c r="M211" s="92">
        <f>prodnorm17</f>
        <v>0</v>
      </c>
      <c r="N211" s="89" t="s">
        <v>104</v>
      </c>
      <c r="O211" s="17">
        <f>uurtarief17</f>
        <v>0</v>
      </c>
      <c r="P211" s="91" t="e">
        <f t="shared" si="41"/>
        <v>#DIV/0!</v>
      </c>
      <c r="Q211" s="17" t="e">
        <f t="shared" si="42"/>
        <v>#DIV/0!</v>
      </c>
      <c r="R211" s="91" t="e">
        <f t="shared" si="43"/>
        <v>#DIV/0!</v>
      </c>
      <c r="S211" s="18" t="e">
        <f t="shared" si="44"/>
        <v>#DIV/0!</v>
      </c>
    </row>
    <row r="212" spans="1:19" ht="25.5" x14ac:dyDescent="0.2">
      <c r="A212" s="88" t="s">
        <v>327</v>
      </c>
      <c r="B212" s="89" t="s">
        <v>39</v>
      </c>
      <c r="C212" s="89" t="s">
        <v>212</v>
      </c>
      <c r="D212" s="89" t="s">
        <v>245</v>
      </c>
      <c r="E212" s="90" t="s">
        <v>312</v>
      </c>
      <c r="F212" s="89" t="s">
        <v>254</v>
      </c>
      <c r="G212" s="89" t="s">
        <v>173</v>
      </c>
      <c r="H212" s="89" t="s">
        <v>11</v>
      </c>
      <c r="I212" s="89" t="s">
        <v>171</v>
      </c>
      <c r="J212" s="90" t="s">
        <v>174</v>
      </c>
      <c r="K212" s="91">
        <v>14.4</v>
      </c>
      <c r="L212" s="91">
        <f t="shared" si="40"/>
        <v>11.076923076923078</v>
      </c>
      <c r="M212" s="92">
        <f>prodnorm3</f>
        <v>0</v>
      </c>
      <c r="N212" s="89" t="s">
        <v>104</v>
      </c>
      <c r="O212" s="17">
        <f>uurtarief3</f>
        <v>0</v>
      </c>
      <c r="P212" s="91" t="e">
        <f t="shared" si="41"/>
        <v>#DIV/0!</v>
      </c>
      <c r="Q212" s="17" t="e">
        <f t="shared" si="42"/>
        <v>#DIV/0!</v>
      </c>
      <c r="R212" s="91" t="e">
        <f t="shared" si="43"/>
        <v>#DIV/0!</v>
      </c>
      <c r="S212" s="18" t="e">
        <f t="shared" si="44"/>
        <v>#DIV/0!</v>
      </c>
    </row>
    <row r="213" spans="1:19" x14ac:dyDescent="0.2">
      <c r="A213" s="88" t="s">
        <v>327</v>
      </c>
      <c r="B213" s="89" t="s">
        <v>39</v>
      </c>
      <c r="C213" s="89" t="s">
        <v>212</v>
      </c>
      <c r="D213" s="89" t="s">
        <v>332</v>
      </c>
      <c r="E213" s="90" t="s">
        <v>298</v>
      </c>
      <c r="F213" s="89" t="s">
        <v>228</v>
      </c>
      <c r="G213" s="89" t="s">
        <v>179</v>
      </c>
      <c r="H213" s="89" t="s">
        <v>11</v>
      </c>
      <c r="I213" s="89" t="s">
        <v>171</v>
      </c>
      <c r="J213" s="90" t="s">
        <v>180</v>
      </c>
      <c r="K213" s="91">
        <v>7.7</v>
      </c>
      <c r="L213" s="91">
        <f t="shared" si="40"/>
        <v>5.9230769230769234</v>
      </c>
      <c r="M213" s="92">
        <f>prodnorm7</f>
        <v>0</v>
      </c>
      <c r="N213" s="89" t="s">
        <v>104</v>
      </c>
      <c r="O213" s="17">
        <f>uurtarief7</f>
        <v>0</v>
      </c>
      <c r="P213" s="91" t="e">
        <f t="shared" si="41"/>
        <v>#DIV/0!</v>
      </c>
      <c r="Q213" s="17" t="e">
        <f t="shared" si="42"/>
        <v>#DIV/0!</v>
      </c>
      <c r="R213" s="91" t="e">
        <f t="shared" si="43"/>
        <v>#DIV/0!</v>
      </c>
      <c r="S213" s="18" t="e">
        <f t="shared" si="44"/>
        <v>#DIV/0!</v>
      </c>
    </row>
    <row r="214" spans="1:19" ht="25.5" x14ac:dyDescent="0.2">
      <c r="A214" s="88" t="s">
        <v>327</v>
      </c>
      <c r="B214" s="89" t="s">
        <v>39</v>
      </c>
      <c r="C214" s="89" t="s">
        <v>212</v>
      </c>
      <c r="D214" s="89" t="s">
        <v>246</v>
      </c>
      <c r="E214" s="90" t="s">
        <v>312</v>
      </c>
      <c r="F214" s="89" t="s">
        <v>254</v>
      </c>
      <c r="G214" s="89" t="s">
        <v>173</v>
      </c>
      <c r="H214" s="89" t="s">
        <v>11</v>
      </c>
      <c r="I214" s="89" t="s">
        <v>171</v>
      </c>
      <c r="J214" s="90" t="s">
        <v>174</v>
      </c>
      <c r="K214" s="91">
        <v>17.399999999999999</v>
      </c>
      <c r="L214" s="91">
        <f t="shared" si="40"/>
        <v>13.384615384615385</v>
      </c>
      <c r="M214" s="92">
        <f>prodnorm3</f>
        <v>0</v>
      </c>
      <c r="N214" s="89" t="s">
        <v>104</v>
      </c>
      <c r="O214" s="17">
        <f>uurtarief3</f>
        <v>0</v>
      </c>
      <c r="P214" s="91" t="e">
        <f t="shared" si="41"/>
        <v>#DIV/0!</v>
      </c>
      <c r="Q214" s="17" t="e">
        <f t="shared" si="42"/>
        <v>#DIV/0!</v>
      </c>
      <c r="R214" s="91" t="e">
        <f t="shared" si="43"/>
        <v>#DIV/0!</v>
      </c>
      <c r="S214" s="18" t="e">
        <f t="shared" si="44"/>
        <v>#DIV/0!</v>
      </c>
    </row>
    <row r="215" spans="1:19" x14ac:dyDescent="0.2">
      <c r="A215" s="88" t="s">
        <v>327</v>
      </c>
      <c r="B215" s="89" t="s">
        <v>39</v>
      </c>
      <c r="C215" s="89" t="s">
        <v>212</v>
      </c>
      <c r="D215" s="89" t="s">
        <v>261</v>
      </c>
      <c r="E215" s="90" t="s">
        <v>307</v>
      </c>
      <c r="F215" s="89" t="s">
        <v>254</v>
      </c>
      <c r="G215" s="89" t="s">
        <v>170</v>
      </c>
      <c r="H215" s="89" t="s">
        <v>11</v>
      </c>
      <c r="I215" s="89" t="s">
        <v>171</v>
      </c>
      <c r="J215" s="90" t="s">
        <v>172</v>
      </c>
      <c r="K215" s="91">
        <v>105.64999999999999</v>
      </c>
      <c r="L215" s="91">
        <f t="shared" si="40"/>
        <v>81.269230769230774</v>
      </c>
      <c r="M215" s="92">
        <f>prodnorm2</f>
        <v>0</v>
      </c>
      <c r="N215" s="89" t="s">
        <v>104</v>
      </c>
      <c r="O215" s="17">
        <f>uurtarief2</f>
        <v>0</v>
      </c>
      <c r="P215" s="91" t="e">
        <f t="shared" si="41"/>
        <v>#DIV/0!</v>
      </c>
      <c r="Q215" s="17" t="e">
        <f t="shared" si="42"/>
        <v>#DIV/0!</v>
      </c>
      <c r="R215" s="91" t="e">
        <f t="shared" si="43"/>
        <v>#DIV/0!</v>
      </c>
      <c r="S215" s="18" t="e">
        <f t="shared" si="44"/>
        <v>#DIV/0!</v>
      </c>
    </row>
    <row r="216" spans="1:19" x14ac:dyDescent="0.2">
      <c r="A216" s="88" t="s">
        <v>327</v>
      </c>
      <c r="B216" s="89" t="s">
        <v>39</v>
      </c>
      <c r="C216" s="89" t="s">
        <v>212</v>
      </c>
      <c r="D216" s="89" t="s">
        <v>248</v>
      </c>
      <c r="E216" s="90" t="s">
        <v>299</v>
      </c>
      <c r="F216" s="89" t="s">
        <v>300</v>
      </c>
      <c r="G216" s="89" t="s">
        <v>191</v>
      </c>
      <c r="H216" s="89" t="s">
        <v>11</v>
      </c>
      <c r="I216" s="89" t="s">
        <v>171</v>
      </c>
      <c r="J216" s="90" t="s">
        <v>192</v>
      </c>
      <c r="K216" s="91">
        <v>2.4299999999999997</v>
      </c>
      <c r="L216" s="91">
        <f t="shared" si="40"/>
        <v>1.869230769230769</v>
      </c>
      <c r="M216" s="92">
        <f>prodnorm17</f>
        <v>0</v>
      </c>
      <c r="N216" s="89" t="s">
        <v>104</v>
      </c>
      <c r="O216" s="17">
        <f>uurtarief17</f>
        <v>0</v>
      </c>
      <c r="P216" s="91" t="e">
        <f t="shared" si="41"/>
        <v>#DIV/0!</v>
      </c>
      <c r="Q216" s="17" t="e">
        <f t="shared" si="42"/>
        <v>#DIV/0!</v>
      </c>
      <c r="R216" s="91" t="e">
        <f t="shared" si="43"/>
        <v>#DIV/0!</v>
      </c>
      <c r="S216" s="18" t="e">
        <f t="shared" si="44"/>
        <v>#DIV/0!</v>
      </c>
    </row>
    <row r="217" spans="1:19" ht="25.5" x14ac:dyDescent="0.2">
      <c r="A217" s="88" t="s">
        <v>327</v>
      </c>
      <c r="B217" s="89" t="s">
        <v>39</v>
      </c>
      <c r="C217" s="89" t="s">
        <v>212</v>
      </c>
      <c r="D217" s="89" t="s">
        <v>269</v>
      </c>
      <c r="E217" s="90" t="s">
        <v>297</v>
      </c>
      <c r="F217" s="89" t="s">
        <v>254</v>
      </c>
      <c r="G217" s="89" t="s">
        <v>195</v>
      </c>
      <c r="H217" s="89" t="s">
        <v>17</v>
      </c>
      <c r="I217" s="89" t="s">
        <v>171</v>
      </c>
      <c r="J217" s="90" t="s">
        <v>196</v>
      </c>
      <c r="K217" s="91">
        <v>21</v>
      </c>
      <c r="L217" s="91">
        <f t="shared" si="40"/>
        <v>3.2307692307692308</v>
      </c>
      <c r="M217" s="92">
        <f>prodnorm21</f>
        <v>0</v>
      </c>
      <c r="N217" s="89" t="s">
        <v>104</v>
      </c>
      <c r="O217" s="17">
        <f>uurtarief21</f>
        <v>0</v>
      </c>
      <c r="P217" s="91" t="e">
        <f t="shared" si="41"/>
        <v>#DIV/0!</v>
      </c>
      <c r="Q217" s="17" t="e">
        <f t="shared" si="42"/>
        <v>#DIV/0!</v>
      </c>
      <c r="R217" s="91" t="e">
        <f t="shared" si="43"/>
        <v>#DIV/0!</v>
      </c>
      <c r="S217" s="18" t="e">
        <f t="shared" si="44"/>
        <v>#DIV/0!</v>
      </c>
    </row>
    <row r="218" spans="1:19" x14ac:dyDescent="0.2">
      <c r="A218" s="88" t="s">
        <v>327</v>
      </c>
      <c r="B218" s="89" t="s">
        <v>39</v>
      </c>
      <c r="C218" s="89" t="s">
        <v>212</v>
      </c>
      <c r="D218" s="89" t="s">
        <v>270</v>
      </c>
      <c r="E218" s="90" t="s">
        <v>296</v>
      </c>
      <c r="F218" s="89" t="s">
        <v>254</v>
      </c>
      <c r="G218" s="89" t="s">
        <v>183</v>
      </c>
      <c r="H218" s="89" t="s">
        <v>17</v>
      </c>
      <c r="I218" s="89" t="s">
        <v>171</v>
      </c>
      <c r="J218" s="90" t="s">
        <v>184</v>
      </c>
      <c r="K218" s="91">
        <v>51.849999999999994</v>
      </c>
      <c r="L218" s="91">
        <f t="shared" si="40"/>
        <v>7.9769230769230761</v>
      </c>
      <c r="M218" s="92">
        <f>prodnorm12</f>
        <v>0</v>
      </c>
      <c r="N218" s="89" t="s">
        <v>104</v>
      </c>
      <c r="O218" s="17">
        <f>uurtarief12</f>
        <v>0</v>
      </c>
      <c r="P218" s="91" t="e">
        <f t="shared" si="41"/>
        <v>#DIV/0!</v>
      </c>
      <c r="Q218" s="17" t="e">
        <f t="shared" si="42"/>
        <v>#DIV/0!</v>
      </c>
      <c r="R218" s="91" t="e">
        <f t="shared" si="43"/>
        <v>#DIV/0!</v>
      </c>
      <c r="S218" s="18" t="e">
        <f t="shared" si="44"/>
        <v>#DIV/0!</v>
      </c>
    </row>
    <row r="219" spans="1:19" x14ac:dyDescent="0.2">
      <c r="A219" s="88" t="s">
        <v>327</v>
      </c>
      <c r="B219" s="89" t="s">
        <v>39</v>
      </c>
      <c r="C219" s="89" t="s">
        <v>212</v>
      </c>
      <c r="D219" s="89" t="s">
        <v>271</v>
      </c>
      <c r="E219" s="90" t="s">
        <v>296</v>
      </c>
      <c r="F219" s="89" t="s">
        <v>254</v>
      </c>
      <c r="G219" s="89" t="s">
        <v>183</v>
      </c>
      <c r="H219" s="89" t="s">
        <v>17</v>
      </c>
      <c r="I219" s="89" t="s">
        <v>171</v>
      </c>
      <c r="J219" s="90" t="s">
        <v>184</v>
      </c>
      <c r="K219" s="91">
        <v>51.849999999999994</v>
      </c>
      <c r="L219" s="91">
        <f t="shared" si="40"/>
        <v>7.9769230769230761</v>
      </c>
      <c r="M219" s="92">
        <f>prodnorm12</f>
        <v>0</v>
      </c>
      <c r="N219" s="89" t="s">
        <v>104</v>
      </c>
      <c r="O219" s="17">
        <f>uurtarief12</f>
        <v>0</v>
      </c>
      <c r="P219" s="91" t="e">
        <f t="shared" si="41"/>
        <v>#DIV/0!</v>
      </c>
      <c r="Q219" s="17" t="e">
        <f t="shared" si="42"/>
        <v>#DIV/0!</v>
      </c>
      <c r="R219" s="91" t="e">
        <f t="shared" si="43"/>
        <v>#DIV/0!</v>
      </c>
      <c r="S219" s="18" t="e">
        <f t="shared" si="44"/>
        <v>#DIV/0!</v>
      </c>
    </row>
    <row r="220" spans="1:19" x14ac:dyDescent="0.2">
      <c r="A220" s="93" t="s">
        <v>327</v>
      </c>
      <c r="B220" s="94" t="s">
        <v>39</v>
      </c>
      <c r="C220" s="94" t="s">
        <v>212</v>
      </c>
      <c r="D220" s="94" t="s">
        <v>320</v>
      </c>
      <c r="E220" s="95" t="s">
        <v>299</v>
      </c>
      <c r="F220" s="94" t="s">
        <v>300</v>
      </c>
      <c r="G220" s="94" t="s">
        <v>191</v>
      </c>
      <c r="H220" s="94" t="s">
        <v>17</v>
      </c>
      <c r="I220" s="94" t="s">
        <v>171</v>
      </c>
      <c r="J220" s="95" t="s">
        <v>192</v>
      </c>
      <c r="K220" s="96">
        <v>4.1499999999999995</v>
      </c>
      <c r="L220" s="96">
        <f t="shared" si="40"/>
        <v>0.63846153846153841</v>
      </c>
      <c r="M220" s="97">
        <f>prodnorm18</f>
        <v>0</v>
      </c>
      <c r="N220" s="94" t="s">
        <v>104</v>
      </c>
      <c r="O220" s="26">
        <f>uurtarief18</f>
        <v>0</v>
      </c>
      <c r="P220" s="96" t="e">
        <f t="shared" si="41"/>
        <v>#DIV/0!</v>
      </c>
      <c r="Q220" s="26" t="e">
        <f t="shared" si="42"/>
        <v>#DIV/0!</v>
      </c>
      <c r="R220" s="96" t="e">
        <f t="shared" si="43"/>
        <v>#DIV/0!</v>
      </c>
      <c r="S220" s="27" t="e">
        <f t="shared" si="44"/>
        <v>#DIV/0!</v>
      </c>
    </row>
    <row r="221" spans="1:19" x14ac:dyDescent="0.2">
      <c r="A221" s="98" t="s">
        <v>250</v>
      </c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8" t="e">
        <f>IF(_xlfn.SINGLE(object11_urenjaar1)&gt;0,_xlfn.SINGLE(object11_prijsjaar1)/_xlfn.SINGLE(object11_urenjaar1),0)</f>
        <v>#DIV/0!</v>
      </c>
      <c r="P221" s="67" t="e">
        <f>SUM(P191:P220)</f>
        <v>#DIV/0!</v>
      </c>
      <c r="Q221" s="68" t="e">
        <f>SUM(Q191:Q220)</f>
        <v>#DIV/0!</v>
      </c>
      <c r="R221" s="67" t="e">
        <f>SUM(R191:R220)</f>
        <v>#DIV/0!</v>
      </c>
      <c r="S221" s="69" t="e">
        <f>SUM(S191:S220)</f>
        <v>#DIV/0!</v>
      </c>
    </row>
    <row r="222" spans="1:19" x14ac:dyDescent="0.2">
      <c r="A222" s="74" t="s">
        <v>333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64"/>
    </row>
    <row r="223" spans="1:19" x14ac:dyDescent="0.2">
      <c r="A223" s="81" t="s">
        <v>334</v>
      </c>
      <c r="B223" s="82" t="s">
        <v>39</v>
      </c>
      <c r="C223" s="82" t="s">
        <v>212</v>
      </c>
      <c r="D223" s="82" t="s">
        <v>213</v>
      </c>
      <c r="E223" s="83" t="s">
        <v>298</v>
      </c>
      <c r="F223" s="82" t="s">
        <v>228</v>
      </c>
      <c r="G223" s="82" t="s">
        <v>179</v>
      </c>
      <c r="H223" s="82" t="s">
        <v>11</v>
      </c>
      <c r="I223" s="82" t="s">
        <v>171</v>
      </c>
      <c r="J223" s="83" t="s">
        <v>180</v>
      </c>
      <c r="K223" s="84">
        <v>36.299999999999997</v>
      </c>
      <c r="L223" s="84">
        <f t="shared" ref="L223:L261" si="45">K223*VLOOKUP(H223,dagsoorttabel1,2,FALSE)</f>
        <v>27.923076923076923</v>
      </c>
      <c r="M223" s="85">
        <f>prodnorm7</f>
        <v>0</v>
      </c>
      <c r="N223" s="82" t="s">
        <v>104</v>
      </c>
      <c r="O223" s="86">
        <f>uurtarief7</f>
        <v>0</v>
      </c>
      <c r="P223" s="84" t="e">
        <f t="shared" ref="P223:P261" si="46">IF(ISBLANK(M223),0,L223/ROUND(M223,4))</f>
        <v>#DIV/0!</v>
      </c>
      <c r="Q223" s="86" t="e">
        <f t="shared" ref="Q223:Q261" si="47">ROUND(O223,2)*P223</f>
        <v>#DIV/0!</v>
      </c>
      <c r="R223" s="84" t="e">
        <f t="shared" ref="R223:R261" si="48">P223*dagenperjaar1</f>
        <v>#DIV/0!</v>
      </c>
      <c r="S223" s="87" t="e">
        <f t="shared" ref="S223:S261" si="49">R223*ROUND(O223,2)</f>
        <v>#DIV/0!</v>
      </c>
    </row>
    <row r="224" spans="1:19" x14ac:dyDescent="0.2">
      <c r="A224" s="88" t="s">
        <v>334</v>
      </c>
      <c r="B224" s="89" t="s">
        <v>39</v>
      </c>
      <c r="C224" s="89" t="s">
        <v>212</v>
      </c>
      <c r="D224" s="89" t="s">
        <v>276</v>
      </c>
      <c r="E224" s="90" t="s">
        <v>299</v>
      </c>
      <c r="F224" s="89" t="s">
        <v>253</v>
      </c>
      <c r="G224" s="89" t="s">
        <v>191</v>
      </c>
      <c r="H224" s="89" t="s">
        <v>11</v>
      </c>
      <c r="I224" s="89" t="s">
        <v>171</v>
      </c>
      <c r="J224" s="90" t="s">
        <v>192</v>
      </c>
      <c r="K224" s="91">
        <v>6</v>
      </c>
      <c r="L224" s="91">
        <f t="shared" si="45"/>
        <v>4.6153846153846159</v>
      </c>
      <c r="M224" s="92">
        <f>prodnorm17</f>
        <v>0</v>
      </c>
      <c r="N224" s="89" t="s">
        <v>104</v>
      </c>
      <c r="O224" s="17">
        <f>uurtarief17</f>
        <v>0</v>
      </c>
      <c r="P224" s="91" t="e">
        <f t="shared" si="46"/>
        <v>#DIV/0!</v>
      </c>
      <c r="Q224" s="17" t="e">
        <f t="shared" si="47"/>
        <v>#DIV/0!</v>
      </c>
      <c r="R224" s="91" t="e">
        <f t="shared" si="48"/>
        <v>#DIV/0!</v>
      </c>
      <c r="S224" s="18" t="e">
        <f t="shared" si="49"/>
        <v>#DIV/0!</v>
      </c>
    </row>
    <row r="225" spans="1:19" x14ac:dyDescent="0.2">
      <c r="A225" s="88" t="s">
        <v>334</v>
      </c>
      <c r="B225" s="89" t="s">
        <v>39</v>
      </c>
      <c r="C225" s="89" t="s">
        <v>212</v>
      </c>
      <c r="D225" s="89" t="s">
        <v>216</v>
      </c>
      <c r="E225" s="90" t="s">
        <v>296</v>
      </c>
      <c r="F225" s="89" t="s">
        <v>218</v>
      </c>
      <c r="G225" s="89" t="s">
        <v>183</v>
      </c>
      <c r="H225" s="89" t="s">
        <v>11</v>
      </c>
      <c r="I225" s="89" t="s">
        <v>171</v>
      </c>
      <c r="J225" s="90" t="s">
        <v>184</v>
      </c>
      <c r="K225" s="91">
        <v>54.5</v>
      </c>
      <c r="L225" s="91">
        <f t="shared" si="45"/>
        <v>41.923076923076927</v>
      </c>
      <c r="M225" s="92">
        <f>prodnorm11</f>
        <v>0</v>
      </c>
      <c r="N225" s="89" t="s">
        <v>104</v>
      </c>
      <c r="O225" s="17">
        <f>uurtarief11</f>
        <v>0</v>
      </c>
      <c r="P225" s="91" t="e">
        <f t="shared" si="46"/>
        <v>#DIV/0!</v>
      </c>
      <c r="Q225" s="17" t="e">
        <f t="shared" si="47"/>
        <v>#DIV/0!</v>
      </c>
      <c r="R225" s="91" t="e">
        <f t="shared" si="48"/>
        <v>#DIV/0!</v>
      </c>
      <c r="S225" s="18" t="e">
        <f t="shared" si="49"/>
        <v>#DIV/0!</v>
      </c>
    </row>
    <row r="226" spans="1:19" x14ac:dyDescent="0.2">
      <c r="A226" s="88" t="s">
        <v>334</v>
      </c>
      <c r="B226" s="89" t="s">
        <v>39</v>
      </c>
      <c r="C226" s="89" t="s">
        <v>212</v>
      </c>
      <c r="D226" s="89" t="s">
        <v>219</v>
      </c>
      <c r="E226" s="90" t="s">
        <v>296</v>
      </c>
      <c r="F226" s="89" t="s">
        <v>218</v>
      </c>
      <c r="G226" s="89" t="s">
        <v>183</v>
      </c>
      <c r="H226" s="89" t="s">
        <v>11</v>
      </c>
      <c r="I226" s="89" t="s">
        <v>171</v>
      </c>
      <c r="J226" s="90" t="s">
        <v>184</v>
      </c>
      <c r="K226" s="91">
        <v>54.5</v>
      </c>
      <c r="L226" s="91">
        <f t="shared" si="45"/>
        <v>41.923076923076927</v>
      </c>
      <c r="M226" s="92">
        <f>prodnorm11</f>
        <v>0</v>
      </c>
      <c r="N226" s="89" t="s">
        <v>104</v>
      </c>
      <c r="O226" s="17">
        <f>uurtarief11</f>
        <v>0</v>
      </c>
      <c r="P226" s="91" t="e">
        <f t="shared" si="46"/>
        <v>#DIV/0!</v>
      </c>
      <c r="Q226" s="17" t="e">
        <f t="shared" si="47"/>
        <v>#DIV/0!</v>
      </c>
      <c r="R226" s="91" t="e">
        <f t="shared" si="48"/>
        <v>#DIV/0!</v>
      </c>
      <c r="S226" s="18" t="e">
        <f t="shared" si="49"/>
        <v>#DIV/0!</v>
      </c>
    </row>
    <row r="227" spans="1:19" x14ac:dyDescent="0.2">
      <c r="A227" s="88" t="s">
        <v>334</v>
      </c>
      <c r="B227" s="89" t="s">
        <v>39</v>
      </c>
      <c r="C227" s="89" t="s">
        <v>212</v>
      </c>
      <c r="D227" s="89" t="s">
        <v>221</v>
      </c>
      <c r="E227" s="90" t="s">
        <v>299</v>
      </c>
      <c r="F227" s="89" t="s">
        <v>253</v>
      </c>
      <c r="G227" s="89" t="s">
        <v>191</v>
      </c>
      <c r="H227" s="89" t="s">
        <v>11</v>
      </c>
      <c r="I227" s="89" t="s">
        <v>171</v>
      </c>
      <c r="J227" s="90" t="s">
        <v>192</v>
      </c>
      <c r="K227" s="91">
        <v>6</v>
      </c>
      <c r="L227" s="91">
        <f t="shared" si="45"/>
        <v>4.6153846153846159</v>
      </c>
      <c r="M227" s="92">
        <f>prodnorm17</f>
        <v>0</v>
      </c>
      <c r="N227" s="89" t="s">
        <v>104</v>
      </c>
      <c r="O227" s="17">
        <f>uurtarief17</f>
        <v>0</v>
      </c>
      <c r="P227" s="91" t="e">
        <f t="shared" si="46"/>
        <v>#DIV/0!</v>
      </c>
      <c r="Q227" s="17" t="e">
        <f t="shared" si="47"/>
        <v>#DIV/0!</v>
      </c>
      <c r="R227" s="91" t="e">
        <f t="shared" si="48"/>
        <v>#DIV/0!</v>
      </c>
      <c r="S227" s="18" t="e">
        <f t="shared" si="49"/>
        <v>#DIV/0!</v>
      </c>
    </row>
    <row r="228" spans="1:19" ht="25.5" x14ac:dyDescent="0.2">
      <c r="A228" s="88" t="s">
        <v>334</v>
      </c>
      <c r="B228" s="89" t="s">
        <v>39</v>
      </c>
      <c r="C228" s="89" t="s">
        <v>212</v>
      </c>
      <c r="D228" s="89" t="s">
        <v>223</v>
      </c>
      <c r="E228" s="90" t="s">
        <v>312</v>
      </c>
      <c r="F228" s="89" t="s">
        <v>218</v>
      </c>
      <c r="G228" s="89" t="s">
        <v>173</v>
      </c>
      <c r="H228" s="89" t="s">
        <v>11</v>
      </c>
      <c r="I228" s="89" t="s">
        <v>171</v>
      </c>
      <c r="J228" s="90" t="s">
        <v>174</v>
      </c>
      <c r="K228" s="91">
        <v>26.630000000000003</v>
      </c>
      <c r="L228" s="91">
        <f t="shared" si="45"/>
        <v>20.484615384615388</v>
      </c>
      <c r="M228" s="92">
        <f>prodnorm3</f>
        <v>0</v>
      </c>
      <c r="N228" s="89" t="s">
        <v>104</v>
      </c>
      <c r="O228" s="17">
        <f>uurtarief3</f>
        <v>0</v>
      </c>
      <c r="P228" s="91" t="e">
        <f t="shared" si="46"/>
        <v>#DIV/0!</v>
      </c>
      <c r="Q228" s="17" t="e">
        <f t="shared" si="47"/>
        <v>#DIV/0!</v>
      </c>
      <c r="R228" s="91" t="e">
        <f t="shared" si="48"/>
        <v>#DIV/0!</v>
      </c>
      <c r="S228" s="18" t="e">
        <f t="shared" si="49"/>
        <v>#DIV/0!</v>
      </c>
    </row>
    <row r="229" spans="1:19" ht="25.5" x14ac:dyDescent="0.2">
      <c r="A229" s="88" t="s">
        <v>334</v>
      </c>
      <c r="B229" s="89" t="s">
        <v>39</v>
      </c>
      <c r="C229" s="89" t="s">
        <v>212</v>
      </c>
      <c r="D229" s="89" t="s">
        <v>224</v>
      </c>
      <c r="E229" s="90" t="s">
        <v>312</v>
      </c>
      <c r="F229" s="89" t="s">
        <v>218</v>
      </c>
      <c r="G229" s="89" t="s">
        <v>173</v>
      </c>
      <c r="H229" s="89" t="s">
        <v>11</v>
      </c>
      <c r="I229" s="89" t="s">
        <v>171</v>
      </c>
      <c r="J229" s="90" t="s">
        <v>174</v>
      </c>
      <c r="K229" s="91">
        <v>26.68</v>
      </c>
      <c r="L229" s="91">
        <f t="shared" si="45"/>
        <v>20.523076923076925</v>
      </c>
      <c r="M229" s="92">
        <f>prodnorm3</f>
        <v>0</v>
      </c>
      <c r="N229" s="89" t="s">
        <v>104</v>
      </c>
      <c r="O229" s="17">
        <f>uurtarief3</f>
        <v>0</v>
      </c>
      <c r="P229" s="91" t="e">
        <f t="shared" si="46"/>
        <v>#DIV/0!</v>
      </c>
      <c r="Q229" s="17" t="e">
        <f t="shared" si="47"/>
        <v>#DIV/0!</v>
      </c>
      <c r="R229" s="91" t="e">
        <f t="shared" si="48"/>
        <v>#DIV/0!</v>
      </c>
      <c r="S229" s="18" t="e">
        <f t="shared" si="49"/>
        <v>#DIV/0!</v>
      </c>
    </row>
    <row r="230" spans="1:19" x14ac:dyDescent="0.2">
      <c r="A230" s="88" t="s">
        <v>334</v>
      </c>
      <c r="B230" s="89" t="s">
        <v>39</v>
      </c>
      <c r="C230" s="89" t="s">
        <v>212</v>
      </c>
      <c r="D230" s="89" t="s">
        <v>226</v>
      </c>
      <c r="E230" s="90" t="s">
        <v>299</v>
      </c>
      <c r="F230" s="89" t="s">
        <v>253</v>
      </c>
      <c r="G230" s="89" t="s">
        <v>191</v>
      </c>
      <c r="H230" s="89" t="s">
        <v>11</v>
      </c>
      <c r="I230" s="89" t="s">
        <v>171</v>
      </c>
      <c r="J230" s="90" t="s">
        <v>192</v>
      </c>
      <c r="K230" s="91">
        <v>6</v>
      </c>
      <c r="L230" s="91">
        <f t="shared" si="45"/>
        <v>4.6153846153846159</v>
      </c>
      <c r="M230" s="92">
        <f>prodnorm17</f>
        <v>0</v>
      </c>
      <c r="N230" s="89" t="s">
        <v>104</v>
      </c>
      <c r="O230" s="17">
        <f>uurtarief17</f>
        <v>0</v>
      </c>
      <c r="P230" s="91" t="e">
        <f t="shared" si="46"/>
        <v>#DIV/0!</v>
      </c>
      <c r="Q230" s="17" t="e">
        <f t="shared" si="47"/>
        <v>#DIV/0!</v>
      </c>
      <c r="R230" s="91" t="e">
        <f t="shared" si="48"/>
        <v>#DIV/0!</v>
      </c>
      <c r="S230" s="18" t="e">
        <f t="shared" si="49"/>
        <v>#DIV/0!</v>
      </c>
    </row>
    <row r="231" spans="1:19" x14ac:dyDescent="0.2">
      <c r="A231" s="88" t="s">
        <v>334</v>
      </c>
      <c r="B231" s="89" t="s">
        <v>39</v>
      </c>
      <c r="C231" s="89" t="s">
        <v>212</v>
      </c>
      <c r="D231" s="89" t="s">
        <v>229</v>
      </c>
      <c r="E231" s="90" t="s">
        <v>296</v>
      </c>
      <c r="F231" s="89" t="s">
        <v>218</v>
      </c>
      <c r="G231" s="89" t="s">
        <v>183</v>
      </c>
      <c r="H231" s="89" t="s">
        <v>11</v>
      </c>
      <c r="I231" s="89" t="s">
        <v>171</v>
      </c>
      <c r="J231" s="90" t="s">
        <v>184</v>
      </c>
      <c r="K231" s="91">
        <v>54.5</v>
      </c>
      <c r="L231" s="91">
        <f t="shared" si="45"/>
        <v>41.923076923076927</v>
      </c>
      <c r="M231" s="92">
        <f>prodnorm11</f>
        <v>0</v>
      </c>
      <c r="N231" s="89" t="s">
        <v>104</v>
      </c>
      <c r="O231" s="17">
        <f>uurtarief11</f>
        <v>0</v>
      </c>
      <c r="P231" s="91" t="e">
        <f t="shared" si="46"/>
        <v>#DIV/0!</v>
      </c>
      <c r="Q231" s="17" t="e">
        <f t="shared" si="47"/>
        <v>#DIV/0!</v>
      </c>
      <c r="R231" s="91" t="e">
        <f t="shared" si="48"/>
        <v>#DIV/0!</v>
      </c>
      <c r="S231" s="18" t="e">
        <f t="shared" si="49"/>
        <v>#DIV/0!</v>
      </c>
    </row>
    <row r="232" spans="1:19" x14ac:dyDescent="0.2">
      <c r="A232" s="88" t="s">
        <v>334</v>
      </c>
      <c r="B232" s="89" t="s">
        <v>39</v>
      </c>
      <c r="C232" s="89" t="s">
        <v>212</v>
      </c>
      <c r="D232" s="89" t="s">
        <v>231</v>
      </c>
      <c r="E232" s="90" t="s">
        <v>296</v>
      </c>
      <c r="F232" s="89" t="s">
        <v>218</v>
      </c>
      <c r="G232" s="89" t="s">
        <v>183</v>
      </c>
      <c r="H232" s="89" t="s">
        <v>11</v>
      </c>
      <c r="I232" s="89" t="s">
        <v>171</v>
      </c>
      <c r="J232" s="90" t="s">
        <v>184</v>
      </c>
      <c r="K232" s="91">
        <v>54.5</v>
      </c>
      <c r="L232" s="91">
        <f t="shared" si="45"/>
        <v>41.923076923076927</v>
      </c>
      <c r="M232" s="92">
        <f>prodnorm11</f>
        <v>0</v>
      </c>
      <c r="N232" s="89" t="s">
        <v>104</v>
      </c>
      <c r="O232" s="17">
        <f>uurtarief11</f>
        <v>0</v>
      </c>
      <c r="P232" s="91" t="e">
        <f t="shared" si="46"/>
        <v>#DIV/0!</v>
      </c>
      <c r="Q232" s="17" t="e">
        <f t="shared" si="47"/>
        <v>#DIV/0!</v>
      </c>
      <c r="R232" s="91" t="e">
        <f t="shared" si="48"/>
        <v>#DIV/0!</v>
      </c>
      <c r="S232" s="18" t="e">
        <f t="shared" si="49"/>
        <v>#DIV/0!</v>
      </c>
    </row>
    <row r="233" spans="1:19" x14ac:dyDescent="0.2">
      <c r="A233" s="88" t="s">
        <v>334</v>
      </c>
      <c r="B233" s="89" t="s">
        <v>39</v>
      </c>
      <c r="C233" s="89" t="s">
        <v>212</v>
      </c>
      <c r="D233" s="89" t="s">
        <v>233</v>
      </c>
      <c r="E233" s="90" t="s">
        <v>299</v>
      </c>
      <c r="F233" s="89" t="s">
        <v>253</v>
      </c>
      <c r="G233" s="89" t="s">
        <v>191</v>
      </c>
      <c r="H233" s="89" t="s">
        <v>11</v>
      </c>
      <c r="I233" s="89" t="s">
        <v>171</v>
      </c>
      <c r="J233" s="90" t="s">
        <v>192</v>
      </c>
      <c r="K233" s="91">
        <v>6</v>
      </c>
      <c r="L233" s="91">
        <f t="shared" si="45"/>
        <v>4.6153846153846159</v>
      </c>
      <c r="M233" s="92">
        <f>prodnorm17</f>
        <v>0</v>
      </c>
      <c r="N233" s="89" t="s">
        <v>104</v>
      </c>
      <c r="O233" s="17">
        <f>uurtarief17</f>
        <v>0</v>
      </c>
      <c r="P233" s="91" t="e">
        <f t="shared" si="46"/>
        <v>#DIV/0!</v>
      </c>
      <c r="Q233" s="17" t="e">
        <f t="shared" si="47"/>
        <v>#DIV/0!</v>
      </c>
      <c r="R233" s="91" t="e">
        <f t="shared" si="48"/>
        <v>#DIV/0!</v>
      </c>
      <c r="S233" s="18" t="e">
        <f t="shared" si="49"/>
        <v>#DIV/0!</v>
      </c>
    </row>
    <row r="234" spans="1:19" x14ac:dyDescent="0.2">
      <c r="A234" s="88" t="s">
        <v>334</v>
      </c>
      <c r="B234" s="89" t="s">
        <v>39</v>
      </c>
      <c r="C234" s="89" t="s">
        <v>212</v>
      </c>
      <c r="D234" s="89" t="s">
        <v>235</v>
      </c>
      <c r="E234" s="90" t="s">
        <v>296</v>
      </c>
      <c r="F234" s="89" t="s">
        <v>218</v>
      </c>
      <c r="G234" s="89" t="s">
        <v>183</v>
      </c>
      <c r="H234" s="89" t="s">
        <v>11</v>
      </c>
      <c r="I234" s="89" t="s">
        <v>171</v>
      </c>
      <c r="J234" s="90" t="s">
        <v>184</v>
      </c>
      <c r="K234" s="91">
        <v>35.9</v>
      </c>
      <c r="L234" s="91">
        <f t="shared" si="45"/>
        <v>27.615384615384617</v>
      </c>
      <c r="M234" s="92">
        <f>prodnorm11</f>
        <v>0</v>
      </c>
      <c r="N234" s="89" t="s">
        <v>104</v>
      </c>
      <c r="O234" s="17">
        <f>uurtarief11</f>
        <v>0</v>
      </c>
      <c r="P234" s="91" t="e">
        <f t="shared" si="46"/>
        <v>#DIV/0!</v>
      </c>
      <c r="Q234" s="17" t="e">
        <f t="shared" si="47"/>
        <v>#DIV/0!</v>
      </c>
      <c r="R234" s="91" t="e">
        <f t="shared" si="48"/>
        <v>#DIV/0!</v>
      </c>
      <c r="S234" s="18" t="e">
        <f t="shared" si="49"/>
        <v>#DIV/0!</v>
      </c>
    </row>
    <row r="235" spans="1:19" ht="25.5" x14ac:dyDescent="0.2">
      <c r="A235" s="88" t="s">
        <v>334</v>
      </c>
      <c r="B235" s="89" t="s">
        <v>39</v>
      </c>
      <c r="C235" s="89" t="s">
        <v>212</v>
      </c>
      <c r="D235" s="89" t="s">
        <v>236</v>
      </c>
      <c r="E235" s="90" t="s">
        <v>312</v>
      </c>
      <c r="F235" s="89" t="s">
        <v>218</v>
      </c>
      <c r="G235" s="89" t="s">
        <v>173</v>
      </c>
      <c r="H235" s="89" t="s">
        <v>11</v>
      </c>
      <c r="I235" s="89" t="s">
        <v>171</v>
      </c>
      <c r="J235" s="90" t="s">
        <v>174</v>
      </c>
      <c r="K235" s="91">
        <v>24.5</v>
      </c>
      <c r="L235" s="91">
        <f t="shared" si="45"/>
        <v>18.846153846153847</v>
      </c>
      <c r="M235" s="92">
        <f>prodnorm3</f>
        <v>0</v>
      </c>
      <c r="N235" s="89" t="s">
        <v>104</v>
      </c>
      <c r="O235" s="17">
        <f>uurtarief3</f>
        <v>0</v>
      </c>
      <c r="P235" s="91" t="e">
        <f t="shared" si="46"/>
        <v>#DIV/0!</v>
      </c>
      <c r="Q235" s="17" t="e">
        <f t="shared" si="47"/>
        <v>#DIV/0!</v>
      </c>
      <c r="R235" s="91" t="e">
        <f t="shared" si="48"/>
        <v>#DIV/0!</v>
      </c>
      <c r="S235" s="18" t="e">
        <f t="shared" si="49"/>
        <v>#DIV/0!</v>
      </c>
    </row>
    <row r="236" spans="1:19" x14ac:dyDescent="0.2">
      <c r="A236" s="88" t="s">
        <v>334</v>
      </c>
      <c r="B236" s="89" t="s">
        <v>39</v>
      </c>
      <c r="C236" s="89" t="s">
        <v>212</v>
      </c>
      <c r="D236" s="89" t="s">
        <v>237</v>
      </c>
      <c r="E236" s="90" t="s">
        <v>299</v>
      </c>
      <c r="F236" s="89" t="s">
        <v>253</v>
      </c>
      <c r="G236" s="89" t="s">
        <v>191</v>
      </c>
      <c r="H236" s="89" t="s">
        <v>11</v>
      </c>
      <c r="I236" s="89" t="s">
        <v>171</v>
      </c>
      <c r="J236" s="90" t="s">
        <v>192</v>
      </c>
      <c r="K236" s="91">
        <v>6</v>
      </c>
      <c r="L236" s="91">
        <f t="shared" si="45"/>
        <v>4.6153846153846159</v>
      </c>
      <c r="M236" s="92">
        <f>prodnorm17</f>
        <v>0</v>
      </c>
      <c r="N236" s="89" t="s">
        <v>104</v>
      </c>
      <c r="O236" s="17">
        <f>uurtarief17</f>
        <v>0</v>
      </c>
      <c r="P236" s="91" t="e">
        <f t="shared" si="46"/>
        <v>#DIV/0!</v>
      </c>
      <c r="Q236" s="17" t="e">
        <f t="shared" si="47"/>
        <v>#DIV/0!</v>
      </c>
      <c r="R236" s="91" t="e">
        <f t="shared" si="48"/>
        <v>#DIV/0!</v>
      </c>
      <c r="S236" s="18" t="e">
        <f t="shared" si="49"/>
        <v>#DIV/0!</v>
      </c>
    </row>
    <row r="237" spans="1:19" x14ac:dyDescent="0.2">
      <c r="A237" s="88" t="s">
        <v>334</v>
      </c>
      <c r="B237" s="89" t="s">
        <v>39</v>
      </c>
      <c r="C237" s="89" t="s">
        <v>212</v>
      </c>
      <c r="D237" s="89" t="s">
        <v>239</v>
      </c>
      <c r="E237" s="90" t="s">
        <v>296</v>
      </c>
      <c r="F237" s="89" t="s">
        <v>218</v>
      </c>
      <c r="G237" s="89" t="s">
        <v>183</v>
      </c>
      <c r="H237" s="89" t="s">
        <v>11</v>
      </c>
      <c r="I237" s="89" t="s">
        <v>171</v>
      </c>
      <c r="J237" s="90" t="s">
        <v>184</v>
      </c>
      <c r="K237" s="91">
        <v>54.5</v>
      </c>
      <c r="L237" s="91">
        <f t="shared" si="45"/>
        <v>41.923076923076927</v>
      </c>
      <c r="M237" s="92">
        <f>prodnorm11</f>
        <v>0</v>
      </c>
      <c r="N237" s="89" t="s">
        <v>104</v>
      </c>
      <c r="O237" s="17">
        <f>uurtarief11</f>
        <v>0</v>
      </c>
      <c r="P237" s="91" t="e">
        <f t="shared" si="46"/>
        <v>#DIV/0!</v>
      </c>
      <c r="Q237" s="17" t="e">
        <f t="shared" si="47"/>
        <v>#DIV/0!</v>
      </c>
      <c r="R237" s="91" t="e">
        <f t="shared" si="48"/>
        <v>#DIV/0!</v>
      </c>
      <c r="S237" s="18" t="e">
        <f t="shared" si="49"/>
        <v>#DIV/0!</v>
      </c>
    </row>
    <row r="238" spans="1:19" x14ac:dyDescent="0.2">
      <c r="A238" s="88" t="s">
        <v>334</v>
      </c>
      <c r="B238" s="89" t="s">
        <v>39</v>
      </c>
      <c r="C238" s="89" t="s">
        <v>212</v>
      </c>
      <c r="D238" s="89" t="s">
        <v>240</v>
      </c>
      <c r="E238" s="90" t="s">
        <v>296</v>
      </c>
      <c r="F238" s="89" t="s">
        <v>218</v>
      </c>
      <c r="G238" s="89" t="s">
        <v>183</v>
      </c>
      <c r="H238" s="89" t="s">
        <v>11</v>
      </c>
      <c r="I238" s="89" t="s">
        <v>171</v>
      </c>
      <c r="J238" s="90" t="s">
        <v>184</v>
      </c>
      <c r="K238" s="91">
        <v>54.5</v>
      </c>
      <c r="L238" s="91">
        <f t="shared" si="45"/>
        <v>41.923076923076927</v>
      </c>
      <c r="M238" s="92">
        <f>prodnorm11</f>
        <v>0</v>
      </c>
      <c r="N238" s="89" t="s">
        <v>104</v>
      </c>
      <c r="O238" s="17">
        <f>uurtarief11</f>
        <v>0</v>
      </c>
      <c r="P238" s="91" t="e">
        <f t="shared" si="46"/>
        <v>#DIV/0!</v>
      </c>
      <c r="Q238" s="17" t="e">
        <f t="shared" si="47"/>
        <v>#DIV/0!</v>
      </c>
      <c r="R238" s="91" t="e">
        <f t="shared" si="48"/>
        <v>#DIV/0!</v>
      </c>
      <c r="S238" s="18" t="e">
        <f t="shared" si="49"/>
        <v>#DIV/0!</v>
      </c>
    </row>
    <row r="239" spans="1:19" x14ac:dyDescent="0.2">
      <c r="A239" s="88" t="s">
        <v>334</v>
      </c>
      <c r="B239" s="89" t="s">
        <v>39</v>
      </c>
      <c r="C239" s="89" t="s">
        <v>212</v>
      </c>
      <c r="D239" s="89" t="s">
        <v>241</v>
      </c>
      <c r="E239" s="90" t="s">
        <v>299</v>
      </c>
      <c r="F239" s="89" t="s">
        <v>253</v>
      </c>
      <c r="G239" s="89" t="s">
        <v>191</v>
      </c>
      <c r="H239" s="89" t="s">
        <v>11</v>
      </c>
      <c r="I239" s="89" t="s">
        <v>171</v>
      </c>
      <c r="J239" s="90" t="s">
        <v>192</v>
      </c>
      <c r="K239" s="91">
        <v>6</v>
      </c>
      <c r="L239" s="91">
        <f t="shared" si="45"/>
        <v>4.6153846153846159</v>
      </c>
      <c r="M239" s="92">
        <f>prodnorm17</f>
        <v>0</v>
      </c>
      <c r="N239" s="89" t="s">
        <v>104</v>
      </c>
      <c r="O239" s="17">
        <f>uurtarief17</f>
        <v>0</v>
      </c>
      <c r="P239" s="91" t="e">
        <f t="shared" si="46"/>
        <v>#DIV/0!</v>
      </c>
      <c r="Q239" s="17" t="e">
        <f t="shared" si="47"/>
        <v>#DIV/0!</v>
      </c>
      <c r="R239" s="91" t="e">
        <f t="shared" si="48"/>
        <v>#DIV/0!</v>
      </c>
      <c r="S239" s="18" t="e">
        <f t="shared" si="49"/>
        <v>#DIV/0!</v>
      </c>
    </row>
    <row r="240" spans="1:19" x14ac:dyDescent="0.2">
      <c r="A240" s="88" t="s">
        <v>334</v>
      </c>
      <c r="B240" s="89" t="s">
        <v>39</v>
      </c>
      <c r="C240" s="89" t="s">
        <v>212</v>
      </c>
      <c r="D240" s="89" t="s">
        <v>242</v>
      </c>
      <c r="E240" s="90" t="s">
        <v>307</v>
      </c>
      <c r="F240" s="89" t="s">
        <v>218</v>
      </c>
      <c r="G240" s="89" t="s">
        <v>170</v>
      </c>
      <c r="H240" s="89" t="s">
        <v>11</v>
      </c>
      <c r="I240" s="89" t="s">
        <v>171</v>
      </c>
      <c r="J240" s="90" t="s">
        <v>172</v>
      </c>
      <c r="K240" s="91">
        <v>144</v>
      </c>
      <c r="L240" s="91">
        <f t="shared" si="45"/>
        <v>110.76923076923077</v>
      </c>
      <c r="M240" s="92">
        <f>prodnorm2</f>
        <v>0</v>
      </c>
      <c r="N240" s="89" t="s">
        <v>104</v>
      </c>
      <c r="O240" s="17">
        <f>uurtarief2</f>
        <v>0</v>
      </c>
      <c r="P240" s="91" t="e">
        <f t="shared" si="46"/>
        <v>#DIV/0!</v>
      </c>
      <c r="Q240" s="17" t="e">
        <f t="shared" si="47"/>
        <v>#DIV/0!</v>
      </c>
      <c r="R240" s="91" t="e">
        <f t="shared" si="48"/>
        <v>#DIV/0!</v>
      </c>
      <c r="S240" s="18" t="e">
        <f t="shared" si="49"/>
        <v>#DIV/0!</v>
      </c>
    </row>
    <row r="241" spans="1:19" ht="25.5" x14ac:dyDescent="0.2">
      <c r="A241" s="88" t="s">
        <v>334</v>
      </c>
      <c r="B241" s="89" t="s">
        <v>39</v>
      </c>
      <c r="C241" s="89" t="s">
        <v>212</v>
      </c>
      <c r="D241" s="89" t="s">
        <v>243</v>
      </c>
      <c r="E241" s="90" t="s">
        <v>297</v>
      </c>
      <c r="F241" s="89" t="s">
        <v>218</v>
      </c>
      <c r="G241" s="89" t="s">
        <v>195</v>
      </c>
      <c r="H241" s="89" t="s">
        <v>11</v>
      </c>
      <c r="I241" s="89" t="s">
        <v>171</v>
      </c>
      <c r="J241" s="90" t="s">
        <v>196</v>
      </c>
      <c r="K241" s="91">
        <v>12</v>
      </c>
      <c r="L241" s="91">
        <f t="shared" si="45"/>
        <v>9.2307692307692317</v>
      </c>
      <c r="M241" s="92">
        <f>prodnorm20</f>
        <v>0</v>
      </c>
      <c r="N241" s="89" t="s">
        <v>104</v>
      </c>
      <c r="O241" s="17">
        <f>uurtarief20</f>
        <v>0</v>
      </c>
      <c r="P241" s="91" t="e">
        <f t="shared" si="46"/>
        <v>#DIV/0!</v>
      </c>
      <c r="Q241" s="17" t="e">
        <f t="shared" si="47"/>
        <v>#DIV/0!</v>
      </c>
      <c r="R241" s="91" t="e">
        <f t="shared" si="48"/>
        <v>#DIV/0!</v>
      </c>
      <c r="S241" s="18" t="e">
        <f t="shared" si="49"/>
        <v>#DIV/0!</v>
      </c>
    </row>
    <row r="242" spans="1:19" x14ac:dyDescent="0.2">
      <c r="A242" s="88" t="s">
        <v>334</v>
      </c>
      <c r="B242" s="89" t="s">
        <v>39</v>
      </c>
      <c r="C242" s="89" t="s">
        <v>212</v>
      </c>
      <c r="D242" s="89" t="s">
        <v>245</v>
      </c>
      <c r="E242" s="90" t="s">
        <v>299</v>
      </c>
      <c r="F242" s="89" t="s">
        <v>253</v>
      </c>
      <c r="G242" s="89" t="s">
        <v>191</v>
      </c>
      <c r="H242" s="89" t="s">
        <v>11</v>
      </c>
      <c r="I242" s="89" t="s">
        <v>171</v>
      </c>
      <c r="J242" s="90" t="s">
        <v>192</v>
      </c>
      <c r="K242" s="91">
        <v>6</v>
      </c>
      <c r="L242" s="91">
        <f t="shared" si="45"/>
        <v>4.6153846153846159</v>
      </c>
      <c r="M242" s="92">
        <f>prodnorm17</f>
        <v>0</v>
      </c>
      <c r="N242" s="89" t="s">
        <v>104</v>
      </c>
      <c r="O242" s="17">
        <f>uurtarief17</f>
        <v>0</v>
      </c>
      <c r="P242" s="91" t="e">
        <f t="shared" si="46"/>
        <v>#DIV/0!</v>
      </c>
      <c r="Q242" s="17" t="e">
        <f t="shared" si="47"/>
        <v>#DIV/0!</v>
      </c>
      <c r="R242" s="91" t="e">
        <f t="shared" si="48"/>
        <v>#DIV/0!</v>
      </c>
      <c r="S242" s="18" t="e">
        <f t="shared" si="49"/>
        <v>#DIV/0!</v>
      </c>
    </row>
    <row r="243" spans="1:19" x14ac:dyDescent="0.2">
      <c r="A243" s="88" t="s">
        <v>334</v>
      </c>
      <c r="B243" s="89" t="s">
        <v>39</v>
      </c>
      <c r="C243" s="89" t="s">
        <v>212</v>
      </c>
      <c r="D243" s="89" t="s">
        <v>246</v>
      </c>
      <c r="E243" s="90" t="s">
        <v>299</v>
      </c>
      <c r="F243" s="89" t="s">
        <v>300</v>
      </c>
      <c r="G243" s="89" t="s">
        <v>191</v>
      </c>
      <c r="H243" s="89" t="s">
        <v>11</v>
      </c>
      <c r="I243" s="89" t="s">
        <v>171</v>
      </c>
      <c r="J243" s="90" t="s">
        <v>192</v>
      </c>
      <c r="K243" s="91">
        <v>38.4</v>
      </c>
      <c r="L243" s="91">
        <f t="shared" si="45"/>
        <v>29.53846153846154</v>
      </c>
      <c r="M243" s="92">
        <f>prodnorm17</f>
        <v>0</v>
      </c>
      <c r="N243" s="89" t="s">
        <v>104</v>
      </c>
      <c r="O243" s="17">
        <f>uurtarief17</f>
        <v>0</v>
      </c>
      <c r="P243" s="91" t="e">
        <f t="shared" si="46"/>
        <v>#DIV/0!</v>
      </c>
      <c r="Q243" s="17" t="e">
        <f t="shared" si="47"/>
        <v>#DIV/0!</v>
      </c>
      <c r="R243" s="91" t="e">
        <f t="shared" si="48"/>
        <v>#DIV/0!</v>
      </c>
      <c r="S243" s="18" t="e">
        <f t="shared" si="49"/>
        <v>#DIV/0!</v>
      </c>
    </row>
    <row r="244" spans="1:19" ht="25.5" x14ac:dyDescent="0.2">
      <c r="A244" s="88" t="s">
        <v>334</v>
      </c>
      <c r="B244" s="89" t="s">
        <v>39</v>
      </c>
      <c r="C244" s="89" t="s">
        <v>212</v>
      </c>
      <c r="D244" s="89" t="s">
        <v>261</v>
      </c>
      <c r="E244" s="90" t="s">
        <v>318</v>
      </c>
      <c r="F244" s="89" t="s">
        <v>218</v>
      </c>
      <c r="G244" s="89" t="s">
        <v>173</v>
      </c>
      <c r="H244" s="89" t="s">
        <v>11</v>
      </c>
      <c r="I244" s="89" t="s">
        <v>171</v>
      </c>
      <c r="J244" s="90" t="s">
        <v>174</v>
      </c>
      <c r="K244" s="91">
        <v>33.449999999999996</v>
      </c>
      <c r="L244" s="91">
        <f t="shared" si="45"/>
        <v>25.73076923076923</v>
      </c>
      <c r="M244" s="92">
        <f>prodnorm3</f>
        <v>0</v>
      </c>
      <c r="N244" s="89" t="s">
        <v>104</v>
      </c>
      <c r="O244" s="17">
        <f>uurtarief3</f>
        <v>0</v>
      </c>
      <c r="P244" s="91" t="e">
        <f t="shared" si="46"/>
        <v>#DIV/0!</v>
      </c>
      <c r="Q244" s="17" t="e">
        <f t="shared" si="47"/>
        <v>#DIV/0!</v>
      </c>
      <c r="R244" s="91" t="e">
        <f t="shared" si="48"/>
        <v>#DIV/0!</v>
      </c>
      <c r="S244" s="18" t="e">
        <f t="shared" si="49"/>
        <v>#DIV/0!</v>
      </c>
    </row>
    <row r="245" spans="1:19" x14ac:dyDescent="0.2">
      <c r="A245" s="88" t="s">
        <v>334</v>
      </c>
      <c r="B245" s="89" t="s">
        <v>39</v>
      </c>
      <c r="C245" s="89" t="s">
        <v>212</v>
      </c>
      <c r="D245" s="89" t="s">
        <v>248</v>
      </c>
      <c r="E245" s="90" t="s">
        <v>335</v>
      </c>
      <c r="F245" s="89" t="s">
        <v>218</v>
      </c>
      <c r="G245" s="89" t="s">
        <v>187</v>
      </c>
      <c r="H245" s="89" t="s">
        <v>11</v>
      </c>
      <c r="I245" s="89" t="s">
        <v>171</v>
      </c>
      <c r="J245" s="90" t="s">
        <v>188</v>
      </c>
      <c r="K245" s="91">
        <v>7.57</v>
      </c>
      <c r="L245" s="91">
        <f t="shared" si="45"/>
        <v>5.8230769230769237</v>
      </c>
      <c r="M245" s="92">
        <f>prodnorm15</f>
        <v>0</v>
      </c>
      <c r="N245" s="89" t="s">
        <v>104</v>
      </c>
      <c r="O245" s="17">
        <f>uurtarief15</f>
        <v>0</v>
      </c>
      <c r="P245" s="91" t="e">
        <f t="shared" si="46"/>
        <v>#DIV/0!</v>
      </c>
      <c r="Q245" s="17" t="e">
        <f t="shared" si="47"/>
        <v>#DIV/0!</v>
      </c>
      <c r="R245" s="91" t="e">
        <f t="shared" si="48"/>
        <v>#DIV/0!</v>
      </c>
      <c r="S245" s="18" t="e">
        <f t="shared" si="49"/>
        <v>#DIV/0!</v>
      </c>
    </row>
    <row r="246" spans="1:19" ht="25.5" x14ac:dyDescent="0.2">
      <c r="A246" s="88" t="s">
        <v>334</v>
      </c>
      <c r="B246" s="89" t="s">
        <v>39</v>
      </c>
      <c r="C246" s="89" t="s">
        <v>212</v>
      </c>
      <c r="D246" s="89" t="s">
        <v>263</v>
      </c>
      <c r="E246" s="90" t="s">
        <v>315</v>
      </c>
      <c r="F246" s="89" t="s">
        <v>218</v>
      </c>
      <c r="G246" s="89" t="s">
        <v>195</v>
      </c>
      <c r="H246" s="89" t="s">
        <v>11</v>
      </c>
      <c r="I246" s="89" t="s">
        <v>171</v>
      </c>
      <c r="J246" s="90" t="s">
        <v>196</v>
      </c>
      <c r="K246" s="91">
        <v>13.12</v>
      </c>
      <c r="L246" s="91">
        <f t="shared" si="45"/>
        <v>10.092307692307692</v>
      </c>
      <c r="M246" s="92">
        <f>prodnorm20</f>
        <v>0</v>
      </c>
      <c r="N246" s="89" t="s">
        <v>104</v>
      </c>
      <c r="O246" s="17">
        <f>uurtarief20</f>
        <v>0</v>
      </c>
      <c r="P246" s="91" t="e">
        <f t="shared" si="46"/>
        <v>#DIV/0!</v>
      </c>
      <c r="Q246" s="17" t="e">
        <f t="shared" si="47"/>
        <v>#DIV/0!</v>
      </c>
      <c r="R246" s="91" t="e">
        <f t="shared" si="48"/>
        <v>#DIV/0!</v>
      </c>
      <c r="S246" s="18" t="e">
        <f t="shared" si="49"/>
        <v>#DIV/0!</v>
      </c>
    </row>
    <row r="247" spans="1:19" ht="25.5" x14ac:dyDescent="0.2">
      <c r="A247" s="88" t="s">
        <v>334</v>
      </c>
      <c r="B247" s="89" t="s">
        <v>39</v>
      </c>
      <c r="C247" s="89" t="s">
        <v>212</v>
      </c>
      <c r="D247" s="89" t="s">
        <v>264</v>
      </c>
      <c r="E247" s="90" t="s">
        <v>297</v>
      </c>
      <c r="F247" s="89" t="s">
        <v>218</v>
      </c>
      <c r="G247" s="89" t="s">
        <v>195</v>
      </c>
      <c r="H247" s="89" t="s">
        <v>11</v>
      </c>
      <c r="I247" s="89" t="s">
        <v>171</v>
      </c>
      <c r="J247" s="90" t="s">
        <v>196</v>
      </c>
      <c r="K247" s="91">
        <v>41.3</v>
      </c>
      <c r="L247" s="91">
        <f t="shared" si="45"/>
        <v>31.76923076923077</v>
      </c>
      <c r="M247" s="92">
        <f>prodnorm20</f>
        <v>0</v>
      </c>
      <c r="N247" s="89" t="s">
        <v>104</v>
      </c>
      <c r="O247" s="17">
        <f>uurtarief20</f>
        <v>0</v>
      </c>
      <c r="P247" s="91" t="e">
        <f t="shared" si="46"/>
        <v>#DIV/0!</v>
      </c>
      <c r="Q247" s="17" t="e">
        <f t="shared" si="47"/>
        <v>#DIV/0!</v>
      </c>
      <c r="R247" s="91" t="e">
        <f t="shared" si="48"/>
        <v>#DIV/0!</v>
      </c>
      <c r="S247" s="18" t="e">
        <f t="shared" si="49"/>
        <v>#DIV/0!</v>
      </c>
    </row>
    <row r="248" spans="1:19" ht="25.5" x14ac:dyDescent="0.2">
      <c r="A248" s="88" t="s">
        <v>334</v>
      </c>
      <c r="B248" s="89" t="s">
        <v>39</v>
      </c>
      <c r="C248" s="89" t="s">
        <v>212</v>
      </c>
      <c r="D248" s="89" t="s">
        <v>265</v>
      </c>
      <c r="E248" s="90" t="s">
        <v>304</v>
      </c>
      <c r="F248" s="89" t="s">
        <v>215</v>
      </c>
      <c r="G248" s="89" t="s">
        <v>181</v>
      </c>
      <c r="H248" s="89" t="s">
        <v>11</v>
      </c>
      <c r="I248" s="89" t="s">
        <v>171</v>
      </c>
      <c r="J248" s="90" t="s">
        <v>182</v>
      </c>
      <c r="K248" s="91">
        <v>72.8</v>
      </c>
      <c r="L248" s="91">
        <f t="shared" si="45"/>
        <v>56</v>
      </c>
      <c r="M248" s="92">
        <f>prodnorm8</f>
        <v>0</v>
      </c>
      <c r="N248" s="89" t="s">
        <v>104</v>
      </c>
      <c r="O248" s="17">
        <f>uurtarief8</f>
        <v>0</v>
      </c>
      <c r="P248" s="91" t="e">
        <f t="shared" si="46"/>
        <v>#DIV/0!</v>
      </c>
      <c r="Q248" s="17" t="e">
        <f t="shared" si="47"/>
        <v>#DIV/0!</v>
      </c>
      <c r="R248" s="91" t="e">
        <f t="shared" si="48"/>
        <v>#DIV/0!</v>
      </c>
      <c r="S248" s="18" t="e">
        <f t="shared" si="49"/>
        <v>#DIV/0!</v>
      </c>
    </row>
    <row r="249" spans="1:19" x14ac:dyDescent="0.2">
      <c r="A249" s="88" t="s">
        <v>334</v>
      </c>
      <c r="B249" s="89" t="s">
        <v>39</v>
      </c>
      <c r="C249" s="89" t="s">
        <v>212</v>
      </c>
      <c r="D249" s="89" t="s">
        <v>266</v>
      </c>
      <c r="E249" s="90" t="s">
        <v>298</v>
      </c>
      <c r="F249" s="89" t="s">
        <v>228</v>
      </c>
      <c r="G249" s="89" t="s">
        <v>179</v>
      </c>
      <c r="H249" s="89" t="s">
        <v>11</v>
      </c>
      <c r="I249" s="89" t="s">
        <v>171</v>
      </c>
      <c r="J249" s="90" t="s">
        <v>180</v>
      </c>
      <c r="K249" s="91">
        <v>14.12</v>
      </c>
      <c r="L249" s="91">
        <f t="shared" si="45"/>
        <v>10.861538461538462</v>
      </c>
      <c r="M249" s="92">
        <f>prodnorm7</f>
        <v>0</v>
      </c>
      <c r="N249" s="89" t="s">
        <v>104</v>
      </c>
      <c r="O249" s="17">
        <f>uurtarief7</f>
        <v>0</v>
      </c>
      <c r="P249" s="91" t="e">
        <f t="shared" si="46"/>
        <v>#DIV/0!</v>
      </c>
      <c r="Q249" s="17" t="e">
        <f t="shared" si="47"/>
        <v>#DIV/0!</v>
      </c>
      <c r="R249" s="91" t="e">
        <f t="shared" si="48"/>
        <v>#DIV/0!</v>
      </c>
      <c r="S249" s="18" t="e">
        <f t="shared" si="49"/>
        <v>#DIV/0!</v>
      </c>
    </row>
    <row r="250" spans="1:19" x14ac:dyDescent="0.2">
      <c r="A250" s="88" t="s">
        <v>334</v>
      </c>
      <c r="B250" s="89" t="s">
        <v>39</v>
      </c>
      <c r="C250" s="89" t="s">
        <v>212</v>
      </c>
      <c r="D250" s="89" t="s">
        <v>267</v>
      </c>
      <c r="E250" s="90" t="s">
        <v>299</v>
      </c>
      <c r="F250" s="89" t="s">
        <v>253</v>
      </c>
      <c r="G250" s="89" t="s">
        <v>191</v>
      </c>
      <c r="H250" s="89" t="s">
        <v>11</v>
      </c>
      <c r="I250" s="89" t="s">
        <v>171</v>
      </c>
      <c r="J250" s="90" t="s">
        <v>192</v>
      </c>
      <c r="K250" s="91">
        <v>8.1</v>
      </c>
      <c r="L250" s="91">
        <f t="shared" si="45"/>
        <v>6.2307692307692308</v>
      </c>
      <c r="M250" s="92">
        <f>prodnorm17</f>
        <v>0</v>
      </c>
      <c r="N250" s="89" t="s">
        <v>104</v>
      </c>
      <c r="O250" s="17">
        <f>uurtarief17</f>
        <v>0</v>
      </c>
      <c r="P250" s="91" t="e">
        <f t="shared" si="46"/>
        <v>#DIV/0!</v>
      </c>
      <c r="Q250" s="17" t="e">
        <f t="shared" si="47"/>
        <v>#DIV/0!</v>
      </c>
      <c r="R250" s="91" t="e">
        <f t="shared" si="48"/>
        <v>#DIV/0!</v>
      </c>
      <c r="S250" s="18" t="e">
        <f t="shared" si="49"/>
        <v>#DIV/0!</v>
      </c>
    </row>
    <row r="251" spans="1:19" x14ac:dyDescent="0.2">
      <c r="A251" s="88" t="s">
        <v>334</v>
      </c>
      <c r="B251" s="89" t="s">
        <v>39</v>
      </c>
      <c r="C251" s="89" t="s">
        <v>212</v>
      </c>
      <c r="D251" s="89" t="s">
        <v>281</v>
      </c>
      <c r="E251" s="90" t="s">
        <v>299</v>
      </c>
      <c r="F251" s="89" t="s">
        <v>253</v>
      </c>
      <c r="G251" s="89" t="s">
        <v>191</v>
      </c>
      <c r="H251" s="89" t="s">
        <v>11</v>
      </c>
      <c r="I251" s="89" t="s">
        <v>171</v>
      </c>
      <c r="J251" s="90" t="s">
        <v>192</v>
      </c>
      <c r="K251" s="91">
        <v>4.24</v>
      </c>
      <c r="L251" s="91">
        <f t="shared" si="45"/>
        <v>3.2615384615384619</v>
      </c>
      <c r="M251" s="92">
        <f>prodnorm17</f>
        <v>0</v>
      </c>
      <c r="N251" s="89" t="s">
        <v>104</v>
      </c>
      <c r="O251" s="17">
        <f>uurtarief17</f>
        <v>0</v>
      </c>
      <c r="P251" s="91" t="e">
        <f t="shared" si="46"/>
        <v>#DIV/0!</v>
      </c>
      <c r="Q251" s="17" t="e">
        <f t="shared" si="47"/>
        <v>#DIV/0!</v>
      </c>
      <c r="R251" s="91" t="e">
        <f t="shared" si="48"/>
        <v>#DIV/0!</v>
      </c>
      <c r="S251" s="18" t="e">
        <f t="shared" si="49"/>
        <v>#DIV/0!</v>
      </c>
    </row>
    <row r="252" spans="1:19" x14ac:dyDescent="0.2">
      <c r="A252" s="88" t="s">
        <v>334</v>
      </c>
      <c r="B252" s="89" t="s">
        <v>39</v>
      </c>
      <c r="C252" s="89" t="s">
        <v>212</v>
      </c>
      <c r="D252" s="89" t="s">
        <v>282</v>
      </c>
      <c r="E252" s="90" t="s">
        <v>296</v>
      </c>
      <c r="F252" s="89" t="s">
        <v>254</v>
      </c>
      <c r="G252" s="89" t="s">
        <v>183</v>
      </c>
      <c r="H252" s="89" t="s">
        <v>11</v>
      </c>
      <c r="I252" s="89" t="s">
        <v>171</v>
      </c>
      <c r="J252" s="90" t="s">
        <v>184</v>
      </c>
      <c r="K252" s="91">
        <v>54.5</v>
      </c>
      <c r="L252" s="91">
        <f t="shared" si="45"/>
        <v>41.923076923076927</v>
      </c>
      <c r="M252" s="92">
        <f>prodnorm11</f>
        <v>0</v>
      </c>
      <c r="N252" s="89" t="s">
        <v>104</v>
      </c>
      <c r="O252" s="17">
        <f>uurtarief11</f>
        <v>0</v>
      </c>
      <c r="P252" s="91" t="e">
        <f t="shared" si="46"/>
        <v>#DIV/0!</v>
      </c>
      <c r="Q252" s="17" t="e">
        <f t="shared" si="47"/>
        <v>#DIV/0!</v>
      </c>
      <c r="R252" s="91" t="e">
        <f t="shared" si="48"/>
        <v>#DIV/0!</v>
      </c>
      <c r="S252" s="18" t="e">
        <f t="shared" si="49"/>
        <v>#DIV/0!</v>
      </c>
    </row>
    <row r="253" spans="1:19" x14ac:dyDescent="0.2">
      <c r="A253" s="88" t="s">
        <v>334</v>
      </c>
      <c r="B253" s="89" t="s">
        <v>39</v>
      </c>
      <c r="C253" s="89" t="s">
        <v>212</v>
      </c>
      <c r="D253" s="89" t="s">
        <v>283</v>
      </c>
      <c r="E253" s="90" t="s">
        <v>296</v>
      </c>
      <c r="F253" s="89" t="s">
        <v>254</v>
      </c>
      <c r="G253" s="89" t="s">
        <v>183</v>
      </c>
      <c r="H253" s="89" t="s">
        <v>11</v>
      </c>
      <c r="I253" s="89" t="s">
        <v>171</v>
      </c>
      <c r="J253" s="90" t="s">
        <v>184</v>
      </c>
      <c r="K253" s="91">
        <v>63.43</v>
      </c>
      <c r="L253" s="91">
        <f t="shared" si="45"/>
        <v>48.792307692307695</v>
      </c>
      <c r="M253" s="92">
        <f>prodnorm11</f>
        <v>0</v>
      </c>
      <c r="N253" s="89" t="s">
        <v>104</v>
      </c>
      <c r="O253" s="17">
        <f>uurtarief11</f>
        <v>0</v>
      </c>
      <c r="P253" s="91" t="e">
        <f t="shared" si="46"/>
        <v>#DIV/0!</v>
      </c>
      <c r="Q253" s="17" t="e">
        <f t="shared" si="47"/>
        <v>#DIV/0!</v>
      </c>
      <c r="R253" s="91" t="e">
        <f t="shared" si="48"/>
        <v>#DIV/0!</v>
      </c>
      <c r="S253" s="18" t="e">
        <f t="shared" si="49"/>
        <v>#DIV/0!</v>
      </c>
    </row>
    <row r="254" spans="1:19" ht="25.5" x14ac:dyDescent="0.2">
      <c r="A254" s="88" t="s">
        <v>334</v>
      </c>
      <c r="B254" s="89" t="s">
        <v>39</v>
      </c>
      <c r="C254" s="89" t="s">
        <v>212</v>
      </c>
      <c r="D254" s="89" t="s">
        <v>284</v>
      </c>
      <c r="E254" s="90" t="s">
        <v>324</v>
      </c>
      <c r="F254" s="89" t="s">
        <v>254</v>
      </c>
      <c r="G254" s="89" t="s">
        <v>195</v>
      </c>
      <c r="H254" s="89" t="s">
        <v>11</v>
      </c>
      <c r="I254" s="89" t="s">
        <v>171</v>
      </c>
      <c r="J254" s="90" t="s">
        <v>196</v>
      </c>
      <c r="K254" s="91">
        <v>110</v>
      </c>
      <c r="L254" s="91">
        <f t="shared" si="45"/>
        <v>84.615384615384613</v>
      </c>
      <c r="M254" s="92">
        <f>prodnorm20</f>
        <v>0</v>
      </c>
      <c r="N254" s="89" t="s">
        <v>104</v>
      </c>
      <c r="O254" s="17">
        <f>uurtarief20</f>
        <v>0</v>
      </c>
      <c r="P254" s="91" t="e">
        <f t="shared" si="46"/>
        <v>#DIV/0!</v>
      </c>
      <c r="Q254" s="17" t="e">
        <f t="shared" si="47"/>
        <v>#DIV/0!</v>
      </c>
      <c r="R254" s="91" t="e">
        <f t="shared" si="48"/>
        <v>#DIV/0!</v>
      </c>
      <c r="S254" s="18" t="e">
        <f t="shared" si="49"/>
        <v>#DIV/0!</v>
      </c>
    </row>
    <row r="255" spans="1:19" x14ac:dyDescent="0.2">
      <c r="A255" s="88" t="s">
        <v>334</v>
      </c>
      <c r="B255" s="89" t="s">
        <v>39</v>
      </c>
      <c r="C255" s="89" t="s">
        <v>212</v>
      </c>
      <c r="D255" s="89" t="s">
        <v>336</v>
      </c>
      <c r="E255" s="90" t="s">
        <v>296</v>
      </c>
      <c r="F255" s="89" t="s">
        <v>254</v>
      </c>
      <c r="G255" s="89" t="s">
        <v>183</v>
      </c>
      <c r="H255" s="89" t="s">
        <v>11</v>
      </c>
      <c r="I255" s="89" t="s">
        <v>171</v>
      </c>
      <c r="J255" s="90" t="s">
        <v>184</v>
      </c>
      <c r="K255" s="91">
        <v>54.71</v>
      </c>
      <c r="L255" s="91">
        <f t="shared" si="45"/>
        <v>42.08461538461539</v>
      </c>
      <c r="M255" s="92">
        <f>prodnorm11</f>
        <v>0</v>
      </c>
      <c r="N255" s="89" t="s">
        <v>104</v>
      </c>
      <c r="O255" s="17">
        <f>uurtarief11</f>
        <v>0</v>
      </c>
      <c r="P255" s="91" t="e">
        <f t="shared" si="46"/>
        <v>#DIV/0!</v>
      </c>
      <c r="Q255" s="17" t="e">
        <f t="shared" si="47"/>
        <v>#DIV/0!</v>
      </c>
      <c r="R255" s="91" t="e">
        <f t="shared" si="48"/>
        <v>#DIV/0!</v>
      </c>
      <c r="S255" s="18" t="e">
        <f t="shared" si="49"/>
        <v>#DIV/0!</v>
      </c>
    </row>
    <row r="256" spans="1:19" x14ac:dyDescent="0.2">
      <c r="A256" s="88" t="s">
        <v>334</v>
      </c>
      <c r="B256" s="89" t="s">
        <v>39</v>
      </c>
      <c r="C256" s="89" t="s">
        <v>212</v>
      </c>
      <c r="D256" s="89" t="s">
        <v>337</v>
      </c>
      <c r="E256" s="90" t="s">
        <v>298</v>
      </c>
      <c r="F256" s="89" t="s">
        <v>254</v>
      </c>
      <c r="G256" s="89" t="s">
        <v>179</v>
      </c>
      <c r="H256" s="89" t="s">
        <v>11</v>
      </c>
      <c r="I256" s="89" t="s">
        <v>171</v>
      </c>
      <c r="J256" s="90" t="s">
        <v>180</v>
      </c>
      <c r="K256" s="91">
        <v>11</v>
      </c>
      <c r="L256" s="91">
        <f t="shared" si="45"/>
        <v>8.4615384615384617</v>
      </c>
      <c r="M256" s="92">
        <f>prodnorm7</f>
        <v>0</v>
      </c>
      <c r="N256" s="89" t="s">
        <v>104</v>
      </c>
      <c r="O256" s="17">
        <f>uurtarief7</f>
        <v>0</v>
      </c>
      <c r="P256" s="91" t="e">
        <f t="shared" si="46"/>
        <v>#DIV/0!</v>
      </c>
      <c r="Q256" s="17" t="e">
        <f t="shared" si="47"/>
        <v>#DIV/0!</v>
      </c>
      <c r="R256" s="91" t="e">
        <f t="shared" si="48"/>
        <v>#DIV/0!</v>
      </c>
      <c r="S256" s="18" t="e">
        <f t="shared" si="49"/>
        <v>#DIV/0!</v>
      </c>
    </row>
    <row r="257" spans="1:19" x14ac:dyDescent="0.2">
      <c r="A257" s="88" t="s">
        <v>334</v>
      </c>
      <c r="B257" s="89" t="s">
        <v>39</v>
      </c>
      <c r="C257" s="89" t="s">
        <v>212</v>
      </c>
      <c r="D257" s="89" t="s">
        <v>338</v>
      </c>
      <c r="E257" s="90" t="s">
        <v>298</v>
      </c>
      <c r="F257" s="89" t="s">
        <v>259</v>
      </c>
      <c r="G257" s="89" t="s">
        <v>179</v>
      </c>
      <c r="H257" s="89" t="s">
        <v>11</v>
      </c>
      <c r="I257" s="89" t="s">
        <v>171</v>
      </c>
      <c r="J257" s="90" t="s">
        <v>180</v>
      </c>
      <c r="K257" s="91">
        <v>3</v>
      </c>
      <c r="L257" s="91">
        <f t="shared" si="45"/>
        <v>2.3076923076923079</v>
      </c>
      <c r="M257" s="92">
        <f>prodnorm7</f>
        <v>0</v>
      </c>
      <c r="N257" s="89" t="s">
        <v>104</v>
      </c>
      <c r="O257" s="17">
        <f>uurtarief7</f>
        <v>0</v>
      </c>
      <c r="P257" s="91" t="e">
        <f t="shared" si="46"/>
        <v>#DIV/0!</v>
      </c>
      <c r="Q257" s="17" t="e">
        <f t="shared" si="47"/>
        <v>#DIV/0!</v>
      </c>
      <c r="R257" s="91" t="e">
        <f t="shared" si="48"/>
        <v>#DIV/0!</v>
      </c>
      <c r="S257" s="18" t="e">
        <f t="shared" si="49"/>
        <v>#DIV/0!</v>
      </c>
    </row>
    <row r="258" spans="1:19" x14ac:dyDescent="0.2">
      <c r="A258" s="88" t="s">
        <v>334</v>
      </c>
      <c r="B258" s="89" t="s">
        <v>39</v>
      </c>
      <c r="C258" s="89" t="s">
        <v>212</v>
      </c>
      <c r="D258" s="89" t="s">
        <v>339</v>
      </c>
      <c r="E258" s="90" t="s">
        <v>296</v>
      </c>
      <c r="F258" s="89" t="s">
        <v>254</v>
      </c>
      <c r="G258" s="89" t="s">
        <v>183</v>
      </c>
      <c r="H258" s="89" t="s">
        <v>11</v>
      </c>
      <c r="I258" s="89" t="s">
        <v>171</v>
      </c>
      <c r="J258" s="90" t="s">
        <v>184</v>
      </c>
      <c r="K258" s="91">
        <v>54.71</v>
      </c>
      <c r="L258" s="91">
        <f t="shared" si="45"/>
        <v>42.08461538461539</v>
      </c>
      <c r="M258" s="92">
        <f>prodnorm11</f>
        <v>0</v>
      </c>
      <c r="N258" s="89" t="s">
        <v>104</v>
      </c>
      <c r="O258" s="17">
        <f>uurtarief11</f>
        <v>0</v>
      </c>
      <c r="P258" s="91" t="e">
        <f t="shared" si="46"/>
        <v>#DIV/0!</v>
      </c>
      <c r="Q258" s="17" t="e">
        <f t="shared" si="47"/>
        <v>#DIV/0!</v>
      </c>
      <c r="R258" s="91" t="e">
        <f t="shared" si="48"/>
        <v>#DIV/0!</v>
      </c>
      <c r="S258" s="18" t="e">
        <f t="shared" si="49"/>
        <v>#DIV/0!</v>
      </c>
    </row>
    <row r="259" spans="1:19" x14ac:dyDescent="0.2">
      <c r="A259" s="88" t="s">
        <v>334</v>
      </c>
      <c r="B259" s="89" t="s">
        <v>39</v>
      </c>
      <c r="C259" s="89" t="s">
        <v>212</v>
      </c>
      <c r="D259" s="89" t="s">
        <v>340</v>
      </c>
      <c r="E259" s="90" t="s">
        <v>299</v>
      </c>
      <c r="F259" s="89" t="s">
        <v>253</v>
      </c>
      <c r="G259" s="89" t="s">
        <v>191</v>
      </c>
      <c r="H259" s="89" t="s">
        <v>11</v>
      </c>
      <c r="I259" s="89" t="s">
        <v>171</v>
      </c>
      <c r="J259" s="90" t="s">
        <v>192</v>
      </c>
      <c r="K259" s="91">
        <v>5.23</v>
      </c>
      <c r="L259" s="91">
        <f t="shared" si="45"/>
        <v>4.0230769230769239</v>
      </c>
      <c r="M259" s="92">
        <f>prodnorm17</f>
        <v>0</v>
      </c>
      <c r="N259" s="89" t="s">
        <v>104</v>
      </c>
      <c r="O259" s="17">
        <f>uurtarief17</f>
        <v>0</v>
      </c>
      <c r="P259" s="91" t="e">
        <f t="shared" si="46"/>
        <v>#DIV/0!</v>
      </c>
      <c r="Q259" s="17" t="e">
        <f t="shared" si="47"/>
        <v>#DIV/0!</v>
      </c>
      <c r="R259" s="91" t="e">
        <f t="shared" si="48"/>
        <v>#DIV/0!</v>
      </c>
      <c r="S259" s="18" t="e">
        <f t="shared" si="49"/>
        <v>#DIV/0!</v>
      </c>
    </row>
    <row r="260" spans="1:19" x14ac:dyDescent="0.2">
      <c r="A260" s="88" t="s">
        <v>334</v>
      </c>
      <c r="B260" s="89" t="s">
        <v>39</v>
      </c>
      <c r="C260" s="89" t="s">
        <v>212</v>
      </c>
      <c r="D260" s="89" t="s">
        <v>341</v>
      </c>
      <c r="E260" s="90" t="s">
        <v>299</v>
      </c>
      <c r="F260" s="89" t="s">
        <v>253</v>
      </c>
      <c r="G260" s="89" t="s">
        <v>191</v>
      </c>
      <c r="H260" s="89" t="s">
        <v>11</v>
      </c>
      <c r="I260" s="89" t="s">
        <v>171</v>
      </c>
      <c r="J260" s="90" t="s">
        <v>192</v>
      </c>
      <c r="K260" s="91">
        <v>6.07</v>
      </c>
      <c r="L260" s="91">
        <f t="shared" si="45"/>
        <v>4.6692307692307695</v>
      </c>
      <c r="M260" s="92">
        <f>prodnorm17</f>
        <v>0</v>
      </c>
      <c r="N260" s="89" t="s">
        <v>104</v>
      </c>
      <c r="O260" s="17">
        <f>uurtarief17</f>
        <v>0</v>
      </c>
      <c r="P260" s="91" t="e">
        <f t="shared" si="46"/>
        <v>#DIV/0!</v>
      </c>
      <c r="Q260" s="17" t="e">
        <f t="shared" si="47"/>
        <v>#DIV/0!</v>
      </c>
      <c r="R260" s="91" t="e">
        <f t="shared" si="48"/>
        <v>#DIV/0!</v>
      </c>
      <c r="S260" s="18" t="e">
        <f t="shared" si="49"/>
        <v>#DIV/0!</v>
      </c>
    </row>
    <row r="261" spans="1:19" x14ac:dyDescent="0.2">
      <c r="A261" s="93" t="s">
        <v>334</v>
      </c>
      <c r="B261" s="94" t="s">
        <v>39</v>
      </c>
      <c r="C261" s="94" t="s">
        <v>212</v>
      </c>
      <c r="D261" s="94" t="s">
        <v>342</v>
      </c>
      <c r="E261" s="95" t="s">
        <v>299</v>
      </c>
      <c r="F261" s="94" t="s">
        <v>253</v>
      </c>
      <c r="G261" s="94" t="s">
        <v>191</v>
      </c>
      <c r="H261" s="94" t="s">
        <v>11</v>
      </c>
      <c r="I261" s="94" t="s">
        <v>171</v>
      </c>
      <c r="J261" s="95" t="s">
        <v>192</v>
      </c>
      <c r="K261" s="96">
        <v>5.5</v>
      </c>
      <c r="L261" s="96">
        <f t="shared" si="45"/>
        <v>4.2307692307692308</v>
      </c>
      <c r="M261" s="97">
        <f>prodnorm17</f>
        <v>0</v>
      </c>
      <c r="N261" s="94" t="s">
        <v>104</v>
      </c>
      <c r="O261" s="26">
        <f>uurtarief17</f>
        <v>0</v>
      </c>
      <c r="P261" s="96" t="e">
        <f t="shared" si="46"/>
        <v>#DIV/0!</v>
      </c>
      <c r="Q261" s="26" t="e">
        <f t="shared" si="47"/>
        <v>#DIV/0!</v>
      </c>
      <c r="R261" s="96" t="e">
        <f t="shared" si="48"/>
        <v>#DIV/0!</v>
      </c>
      <c r="S261" s="27" t="e">
        <f t="shared" si="49"/>
        <v>#DIV/0!</v>
      </c>
    </row>
    <row r="262" spans="1:19" x14ac:dyDescent="0.2">
      <c r="A262" s="98" t="s">
        <v>250</v>
      </c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8" t="e">
        <f>IF(_xlfn.SINGLE(object13_urenjaar1)&gt;0,_xlfn.SINGLE(object13_prijsjaar1)/_xlfn.SINGLE(object13_urenjaar1),0)</f>
        <v>#DIV/0!</v>
      </c>
      <c r="P262" s="67" t="e">
        <f>SUM(P223:P261)</f>
        <v>#DIV/0!</v>
      </c>
      <c r="Q262" s="68" t="e">
        <f>SUM(Q223:Q261)</f>
        <v>#DIV/0!</v>
      </c>
      <c r="R262" s="67" t="e">
        <f>SUM(R223:R261)</f>
        <v>#DIV/0!</v>
      </c>
      <c r="S262" s="69" t="e">
        <f>SUM(S223:S261)</f>
        <v>#DIV/0!</v>
      </c>
    </row>
    <row r="263" spans="1:19" x14ac:dyDescent="0.2">
      <c r="A263" s="74" t="s">
        <v>343</v>
      </c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64"/>
    </row>
    <row r="264" spans="1:19" x14ac:dyDescent="0.2">
      <c r="A264" s="37" t="s">
        <v>327</v>
      </c>
      <c r="B264" s="38" t="s">
        <v>39</v>
      </c>
      <c r="C264" s="38" t="s">
        <v>212</v>
      </c>
      <c r="D264" s="38" t="s">
        <v>263</v>
      </c>
      <c r="E264" s="75" t="s">
        <v>344</v>
      </c>
      <c r="F264" s="38" t="s">
        <v>254</v>
      </c>
      <c r="G264" s="38" t="s">
        <v>183</v>
      </c>
      <c r="H264" s="38" t="s">
        <v>11</v>
      </c>
      <c r="I264" s="38" t="s">
        <v>171</v>
      </c>
      <c r="J264" s="75" t="s">
        <v>184</v>
      </c>
      <c r="K264" s="56">
        <v>56</v>
      </c>
      <c r="L264" s="56">
        <f>K264*VLOOKUP(H264,dagsoorttabel1,2,FALSE)</f>
        <v>43.07692307692308</v>
      </c>
      <c r="M264" s="57">
        <f>prodnorm11</f>
        <v>0</v>
      </c>
      <c r="N264" s="38" t="s">
        <v>104</v>
      </c>
      <c r="O264" s="39">
        <f>uurtarief11</f>
        <v>0</v>
      </c>
      <c r="P264" s="56" t="e">
        <f>IF(ISBLANK(M264),0,L264/ROUND(M264,4))</f>
        <v>#DIV/0!</v>
      </c>
      <c r="Q264" s="39" t="e">
        <f>ROUND(O264,2)*P264</f>
        <v>#DIV/0!</v>
      </c>
      <c r="R264" s="56" t="e">
        <f>P264*dagenperjaar1</f>
        <v>#DIV/0!</v>
      </c>
      <c r="S264" s="40" t="e">
        <f>R264*ROUND(O264,2)</f>
        <v>#DIV/0!</v>
      </c>
    </row>
    <row r="265" spans="1:19" x14ac:dyDescent="0.2">
      <c r="A265" s="34" t="s">
        <v>345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6"/>
    </row>
    <row r="266" spans="1:19" ht="25.5" x14ac:dyDescent="0.2">
      <c r="A266" s="81" t="s">
        <v>275</v>
      </c>
      <c r="B266" s="82" t="s">
        <v>39</v>
      </c>
      <c r="C266" s="82" t="s">
        <v>212</v>
      </c>
      <c r="D266" s="82" t="s">
        <v>231</v>
      </c>
      <c r="E266" s="83" t="s">
        <v>214</v>
      </c>
      <c r="F266" s="82" t="s">
        <v>254</v>
      </c>
      <c r="G266" s="82" t="s">
        <v>181</v>
      </c>
      <c r="H266" s="82" t="s">
        <v>11</v>
      </c>
      <c r="I266" s="82" t="s">
        <v>171</v>
      </c>
      <c r="J266" s="83" t="s">
        <v>182</v>
      </c>
      <c r="K266" s="84">
        <v>55</v>
      </c>
      <c r="L266" s="84">
        <f>K266*VLOOKUP(H266,dagsoorttabel1,2,FALSE)</f>
        <v>42.307692307692307</v>
      </c>
      <c r="M266" s="85">
        <f>prodnorm8</f>
        <v>0</v>
      </c>
      <c r="N266" s="82" t="s">
        <v>104</v>
      </c>
      <c r="O266" s="86">
        <f>uurtarief8</f>
        <v>0</v>
      </c>
      <c r="P266" s="84" t="e">
        <f>IF(ISBLANK(M266),0,L266/ROUND(M266,4))</f>
        <v>#DIV/0!</v>
      </c>
      <c r="Q266" s="86" t="e">
        <f>ROUND(O266,2)*P266</f>
        <v>#DIV/0!</v>
      </c>
      <c r="R266" s="84" t="e">
        <f>P266*dagenperjaar1</f>
        <v>#DIV/0!</v>
      </c>
      <c r="S266" s="87" t="e">
        <f>R266*ROUND(O266,2)</f>
        <v>#DIV/0!</v>
      </c>
    </row>
    <row r="267" spans="1:19" x14ac:dyDescent="0.2">
      <c r="A267" s="93" t="s">
        <v>275</v>
      </c>
      <c r="B267" s="94" t="s">
        <v>39</v>
      </c>
      <c r="C267" s="94" t="s">
        <v>212</v>
      </c>
      <c r="D267" s="94" t="s">
        <v>346</v>
      </c>
      <c r="E267" s="95" t="s">
        <v>347</v>
      </c>
      <c r="F267" s="94" t="s">
        <v>254</v>
      </c>
      <c r="G267" s="94" t="s">
        <v>183</v>
      </c>
      <c r="H267" s="94" t="s">
        <v>11</v>
      </c>
      <c r="I267" s="94" t="s">
        <v>171</v>
      </c>
      <c r="J267" s="95" t="s">
        <v>184</v>
      </c>
      <c r="K267" s="96">
        <v>65</v>
      </c>
      <c r="L267" s="96">
        <f>K267*VLOOKUP(H267,dagsoorttabel1,2,FALSE)</f>
        <v>50</v>
      </c>
      <c r="M267" s="97">
        <f>prodnorm11</f>
        <v>0</v>
      </c>
      <c r="N267" s="94" t="s">
        <v>104</v>
      </c>
      <c r="O267" s="26">
        <f>uurtarief11</f>
        <v>0</v>
      </c>
      <c r="P267" s="96" t="e">
        <f>IF(ISBLANK(M267),0,L267/ROUND(M267,4))</f>
        <v>#DIV/0!</v>
      </c>
      <c r="Q267" s="26" t="e">
        <f>ROUND(O267,2)*P267</f>
        <v>#DIV/0!</v>
      </c>
      <c r="R267" s="96" t="e">
        <f>P267*dagenperjaar1</f>
        <v>#DIV/0!</v>
      </c>
      <c r="S267" s="27" t="e">
        <f>R267*ROUND(O267,2)</f>
        <v>#DIV/0!</v>
      </c>
    </row>
    <row r="268" spans="1:19" x14ac:dyDescent="0.2">
      <c r="A268" s="98" t="s">
        <v>250</v>
      </c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8" t="e">
        <f>IF(_xlfn.SINGLE(object4_urenjaar1)&gt;0,_xlfn.SINGLE(object4_prijsjaar1)/_xlfn.SINGLE(object4_urenjaar1),0)</f>
        <v>#DIV/0!</v>
      </c>
      <c r="P268" s="67" t="e">
        <f>SUM(P266:P267)</f>
        <v>#DIV/0!</v>
      </c>
      <c r="Q268" s="68" t="e">
        <f>SUM(Q266:Q267)</f>
        <v>#DIV/0!</v>
      </c>
      <c r="R268" s="67" t="e">
        <f>SUM(R266:R267)</f>
        <v>#DIV/0!</v>
      </c>
      <c r="S268" s="69" t="e">
        <f>SUM(S266:S267)</f>
        <v>#DIV/0!</v>
      </c>
    </row>
    <row r="269" spans="1:19" x14ac:dyDescent="0.2">
      <c r="A269" s="74" t="s">
        <v>348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64"/>
    </row>
    <row r="270" spans="1:19" x14ac:dyDescent="0.2">
      <c r="A270" s="37" t="s">
        <v>314</v>
      </c>
      <c r="B270" s="38" t="s">
        <v>39</v>
      </c>
      <c r="C270" s="38" t="s">
        <v>212</v>
      </c>
      <c r="D270" s="38" t="s">
        <v>281</v>
      </c>
      <c r="E270" s="75" t="s">
        <v>349</v>
      </c>
      <c r="F270" s="38" t="s">
        <v>254</v>
      </c>
      <c r="G270" s="38" t="s">
        <v>183</v>
      </c>
      <c r="H270" s="38" t="s">
        <v>12</v>
      </c>
      <c r="I270" s="38" t="s">
        <v>171</v>
      </c>
      <c r="J270" s="75" t="s">
        <v>184</v>
      </c>
      <c r="K270" s="56">
        <v>71</v>
      </c>
      <c r="L270" s="56">
        <f>K270*VLOOKUP(H270,dagsoorttabel1,2,FALSE)</f>
        <v>43.692307692307693</v>
      </c>
      <c r="M270" s="57">
        <f>prodnorm10</f>
        <v>0</v>
      </c>
      <c r="N270" s="38" t="s">
        <v>104</v>
      </c>
      <c r="O270" s="39">
        <f>uurtarief10</f>
        <v>0</v>
      </c>
      <c r="P270" s="56" t="e">
        <f>IF(ISBLANK(M270),0,L270/ROUND(M270,4))</f>
        <v>#DIV/0!</v>
      </c>
      <c r="Q270" s="39" t="e">
        <f>ROUND(O270,2)*P270</f>
        <v>#DIV/0!</v>
      </c>
      <c r="R270" s="56" t="e">
        <f>P270*dagenperjaar1</f>
        <v>#DIV/0!</v>
      </c>
      <c r="S270" s="40" t="e">
        <f>R270*ROUND(O270,2)</f>
        <v>#DIV/0!</v>
      </c>
    </row>
    <row r="271" spans="1:19" x14ac:dyDescent="0.2">
      <c r="A271" s="34" t="s">
        <v>350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6"/>
    </row>
    <row r="272" spans="1:19" x14ac:dyDescent="0.2">
      <c r="A272" s="81" t="s">
        <v>295</v>
      </c>
      <c r="B272" s="82" t="s">
        <v>39</v>
      </c>
      <c r="C272" s="82" t="s">
        <v>212</v>
      </c>
      <c r="D272" s="82" t="s">
        <v>221</v>
      </c>
      <c r="E272" s="83" t="s">
        <v>296</v>
      </c>
      <c r="F272" s="82" t="s">
        <v>254</v>
      </c>
      <c r="G272" s="82" t="s">
        <v>183</v>
      </c>
      <c r="H272" s="82" t="s">
        <v>15</v>
      </c>
      <c r="I272" s="82" t="s">
        <v>171</v>
      </c>
      <c r="J272" s="83" t="s">
        <v>184</v>
      </c>
      <c r="K272" s="84">
        <v>56.2</v>
      </c>
      <c r="L272" s="84">
        <f>K272*VLOOKUP(H272,dagsoorttabel1,2,FALSE)</f>
        <v>17.292307692307695</v>
      </c>
      <c r="M272" s="85">
        <f>prodnorm13</f>
        <v>0</v>
      </c>
      <c r="N272" s="82" t="s">
        <v>104</v>
      </c>
      <c r="O272" s="86">
        <f>uurtarief13</f>
        <v>0</v>
      </c>
      <c r="P272" s="84" t="e">
        <f>IF(ISBLANK(M272),0,L272/ROUND(M272,4))</f>
        <v>#DIV/0!</v>
      </c>
      <c r="Q272" s="86" t="e">
        <f>ROUND(O272,2)*P272</f>
        <v>#DIV/0!</v>
      </c>
      <c r="R272" s="84" t="e">
        <f>P272*dagenperjaar1</f>
        <v>#DIV/0!</v>
      </c>
      <c r="S272" s="87" t="e">
        <f>R272*ROUND(O272,2)</f>
        <v>#DIV/0!</v>
      </c>
    </row>
    <row r="273" spans="1:19" x14ac:dyDescent="0.2">
      <c r="A273" s="93" t="s">
        <v>295</v>
      </c>
      <c r="B273" s="94" t="s">
        <v>39</v>
      </c>
      <c r="C273" s="94" t="s">
        <v>212</v>
      </c>
      <c r="D273" s="94" t="s">
        <v>351</v>
      </c>
      <c r="E273" s="95" t="s">
        <v>296</v>
      </c>
      <c r="F273" s="94" t="s">
        <v>254</v>
      </c>
      <c r="G273" s="94" t="s">
        <v>183</v>
      </c>
      <c r="H273" s="94" t="s">
        <v>15</v>
      </c>
      <c r="I273" s="94" t="s">
        <v>171</v>
      </c>
      <c r="J273" s="95" t="s">
        <v>184</v>
      </c>
      <c r="K273" s="96">
        <v>56.2</v>
      </c>
      <c r="L273" s="96">
        <f>K273*VLOOKUP(H273,dagsoorttabel1,2,FALSE)</f>
        <v>17.292307692307695</v>
      </c>
      <c r="M273" s="97">
        <f>prodnorm13</f>
        <v>0</v>
      </c>
      <c r="N273" s="94" t="s">
        <v>104</v>
      </c>
      <c r="O273" s="26">
        <f>uurtarief13</f>
        <v>0</v>
      </c>
      <c r="P273" s="96" t="e">
        <f>IF(ISBLANK(M273),0,L273/ROUND(M273,4))</f>
        <v>#DIV/0!</v>
      </c>
      <c r="Q273" s="26" t="e">
        <f>ROUND(O273,2)*P273</f>
        <v>#DIV/0!</v>
      </c>
      <c r="R273" s="96" t="e">
        <f>P273*dagenperjaar1</f>
        <v>#DIV/0!</v>
      </c>
      <c r="S273" s="27" t="e">
        <f>R273*ROUND(O273,2)</f>
        <v>#DIV/0!</v>
      </c>
    </row>
    <row r="274" spans="1:19" x14ac:dyDescent="0.2">
      <c r="A274" s="98" t="s">
        <v>250</v>
      </c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8" t="e">
        <f>IF(_xlfn.SINGLE(object6_urenjaar1)&gt;0,_xlfn.SINGLE(object6_prijsjaar1)/_xlfn.SINGLE(object6_urenjaar1),0)</f>
        <v>#DIV/0!</v>
      </c>
      <c r="P274" s="67" t="e">
        <f>SUM(P272:P273)</f>
        <v>#DIV/0!</v>
      </c>
      <c r="Q274" s="68" t="e">
        <f>SUM(Q272:Q273)</f>
        <v>#DIV/0!</v>
      </c>
      <c r="R274" s="67" t="e">
        <f>SUM(R272:R273)</f>
        <v>#DIV/0!</v>
      </c>
      <c r="S274" s="69" t="e">
        <f>SUM(S272:S273)</f>
        <v>#DIV/0!</v>
      </c>
    </row>
    <row r="275" spans="1:19" x14ac:dyDescent="0.2">
      <c r="A275" s="74" t="s">
        <v>352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64"/>
    </row>
    <row r="276" spans="1:19" x14ac:dyDescent="0.2">
      <c r="A276" s="37" t="s">
        <v>323</v>
      </c>
      <c r="B276" s="38" t="s">
        <v>39</v>
      </c>
      <c r="C276" s="38" t="s">
        <v>212</v>
      </c>
      <c r="D276" s="38" t="s">
        <v>261</v>
      </c>
      <c r="E276" s="75" t="s">
        <v>296</v>
      </c>
      <c r="F276" s="38" t="s">
        <v>254</v>
      </c>
      <c r="G276" s="38" t="s">
        <v>183</v>
      </c>
      <c r="H276" s="38" t="s">
        <v>15</v>
      </c>
      <c r="I276" s="38" t="s">
        <v>171</v>
      </c>
      <c r="J276" s="75" t="s">
        <v>184</v>
      </c>
      <c r="K276" s="56">
        <v>52.78</v>
      </c>
      <c r="L276" s="56">
        <f>K276*VLOOKUP(H276,dagsoorttabel1,2,FALSE)</f>
        <v>16.240000000000002</v>
      </c>
      <c r="M276" s="57">
        <f>prodnorm13</f>
        <v>0</v>
      </c>
      <c r="N276" s="38" t="s">
        <v>104</v>
      </c>
      <c r="O276" s="39">
        <f>uurtarief13</f>
        <v>0</v>
      </c>
      <c r="P276" s="56" t="e">
        <f>IF(ISBLANK(M276),0,L276/ROUND(M276,4))</f>
        <v>#DIV/0!</v>
      </c>
      <c r="Q276" s="39" t="e">
        <f>ROUND(O276,2)*P276</f>
        <v>#DIV/0!</v>
      </c>
      <c r="R276" s="56" t="e">
        <f>P276*dagenperjaar1</f>
        <v>#DIV/0!</v>
      </c>
      <c r="S276" s="40" t="e">
        <f>R276*ROUND(O276,2)</f>
        <v>#DIV/0!</v>
      </c>
    </row>
    <row r="277" spans="1:19" x14ac:dyDescent="0.2">
      <c r="A277" s="34" t="s">
        <v>353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6"/>
    </row>
    <row r="278" spans="1:19" x14ac:dyDescent="0.2">
      <c r="A278" s="76" t="s">
        <v>334</v>
      </c>
      <c r="B278" s="77" t="s">
        <v>39</v>
      </c>
      <c r="C278" s="77" t="s">
        <v>212</v>
      </c>
      <c r="D278" s="77" t="s">
        <v>285</v>
      </c>
      <c r="E278" s="78" t="s">
        <v>296</v>
      </c>
      <c r="F278" s="77" t="s">
        <v>254</v>
      </c>
      <c r="G278" s="77" t="s">
        <v>183</v>
      </c>
      <c r="H278" s="77" t="s">
        <v>15</v>
      </c>
      <c r="I278" s="77" t="s">
        <v>171</v>
      </c>
      <c r="J278" s="78" t="s">
        <v>184</v>
      </c>
      <c r="K278" s="79">
        <v>63.43</v>
      </c>
      <c r="L278" s="79">
        <f>K278*VLOOKUP(H278,dagsoorttabel1,2,FALSE)</f>
        <v>19.516923076923078</v>
      </c>
      <c r="M278" s="80">
        <f>prodnorm13</f>
        <v>0</v>
      </c>
      <c r="N278" s="77" t="s">
        <v>104</v>
      </c>
      <c r="O278" s="8">
        <f>uurtarief13</f>
        <v>0</v>
      </c>
      <c r="P278" s="79" t="e">
        <f>IF(ISBLANK(M278),0,L278/ROUND(M278,4))</f>
        <v>#DIV/0!</v>
      </c>
      <c r="Q278" s="8" t="e">
        <f>ROUND(O278,2)*P278</f>
        <v>#DIV/0!</v>
      </c>
      <c r="R278" s="79" t="e">
        <f>P278*dagenperjaar1</f>
        <v>#DIV/0!</v>
      </c>
      <c r="S278" s="9" t="e">
        <f>R278*ROUND(O278,2)</f>
        <v>#DIV/0!</v>
      </c>
    </row>
    <row r="279" spans="1:19" x14ac:dyDescent="0.2">
      <c r="A279" s="65" t="s">
        <v>250</v>
      </c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8" t="e">
        <f>IF(_xlfn.SINGLE(object14_urenjaar1)&gt;0,_xlfn.SINGLE(object14_prijsjaar1)/_xlfn.SINGLE(object14_urenjaar1),0)</f>
        <v>#DIV/0!</v>
      </c>
      <c r="P279" s="67" t="e">
        <f>SUM(P278:P278)</f>
        <v>#DIV/0!</v>
      </c>
      <c r="Q279" s="68" t="e">
        <f>SUM(Q278:Q278)</f>
        <v>#DIV/0!</v>
      </c>
      <c r="R279" s="67" t="e">
        <f>SUM(R278:R278)</f>
        <v>#DIV/0!</v>
      </c>
      <c r="S279" s="68" t="e">
        <f>SUM(S278:S278)</f>
        <v>#DIV/0!</v>
      </c>
    </row>
  </sheetData>
  <sheetProtection algorithmName="SHA-512" hashValue="rLJ5eKuSRaAXUkRZlelrMgReUbaABkW4RUS4TeuR4xs2ed7QX9BnV7fETi3tvlv2+p41FfL5F9N6EmvXy80HvA==" saltValue="nEwMVuT+7/CY29ChHPsR/A==" spinCount="100000" sheet="1" objects="1" scenarios="1" autoFilter="0"/>
  <autoFilter ref="A3:S279" xr:uid="{56F6D6CC-726F-4ED9-AF1D-8D4E0BDACAFC}"/>
  <pageMargins left="0.7" right="0.7" top="0.75" bottom="0.75" header="0.3" footer="0.3"/>
  <pageSetup paperSize="9" scale="61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7DFA8-ACE7-45A4-A964-4249E469F398}">
  <dimension ref="A1:A4"/>
  <sheetViews>
    <sheetView workbookViewId="0"/>
  </sheetViews>
  <sheetFormatPr defaultRowHeight="12.75" x14ac:dyDescent="0.2"/>
  <sheetData>
    <row r="1" spans="1:1" x14ac:dyDescent="0.2">
      <c r="A1" s="1" t="str">
        <f>CONCATENATE("Bijlage F.2.4: ",tabeltype," ruimten werkdag vakantie")</f>
        <v>Bijlage F.2.4: Invultabel ruimten werkdag vakantie</v>
      </c>
    </row>
    <row r="4" spans="1:1" x14ac:dyDescent="0.2">
      <c r="A4" s="1" t="s">
        <v>607</v>
      </c>
    </row>
  </sheetData>
  <sheetProtection algorithmName="SHA-512" hashValue="WGbEuYiZCWgKNPdKYlA0XRkMNT1jYtHGp/GUaQUE3mF49gcjwVoj4rOqFjXs6ZmPr/x+aLgKQ0AaYpEPmJvS/Q==" saltValue="XnIGW9SAFlkNQYRP6q+QM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AAC89-791C-4EE9-B83E-B1ECEB2C371D}">
  <dimension ref="A1:V27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22" width="12.625" customWidth="1"/>
  </cols>
  <sheetData>
    <row r="1" spans="1:22" x14ac:dyDescent="0.2">
      <c r="A1" s="1" t="s">
        <v>354</v>
      </c>
    </row>
    <row r="3" spans="1:22" ht="25.5" x14ac:dyDescent="0.2">
      <c r="A3" s="102" t="s">
        <v>162</v>
      </c>
      <c r="B3" s="102" t="s">
        <v>7</v>
      </c>
      <c r="C3" s="103" t="s">
        <v>355</v>
      </c>
      <c r="D3" s="103" t="s">
        <v>356</v>
      </c>
      <c r="E3" s="103" t="s">
        <v>357</v>
      </c>
      <c r="F3" s="103" t="s">
        <v>358</v>
      </c>
      <c r="G3" s="103" t="s">
        <v>359</v>
      </c>
      <c r="H3" s="102" t="s">
        <v>360</v>
      </c>
      <c r="I3" s="102" t="s">
        <v>361</v>
      </c>
      <c r="J3" s="102" t="s">
        <v>362</v>
      </c>
      <c r="K3" s="102" t="s">
        <v>363</v>
      </c>
      <c r="L3" s="102" t="s">
        <v>364</v>
      </c>
      <c r="M3" s="102" t="s">
        <v>365</v>
      </c>
      <c r="N3" s="102" t="s">
        <v>366</v>
      </c>
      <c r="O3" s="102" t="s">
        <v>367</v>
      </c>
      <c r="P3" s="102" t="s">
        <v>368</v>
      </c>
      <c r="Q3" s="102" t="s">
        <v>369</v>
      </c>
      <c r="R3" s="102" t="s">
        <v>370</v>
      </c>
      <c r="S3" s="102" t="s">
        <v>371</v>
      </c>
      <c r="T3" s="102" t="s">
        <v>372</v>
      </c>
      <c r="U3" s="102" t="s">
        <v>373</v>
      </c>
      <c r="V3" s="102" t="s">
        <v>374</v>
      </c>
    </row>
    <row r="4" spans="1:22" x14ac:dyDescent="0.2">
      <c r="A4" s="104"/>
      <c r="B4" s="104"/>
      <c r="C4" s="104"/>
      <c r="D4" s="104"/>
      <c r="E4" s="104"/>
      <c r="F4" s="104"/>
      <c r="G4" s="104"/>
      <c r="H4" s="104"/>
      <c r="I4" s="105" t="s">
        <v>164</v>
      </c>
      <c r="J4" s="105" t="s">
        <v>164</v>
      </c>
      <c r="K4" s="105" t="s">
        <v>164</v>
      </c>
      <c r="L4" s="105" t="s">
        <v>164</v>
      </c>
      <c r="M4" s="105" t="s">
        <v>164</v>
      </c>
      <c r="N4" s="105" t="s">
        <v>164</v>
      </c>
      <c r="O4" s="105" t="s">
        <v>164</v>
      </c>
      <c r="P4" s="105" t="s">
        <v>164</v>
      </c>
      <c r="Q4" s="105" t="s">
        <v>164</v>
      </c>
      <c r="R4" s="105" t="s">
        <v>164</v>
      </c>
      <c r="S4" s="105" t="s">
        <v>164</v>
      </c>
      <c r="T4" s="105" t="s">
        <v>164</v>
      </c>
      <c r="U4" s="105" t="s">
        <v>164</v>
      </c>
      <c r="V4" s="105" t="s">
        <v>164</v>
      </c>
    </row>
    <row r="5" spans="1:22" x14ac:dyDescent="0.2">
      <c r="A5" s="41" t="s">
        <v>170</v>
      </c>
      <c r="B5" s="41" t="s">
        <v>11</v>
      </c>
      <c r="C5" s="41" t="s">
        <v>375</v>
      </c>
      <c r="D5" s="41" t="s">
        <v>171</v>
      </c>
      <c r="E5" s="58">
        <f t="shared" ref="E5:E26" si="0">IF(B5="","",VLOOKUP(B5,dagsoorttabel1,2,FALSE))</f>
        <v>0.76923076923076927</v>
      </c>
      <c r="F5" s="58">
        <v>1</v>
      </c>
      <c r="G5" s="58">
        <f>IF(prodnorm2&gt;0,1/ROUND(prodnorm2,4),0)</f>
        <v>0</v>
      </c>
      <c r="H5" s="45">
        <f>ROUND(uurtarief2,2)</f>
        <v>0</v>
      </c>
      <c r="I5" s="58">
        <v>72.66</v>
      </c>
      <c r="J5" s="58">
        <v>93</v>
      </c>
      <c r="K5" s="58">
        <v>64</v>
      </c>
      <c r="L5" s="58">
        <v>0</v>
      </c>
      <c r="M5" s="58">
        <v>115.23</v>
      </c>
      <c r="N5" s="58">
        <v>0</v>
      </c>
      <c r="O5" s="58">
        <v>81.53</v>
      </c>
      <c r="P5" s="58">
        <v>0</v>
      </c>
      <c r="Q5" s="58">
        <v>0</v>
      </c>
      <c r="R5" s="58">
        <v>0</v>
      </c>
      <c r="S5" s="58">
        <v>105.64999999999999</v>
      </c>
      <c r="T5" s="58">
        <v>0</v>
      </c>
      <c r="U5" s="58">
        <v>144</v>
      </c>
      <c r="V5" s="58">
        <v>0</v>
      </c>
    </row>
    <row r="6" spans="1:22" x14ac:dyDescent="0.2">
      <c r="A6" s="46" t="s">
        <v>173</v>
      </c>
      <c r="B6" s="46" t="s">
        <v>11</v>
      </c>
      <c r="C6" s="46" t="s">
        <v>375</v>
      </c>
      <c r="D6" s="46" t="s">
        <v>171</v>
      </c>
      <c r="E6" s="60">
        <f t="shared" si="0"/>
        <v>0.76923076923076927</v>
      </c>
      <c r="F6" s="60">
        <v>1</v>
      </c>
      <c r="G6" s="60">
        <f>IF(prodnorm3&gt;0,1/ROUND(prodnorm3,4),0)</f>
        <v>0</v>
      </c>
      <c r="H6" s="50">
        <f>ROUND(uurtarief3,2)</f>
        <v>0</v>
      </c>
      <c r="I6" s="60">
        <v>51.9</v>
      </c>
      <c r="J6" s="60">
        <v>40</v>
      </c>
      <c r="K6" s="60">
        <v>86</v>
      </c>
      <c r="L6" s="60">
        <v>0</v>
      </c>
      <c r="M6" s="60">
        <v>47.13</v>
      </c>
      <c r="N6" s="60">
        <v>0</v>
      </c>
      <c r="O6" s="60">
        <v>60.930000000000007</v>
      </c>
      <c r="P6" s="60">
        <v>0</v>
      </c>
      <c r="Q6" s="60">
        <v>25.02</v>
      </c>
      <c r="R6" s="60">
        <v>0</v>
      </c>
      <c r="S6" s="60">
        <v>124.24000000000001</v>
      </c>
      <c r="T6" s="60">
        <v>0</v>
      </c>
      <c r="U6" s="60">
        <v>111.25999999999999</v>
      </c>
      <c r="V6" s="60">
        <v>0</v>
      </c>
    </row>
    <row r="7" spans="1:22" x14ac:dyDescent="0.2">
      <c r="A7" s="46" t="s">
        <v>175</v>
      </c>
      <c r="B7" s="46" t="s">
        <v>11</v>
      </c>
      <c r="C7" s="46" t="s">
        <v>375</v>
      </c>
      <c r="D7" s="46" t="s">
        <v>171</v>
      </c>
      <c r="E7" s="60">
        <f t="shared" si="0"/>
        <v>0.76923076923076927</v>
      </c>
      <c r="F7" s="60">
        <v>1</v>
      </c>
      <c r="G7" s="60">
        <f>IF(prodnorm4&gt;0,1/ROUND(prodnorm4,4),0)</f>
        <v>0</v>
      </c>
      <c r="H7" s="50">
        <f>ROUND(uurtarief4,2)</f>
        <v>0</v>
      </c>
      <c r="I7" s="60">
        <v>0</v>
      </c>
      <c r="J7" s="60">
        <v>0</v>
      </c>
      <c r="K7" s="60">
        <v>0</v>
      </c>
      <c r="L7" s="60">
        <v>0</v>
      </c>
      <c r="M7" s="60">
        <v>21.9</v>
      </c>
      <c r="N7" s="60">
        <v>0</v>
      </c>
      <c r="O7" s="60">
        <v>15.9</v>
      </c>
      <c r="P7" s="60">
        <v>0</v>
      </c>
      <c r="Q7" s="60">
        <v>0</v>
      </c>
      <c r="R7" s="60">
        <v>0</v>
      </c>
      <c r="S7" s="60">
        <v>0</v>
      </c>
      <c r="T7" s="60">
        <v>0</v>
      </c>
      <c r="U7" s="60">
        <v>0</v>
      </c>
      <c r="V7" s="60">
        <v>0</v>
      </c>
    </row>
    <row r="8" spans="1:22" x14ac:dyDescent="0.2">
      <c r="A8" s="46" t="s">
        <v>175</v>
      </c>
      <c r="B8" s="46" t="s">
        <v>17</v>
      </c>
      <c r="C8" s="46" t="s">
        <v>375</v>
      </c>
      <c r="D8" s="46" t="s">
        <v>171</v>
      </c>
      <c r="E8" s="60">
        <f t="shared" si="0"/>
        <v>0.15384615384615385</v>
      </c>
      <c r="F8" s="60">
        <v>1</v>
      </c>
      <c r="G8" s="60">
        <f>IF(prodnorm5&gt;0,1/ROUND(prodnorm5,4),0)</f>
        <v>0</v>
      </c>
      <c r="H8" s="50">
        <f>ROUND(uurtarief5,2)</f>
        <v>0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22</v>
      </c>
      <c r="R8" s="60">
        <v>0</v>
      </c>
      <c r="S8" s="60">
        <v>0</v>
      </c>
      <c r="T8" s="60">
        <v>0</v>
      </c>
      <c r="U8" s="60">
        <v>0</v>
      </c>
      <c r="V8" s="60">
        <v>0</v>
      </c>
    </row>
    <row r="9" spans="1:22" x14ac:dyDescent="0.2">
      <c r="A9" s="46" t="s">
        <v>177</v>
      </c>
      <c r="B9" s="46" t="s">
        <v>11</v>
      </c>
      <c r="C9" s="46" t="s">
        <v>375</v>
      </c>
      <c r="D9" s="46" t="s">
        <v>171</v>
      </c>
      <c r="E9" s="60">
        <f t="shared" si="0"/>
        <v>0.76923076923076927</v>
      </c>
      <c r="F9" s="60">
        <v>1</v>
      </c>
      <c r="G9" s="60">
        <f>IF(prodnorm6&gt;0,1/ROUND(prodnorm6,4),0)</f>
        <v>0</v>
      </c>
      <c r="H9" s="50">
        <f>ROUND(uurtarief6,2)</f>
        <v>0</v>
      </c>
      <c r="I9" s="60">
        <v>0</v>
      </c>
      <c r="J9" s="60">
        <v>7.5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  <c r="R9" s="60">
        <v>0</v>
      </c>
      <c r="S9" s="60">
        <v>0</v>
      </c>
      <c r="T9" s="60">
        <v>0</v>
      </c>
      <c r="U9" s="60">
        <v>0</v>
      </c>
      <c r="V9" s="60">
        <v>0</v>
      </c>
    </row>
    <row r="10" spans="1:22" x14ac:dyDescent="0.2">
      <c r="A10" s="46" t="s">
        <v>179</v>
      </c>
      <c r="B10" s="46" t="s">
        <v>11</v>
      </c>
      <c r="C10" s="46" t="s">
        <v>375</v>
      </c>
      <c r="D10" s="46" t="s">
        <v>171</v>
      </c>
      <c r="E10" s="60">
        <f t="shared" si="0"/>
        <v>0.76923076923076927</v>
      </c>
      <c r="F10" s="60">
        <v>1</v>
      </c>
      <c r="G10" s="60">
        <f>IF(prodnorm7&gt;0,1/ROUND(prodnorm7,4),0)</f>
        <v>0</v>
      </c>
      <c r="H10" s="50">
        <f>ROUND(uurtarief7,2)</f>
        <v>0</v>
      </c>
      <c r="I10" s="60">
        <v>8.6499999999999986</v>
      </c>
      <c r="J10" s="60">
        <v>10.5</v>
      </c>
      <c r="K10" s="60">
        <v>24</v>
      </c>
      <c r="L10" s="60">
        <v>0</v>
      </c>
      <c r="M10" s="60">
        <v>24.75</v>
      </c>
      <c r="N10" s="60">
        <v>0</v>
      </c>
      <c r="O10" s="60">
        <v>10.7</v>
      </c>
      <c r="P10" s="60">
        <v>0</v>
      </c>
      <c r="Q10" s="60">
        <v>5.48</v>
      </c>
      <c r="R10" s="60">
        <v>0</v>
      </c>
      <c r="S10" s="60">
        <v>23.3</v>
      </c>
      <c r="T10" s="60">
        <v>0</v>
      </c>
      <c r="U10" s="60">
        <v>64.419999999999987</v>
      </c>
      <c r="V10" s="60">
        <v>0</v>
      </c>
    </row>
    <row r="11" spans="1:22" x14ac:dyDescent="0.2">
      <c r="A11" s="46" t="s">
        <v>181</v>
      </c>
      <c r="B11" s="46" t="s">
        <v>11</v>
      </c>
      <c r="C11" s="46" t="s">
        <v>375</v>
      </c>
      <c r="D11" s="46" t="s">
        <v>171</v>
      </c>
      <c r="E11" s="60">
        <f t="shared" si="0"/>
        <v>0.76923076923076927</v>
      </c>
      <c r="F11" s="60">
        <v>1</v>
      </c>
      <c r="G11" s="60">
        <f>IF(prodnorm8&gt;0,1/ROUND(prodnorm8,4),0)</f>
        <v>0</v>
      </c>
      <c r="H11" s="50">
        <f>ROUND(uurtarief8,2)</f>
        <v>0</v>
      </c>
      <c r="I11" s="60">
        <v>79.61</v>
      </c>
      <c r="J11" s="60">
        <v>69</v>
      </c>
      <c r="K11" s="60">
        <v>100</v>
      </c>
      <c r="L11" s="60">
        <v>55</v>
      </c>
      <c r="M11" s="60">
        <v>78</v>
      </c>
      <c r="N11" s="60">
        <v>0</v>
      </c>
      <c r="O11" s="60">
        <v>0</v>
      </c>
      <c r="P11" s="60">
        <v>0</v>
      </c>
      <c r="Q11" s="60">
        <v>71.3</v>
      </c>
      <c r="R11" s="60">
        <v>0</v>
      </c>
      <c r="S11" s="60">
        <v>81</v>
      </c>
      <c r="T11" s="60">
        <v>0</v>
      </c>
      <c r="U11" s="60">
        <v>72.8</v>
      </c>
      <c r="V11" s="60">
        <v>0</v>
      </c>
    </row>
    <row r="12" spans="1:22" x14ac:dyDescent="0.2">
      <c r="A12" s="46" t="s">
        <v>181</v>
      </c>
      <c r="B12" s="46" t="s">
        <v>17</v>
      </c>
      <c r="C12" s="46" t="s">
        <v>375</v>
      </c>
      <c r="D12" s="46" t="s">
        <v>171</v>
      </c>
      <c r="E12" s="60">
        <f t="shared" si="0"/>
        <v>0.15384615384615385</v>
      </c>
      <c r="F12" s="60">
        <v>1</v>
      </c>
      <c r="G12" s="60">
        <f>IF(prodnorm9&gt;0,1/ROUND(prodnorm9,4),0)</f>
        <v>0</v>
      </c>
      <c r="H12" s="50">
        <f>ROUND(uurtarief9,2)</f>
        <v>0</v>
      </c>
      <c r="I12" s="60">
        <v>0</v>
      </c>
      <c r="J12" s="60">
        <v>0</v>
      </c>
      <c r="K12" s="60">
        <v>0</v>
      </c>
      <c r="L12" s="60">
        <v>0</v>
      </c>
      <c r="M12" s="60">
        <v>8.18</v>
      </c>
      <c r="N12" s="60">
        <v>0</v>
      </c>
      <c r="O12" s="60">
        <v>0</v>
      </c>
      <c r="P12" s="60">
        <v>0</v>
      </c>
      <c r="Q12" s="60">
        <v>0</v>
      </c>
      <c r="R12" s="60">
        <v>0</v>
      </c>
      <c r="S12" s="60">
        <v>5.9</v>
      </c>
      <c r="T12" s="60">
        <v>0</v>
      </c>
      <c r="U12" s="60">
        <v>0</v>
      </c>
      <c r="V12" s="60">
        <v>0</v>
      </c>
    </row>
    <row r="13" spans="1:22" x14ac:dyDescent="0.2">
      <c r="A13" s="46" t="s">
        <v>183</v>
      </c>
      <c r="B13" s="46" t="s">
        <v>12</v>
      </c>
      <c r="C13" s="46" t="s">
        <v>375</v>
      </c>
      <c r="D13" s="46" t="s">
        <v>171</v>
      </c>
      <c r="E13" s="60">
        <f t="shared" si="0"/>
        <v>0.61538461538461542</v>
      </c>
      <c r="F13" s="60">
        <v>1</v>
      </c>
      <c r="G13" s="60">
        <f>IF(prodnorm10&gt;0,1/ROUND(prodnorm10,4),0)</f>
        <v>0</v>
      </c>
      <c r="H13" s="50">
        <f>ROUND(uurtarief10,2)</f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71</v>
      </c>
      <c r="Q13" s="60">
        <v>0</v>
      </c>
      <c r="R13" s="60">
        <v>0</v>
      </c>
      <c r="S13" s="60">
        <v>0</v>
      </c>
      <c r="T13" s="60">
        <v>0</v>
      </c>
      <c r="U13" s="60">
        <v>0</v>
      </c>
      <c r="V13" s="60">
        <v>0</v>
      </c>
    </row>
    <row r="14" spans="1:22" x14ac:dyDescent="0.2">
      <c r="A14" s="46" t="s">
        <v>183</v>
      </c>
      <c r="B14" s="46" t="s">
        <v>11</v>
      </c>
      <c r="C14" s="46" t="s">
        <v>375</v>
      </c>
      <c r="D14" s="46" t="s">
        <v>171</v>
      </c>
      <c r="E14" s="60">
        <f t="shared" si="0"/>
        <v>0.76923076923076927</v>
      </c>
      <c r="F14" s="60">
        <v>1</v>
      </c>
      <c r="G14" s="60">
        <f>IF(prodnorm11&gt;0,1/ROUND(prodnorm11,4),0)</f>
        <v>0</v>
      </c>
      <c r="H14" s="50">
        <f>ROUND(uurtarief11,2)</f>
        <v>0</v>
      </c>
      <c r="I14" s="60">
        <v>334.98</v>
      </c>
      <c r="J14" s="60">
        <v>263</v>
      </c>
      <c r="K14" s="60">
        <v>659.99</v>
      </c>
      <c r="L14" s="60">
        <v>65</v>
      </c>
      <c r="M14" s="60">
        <v>295.33000000000004</v>
      </c>
      <c r="N14" s="60">
        <v>0</v>
      </c>
      <c r="O14" s="60">
        <v>303.3</v>
      </c>
      <c r="P14" s="60">
        <v>0</v>
      </c>
      <c r="Q14" s="60">
        <v>253.36</v>
      </c>
      <c r="R14" s="60">
        <v>0</v>
      </c>
      <c r="S14" s="60">
        <v>295.79999999999995</v>
      </c>
      <c r="T14" s="60">
        <v>56</v>
      </c>
      <c r="U14" s="60">
        <v>590.25</v>
      </c>
      <c r="V14" s="60">
        <v>0</v>
      </c>
    </row>
    <row r="15" spans="1:22" x14ac:dyDescent="0.2">
      <c r="A15" s="46" t="s">
        <v>183</v>
      </c>
      <c r="B15" s="46" t="s">
        <v>17</v>
      </c>
      <c r="C15" s="46" t="s">
        <v>375</v>
      </c>
      <c r="D15" s="46" t="s">
        <v>171</v>
      </c>
      <c r="E15" s="60">
        <f t="shared" si="0"/>
        <v>0.15384615384615385</v>
      </c>
      <c r="F15" s="60">
        <v>1</v>
      </c>
      <c r="G15" s="60">
        <f>IF(prodnorm12&gt;0,1/ROUND(prodnorm12,4),0)</f>
        <v>0</v>
      </c>
      <c r="H15" s="50">
        <f>ROUND(uurtarief12,2)</f>
        <v>0</v>
      </c>
      <c r="I15" s="60">
        <v>0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0</v>
      </c>
      <c r="P15" s="60">
        <v>0</v>
      </c>
      <c r="Q15" s="60">
        <v>0</v>
      </c>
      <c r="R15" s="60">
        <v>0</v>
      </c>
      <c r="S15" s="60">
        <v>103.69999999999999</v>
      </c>
      <c r="T15" s="60">
        <v>0</v>
      </c>
      <c r="U15" s="60">
        <v>0</v>
      </c>
      <c r="V15" s="60">
        <v>0</v>
      </c>
    </row>
    <row r="16" spans="1:22" x14ac:dyDescent="0.2">
      <c r="A16" s="46" t="s">
        <v>183</v>
      </c>
      <c r="B16" s="46" t="s">
        <v>15</v>
      </c>
      <c r="C16" s="46" t="s">
        <v>375</v>
      </c>
      <c r="D16" s="46" t="s">
        <v>171</v>
      </c>
      <c r="E16" s="60">
        <f t="shared" si="0"/>
        <v>0.30769230769230771</v>
      </c>
      <c r="F16" s="60">
        <v>1</v>
      </c>
      <c r="G16" s="60">
        <f>IF(prodnorm13&gt;0,1/ROUND(prodnorm13,4),0)</f>
        <v>0</v>
      </c>
      <c r="H16" s="50">
        <f>ROUND(uurtarief13,2)</f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112.4</v>
      </c>
      <c r="O16" s="60">
        <v>0</v>
      </c>
      <c r="P16" s="60">
        <v>0</v>
      </c>
      <c r="Q16" s="60">
        <v>0</v>
      </c>
      <c r="R16" s="60">
        <v>52.78</v>
      </c>
      <c r="S16" s="60">
        <v>0</v>
      </c>
      <c r="T16" s="60">
        <v>0</v>
      </c>
      <c r="U16" s="60">
        <v>0</v>
      </c>
      <c r="V16" s="60">
        <v>63.43</v>
      </c>
    </row>
    <row r="17" spans="1:22" x14ac:dyDescent="0.2">
      <c r="A17" s="46" t="s">
        <v>185</v>
      </c>
      <c r="B17" s="46" t="s">
        <v>11</v>
      </c>
      <c r="C17" s="46" t="s">
        <v>375</v>
      </c>
      <c r="D17" s="46" t="s">
        <v>171</v>
      </c>
      <c r="E17" s="60">
        <f t="shared" si="0"/>
        <v>0.76923076923076927</v>
      </c>
      <c r="F17" s="60">
        <v>1</v>
      </c>
      <c r="G17" s="60">
        <f>IF(prodnorm14&gt;0,1/ROUND(prodnorm14,4),0)</f>
        <v>0</v>
      </c>
      <c r="H17" s="50">
        <f>ROUND(uurtarief14,2)</f>
        <v>0</v>
      </c>
      <c r="I17" s="60">
        <v>0</v>
      </c>
      <c r="J17" s="60">
        <v>0</v>
      </c>
      <c r="K17" s="60">
        <v>49.790000000000006</v>
      </c>
      <c r="L17" s="60">
        <v>0</v>
      </c>
      <c r="M17" s="60">
        <v>0</v>
      </c>
      <c r="N17" s="60">
        <v>0</v>
      </c>
      <c r="O17" s="60">
        <v>77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</row>
    <row r="18" spans="1:22" x14ac:dyDescent="0.2">
      <c r="A18" s="46" t="s">
        <v>187</v>
      </c>
      <c r="B18" s="46" t="s">
        <v>11</v>
      </c>
      <c r="C18" s="46" t="s">
        <v>375</v>
      </c>
      <c r="D18" s="46" t="s">
        <v>171</v>
      </c>
      <c r="E18" s="60">
        <f t="shared" si="0"/>
        <v>0.76923076923076927</v>
      </c>
      <c r="F18" s="60">
        <v>1</v>
      </c>
      <c r="G18" s="60">
        <f>IF(prodnorm15&gt;0,1/ROUND(prodnorm15,4),0)</f>
        <v>0</v>
      </c>
      <c r="H18" s="50">
        <f>ROUND(uurtarief15,2)</f>
        <v>0</v>
      </c>
      <c r="I18" s="60">
        <v>0</v>
      </c>
      <c r="J18" s="60">
        <v>10</v>
      </c>
      <c r="K18" s="60">
        <v>16</v>
      </c>
      <c r="L18" s="60">
        <v>0</v>
      </c>
      <c r="M18" s="60">
        <v>16.399999999999999</v>
      </c>
      <c r="N18" s="60">
        <v>0</v>
      </c>
      <c r="O18" s="60">
        <v>9</v>
      </c>
      <c r="P18" s="60">
        <v>0</v>
      </c>
      <c r="Q18" s="60">
        <v>3.4299999999999997</v>
      </c>
      <c r="R18" s="60">
        <v>0</v>
      </c>
      <c r="S18" s="60">
        <v>4.8</v>
      </c>
      <c r="T18" s="60">
        <v>0</v>
      </c>
      <c r="U18" s="60">
        <v>7.57</v>
      </c>
      <c r="V18" s="60">
        <v>0</v>
      </c>
    </row>
    <row r="19" spans="1:22" x14ac:dyDescent="0.2">
      <c r="A19" s="46" t="s">
        <v>189</v>
      </c>
      <c r="B19" s="46" t="s">
        <v>11</v>
      </c>
      <c r="C19" s="46" t="s">
        <v>375</v>
      </c>
      <c r="D19" s="46" t="s">
        <v>171</v>
      </c>
      <c r="E19" s="60">
        <f t="shared" si="0"/>
        <v>0.76923076923076927</v>
      </c>
      <c r="F19" s="60">
        <v>1</v>
      </c>
      <c r="G19" s="60">
        <f>IF(prodnorm16&gt;0,1/ROUND(prodnorm16,4),0)</f>
        <v>0</v>
      </c>
      <c r="H19" s="50">
        <f>ROUND(uurtarief16,2)</f>
        <v>0</v>
      </c>
      <c r="I19" s="60">
        <v>19.899999999999999</v>
      </c>
      <c r="J19" s="60">
        <v>39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</row>
    <row r="20" spans="1:22" x14ac:dyDescent="0.2">
      <c r="A20" s="46" t="s">
        <v>191</v>
      </c>
      <c r="B20" s="46" t="s">
        <v>11</v>
      </c>
      <c r="C20" s="46" t="s">
        <v>375</v>
      </c>
      <c r="D20" s="46" t="s">
        <v>171</v>
      </c>
      <c r="E20" s="60">
        <f t="shared" si="0"/>
        <v>0.76923076923076927</v>
      </c>
      <c r="F20" s="60">
        <v>1</v>
      </c>
      <c r="G20" s="60">
        <f>IF(prodnorm17&gt;0,1/ROUND(prodnorm17,4),0)</f>
        <v>0</v>
      </c>
      <c r="H20" s="50">
        <f>ROUND(uurtarief17,2)</f>
        <v>0</v>
      </c>
      <c r="I20" s="60">
        <v>17.649999999999999</v>
      </c>
      <c r="J20" s="60">
        <v>31</v>
      </c>
      <c r="K20" s="60">
        <v>74.169999999999987</v>
      </c>
      <c r="L20" s="60">
        <v>0</v>
      </c>
      <c r="M20" s="60">
        <v>38</v>
      </c>
      <c r="N20" s="60">
        <v>0</v>
      </c>
      <c r="O20" s="60">
        <v>37.690000000000005</v>
      </c>
      <c r="P20" s="60">
        <v>0</v>
      </c>
      <c r="Q20" s="60">
        <v>41.24</v>
      </c>
      <c r="R20" s="60">
        <v>0</v>
      </c>
      <c r="S20" s="60">
        <v>21.78</v>
      </c>
      <c r="T20" s="60">
        <v>0</v>
      </c>
      <c r="U20" s="60">
        <v>109.53999999999999</v>
      </c>
      <c r="V20" s="60">
        <v>0</v>
      </c>
    </row>
    <row r="21" spans="1:22" x14ac:dyDescent="0.2">
      <c r="A21" s="46" t="s">
        <v>191</v>
      </c>
      <c r="B21" s="46" t="s">
        <v>17</v>
      </c>
      <c r="C21" s="46" t="s">
        <v>375</v>
      </c>
      <c r="D21" s="46" t="s">
        <v>171</v>
      </c>
      <c r="E21" s="60">
        <f t="shared" si="0"/>
        <v>0.15384615384615385</v>
      </c>
      <c r="F21" s="60">
        <v>1</v>
      </c>
      <c r="G21" s="60">
        <f>IF(prodnorm18&gt;0,1/ROUND(prodnorm18,4),0)</f>
        <v>0</v>
      </c>
      <c r="H21" s="50">
        <f>ROUND(uurtarief18,2)</f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4.1499999999999995</v>
      </c>
      <c r="T21" s="60">
        <v>0</v>
      </c>
      <c r="U21" s="60">
        <v>0</v>
      </c>
      <c r="V21" s="60">
        <v>0</v>
      </c>
    </row>
    <row r="22" spans="1:22" x14ac:dyDescent="0.2">
      <c r="A22" s="46" t="s">
        <v>193</v>
      </c>
      <c r="B22" s="46" t="s">
        <v>11</v>
      </c>
      <c r="C22" s="46" t="s">
        <v>375</v>
      </c>
      <c r="D22" s="46" t="s">
        <v>171</v>
      </c>
      <c r="E22" s="60">
        <f t="shared" si="0"/>
        <v>0.76923076923076927</v>
      </c>
      <c r="F22" s="60">
        <v>1</v>
      </c>
      <c r="G22" s="60">
        <f>IF(prodnorm19&gt;0,1/ROUND(prodnorm19,4),0)</f>
        <v>0</v>
      </c>
      <c r="H22" s="50">
        <f>ROUND(uurtarief19,2)</f>
        <v>0</v>
      </c>
      <c r="I22" s="60">
        <v>0</v>
      </c>
      <c r="J22" s="60">
        <v>11.6</v>
      </c>
      <c r="K22" s="60">
        <v>0</v>
      </c>
      <c r="L22" s="60">
        <v>0</v>
      </c>
      <c r="M22" s="60">
        <v>0</v>
      </c>
      <c r="N22" s="60">
        <v>0</v>
      </c>
      <c r="O22" s="60">
        <v>9.7899999999999991</v>
      </c>
      <c r="P22" s="60">
        <v>0</v>
      </c>
      <c r="Q22" s="60">
        <v>6.9</v>
      </c>
      <c r="R22" s="60">
        <v>0</v>
      </c>
      <c r="S22" s="60">
        <v>5</v>
      </c>
      <c r="T22" s="60">
        <v>0</v>
      </c>
      <c r="U22" s="60">
        <v>0</v>
      </c>
      <c r="V22" s="60">
        <v>0</v>
      </c>
    </row>
    <row r="23" spans="1:22" x14ac:dyDescent="0.2">
      <c r="A23" s="46" t="s">
        <v>195</v>
      </c>
      <c r="B23" s="46" t="s">
        <v>11</v>
      </c>
      <c r="C23" s="46" t="s">
        <v>375</v>
      </c>
      <c r="D23" s="46" t="s">
        <v>171</v>
      </c>
      <c r="E23" s="60">
        <f t="shared" si="0"/>
        <v>0.76923076923076927</v>
      </c>
      <c r="F23" s="60">
        <v>1</v>
      </c>
      <c r="G23" s="60">
        <f>IF(prodnorm20&gt;0,1/ROUND(prodnorm20,4),0)</f>
        <v>0</v>
      </c>
      <c r="H23" s="50">
        <f>ROUND(uurtarief20,2)</f>
        <v>0</v>
      </c>
      <c r="I23" s="60">
        <v>58.82</v>
      </c>
      <c r="J23" s="60">
        <v>159</v>
      </c>
      <c r="K23" s="60">
        <v>244.69</v>
      </c>
      <c r="L23" s="60">
        <v>0</v>
      </c>
      <c r="M23" s="60">
        <v>199.11</v>
      </c>
      <c r="N23" s="60">
        <v>0</v>
      </c>
      <c r="O23" s="60">
        <v>133.16000000000003</v>
      </c>
      <c r="P23" s="60">
        <v>0</v>
      </c>
      <c r="Q23" s="60">
        <v>110.56</v>
      </c>
      <c r="R23" s="60">
        <v>0</v>
      </c>
      <c r="S23" s="60">
        <v>119.66</v>
      </c>
      <c r="T23" s="60">
        <v>0</v>
      </c>
      <c r="U23" s="60">
        <v>176.42</v>
      </c>
      <c r="V23" s="60">
        <v>0</v>
      </c>
    </row>
    <row r="24" spans="1:22" x14ac:dyDescent="0.2">
      <c r="A24" s="46" t="s">
        <v>195</v>
      </c>
      <c r="B24" s="46" t="s">
        <v>17</v>
      </c>
      <c r="C24" s="46" t="s">
        <v>375</v>
      </c>
      <c r="D24" s="46" t="s">
        <v>171</v>
      </c>
      <c r="E24" s="60">
        <f t="shared" si="0"/>
        <v>0.15384615384615385</v>
      </c>
      <c r="F24" s="60">
        <v>1</v>
      </c>
      <c r="G24" s="60">
        <f>IF(prodnorm21&gt;0,1/ROUND(prodnorm21,4),0)</f>
        <v>0</v>
      </c>
      <c r="H24" s="50">
        <f>ROUND(uurtarief21,2)</f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21</v>
      </c>
      <c r="T24" s="60">
        <v>0</v>
      </c>
      <c r="U24" s="60">
        <v>0</v>
      </c>
      <c r="V24" s="60">
        <v>0</v>
      </c>
    </row>
    <row r="25" spans="1:22" x14ac:dyDescent="0.2">
      <c r="A25" s="46" t="s">
        <v>197</v>
      </c>
      <c r="B25" s="46" t="s">
        <v>11</v>
      </c>
      <c r="C25" s="46" t="s">
        <v>375</v>
      </c>
      <c r="D25" s="46" t="s">
        <v>171</v>
      </c>
      <c r="E25" s="60">
        <f t="shared" si="0"/>
        <v>0.76923076923076927</v>
      </c>
      <c r="F25" s="60">
        <v>1</v>
      </c>
      <c r="G25" s="60">
        <f>IF(prodnorm22&gt;0,1/ROUND(prodnorm22,4),0)</f>
        <v>0</v>
      </c>
      <c r="H25" s="50">
        <f>ROUND(uurtarief22,2)</f>
        <v>0</v>
      </c>
      <c r="I25" s="60">
        <v>0</v>
      </c>
      <c r="J25" s="60">
        <v>17</v>
      </c>
      <c r="K25" s="60">
        <v>0</v>
      </c>
      <c r="L25" s="60">
        <v>0</v>
      </c>
      <c r="M25" s="60">
        <v>0</v>
      </c>
      <c r="N25" s="60">
        <v>0</v>
      </c>
      <c r="O25" s="60">
        <v>35.46</v>
      </c>
      <c r="P25" s="60">
        <v>0</v>
      </c>
      <c r="Q25" s="60">
        <v>1.24</v>
      </c>
      <c r="R25" s="60">
        <v>0</v>
      </c>
      <c r="S25" s="60">
        <v>5.9</v>
      </c>
      <c r="T25" s="60">
        <v>0</v>
      </c>
      <c r="U25" s="60">
        <v>0</v>
      </c>
      <c r="V25" s="60">
        <v>0</v>
      </c>
    </row>
    <row r="26" spans="1:22" x14ac:dyDescent="0.2">
      <c r="A26" s="51" t="s">
        <v>197</v>
      </c>
      <c r="B26" s="51" t="s">
        <v>17</v>
      </c>
      <c r="C26" s="51" t="s">
        <v>375</v>
      </c>
      <c r="D26" s="51" t="s">
        <v>171</v>
      </c>
      <c r="E26" s="62">
        <f t="shared" si="0"/>
        <v>0.15384615384615385</v>
      </c>
      <c r="F26" s="62">
        <v>1</v>
      </c>
      <c r="G26" s="62">
        <f>IF(prodnorm23&gt;0,1/ROUND(prodnorm23,4),0)</f>
        <v>0</v>
      </c>
      <c r="H26" s="55">
        <f>ROUND(uurtarief23,2)</f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6.2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</row>
    <row r="27" spans="1:22" x14ac:dyDescent="0.2">
      <c r="A27" s="65" t="s">
        <v>199</v>
      </c>
      <c r="B27" s="66"/>
      <c r="C27" s="66"/>
      <c r="D27" s="66"/>
      <c r="E27" s="66"/>
      <c r="F27" s="66"/>
      <c r="G27" s="66"/>
      <c r="H27" s="6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</row>
  </sheetData>
  <sheetProtection algorithmName="SHA-512" hashValue="jYzOgiPBDTnTd3MFrbgKTQaXeSSZk1WZfkq7iCV8X6mcKKQrTwwe+mW68MN7fkPikQHWVY6JTziB3RMIrNAhbQ==" saltValue="Xscnxo9AXe7Ke0gkJItjbQ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D73A-58FF-4C7B-9CBF-D973269E1651}">
  <dimension ref="A1:M25"/>
  <sheetViews>
    <sheetView workbookViewId="0">
      <selection activeCell="B11" sqref="B11"/>
    </sheetView>
  </sheetViews>
  <sheetFormatPr defaultRowHeight="12.75" x14ac:dyDescent="0.2"/>
  <cols>
    <col min="1" max="1" width="8.625" customWidth="1"/>
    <col min="2" max="2" width="40.625" customWidth="1"/>
    <col min="3" max="3" width="6.125" customWidth="1"/>
    <col min="4" max="4" width="10.625" customWidth="1"/>
    <col min="5" max="10" width="12.1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F.2.5: ",tabeltype," kostenplaatsen")</f>
        <v>Bijlage F.2.5: Invultabel kostenplaatsen</v>
      </c>
    </row>
    <row r="3" spans="1:13" ht="38.25" x14ac:dyDescent="0.2">
      <c r="A3" s="30" t="s">
        <v>202</v>
      </c>
      <c r="B3" s="30" t="s">
        <v>376</v>
      </c>
      <c r="C3" s="30" t="s">
        <v>7</v>
      </c>
      <c r="D3" s="30" t="s">
        <v>377</v>
      </c>
      <c r="E3" s="30" t="s">
        <v>378</v>
      </c>
      <c r="F3" s="30" t="s">
        <v>379</v>
      </c>
      <c r="G3" s="30" t="s">
        <v>380</v>
      </c>
      <c r="H3" s="30" t="s">
        <v>381</v>
      </c>
      <c r="I3" s="30" t="s">
        <v>382</v>
      </c>
      <c r="J3" s="30" t="s">
        <v>383</v>
      </c>
      <c r="K3" s="30" t="s">
        <v>168</v>
      </c>
      <c r="L3" s="30" t="s">
        <v>169</v>
      </c>
      <c r="M3" s="30" t="s">
        <v>384</v>
      </c>
    </row>
    <row r="4" spans="1:13" x14ac:dyDescent="0.2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x14ac:dyDescent="0.2">
      <c r="A5" s="34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13" x14ac:dyDescent="0.2">
      <c r="A6" s="41" t="s">
        <v>361</v>
      </c>
      <c r="B6" s="41" t="s">
        <v>385</v>
      </c>
      <c r="C6" s="107" t="s">
        <v>11</v>
      </c>
      <c r="D6" s="108">
        <f t="shared" ref="D6:D19" si="0">gemuurtarief1</f>
        <v>0</v>
      </c>
      <c r="E6" s="58">
        <f>SUMPRODUCT(taakfreqtabel1,uurfactortabel1,kengetaltabel1,object1_opptabel1)*(1/VLOOKUP(C6,dagsoorttabel1,2,FALSE))</f>
        <v>0</v>
      </c>
      <c r="F6" s="43"/>
      <c r="G6" s="58">
        <f t="shared" ref="G6:G19" si="1">E6+F6</f>
        <v>0</v>
      </c>
      <c r="H6" s="45">
        <f>SUMPRODUCT(taakfreqtabel1,kengetaltabel1,tarieftabel1,object1_opptabel1)*(1/VLOOKUP(C6,dagsoorttabel1,2,FALSE))</f>
        <v>0</v>
      </c>
      <c r="I6" s="45">
        <f t="shared" ref="I6:I19" si="2">D6*F6</f>
        <v>0</v>
      </c>
      <c r="J6" s="45">
        <f t="shared" ref="J6:J19" si="3">SUM(H6:I6)</f>
        <v>0</v>
      </c>
      <c r="K6" s="58">
        <f t="shared" ref="K6:K19" si="4">G6*dagenperjaar1*VLOOKUP(C6,dagsoorttabel1,2,FALSE)</f>
        <v>0</v>
      </c>
      <c r="L6" s="45">
        <f t="shared" ref="L6:L19" si="5">J6*dagenperjaar1*VLOOKUP(C6,dagsoorttabel1,2,FALSE)</f>
        <v>0</v>
      </c>
      <c r="M6" s="45">
        <f t="shared" ref="M6:M19" si="6">L6/12</f>
        <v>0</v>
      </c>
    </row>
    <row r="7" spans="1:13" x14ac:dyDescent="0.2">
      <c r="A7" s="46" t="s">
        <v>362</v>
      </c>
      <c r="B7" s="46" t="s">
        <v>386</v>
      </c>
      <c r="C7" s="109" t="s">
        <v>11</v>
      </c>
      <c r="D7" s="110">
        <f t="shared" si="0"/>
        <v>0</v>
      </c>
      <c r="E7" s="60">
        <f>SUMPRODUCT(taakfreqtabel1,uurfactortabel1,kengetaltabel1,object2_opptabel1)*(1/VLOOKUP(C7,dagsoorttabel1,2,FALSE))</f>
        <v>0</v>
      </c>
      <c r="F7" s="48"/>
      <c r="G7" s="60">
        <f t="shared" si="1"/>
        <v>0</v>
      </c>
      <c r="H7" s="50">
        <f>SUMPRODUCT(taakfreqtabel1,kengetaltabel1,tarieftabel1,object2_opptabel1)*(1/VLOOKUP(C7,dagsoorttabel1,2,FALSE))</f>
        <v>0</v>
      </c>
      <c r="I7" s="50">
        <f t="shared" si="2"/>
        <v>0</v>
      </c>
      <c r="J7" s="50">
        <f t="shared" si="3"/>
        <v>0</v>
      </c>
      <c r="K7" s="60">
        <f t="shared" si="4"/>
        <v>0</v>
      </c>
      <c r="L7" s="50">
        <f t="shared" si="5"/>
        <v>0</v>
      </c>
      <c r="M7" s="50">
        <f t="shared" si="6"/>
        <v>0</v>
      </c>
    </row>
    <row r="8" spans="1:13" x14ac:dyDescent="0.2">
      <c r="A8" s="46" t="s">
        <v>363</v>
      </c>
      <c r="B8" s="46" t="s">
        <v>387</v>
      </c>
      <c r="C8" s="109" t="s">
        <v>11</v>
      </c>
      <c r="D8" s="110">
        <f t="shared" si="0"/>
        <v>0</v>
      </c>
      <c r="E8" s="60">
        <f>SUMPRODUCT(taakfreqtabel1,uurfactortabel1,kengetaltabel1,object3_opptabel1)*(1/VLOOKUP(C8,dagsoorttabel1,2,FALSE))</f>
        <v>0</v>
      </c>
      <c r="F8" s="48"/>
      <c r="G8" s="60">
        <f t="shared" si="1"/>
        <v>0</v>
      </c>
      <c r="H8" s="50">
        <f>SUMPRODUCT(taakfreqtabel1,kengetaltabel1,tarieftabel1,object3_opptabel1)*(1/VLOOKUP(C8,dagsoorttabel1,2,FALSE))</f>
        <v>0</v>
      </c>
      <c r="I8" s="50">
        <f t="shared" si="2"/>
        <v>0</v>
      </c>
      <c r="J8" s="50">
        <f t="shared" si="3"/>
        <v>0</v>
      </c>
      <c r="K8" s="60">
        <f t="shared" si="4"/>
        <v>0</v>
      </c>
      <c r="L8" s="50">
        <f t="shared" si="5"/>
        <v>0</v>
      </c>
      <c r="M8" s="50">
        <f t="shared" si="6"/>
        <v>0</v>
      </c>
    </row>
    <row r="9" spans="1:13" x14ac:dyDescent="0.2">
      <c r="A9" s="46" t="s">
        <v>364</v>
      </c>
      <c r="B9" s="46" t="s">
        <v>388</v>
      </c>
      <c r="C9" s="109" t="s">
        <v>11</v>
      </c>
      <c r="D9" s="110">
        <f t="shared" si="0"/>
        <v>0</v>
      </c>
      <c r="E9" s="60">
        <f>SUMPRODUCT(taakfreqtabel1,uurfactortabel1,kengetaltabel1,object4_opptabel1)*(1/VLOOKUP(C9,dagsoorttabel1,2,FALSE))</f>
        <v>0</v>
      </c>
      <c r="F9" s="48"/>
      <c r="G9" s="60">
        <f t="shared" si="1"/>
        <v>0</v>
      </c>
      <c r="H9" s="50">
        <f>SUMPRODUCT(taakfreqtabel1,kengetaltabel1,tarieftabel1,object4_opptabel1)*(1/VLOOKUP(C9,dagsoorttabel1,2,FALSE))</f>
        <v>0</v>
      </c>
      <c r="I9" s="50">
        <f t="shared" si="2"/>
        <v>0</v>
      </c>
      <c r="J9" s="50">
        <f t="shared" si="3"/>
        <v>0</v>
      </c>
      <c r="K9" s="60">
        <f t="shared" si="4"/>
        <v>0</v>
      </c>
      <c r="L9" s="50">
        <f t="shared" si="5"/>
        <v>0</v>
      </c>
      <c r="M9" s="50">
        <f t="shared" si="6"/>
        <v>0</v>
      </c>
    </row>
    <row r="10" spans="1:13" x14ac:dyDescent="0.2">
      <c r="A10" s="46" t="s">
        <v>365</v>
      </c>
      <c r="B10" s="46" t="s">
        <v>389</v>
      </c>
      <c r="C10" s="109" t="s">
        <v>11</v>
      </c>
      <c r="D10" s="110">
        <f t="shared" si="0"/>
        <v>0</v>
      </c>
      <c r="E10" s="60">
        <f>SUMPRODUCT(taakfreqtabel1,uurfactortabel1,kengetaltabel1,object5_opptabel1)*(1/VLOOKUP(C10,dagsoorttabel1,2,FALSE))</f>
        <v>0</v>
      </c>
      <c r="F10" s="48"/>
      <c r="G10" s="60">
        <f t="shared" si="1"/>
        <v>0</v>
      </c>
      <c r="H10" s="50">
        <f>SUMPRODUCT(taakfreqtabel1,kengetaltabel1,tarieftabel1,object5_opptabel1)*(1/VLOOKUP(C10,dagsoorttabel1,2,FALSE))</f>
        <v>0</v>
      </c>
      <c r="I10" s="50">
        <f t="shared" si="2"/>
        <v>0</v>
      </c>
      <c r="J10" s="50">
        <f t="shared" si="3"/>
        <v>0</v>
      </c>
      <c r="K10" s="60">
        <f t="shared" si="4"/>
        <v>0</v>
      </c>
      <c r="L10" s="50">
        <f t="shared" si="5"/>
        <v>0</v>
      </c>
      <c r="M10" s="50">
        <f t="shared" si="6"/>
        <v>0</v>
      </c>
    </row>
    <row r="11" spans="1:13" x14ac:dyDescent="0.2">
      <c r="A11" s="46" t="s">
        <v>366</v>
      </c>
      <c r="B11" s="46" t="s">
        <v>390</v>
      </c>
      <c r="C11" s="109" t="s">
        <v>15</v>
      </c>
      <c r="D11" s="110">
        <f t="shared" si="0"/>
        <v>0</v>
      </c>
      <c r="E11" s="60">
        <f>SUMPRODUCT(taakfreqtabel1,uurfactortabel1,kengetaltabel1,object6_opptabel1)*(1/VLOOKUP(C11,dagsoorttabel1,2,FALSE))</f>
        <v>0</v>
      </c>
      <c r="F11" s="48"/>
      <c r="G11" s="60">
        <f t="shared" si="1"/>
        <v>0</v>
      </c>
      <c r="H11" s="50">
        <f>SUMPRODUCT(taakfreqtabel1,kengetaltabel1,tarieftabel1,object6_opptabel1)*(1/VLOOKUP(C11,dagsoorttabel1,2,FALSE))</f>
        <v>0</v>
      </c>
      <c r="I11" s="50">
        <f t="shared" si="2"/>
        <v>0</v>
      </c>
      <c r="J11" s="50">
        <f t="shared" si="3"/>
        <v>0</v>
      </c>
      <c r="K11" s="60">
        <f t="shared" si="4"/>
        <v>0</v>
      </c>
      <c r="L11" s="50">
        <f t="shared" si="5"/>
        <v>0</v>
      </c>
      <c r="M11" s="50">
        <f t="shared" si="6"/>
        <v>0</v>
      </c>
    </row>
    <row r="12" spans="1:13" x14ac:dyDescent="0.2">
      <c r="A12" s="46" t="s">
        <v>367</v>
      </c>
      <c r="B12" s="46" t="s">
        <v>391</v>
      </c>
      <c r="C12" s="109" t="s">
        <v>11</v>
      </c>
      <c r="D12" s="110">
        <f t="shared" si="0"/>
        <v>0</v>
      </c>
      <c r="E12" s="60">
        <f>SUMPRODUCT(taakfreqtabel1,uurfactortabel1,kengetaltabel1,object7_opptabel1)*(1/VLOOKUP(C12,dagsoorttabel1,2,FALSE))</f>
        <v>0</v>
      </c>
      <c r="F12" s="48"/>
      <c r="G12" s="60">
        <f t="shared" si="1"/>
        <v>0</v>
      </c>
      <c r="H12" s="50">
        <f>SUMPRODUCT(taakfreqtabel1,kengetaltabel1,tarieftabel1,object7_opptabel1)*(1/VLOOKUP(C12,dagsoorttabel1,2,FALSE))</f>
        <v>0</v>
      </c>
      <c r="I12" s="50">
        <f t="shared" si="2"/>
        <v>0</v>
      </c>
      <c r="J12" s="50">
        <f t="shared" si="3"/>
        <v>0</v>
      </c>
      <c r="K12" s="60">
        <f t="shared" si="4"/>
        <v>0</v>
      </c>
      <c r="L12" s="50">
        <f t="shared" si="5"/>
        <v>0</v>
      </c>
      <c r="M12" s="50">
        <f t="shared" si="6"/>
        <v>0</v>
      </c>
    </row>
    <row r="13" spans="1:13" x14ac:dyDescent="0.2">
      <c r="A13" s="46" t="s">
        <v>368</v>
      </c>
      <c r="B13" s="46" t="s">
        <v>392</v>
      </c>
      <c r="C13" s="109" t="s">
        <v>12</v>
      </c>
      <c r="D13" s="110">
        <f t="shared" si="0"/>
        <v>0</v>
      </c>
      <c r="E13" s="60">
        <f>SUMPRODUCT(taakfreqtabel1,uurfactortabel1,kengetaltabel1,object8_opptabel1)*(1/VLOOKUP(C13,dagsoorttabel1,2,FALSE))</f>
        <v>0</v>
      </c>
      <c r="F13" s="48"/>
      <c r="G13" s="60">
        <f t="shared" si="1"/>
        <v>0</v>
      </c>
      <c r="H13" s="50">
        <f>SUMPRODUCT(taakfreqtabel1,kengetaltabel1,tarieftabel1,object8_opptabel1)*(1/VLOOKUP(C13,dagsoorttabel1,2,FALSE))</f>
        <v>0</v>
      </c>
      <c r="I13" s="50">
        <f t="shared" si="2"/>
        <v>0</v>
      </c>
      <c r="J13" s="50">
        <f t="shared" si="3"/>
        <v>0</v>
      </c>
      <c r="K13" s="60">
        <f t="shared" si="4"/>
        <v>0</v>
      </c>
      <c r="L13" s="50">
        <f t="shared" si="5"/>
        <v>0</v>
      </c>
      <c r="M13" s="50">
        <f t="shared" si="6"/>
        <v>0</v>
      </c>
    </row>
    <row r="14" spans="1:13" x14ac:dyDescent="0.2">
      <c r="A14" s="46" t="s">
        <v>369</v>
      </c>
      <c r="B14" s="46" t="s">
        <v>393</v>
      </c>
      <c r="C14" s="109" t="s">
        <v>11</v>
      </c>
      <c r="D14" s="110">
        <f t="shared" si="0"/>
        <v>0</v>
      </c>
      <c r="E14" s="60">
        <f>SUMPRODUCT(taakfreqtabel1,uurfactortabel1,kengetaltabel1,object9_opptabel1)*(1/VLOOKUP(C14,dagsoorttabel1,2,FALSE))</f>
        <v>0</v>
      </c>
      <c r="F14" s="48"/>
      <c r="G14" s="60">
        <f t="shared" si="1"/>
        <v>0</v>
      </c>
      <c r="H14" s="50">
        <f>SUMPRODUCT(taakfreqtabel1,kengetaltabel1,tarieftabel1,object9_opptabel1)*(1/VLOOKUP(C14,dagsoorttabel1,2,FALSE))</f>
        <v>0</v>
      </c>
      <c r="I14" s="50">
        <f t="shared" si="2"/>
        <v>0</v>
      </c>
      <c r="J14" s="50">
        <f t="shared" si="3"/>
        <v>0</v>
      </c>
      <c r="K14" s="60">
        <f t="shared" si="4"/>
        <v>0</v>
      </c>
      <c r="L14" s="50">
        <f t="shared" si="5"/>
        <v>0</v>
      </c>
      <c r="M14" s="50">
        <f t="shared" si="6"/>
        <v>0</v>
      </c>
    </row>
    <row r="15" spans="1:13" x14ac:dyDescent="0.2">
      <c r="A15" s="46" t="s">
        <v>370</v>
      </c>
      <c r="B15" s="46" t="s">
        <v>394</v>
      </c>
      <c r="C15" s="109" t="s">
        <v>15</v>
      </c>
      <c r="D15" s="110">
        <f t="shared" si="0"/>
        <v>0</v>
      </c>
      <c r="E15" s="60">
        <f>SUMPRODUCT(taakfreqtabel1,uurfactortabel1,kengetaltabel1,object10_opptabel1)*(1/VLOOKUP(C15,dagsoorttabel1,2,FALSE))</f>
        <v>0</v>
      </c>
      <c r="F15" s="48"/>
      <c r="G15" s="60">
        <f t="shared" si="1"/>
        <v>0</v>
      </c>
      <c r="H15" s="50">
        <f>SUMPRODUCT(taakfreqtabel1,kengetaltabel1,tarieftabel1,object10_opptabel1)*(1/VLOOKUP(C15,dagsoorttabel1,2,FALSE))</f>
        <v>0</v>
      </c>
      <c r="I15" s="50">
        <f t="shared" si="2"/>
        <v>0</v>
      </c>
      <c r="J15" s="50">
        <f t="shared" si="3"/>
        <v>0</v>
      </c>
      <c r="K15" s="60">
        <f t="shared" si="4"/>
        <v>0</v>
      </c>
      <c r="L15" s="50">
        <f t="shared" si="5"/>
        <v>0</v>
      </c>
      <c r="M15" s="50">
        <f t="shared" si="6"/>
        <v>0</v>
      </c>
    </row>
    <row r="16" spans="1:13" x14ac:dyDescent="0.2">
      <c r="A16" s="46" t="s">
        <v>371</v>
      </c>
      <c r="B16" s="46" t="s">
        <v>395</v>
      </c>
      <c r="C16" s="109" t="s">
        <v>11</v>
      </c>
      <c r="D16" s="110">
        <f t="shared" si="0"/>
        <v>0</v>
      </c>
      <c r="E16" s="60">
        <f>SUMPRODUCT(taakfreqtabel1,uurfactortabel1,kengetaltabel1,object11_opptabel1)*(1/VLOOKUP(C16,dagsoorttabel1,2,FALSE))</f>
        <v>0</v>
      </c>
      <c r="F16" s="48"/>
      <c r="G16" s="60">
        <f t="shared" si="1"/>
        <v>0</v>
      </c>
      <c r="H16" s="50">
        <f>SUMPRODUCT(taakfreqtabel1,kengetaltabel1,tarieftabel1,object11_opptabel1)*(1/VLOOKUP(C16,dagsoorttabel1,2,FALSE))</f>
        <v>0</v>
      </c>
      <c r="I16" s="50">
        <f t="shared" si="2"/>
        <v>0</v>
      </c>
      <c r="J16" s="50">
        <f t="shared" si="3"/>
        <v>0</v>
      </c>
      <c r="K16" s="60">
        <f t="shared" si="4"/>
        <v>0</v>
      </c>
      <c r="L16" s="50">
        <f t="shared" si="5"/>
        <v>0</v>
      </c>
      <c r="M16" s="50">
        <f t="shared" si="6"/>
        <v>0</v>
      </c>
    </row>
    <row r="17" spans="1:13" x14ac:dyDescent="0.2">
      <c r="A17" s="46" t="s">
        <v>372</v>
      </c>
      <c r="B17" s="46" t="s">
        <v>396</v>
      </c>
      <c r="C17" s="109" t="s">
        <v>11</v>
      </c>
      <c r="D17" s="110">
        <f t="shared" si="0"/>
        <v>0</v>
      </c>
      <c r="E17" s="60">
        <f>SUMPRODUCT(taakfreqtabel1,uurfactortabel1,kengetaltabel1,object12_opptabel1)*(1/VLOOKUP(C17,dagsoorttabel1,2,FALSE))</f>
        <v>0</v>
      </c>
      <c r="F17" s="48"/>
      <c r="G17" s="60">
        <f t="shared" si="1"/>
        <v>0</v>
      </c>
      <c r="H17" s="50">
        <f>SUMPRODUCT(taakfreqtabel1,kengetaltabel1,tarieftabel1,object12_opptabel1)*(1/VLOOKUP(C17,dagsoorttabel1,2,FALSE))</f>
        <v>0</v>
      </c>
      <c r="I17" s="50">
        <f t="shared" si="2"/>
        <v>0</v>
      </c>
      <c r="J17" s="50">
        <f t="shared" si="3"/>
        <v>0</v>
      </c>
      <c r="K17" s="60">
        <f t="shared" si="4"/>
        <v>0</v>
      </c>
      <c r="L17" s="50">
        <f t="shared" si="5"/>
        <v>0</v>
      </c>
      <c r="M17" s="50">
        <f t="shared" si="6"/>
        <v>0</v>
      </c>
    </row>
    <row r="18" spans="1:13" x14ac:dyDescent="0.2">
      <c r="A18" s="46" t="s">
        <v>373</v>
      </c>
      <c r="B18" s="46" t="s">
        <v>397</v>
      </c>
      <c r="C18" s="109" t="s">
        <v>11</v>
      </c>
      <c r="D18" s="110">
        <f t="shared" si="0"/>
        <v>0</v>
      </c>
      <c r="E18" s="60">
        <f>SUMPRODUCT(taakfreqtabel1,uurfactortabel1,kengetaltabel1,object13_opptabel1)*(1/VLOOKUP(C18,dagsoorttabel1,2,FALSE))</f>
        <v>0</v>
      </c>
      <c r="F18" s="48"/>
      <c r="G18" s="60">
        <f t="shared" si="1"/>
        <v>0</v>
      </c>
      <c r="H18" s="50">
        <f>SUMPRODUCT(taakfreqtabel1,kengetaltabel1,tarieftabel1,object13_opptabel1)*(1/VLOOKUP(C18,dagsoorttabel1,2,FALSE))</f>
        <v>0</v>
      </c>
      <c r="I18" s="50">
        <f t="shared" si="2"/>
        <v>0</v>
      </c>
      <c r="J18" s="50">
        <f t="shared" si="3"/>
        <v>0</v>
      </c>
      <c r="K18" s="60">
        <f t="shared" si="4"/>
        <v>0</v>
      </c>
      <c r="L18" s="50">
        <f t="shared" si="5"/>
        <v>0</v>
      </c>
      <c r="M18" s="50">
        <f t="shared" si="6"/>
        <v>0</v>
      </c>
    </row>
    <row r="19" spans="1:13" x14ac:dyDescent="0.2">
      <c r="A19" s="51" t="s">
        <v>374</v>
      </c>
      <c r="B19" s="51" t="s">
        <v>398</v>
      </c>
      <c r="C19" s="111" t="s">
        <v>15</v>
      </c>
      <c r="D19" s="112">
        <f t="shared" si="0"/>
        <v>0</v>
      </c>
      <c r="E19" s="62">
        <f>SUMPRODUCT(taakfreqtabel1,uurfactortabel1,kengetaltabel1,object14_opptabel1)*(1/VLOOKUP(C19,dagsoorttabel1,2,FALSE))</f>
        <v>0</v>
      </c>
      <c r="F19" s="53"/>
      <c r="G19" s="62">
        <f t="shared" si="1"/>
        <v>0</v>
      </c>
      <c r="H19" s="55">
        <f>SUMPRODUCT(taakfreqtabel1,kengetaltabel1,tarieftabel1,object14_opptabel1)*(1/VLOOKUP(C19,dagsoorttabel1,2,FALSE))</f>
        <v>0</v>
      </c>
      <c r="I19" s="55">
        <f t="shared" si="2"/>
        <v>0</v>
      </c>
      <c r="J19" s="55">
        <f t="shared" si="3"/>
        <v>0</v>
      </c>
      <c r="K19" s="62">
        <f t="shared" si="4"/>
        <v>0</v>
      </c>
      <c r="L19" s="55">
        <f t="shared" si="5"/>
        <v>0</v>
      </c>
      <c r="M19" s="55">
        <f t="shared" si="6"/>
        <v>0</v>
      </c>
    </row>
    <row r="20" spans="1:13" x14ac:dyDescent="0.2">
      <c r="A20" s="65" t="s">
        <v>199</v>
      </c>
      <c r="B20" s="66"/>
      <c r="C20" s="66"/>
      <c r="D20" s="66"/>
      <c r="E20" s="66"/>
      <c r="F20" s="66"/>
      <c r="G20" s="66"/>
      <c r="H20" s="66"/>
      <c r="I20" s="66"/>
      <c r="J20" s="66"/>
      <c r="K20" s="67">
        <f>SUM(K6:K19)</f>
        <v>0</v>
      </c>
      <c r="L20" s="68">
        <f>SUM(L6:L19)</f>
        <v>0</v>
      </c>
      <c r="M20" s="69">
        <f>SUM(M6:M19)</f>
        <v>0</v>
      </c>
    </row>
    <row r="21" spans="1:13" x14ac:dyDescent="0.2">
      <c r="A21" s="70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71"/>
    </row>
    <row r="23" spans="1:13" x14ac:dyDescent="0.2">
      <c r="A23" s="65" t="s">
        <v>399</v>
      </c>
      <c r="B23" s="66"/>
      <c r="C23" s="66"/>
      <c r="D23" s="66"/>
      <c r="E23" s="66"/>
      <c r="F23" s="66"/>
      <c r="G23" s="66"/>
      <c r="H23" s="66"/>
      <c r="I23" s="66"/>
      <c r="J23" s="66"/>
      <c r="K23" s="67">
        <f>urenjaartotaal1</f>
        <v>0</v>
      </c>
      <c r="L23" s="68">
        <f>prijsjaartotaal1</f>
        <v>0</v>
      </c>
      <c r="M23" s="68">
        <f>prijsmaandtotaal1</f>
        <v>0</v>
      </c>
    </row>
    <row r="25" spans="1:13" x14ac:dyDescent="0.2">
      <c r="A25" s="65" t="s">
        <v>400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8">
        <f>L23*1.21</f>
        <v>0</v>
      </c>
      <c r="M25" s="68">
        <f>M23*1.21</f>
        <v>0</v>
      </c>
    </row>
  </sheetData>
  <sheetProtection algorithmName="SHA-512" hashValue="41vZudLlj4tYt9qiHgIMTMCZN0jYU0Q6j20DBYN8d4JF8qn5y4blZZKw2qnqM/UK3IhSqGNmaSV8yQAWA5Ktfw==" saltValue="ks9v2/Zpbva/QleDn8+rO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81F6-1271-45BE-9325-9A74508D42DE}">
  <dimension ref="A1:G19"/>
  <sheetViews>
    <sheetView workbookViewId="0">
      <selection activeCell="B1" sqref="B1"/>
    </sheetView>
  </sheetViews>
  <sheetFormatPr defaultRowHeight="12.75" x14ac:dyDescent="0.2"/>
  <cols>
    <col min="1" max="1" width="8.625" customWidth="1"/>
    <col min="2" max="2" width="10.625" customWidth="1"/>
    <col min="3" max="3" width="40.625" customWidth="1"/>
    <col min="4" max="4" width="12.625" customWidth="1"/>
    <col min="5" max="5" width="14.625" customWidth="1"/>
    <col min="6" max="7" width="13.625" customWidth="1"/>
  </cols>
  <sheetData>
    <row r="1" spans="1:7" x14ac:dyDescent="0.2">
      <c r="A1" s="1" t="str">
        <f>CONCATENATE("Bijlage F.2.6: ",tabeltype," totaalblad kostenplaatsen")</f>
        <v>Bijlage F.2.6: Invultabel totaalblad kostenplaatsen</v>
      </c>
    </row>
    <row r="3" spans="1:7" ht="25.5" x14ac:dyDescent="0.2">
      <c r="A3" s="30" t="s">
        <v>202</v>
      </c>
      <c r="B3" s="30" t="s">
        <v>401</v>
      </c>
      <c r="C3" s="30" t="s">
        <v>376</v>
      </c>
      <c r="D3" s="30" t="s">
        <v>168</v>
      </c>
      <c r="E3" s="30" t="s">
        <v>169</v>
      </c>
      <c r="F3" s="30" t="s">
        <v>402</v>
      </c>
      <c r="G3" s="30" t="s">
        <v>403</v>
      </c>
    </row>
    <row r="4" spans="1:7" x14ac:dyDescent="0.2">
      <c r="A4" s="41" t="s">
        <v>361</v>
      </c>
      <c r="B4" s="41" t="s">
        <v>39</v>
      </c>
      <c r="C4" s="41" t="s">
        <v>385</v>
      </c>
      <c r="D4" s="58">
        <f>objecturen1_1</f>
        <v>0</v>
      </c>
      <c r="E4" s="45">
        <f>objectprijs1_1</f>
        <v>0</v>
      </c>
      <c r="F4" s="45">
        <f t="shared" ref="F4:F17" si="0">E4/12</f>
        <v>0</v>
      </c>
      <c r="G4" s="45">
        <f t="shared" ref="G4:G17" si="1">F4*1.21</f>
        <v>0</v>
      </c>
    </row>
    <row r="5" spans="1:7" x14ac:dyDescent="0.2">
      <c r="A5" s="46" t="s">
        <v>362</v>
      </c>
      <c r="B5" s="46" t="s">
        <v>39</v>
      </c>
      <c r="C5" s="46" t="s">
        <v>386</v>
      </c>
      <c r="D5" s="60">
        <f>objecturen2_1</f>
        <v>0</v>
      </c>
      <c r="E5" s="50">
        <f>objectprijs2_1</f>
        <v>0</v>
      </c>
      <c r="F5" s="50">
        <f t="shared" si="0"/>
        <v>0</v>
      </c>
      <c r="G5" s="50">
        <f t="shared" si="1"/>
        <v>0</v>
      </c>
    </row>
    <row r="6" spans="1:7" x14ac:dyDescent="0.2">
      <c r="A6" s="46" t="s">
        <v>363</v>
      </c>
      <c r="B6" s="46" t="s">
        <v>39</v>
      </c>
      <c r="C6" s="46" t="s">
        <v>387</v>
      </c>
      <c r="D6" s="60">
        <f>objecturen3_1</f>
        <v>0</v>
      </c>
      <c r="E6" s="50">
        <f>objectprijs3_1</f>
        <v>0</v>
      </c>
      <c r="F6" s="50">
        <f t="shared" si="0"/>
        <v>0</v>
      </c>
      <c r="G6" s="50">
        <f t="shared" si="1"/>
        <v>0</v>
      </c>
    </row>
    <row r="7" spans="1:7" x14ac:dyDescent="0.2">
      <c r="A7" s="46" t="s">
        <v>364</v>
      </c>
      <c r="B7" s="46" t="s">
        <v>39</v>
      </c>
      <c r="C7" s="46" t="s">
        <v>388</v>
      </c>
      <c r="D7" s="60">
        <f>objecturen4_1</f>
        <v>0</v>
      </c>
      <c r="E7" s="50">
        <f>objectprijs4_1</f>
        <v>0</v>
      </c>
      <c r="F7" s="50">
        <f t="shared" si="0"/>
        <v>0</v>
      </c>
      <c r="G7" s="50">
        <f t="shared" si="1"/>
        <v>0</v>
      </c>
    </row>
    <row r="8" spans="1:7" x14ac:dyDescent="0.2">
      <c r="A8" s="46" t="s">
        <v>365</v>
      </c>
      <c r="B8" s="46" t="s">
        <v>39</v>
      </c>
      <c r="C8" s="46" t="s">
        <v>389</v>
      </c>
      <c r="D8" s="60">
        <f>objecturen5_1</f>
        <v>0</v>
      </c>
      <c r="E8" s="50">
        <f>objectprijs5_1</f>
        <v>0</v>
      </c>
      <c r="F8" s="50">
        <f t="shared" si="0"/>
        <v>0</v>
      </c>
      <c r="G8" s="50">
        <f t="shared" si="1"/>
        <v>0</v>
      </c>
    </row>
    <row r="9" spans="1:7" x14ac:dyDescent="0.2">
      <c r="A9" s="46" t="s">
        <v>366</v>
      </c>
      <c r="B9" s="46" t="s">
        <v>39</v>
      </c>
      <c r="C9" s="46" t="s">
        <v>390</v>
      </c>
      <c r="D9" s="60">
        <f>objecturen6_1</f>
        <v>0</v>
      </c>
      <c r="E9" s="50">
        <f>objectprijs6_1</f>
        <v>0</v>
      </c>
      <c r="F9" s="50">
        <f t="shared" si="0"/>
        <v>0</v>
      </c>
      <c r="G9" s="50">
        <f t="shared" si="1"/>
        <v>0</v>
      </c>
    </row>
    <row r="10" spans="1:7" x14ac:dyDescent="0.2">
      <c r="A10" s="46" t="s">
        <v>367</v>
      </c>
      <c r="B10" s="46" t="s">
        <v>39</v>
      </c>
      <c r="C10" s="46" t="s">
        <v>391</v>
      </c>
      <c r="D10" s="60">
        <f>objecturen7_1</f>
        <v>0</v>
      </c>
      <c r="E10" s="50">
        <f>objectprijs7_1</f>
        <v>0</v>
      </c>
      <c r="F10" s="50">
        <f t="shared" si="0"/>
        <v>0</v>
      </c>
      <c r="G10" s="50">
        <f t="shared" si="1"/>
        <v>0</v>
      </c>
    </row>
    <row r="11" spans="1:7" x14ac:dyDescent="0.2">
      <c r="A11" s="46" t="s">
        <v>368</v>
      </c>
      <c r="B11" s="46" t="s">
        <v>39</v>
      </c>
      <c r="C11" s="46" t="s">
        <v>392</v>
      </c>
      <c r="D11" s="60">
        <f>objecturen8_1</f>
        <v>0</v>
      </c>
      <c r="E11" s="50">
        <f>objectprijs8_1</f>
        <v>0</v>
      </c>
      <c r="F11" s="50">
        <f t="shared" si="0"/>
        <v>0</v>
      </c>
      <c r="G11" s="50">
        <f t="shared" si="1"/>
        <v>0</v>
      </c>
    </row>
    <row r="12" spans="1:7" x14ac:dyDescent="0.2">
      <c r="A12" s="46" t="s">
        <v>369</v>
      </c>
      <c r="B12" s="46" t="s">
        <v>39</v>
      </c>
      <c r="C12" s="46" t="s">
        <v>393</v>
      </c>
      <c r="D12" s="60">
        <f>objecturen9_1</f>
        <v>0</v>
      </c>
      <c r="E12" s="50">
        <f>objectprijs9_1</f>
        <v>0</v>
      </c>
      <c r="F12" s="50">
        <f t="shared" si="0"/>
        <v>0</v>
      </c>
      <c r="G12" s="50">
        <f t="shared" si="1"/>
        <v>0</v>
      </c>
    </row>
    <row r="13" spans="1:7" x14ac:dyDescent="0.2">
      <c r="A13" s="46" t="s">
        <v>370</v>
      </c>
      <c r="B13" s="46" t="s">
        <v>39</v>
      </c>
      <c r="C13" s="46" t="s">
        <v>394</v>
      </c>
      <c r="D13" s="60">
        <f>objecturen10_1</f>
        <v>0</v>
      </c>
      <c r="E13" s="50">
        <f>objectprijs10_1</f>
        <v>0</v>
      </c>
      <c r="F13" s="50">
        <f t="shared" si="0"/>
        <v>0</v>
      </c>
      <c r="G13" s="50">
        <f t="shared" si="1"/>
        <v>0</v>
      </c>
    </row>
    <row r="14" spans="1:7" x14ac:dyDescent="0.2">
      <c r="A14" s="46" t="s">
        <v>371</v>
      </c>
      <c r="B14" s="46" t="s">
        <v>39</v>
      </c>
      <c r="C14" s="46" t="s">
        <v>395</v>
      </c>
      <c r="D14" s="60">
        <f>objecturen11_1</f>
        <v>0</v>
      </c>
      <c r="E14" s="50">
        <f>objectprijs11_1</f>
        <v>0</v>
      </c>
      <c r="F14" s="50">
        <f t="shared" si="0"/>
        <v>0</v>
      </c>
      <c r="G14" s="50">
        <f t="shared" si="1"/>
        <v>0</v>
      </c>
    </row>
    <row r="15" spans="1:7" x14ac:dyDescent="0.2">
      <c r="A15" s="46" t="s">
        <v>372</v>
      </c>
      <c r="B15" s="46" t="s">
        <v>39</v>
      </c>
      <c r="C15" s="46" t="s">
        <v>396</v>
      </c>
      <c r="D15" s="60">
        <f>objecturen12_1</f>
        <v>0</v>
      </c>
      <c r="E15" s="50">
        <f>objectprijs12_1</f>
        <v>0</v>
      </c>
      <c r="F15" s="50">
        <f t="shared" si="0"/>
        <v>0</v>
      </c>
      <c r="G15" s="50">
        <f t="shared" si="1"/>
        <v>0</v>
      </c>
    </row>
    <row r="16" spans="1:7" x14ac:dyDescent="0.2">
      <c r="A16" s="46" t="s">
        <v>373</v>
      </c>
      <c r="B16" s="46" t="s">
        <v>39</v>
      </c>
      <c r="C16" s="46" t="s">
        <v>397</v>
      </c>
      <c r="D16" s="60">
        <f>objecturen13_1</f>
        <v>0</v>
      </c>
      <c r="E16" s="50">
        <f>objectprijs13_1</f>
        <v>0</v>
      </c>
      <c r="F16" s="50">
        <f t="shared" si="0"/>
        <v>0</v>
      </c>
      <c r="G16" s="50">
        <f t="shared" si="1"/>
        <v>0</v>
      </c>
    </row>
    <row r="17" spans="1:7" x14ac:dyDescent="0.2">
      <c r="A17" s="51" t="s">
        <v>374</v>
      </c>
      <c r="B17" s="51" t="s">
        <v>39</v>
      </c>
      <c r="C17" s="51" t="s">
        <v>398</v>
      </c>
      <c r="D17" s="62">
        <f>objecturen14_1</f>
        <v>0</v>
      </c>
      <c r="E17" s="55">
        <f>objectprijs14_1</f>
        <v>0</v>
      </c>
      <c r="F17" s="55">
        <f t="shared" si="0"/>
        <v>0</v>
      </c>
      <c r="G17" s="55">
        <f t="shared" si="1"/>
        <v>0</v>
      </c>
    </row>
    <row r="19" spans="1:7" x14ac:dyDescent="0.2">
      <c r="A19" s="65" t="s">
        <v>404</v>
      </c>
      <c r="B19" s="66"/>
      <c r="C19" s="66"/>
      <c r="D19" s="67">
        <f>SUM(D4:D17)</f>
        <v>0</v>
      </c>
      <c r="E19" s="68">
        <f>SUM(E4:E17)</f>
        <v>0</v>
      </c>
      <c r="F19" s="68">
        <f>SUM(F4:F17)</f>
        <v>0</v>
      </c>
      <c r="G19" s="68">
        <f>SUM(G4:G17)</f>
        <v>0</v>
      </c>
    </row>
  </sheetData>
  <sheetProtection algorithmName="SHA-512" hashValue="3Il4gGaSRzSK1YM6/336kJIlQMBLiMyFP5kkY5nuR3IlFdWI5UL5cihOg+XUFgcMo3UoAYDXEP8IB6BgYaS3iw==" saltValue="mgkMuQhMUweo6Cmx2NzHq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&amp;LStichting Kopwerk                                           &amp;ROpmaakdatum: 27-08-2025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432</vt:i4>
      </vt:variant>
    </vt:vector>
  </HeadingPairs>
  <TitlesOfParts>
    <vt:vector size="448" baseType="lpstr">
      <vt:lpstr>Omreken</vt:lpstr>
      <vt:lpstr>Tariefopbouw</vt:lpstr>
      <vt:lpstr>Categorienormen</vt:lpstr>
      <vt:lpstr>Regulier werk</vt:lpstr>
      <vt:lpstr>Ruimten werkdag</vt:lpstr>
      <vt:lpstr>Ruimtesn werkdag vakantie</vt:lpstr>
      <vt:lpstr>Kostenplaatsinfo</vt:lpstr>
      <vt:lpstr>Kostenplaatsen</vt:lpstr>
      <vt:lpstr>Totaalblad Kostenplaatsen</vt:lpstr>
      <vt:lpstr>Additioneel werk</vt:lpstr>
      <vt:lpstr>Additioneel werk per kp-loc</vt:lpstr>
      <vt:lpstr>Afroep</vt:lpstr>
      <vt:lpstr>Afroep incidenteel</vt:lpstr>
      <vt:lpstr>Regiewerk</vt:lpstr>
      <vt:lpstr>Glas</vt:lpstr>
      <vt:lpstr>Totaal</vt:lpstr>
      <vt:lpstr>'Additioneel werk'!Afdruktitels</vt:lpstr>
      <vt:lpstr>'Additioneel werk per kp-loc'!Afdruktitels</vt:lpstr>
      <vt:lpstr>Afroep!Afdruktitels</vt:lpstr>
      <vt:lpstr>'Afroep incidenteel'!Afdruktitels</vt:lpstr>
      <vt:lpstr>Categorienormen!Afdruktitels</vt:lpstr>
      <vt:lpstr>Glas!Afdruktitels</vt:lpstr>
      <vt:lpstr>Kostenplaatsen!Afdruktitels</vt:lpstr>
      <vt:lpstr>Kostenplaatsinfo!Afdruktitels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Kostenplaatsen'!Afdruktitels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catdw_1_LHB_1</vt:lpstr>
      <vt:lpstr>catdw_1_LHV_40</vt:lpstr>
      <vt:lpstr>catdw_1_LZB_1</vt:lpstr>
      <vt:lpstr>catdw_1_LZV_40</vt:lpstr>
      <vt:lpstr>catdw_1_PHB_1</vt:lpstr>
      <vt:lpstr>catdw_1_PHV_40</vt:lpstr>
      <vt:lpstr>catdw_1_PMHB_1</vt:lpstr>
      <vt:lpstr>catdw_1_PMHV_40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catdw_1_VZB_1</vt:lpstr>
      <vt:lpstr>catdw_1_VZV_40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catfd_1_LHB_1</vt:lpstr>
      <vt:lpstr>catfd_1_LHV_40</vt:lpstr>
      <vt:lpstr>catfd_1_LZB_1</vt:lpstr>
      <vt:lpstr>catfd_1_LZV_40</vt:lpstr>
      <vt:lpstr>catfd_1_PHB_1</vt:lpstr>
      <vt:lpstr>catfd_1_PHV_40</vt:lpstr>
      <vt:lpstr>catfd_1_PMHB_1</vt:lpstr>
      <vt:lpstr>catfd_1_PMHV_40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catfd_1_VZB_1</vt:lpstr>
      <vt:lpstr>catfd_1_VZV_40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catpn_1_LHB_1</vt:lpstr>
      <vt:lpstr>catpn_1_LHV_40</vt:lpstr>
      <vt:lpstr>catpn_1_LZB_1</vt:lpstr>
      <vt:lpstr>catpn_1_LZV_40</vt:lpstr>
      <vt:lpstr>catpn_1_PHB_1</vt:lpstr>
      <vt:lpstr>catpn_1_PHV_40</vt:lpstr>
      <vt:lpstr>catpn_1_PMHB_1</vt:lpstr>
      <vt:lpstr>catpn_1_PMHV_40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catpn_1_VZB_1</vt:lpstr>
      <vt:lpstr>catpn_1_VZV_40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cattf_1_LHB_1</vt:lpstr>
      <vt:lpstr>cattf_1_LHV_40</vt:lpstr>
      <vt:lpstr>cattf_1_LZB_1</vt:lpstr>
      <vt:lpstr>cattf_1_LZV_40</vt:lpstr>
      <vt:lpstr>cattf_1_PHB_1</vt:lpstr>
      <vt:lpstr>cattf_1_PHV_40</vt:lpstr>
      <vt:lpstr>cattf_1_PMHB_1</vt:lpstr>
      <vt:lpstr>cattf_1_PMHV_40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cattf_1_VZB_1</vt:lpstr>
      <vt:lpstr>cattf_1_VZV_40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object10_opptabel1</vt:lpstr>
      <vt:lpstr>object11_gemuurtarief1</vt:lpstr>
      <vt:lpstr>object11_opptabel1</vt:lpstr>
      <vt:lpstr>object11_prijsdag1</vt:lpstr>
      <vt:lpstr>object11_prijsjaar1</vt:lpstr>
      <vt:lpstr>object11_urendag1</vt:lpstr>
      <vt:lpstr>object11_urenjaar1</vt:lpstr>
      <vt:lpstr>object12_opptabel1</vt:lpstr>
      <vt:lpstr>object13_gemuurtarief1</vt:lpstr>
      <vt:lpstr>object13_opptabel1</vt:lpstr>
      <vt:lpstr>object13_prijsdag1</vt:lpstr>
      <vt:lpstr>object13_prijsjaar1</vt:lpstr>
      <vt:lpstr>object13_urendag1</vt:lpstr>
      <vt:lpstr>object13_urenjaar1</vt:lpstr>
      <vt:lpstr>object14_gemuurtarief1</vt:lpstr>
      <vt:lpstr>object14_opptabel1</vt:lpstr>
      <vt:lpstr>object14_prijsdag1</vt:lpstr>
      <vt:lpstr>object14_prijsjaar1</vt:lpstr>
      <vt:lpstr>object14_urendag1</vt:lpstr>
      <vt:lpstr>object14_urenjaar1</vt:lpstr>
      <vt:lpstr>object2_gemuurtarief1</vt:lpstr>
      <vt:lpstr>object2_opptabel1</vt:lpstr>
      <vt:lpstr>object2_prijsdag1</vt:lpstr>
      <vt:lpstr>object2_prijsjaar1</vt:lpstr>
      <vt:lpstr>object2_urendag1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object4_urenjaar1</vt:lpstr>
      <vt:lpstr>object5_gemuurtarief1</vt:lpstr>
      <vt:lpstr>object5_opptabel1</vt:lpstr>
      <vt:lpstr>object5_prijsdag1</vt:lpstr>
      <vt:lpstr>object5_prijsjaar1</vt:lpstr>
      <vt:lpstr>object5_urendag1</vt:lpstr>
      <vt:lpstr>object5_urenjaar1</vt:lpstr>
      <vt:lpstr>object6_gemuurtarief1</vt:lpstr>
      <vt:lpstr>object6_opptabel1</vt:lpstr>
      <vt:lpstr>object6_prijsdag1</vt:lpstr>
      <vt:lpstr>object6_prijsjaar1</vt:lpstr>
      <vt:lpstr>object6_urendag1</vt:lpstr>
      <vt:lpstr>object6_urenjaar1</vt:lpstr>
      <vt:lpstr>object7_gemuurtarief1</vt:lpstr>
      <vt:lpstr>object7_opptabel1</vt:lpstr>
      <vt:lpstr>object7_prijsdag1</vt:lpstr>
      <vt:lpstr>object7_prijsjaar1</vt:lpstr>
      <vt:lpstr>object7_urendag1</vt:lpstr>
      <vt:lpstr>object7_urenjaar1</vt:lpstr>
      <vt:lpstr>object8_opptabel1</vt:lpstr>
      <vt:lpstr>object9_gemuurtarief1</vt:lpstr>
      <vt:lpstr>object9_opptabel1</vt:lpstr>
      <vt:lpstr>object9_prijsdag1</vt:lpstr>
      <vt:lpstr>object9_prijsjaar1</vt:lpstr>
      <vt:lpstr>object9_urendag1</vt:lpstr>
      <vt:lpstr>object9_urenjaar1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objectprijs2_1</vt:lpstr>
      <vt:lpstr>objectprijs3_1</vt:lpstr>
      <vt:lpstr>objectprijs4_1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objecturen2_1</vt:lpstr>
      <vt:lpstr>objecturen3_1</vt:lpstr>
      <vt:lpstr>objecturen4_1</vt:lpstr>
      <vt:lpstr>objecturen5_1</vt:lpstr>
      <vt:lpstr>objecturen6_1</vt:lpstr>
      <vt:lpstr>objecturen7_1</vt:lpstr>
      <vt:lpstr>objecturen8_1</vt:lpstr>
      <vt:lpstr>objecturen9_1</vt:lpstr>
      <vt:lpstr>prijsdag1</vt:lpstr>
      <vt:lpstr>prijsjaar</vt:lpstr>
      <vt:lpstr>prijsjaar1</vt:lpstr>
      <vt:lpstr>prijsjaaradditioneel</vt:lpstr>
      <vt:lpstr>prijsjaaradditioneel1</vt:lpstr>
      <vt:lpstr>prijsjaarafroep</vt:lpstr>
      <vt:lpstr>prijsjaarafroep1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vp_afroep</vt:lpstr>
      <vt:lpstr>vp_glas</vt:lpstr>
      <vt:lpstr>vp_regie</vt:lpstr>
      <vt:lpstr>vp_variant</vt:lpstr>
      <vt:lpstr>vu_regulier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2025-08-27T09:16:05Z</dcterms:created>
  <dcterms:modified xsi:type="dcterms:W3CDTF">2025-08-27T11:49:15Z</dcterms:modified>
</cp:coreProperties>
</file>