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6_{2C037D1A-567A-4FBF-94B2-82DEB4C96B4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lad1" sheetId="1" r:id="rId1"/>
    <sheet name="Blad2" sheetId="2" state="hidden" r:id="rId2"/>
    <sheet name="Blad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47" i="1" l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Z49" i="1"/>
  <c r="AB49" i="1"/>
  <c r="AF49" i="1" l="1"/>
  <c r="AD49" i="1"/>
  <c r="W44" i="1"/>
  <c r="W42" i="1"/>
  <c r="L9" i="1"/>
  <c r="L44" i="1"/>
  <c r="W39" i="1"/>
  <c r="W40" i="1"/>
  <c r="W41" i="1"/>
  <c r="W43" i="1"/>
  <c r="W45" i="1"/>
  <c r="W46" i="1"/>
  <c r="W47" i="1"/>
  <c r="W37" i="1"/>
  <c r="W38" i="1"/>
  <c r="W31" i="1"/>
  <c r="W32" i="1"/>
  <c r="W33" i="1"/>
  <c r="W34" i="1"/>
  <c r="W36" i="1"/>
  <c r="W30" i="1"/>
  <c r="W27" i="1"/>
  <c r="L46" i="1"/>
  <c r="L45" i="1"/>
  <c r="L43" i="1"/>
  <c r="L41" i="1"/>
  <c r="L39" i="1"/>
  <c r="L38" i="1"/>
  <c r="L36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15" i="1"/>
  <c r="L12" i="1"/>
  <c r="L11" i="1"/>
  <c r="L40" i="1" l="1"/>
  <c r="S13" i="1"/>
  <c r="S9" i="1"/>
  <c r="H29" i="1"/>
  <c r="I29" i="1" s="1"/>
  <c r="H26" i="1"/>
  <c r="I26" i="1" s="1"/>
  <c r="H23" i="1"/>
  <c r="I23" i="1" s="1"/>
  <c r="H22" i="1"/>
  <c r="I22" i="1" s="1"/>
  <c r="H19" i="1"/>
  <c r="I19" i="1" s="1"/>
  <c r="H18" i="1"/>
  <c r="I18" i="1" s="1"/>
  <c r="H17" i="1"/>
  <c r="I17" i="1" s="1"/>
  <c r="H16" i="1"/>
  <c r="I16" i="1" s="1"/>
  <c r="H15" i="1"/>
  <c r="I15" i="1" s="1"/>
  <c r="H12" i="1"/>
  <c r="I12" i="1" s="1"/>
  <c r="H9" i="1"/>
  <c r="I9" i="1" s="1"/>
  <c r="T9" i="1" l="1"/>
  <c r="T13" i="1"/>
  <c r="F36" i="1" l="1"/>
  <c r="G36" i="1" s="1"/>
  <c r="H36" i="1" s="1"/>
  <c r="I36" i="1" s="1"/>
  <c r="F38" i="1"/>
  <c r="G38" i="1" s="1"/>
  <c r="H38" i="1" s="1"/>
  <c r="I38" i="1" s="1"/>
  <c r="F39" i="1"/>
  <c r="G39" i="1" s="1"/>
  <c r="H39" i="1" s="1"/>
  <c r="I39" i="1" s="1"/>
  <c r="F29" i="1"/>
  <c r="F13" i="1"/>
  <c r="F9" i="1"/>
  <c r="G40" i="1" l="1"/>
  <c r="F40" i="1"/>
  <c r="P36" i="1"/>
  <c r="Q36" i="1" s="1"/>
  <c r="R36" i="1" s="1"/>
  <c r="S36" i="1" s="1"/>
  <c r="T36" i="1" s="1"/>
  <c r="P38" i="1"/>
  <c r="Q38" i="1" s="1"/>
  <c r="R38" i="1" s="1"/>
  <c r="S38" i="1" s="1"/>
  <c r="T38" i="1" s="1"/>
  <c r="P39" i="1"/>
  <c r="Q39" i="1" s="1"/>
  <c r="R39" i="1" s="1"/>
  <c r="S39" i="1" s="1"/>
  <c r="T39" i="1" s="1"/>
  <c r="P13" i="1"/>
  <c r="Q13" i="1" s="1"/>
  <c r="P9" i="1"/>
  <c r="Q9" i="1" l="1"/>
  <c r="Q40" i="1" s="1"/>
  <c r="H40" i="1"/>
  <c r="R40" i="1"/>
  <c r="O40" i="1"/>
  <c r="D40" i="1"/>
  <c r="C40" i="1"/>
  <c r="I40" i="1" l="1"/>
  <c r="S40" i="1"/>
  <c r="T40" i="1" l="1"/>
  <c r="U40" i="1"/>
</calcChain>
</file>

<file path=xl/sharedStrings.xml><?xml version="1.0" encoding="utf-8"?>
<sst xmlns="http://schemas.openxmlformats.org/spreadsheetml/2006/main" count="189" uniqueCount="89">
  <si>
    <t>PLAATS</t>
  </si>
  <si>
    <t>ADRES</t>
  </si>
  <si>
    <t>per 18.02.2010</t>
  </si>
  <si>
    <t>verzekerde waarde</t>
  </si>
  <si>
    <t>(na indexering)</t>
  </si>
  <si>
    <t>s-Hertogenbosch</t>
  </si>
  <si>
    <t>Opmerkingen</t>
  </si>
  <si>
    <t>Marathonloop 11</t>
  </si>
  <si>
    <t>Onderwijsboulevard 3</t>
  </si>
  <si>
    <t>Vlijmenseweg 2</t>
  </si>
  <si>
    <t>Geb. A/B/C/D/J/H/F</t>
  </si>
  <si>
    <t>Geb. G &amp; L</t>
  </si>
  <si>
    <t>Geb. I</t>
  </si>
  <si>
    <t>Geb. M</t>
  </si>
  <si>
    <t>Geb. T</t>
  </si>
  <si>
    <t>Geb. Z</t>
  </si>
  <si>
    <t>Terrein /infrastructuur</t>
  </si>
  <si>
    <t>GEBOUWEN</t>
  </si>
  <si>
    <t>INHOUD</t>
  </si>
  <si>
    <t>getax. waarde</t>
  </si>
  <si>
    <t>getax.waarde</t>
  </si>
  <si>
    <t>per 29.08.2013</t>
  </si>
  <si>
    <t>GEBOUWEN EN INHOUD ZONDER VASTE TAXATIE</t>
  </si>
  <si>
    <t>'s-Hertogenbosch</t>
  </si>
  <si>
    <t>Stadionlaan 53  BG</t>
  </si>
  <si>
    <t>Eigenaar</t>
  </si>
  <si>
    <t>Stg.Acc.Flik Flak</t>
  </si>
  <si>
    <t>BIM DB(KPL9654/9576)</t>
  </si>
  <si>
    <t>Rosmalen</t>
  </si>
  <si>
    <t>Mr. Vriensstraat 2</t>
  </si>
  <si>
    <t>Savantis, Waddinxveen</t>
  </si>
  <si>
    <t>per 31.12.2014</t>
  </si>
  <si>
    <t>per 01-04-2015</t>
  </si>
  <si>
    <t>per 01-04-2016</t>
  </si>
  <si>
    <t>taxtiedatum</t>
  </si>
  <si>
    <t xml:space="preserve">taxatie no. </t>
  </si>
  <si>
    <t>Lengkeek, 627210-1</t>
  </si>
  <si>
    <t>Lengkeek, 627210-2</t>
  </si>
  <si>
    <t>per 01-04-2017</t>
  </si>
  <si>
    <t>Lengkeek, 610776</t>
  </si>
  <si>
    <t>per 01-04-2018</t>
  </si>
  <si>
    <t>taxatie no.</t>
  </si>
  <si>
    <t>taxatiedatum</t>
  </si>
  <si>
    <t>per 01-04-2019</t>
  </si>
  <si>
    <t>Lengkeek, 4047764</t>
  </si>
  <si>
    <t>Den Bosch c.a.</t>
  </si>
  <si>
    <t xml:space="preserve"> </t>
  </si>
  <si>
    <t>per 01-04-2021</t>
  </si>
  <si>
    <t>Lengkeek 4049099-3</t>
  </si>
  <si>
    <t>Weidonklaan 100-100a</t>
  </si>
  <si>
    <t>computerapparatuur</t>
  </si>
  <si>
    <t>De Kleine Elst 11</t>
  </si>
  <si>
    <t>Lengkeek 4049099-9</t>
  </si>
  <si>
    <t xml:space="preserve">Jacob van Maerlantstraat 4 </t>
  </si>
  <si>
    <t>Lengkeek 4049099-7</t>
  </si>
  <si>
    <t>Lengkeek 4047379-1</t>
  </si>
  <si>
    <t>nieuwbouw</t>
  </si>
  <si>
    <t>Lengkeek 4064288</t>
  </si>
  <si>
    <t>Deze nieuwbouw is een uitbreiding en verbonden met de huidige locatie op de Onderwijsboulevard 3</t>
  </si>
  <si>
    <t>Weidonklaan 99</t>
  </si>
  <si>
    <t>Weidonklaan 99-100</t>
  </si>
  <si>
    <t>Geb X</t>
  </si>
  <si>
    <t>St. Regionaal Onderwijs Centrum Noordoost Brabant h.o.d.n. Koning Willem I College</t>
  </si>
  <si>
    <t>Veghel</t>
  </si>
  <si>
    <t>Oss</t>
  </si>
  <si>
    <t>Euterpelaan</t>
  </si>
  <si>
    <t>Muntelaar 10</t>
  </si>
  <si>
    <t>Muntelaar 11</t>
  </si>
  <si>
    <t>Cuijk</t>
  </si>
  <si>
    <t>VERZEKERDE WAARDE GEBOUWEN / INHOUD PER 1 januari 2023</t>
  </si>
  <si>
    <t>per 01-01-2023</t>
  </si>
  <si>
    <t>Jan van Cuijkstraat 52</t>
  </si>
  <si>
    <t>Nelsnon Mandela Boulevard 4 en 6</t>
  </si>
  <si>
    <t>Huur paar klaslokalen</t>
  </si>
  <si>
    <t>Excl huurdersbelang, met btw, opgenomen in bedrijfsinventaris</t>
  </si>
  <si>
    <t>met btw</t>
  </si>
  <si>
    <t>Beversestraat 20</t>
  </si>
  <si>
    <t>Geb. E + S</t>
  </si>
  <si>
    <t>Geb. U</t>
  </si>
  <si>
    <t>Geb. P</t>
  </si>
  <si>
    <t>Geb. N + K</t>
  </si>
  <si>
    <t>Geb. Y</t>
  </si>
  <si>
    <t>Geb. R</t>
  </si>
  <si>
    <t xml:space="preserve">Waterpompen </t>
  </si>
  <si>
    <t>Niet op vaste taxatie</t>
  </si>
  <si>
    <t>per 01-01-2024</t>
  </si>
  <si>
    <t>Noordkade</t>
  </si>
  <si>
    <t>Totaal</t>
  </si>
  <si>
    <t>per 01-01-2025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</si>
</sst>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#,##0.0"/>
    <numFmt numFmtId="165" formatCode="_ &quot;€&quot;\ * #,###.00_ ;_ &quot;€&quot;\ * \-#,###.00_ ;_ &quot;€&quot;\ * &quot;-&quot;??_ ;_ @_ "/>
    <numFmt numFmtId="166" formatCode="&quot;€&quot;\ #,##0.00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4" fontId="6" fillId="0" borderId="0" applyFont="0" applyFill="0" applyBorder="0" applyAlignment="0" applyProtection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8" fillId="0" borderId="0"/>
    <xf numFmtId="44" fontId="6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164" fontId="0" fillId="0" borderId="0" xfId="0" applyNumberFormat="1"/>
    <xf numFmtId="0" fontId="3" fillId="0" borderId="0" xfId="0" applyFont="1"/>
    <xf numFmtId="3" fontId="3" fillId="0" borderId="1" xfId="0" applyNumberFormat="1" applyFont="1" applyBorder="1"/>
    <xf numFmtId="0" fontId="4" fillId="0" borderId="0" xfId="0" applyFont="1"/>
    <xf numFmtId="0" fontId="2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/>
    <xf numFmtId="0" fontId="3" fillId="0" borderId="0" xfId="0" applyFont="1" applyAlignment="1">
      <alignment horizontal="right"/>
    </xf>
    <xf numFmtId="4" fontId="3" fillId="0" borderId="1" xfId="0" applyNumberFormat="1" applyFont="1" applyBorder="1"/>
    <xf numFmtId="4" fontId="3" fillId="0" borderId="0" xfId="0" applyNumberFormat="1" applyFont="1"/>
    <xf numFmtId="0" fontId="0" fillId="4" borderId="0" xfId="0" applyFill="1"/>
    <xf numFmtId="14" fontId="0" fillId="0" borderId="2" xfId="0" applyNumberFormat="1" applyBorder="1"/>
    <xf numFmtId="165" fontId="0" fillId="0" borderId="2" xfId="0" applyNumberFormat="1" applyBorder="1"/>
    <xf numFmtId="166" fontId="0" fillId="0" borderId="2" xfId="0" applyNumberFormat="1" applyBorder="1"/>
    <xf numFmtId="166" fontId="0" fillId="0" borderId="2" xfId="0" quotePrefix="1" applyNumberFormat="1" applyBorder="1"/>
    <xf numFmtId="14" fontId="0" fillId="0" borderId="2" xfId="0" applyNumberFormat="1" applyBorder="1" applyAlignment="1">
      <alignment horizontal="right"/>
    </xf>
    <xf numFmtId="14" fontId="7" fillId="3" borderId="2" xfId="0" applyNumberFormat="1" applyFont="1" applyFill="1" applyBorder="1"/>
    <xf numFmtId="166" fontId="0" fillId="0" borderId="2" xfId="1" applyNumberFormat="1" applyFont="1" applyFill="1" applyBorder="1"/>
    <xf numFmtId="166" fontId="0" fillId="0" borderId="2" xfId="0" applyNumberFormat="1" applyBorder="1" applyAlignment="1">
      <alignment wrapText="1"/>
    </xf>
    <xf numFmtId="166" fontId="0" fillId="0" borderId="2" xfId="1" applyNumberFormat="1" applyFont="1" applyBorder="1"/>
    <xf numFmtId="166" fontId="6" fillId="0" borderId="2" xfId="1" applyNumberFormat="1" applyFont="1" applyBorder="1"/>
    <xf numFmtId="166" fontId="3" fillId="0" borderId="2" xfId="0" applyNumberFormat="1" applyFont="1" applyBorder="1"/>
    <xf numFmtId="166" fontId="3" fillId="0" borderId="2" xfId="1" applyNumberFormat="1" applyFont="1" applyBorder="1"/>
    <xf numFmtId="166" fontId="0" fillId="2" borderId="2" xfId="1" applyNumberFormat="1" applyFont="1" applyFill="1" applyBorder="1"/>
    <xf numFmtId="14" fontId="3" fillId="0" borderId="2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3" fillId="0" borderId="2" xfId="0" applyNumberFormat="1" applyFont="1" applyBorder="1"/>
    <xf numFmtId="166" fontId="3" fillId="0" borderId="0" xfId="0" applyNumberFormat="1" applyFont="1"/>
    <xf numFmtId="165" fontId="3" fillId="0" borderId="2" xfId="0" applyNumberFormat="1" applyFont="1" applyBorder="1"/>
    <xf numFmtId="165" fontId="0" fillId="0" borderId="2" xfId="0" applyNumberFormat="1" applyBorder="1" applyAlignment="1">
      <alignment horizontal="right"/>
    </xf>
    <xf numFmtId="0" fontId="0" fillId="5" borderId="0" xfId="0" applyFill="1"/>
  </cellXfs>
  <cellStyles count="11">
    <cellStyle name="Currency 2" xfId="7" xr:uid="{E9522BD9-D106-4005-9A89-04FD0E74684F}"/>
    <cellStyle name="Currency 3" xfId="5" xr:uid="{ECA65754-F9BE-409D-B21D-34C056B4C18C}"/>
    <cellStyle name="Currency 4" xfId="10" xr:uid="{BEBD4188-EA84-45AE-ABA1-DE739CFFD6D1}"/>
    <cellStyle name="Komma 2" xfId="4" xr:uid="{5D4528B3-A44C-40BC-9F03-E1AA14331EBE}"/>
    <cellStyle name="Komma 2 2" xfId="6" xr:uid="{E5137068-924E-455E-9828-099E59635D15}"/>
    <cellStyle name="Normal 2" xfId="9" xr:uid="{7F47484B-C9CE-4200-8EB0-ECDAE525C2A1}"/>
    <cellStyle name="Normal 3" xfId="8" xr:uid="{3F4DFDBE-74BD-4193-BE14-35CFB20C7BAC}"/>
    <cellStyle name="Normal 4" xfId="3" xr:uid="{02D92229-19A3-488E-912C-030150128DEA}"/>
    <cellStyle name="Normal 5" xfId="2" xr:uid="{E40475B0-ED42-42C0-962B-BC38C4C03391}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51"/>
  <sheetViews>
    <sheetView tabSelected="1" zoomScale="90" zoomScaleNormal="90" workbookViewId="0">
      <selection activeCell="A39" sqref="A39:XFD39"/>
    </sheetView>
  </sheetViews>
  <sheetFormatPr defaultRowHeight="12.5" x14ac:dyDescent="0.25"/>
  <cols>
    <col min="1" max="1" width="32.26953125" customWidth="1"/>
    <col min="2" max="2" width="27.54296875" bestFit="1" customWidth="1"/>
    <col min="3" max="3" width="13.453125" hidden="1" customWidth="1"/>
    <col min="4" max="9" width="16.81640625" hidden="1" customWidth="1"/>
    <col min="10" max="11" width="16.453125" hidden="1" customWidth="1"/>
    <col min="12" max="12" width="16.81640625" hidden="1" customWidth="1"/>
    <col min="13" max="13" width="18.1796875" hidden="1" customWidth="1"/>
    <col min="14" max="14" width="13.1796875" hidden="1" customWidth="1"/>
    <col min="15" max="20" width="14.81640625" hidden="1" customWidth="1"/>
    <col min="21" max="22" width="15.54296875" hidden="1" customWidth="1"/>
    <col min="23" max="23" width="16" hidden="1" customWidth="1"/>
    <col min="24" max="24" width="18" hidden="1" customWidth="1"/>
    <col min="25" max="25" width="14.81640625" hidden="1" customWidth="1"/>
    <col min="26" max="26" width="20.26953125" customWidth="1"/>
    <col min="27" max="29" width="17.81640625" customWidth="1"/>
    <col min="30" max="30" width="17.453125" customWidth="1"/>
    <col min="31" max="33" width="17.81640625" customWidth="1"/>
    <col min="34" max="34" width="68" bestFit="1" customWidth="1"/>
  </cols>
  <sheetData>
    <row r="1" spans="1:72" ht="15.5" x14ac:dyDescent="0.35">
      <c r="A1" s="6" t="s">
        <v>62</v>
      </c>
    </row>
    <row r="2" spans="1:72" s="1" customFormat="1" ht="15.5" x14ac:dyDescent="0.35">
      <c r="A2" s="7" t="s">
        <v>69</v>
      </c>
      <c r="G2" s="5">
        <v>108</v>
      </c>
      <c r="H2" s="5">
        <v>112</v>
      </c>
      <c r="R2" s="5">
        <v>137</v>
      </c>
      <c r="S2" s="5">
        <v>143</v>
      </c>
    </row>
    <row r="3" spans="1:72" s="1" customFormat="1" ht="15.5" hidden="1" x14ac:dyDescent="0.35">
      <c r="G3" s="5"/>
      <c r="H3" s="5"/>
      <c r="I3" s="5">
        <v>114</v>
      </c>
      <c r="J3" s="5"/>
      <c r="K3" s="5"/>
      <c r="L3" s="5"/>
      <c r="R3" s="5"/>
      <c r="S3" s="5"/>
      <c r="T3" s="5">
        <v>148</v>
      </c>
      <c r="U3" s="5"/>
      <c r="V3" s="5"/>
      <c r="W3" s="5"/>
      <c r="Z3" s="1">
        <v>128.4</v>
      </c>
      <c r="AB3" s="1">
        <v>124.4</v>
      </c>
      <c r="AD3" s="1">
        <v>133.4</v>
      </c>
      <c r="AF3" s="1">
        <v>129.6</v>
      </c>
    </row>
    <row r="4" spans="1:72" ht="13" x14ac:dyDescent="0.3">
      <c r="A4" s="8"/>
      <c r="B4" s="8"/>
      <c r="C4" s="9" t="s">
        <v>17</v>
      </c>
      <c r="D4" s="9" t="s">
        <v>17</v>
      </c>
      <c r="E4" s="9" t="s">
        <v>17</v>
      </c>
      <c r="F4" s="9" t="s">
        <v>17</v>
      </c>
      <c r="G4" s="9" t="s">
        <v>17</v>
      </c>
      <c r="H4" s="9" t="s">
        <v>17</v>
      </c>
      <c r="I4" s="9" t="s">
        <v>17</v>
      </c>
      <c r="J4" s="9" t="s">
        <v>17</v>
      </c>
      <c r="K4" s="9" t="s">
        <v>17</v>
      </c>
      <c r="L4" s="9" t="s">
        <v>17</v>
      </c>
      <c r="M4" s="9" t="s">
        <v>41</v>
      </c>
      <c r="N4" s="9" t="s">
        <v>42</v>
      </c>
      <c r="O4" s="9" t="s">
        <v>18</v>
      </c>
      <c r="P4" s="9" t="s">
        <v>18</v>
      </c>
      <c r="Q4" s="9" t="s">
        <v>18</v>
      </c>
      <c r="R4" s="9" t="s">
        <v>18</v>
      </c>
      <c r="S4" s="9" t="s">
        <v>18</v>
      </c>
      <c r="T4" s="9" t="s">
        <v>18</v>
      </c>
      <c r="U4" s="9" t="s">
        <v>18</v>
      </c>
      <c r="V4" s="9" t="s">
        <v>18</v>
      </c>
      <c r="W4" s="9" t="s">
        <v>18</v>
      </c>
      <c r="X4" s="9" t="s">
        <v>35</v>
      </c>
      <c r="Y4" s="29" t="s">
        <v>34</v>
      </c>
      <c r="Z4" s="9" t="s">
        <v>17</v>
      </c>
      <c r="AA4" s="9" t="s">
        <v>42</v>
      </c>
      <c r="AB4" s="9" t="s">
        <v>18</v>
      </c>
      <c r="AC4" s="9" t="s">
        <v>42</v>
      </c>
      <c r="AD4" s="9" t="s">
        <v>17</v>
      </c>
      <c r="AE4" s="9" t="s">
        <v>42</v>
      </c>
      <c r="AF4" s="9" t="s">
        <v>18</v>
      </c>
      <c r="AG4" s="9" t="s">
        <v>42</v>
      </c>
      <c r="AH4" s="8"/>
    </row>
    <row r="5" spans="1:72" x14ac:dyDescent="0.25">
      <c r="A5" s="8" t="s">
        <v>0</v>
      </c>
      <c r="B5" s="8" t="s">
        <v>1</v>
      </c>
      <c r="C5" s="8" t="s">
        <v>19</v>
      </c>
      <c r="D5" s="8" t="s">
        <v>3</v>
      </c>
      <c r="E5" s="8" t="s">
        <v>3</v>
      </c>
      <c r="F5" s="8" t="s">
        <v>3</v>
      </c>
      <c r="G5" s="8" t="s">
        <v>3</v>
      </c>
      <c r="H5" s="8" t="s">
        <v>3</v>
      </c>
      <c r="I5" s="8" t="s">
        <v>3</v>
      </c>
      <c r="J5" s="8" t="s">
        <v>3</v>
      </c>
      <c r="K5" s="8" t="s">
        <v>3</v>
      </c>
      <c r="L5" s="8" t="s">
        <v>3</v>
      </c>
      <c r="M5" s="8"/>
      <c r="N5" s="16"/>
      <c r="O5" s="10" t="s">
        <v>20</v>
      </c>
      <c r="P5" s="10" t="s">
        <v>20</v>
      </c>
      <c r="Q5" s="10" t="s">
        <v>20</v>
      </c>
      <c r="R5" s="10" t="s">
        <v>20</v>
      </c>
      <c r="S5" s="10" t="s">
        <v>20</v>
      </c>
      <c r="T5" s="10" t="s">
        <v>20</v>
      </c>
      <c r="U5" s="10" t="s">
        <v>20</v>
      </c>
      <c r="V5" s="10" t="s">
        <v>20</v>
      </c>
      <c r="W5" s="10" t="s">
        <v>20</v>
      </c>
      <c r="X5" s="10"/>
      <c r="Y5" s="30"/>
      <c r="Z5" s="8" t="s">
        <v>3</v>
      </c>
      <c r="AA5" s="16"/>
      <c r="AB5" s="10" t="s">
        <v>20</v>
      </c>
      <c r="AC5" s="16"/>
      <c r="AD5" s="8" t="s">
        <v>3</v>
      </c>
      <c r="AE5" s="16"/>
      <c r="AF5" s="10" t="s">
        <v>20</v>
      </c>
      <c r="AG5" s="16"/>
      <c r="AH5" s="8" t="s">
        <v>6</v>
      </c>
    </row>
    <row r="6" spans="1:72" x14ac:dyDescent="0.25">
      <c r="A6" s="8"/>
      <c r="B6" s="8"/>
      <c r="C6" s="8" t="s">
        <v>2</v>
      </c>
      <c r="D6" s="8" t="s">
        <v>31</v>
      </c>
      <c r="E6" s="8" t="s">
        <v>32</v>
      </c>
      <c r="F6" s="8" t="s">
        <v>33</v>
      </c>
      <c r="G6" s="8" t="s">
        <v>38</v>
      </c>
      <c r="H6" s="8" t="s">
        <v>40</v>
      </c>
      <c r="I6" s="8" t="s">
        <v>43</v>
      </c>
      <c r="J6" s="8" t="s">
        <v>47</v>
      </c>
      <c r="K6" s="8" t="s">
        <v>70</v>
      </c>
      <c r="L6" s="8" t="s">
        <v>70</v>
      </c>
      <c r="M6" s="8"/>
      <c r="N6" s="16"/>
      <c r="O6" s="10" t="s">
        <v>21</v>
      </c>
      <c r="P6" s="10" t="s">
        <v>32</v>
      </c>
      <c r="Q6" s="10" t="s">
        <v>33</v>
      </c>
      <c r="R6" s="10" t="s">
        <v>38</v>
      </c>
      <c r="S6" s="10" t="s">
        <v>40</v>
      </c>
      <c r="T6" s="10" t="s">
        <v>43</v>
      </c>
      <c r="U6" s="10" t="s">
        <v>47</v>
      </c>
      <c r="V6" s="10" t="s">
        <v>70</v>
      </c>
      <c r="W6" s="10" t="s">
        <v>70</v>
      </c>
      <c r="X6" s="10"/>
      <c r="Y6" s="30"/>
      <c r="Z6" s="8" t="s">
        <v>85</v>
      </c>
      <c r="AA6" s="16"/>
      <c r="AB6" s="8" t="s">
        <v>85</v>
      </c>
      <c r="AC6" s="16"/>
      <c r="AD6" s="8" t="s">
        <v>88</v>
      </c>
      <c r="AE6" s="16"/>
      <c r="AF6" s="8" t="s">
        <v>88</v>
      </c>
      <c r="AG6" s="16"/>
      <c r="AH6" s="8" t="s">
        <v>25</v>
      </c>
    </row>
    <row r="7" spans="1:72" hidden="1" x14ac:dyDescent="0.25">
      <c r="A7" s="8"/>
      <c r="B7" s="8"/>
      <c r="C7" s="8"/>
      <c r="D7" s="8" t="s">
        <v>4</v>
      </c>
      <c r="E7" s="8" t="s">
        <v>4</v>
      </c>
      <c r="F7" s="8" t="s">
        <v>4</v>
      </c>
      <c r="G7" s="8" t="s">
        <v>4</v>
      </c>
      <c r="H7" s="8" t="s">
        <v>4</v>
      </c>
      <c r="I7" s="8" t="s">
        <v>4</v>
      </c>
      <c r="J7" s="8" t="s">
        <v>4</v>
      </c>
      <c r="K7" s="8" t="s">
        <v>4</v>
      </c>
      <c r="L7" s="8" t="s">
        <v>4</v>
      </c>
      <c r="M7" s="8"/>
      <c r="N7" s="16"/>
      <c r="O7" s="10"/>
      <c r="P7" s="10" t="s">
        <v>4</v>
      </c>
      <c r="Q7" s="10" t="s">
        <v>4</v>
      </c>
      <c r="R7" s="10" t="s">
        <v>4</v>
      </c>
      <c r="S7" s="10" t="s">
        <v>4</v>
      </c>
      <c r="T7" s="10" t="s">
        <v>4</v>
      </c>
      <c r="U7" s="10" t="s">
        <v>4</v>
      </c>
      <c r="V7" s="10" t="s">
        <v>4</v>
      </c>
      <c r="W7" s="10" t="s">
        <v>4</v>
      </c>
      <c r="X7" s="10"/>
      <c r="Y7" s="30"/>
      <c r="Z7" s="10"/>
      <c r="AA7" s="30"/>
      <c r="AB7" s="10"/>
      <c r="AC7" s="30"/>
      <c r="AD7" s="30"/>
      <c r="AE7" s="30"/>
      <c r="AF7" s="30"/>
      <c r="AG7" s="30"/>
      <c r="AH7" s="8"/>
    </row>
    <row r="8" spans="1:72" x14ac:dyDescent="0.25">
      <c r="A8" s="8"/>
      <c r="B8" s="8"/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16"/>
      <c r="O8" s="8"/>
      <c r="P8" s="8"/>
      <c r="Q8" s="8"/>
      <c r="R8" s="8"/>
      <c r="S8" s="8"/>
      <c r="T8" s="8"/>
      <c r="U8" s="8"/>
      <c r="V8" s="8"/>
      <c r="W8" s="8"/>
      <c r="X8" s="8"/>
      <c r="Y8" s="16"/>
      <c r="Z8" s="8"/>
      <c r="AA8" s="16"/>
      <c r="AB8" s="8"/>
      <c r="AC8" s="16"/>
      <c r="AD8" s="16"/>
      <c r="AE8" s="16"/>
      <c r="AF8" s="16"/>
      <c r="AG8" s="16"/>
      <c r="AH8" s="8"/>
    </row>
    <row r="9" spans="1:72" s="15" customFormat="1" x14ac:dyDescent="0.25">
      <c r="A9" s="19" t="s">
        <v>5</v>
      </c>
      <c r="B9" s="18" t="s">
        <v>8</v>
      </c>
      <c r="C9" s="18">
        <v>32500000</v>
      </c>
      <c r="D9" s="18">
        <v>34324000</v>
      </c>
      <c r="E9" s="18">
        <v>36323456</v>
      </c>
      <c r="F9" s="18">
        <f>E9*106/104</f>
        <v>37021984</v>
      </c>
      <c r="G9" s="18">
        <v>33813100</v>
      </c>
      <c r="H9" s="18">
        <f>CEILING(((G9/$G$2)*$H$2),100)</f>
        <v>35065500</v>
      </c>
      <c r="I9" s="18">
        <f>CEILING(((H9/$H$2)*$I$3),100)</f>
        <v>35691700</v>
      </c>
      <c r="J9" s="18">
        <v>37429700</v>
      </c>
      <c r="K9" s="22">
        <v>64575000</v>
      </c>
      <c r="L9" s="22">
        <f>ROUNDUP(K9*124/116.6,-3)</f>
        <v>68674000</v>
      </c>
      <c r="M9" s="18" t="s">
        <v>39</v>
      </c>
      <c r="N9" s="16">
        <v>44756</v>
      </c>
      <c r="O9" s="18">
        <v>19056000</v>
      </c>
      <c r="P9" s="18">
        <f>O9*146/145</f>
        <v>19187420.689655174</v>
      </c>
      <c r="Q9" s="18">
        <f>P9*141/146</f>
        <v>18530317.241379309</v>
      </c>
      <c r="R9" s="18">
        <v>22020000</v>
      </c>
      <c r="S9" s="18">
        <f>CEILING(((R9/$R$2)*$S$2),100)</f>
        <v>22984400</v>
      </c>
      <c r="T9" s="18">
        <f>CEILING(((S9/$S$2)*$T$3),100)</f>
        <v>23788100</v>
      </c>
      <c r="U9" s="18">
        <v>22341600</v>
      </c>
      <c r="V9" s="22">
        <v>23616000</v>
      </c>
      <c r="W9" s="22">
        <v>23396000</v>
      </c>
      <c r="X9" s="18" t="s">
        <v>37</v>
      </c>
      <c r="Y9" s="16">
        <v>43895</v>
      </c>
      <c r="Z9" s="17">
        <v>71111000</v>
      </c>
      <c r="AA9" s="16">
        <v>44756</v>
      </c>
      <c r="AB9" s="17">
        <v>23857000</v>
      </c>
      <c r="AC9" s="16">
        <v>43895</v>
      </c>
      <c r="AD9" s="17">
        <f>ROUNDUP(Z9/Z$3*AD$3,-3)</f>
        <v>73881000</v>
      </c>
      <c r="AE9" s="16">
        <v>44756</v>
      </c>
      <c r="AF9" s="17">
        <f>ROUNDUP(AB9/AB$3*AF$3,-3)</f>
        <v>24855000</v>
      </c>
      <c r="AG9" s="16">
        <v>43895</v>
      </c>
      <c r="AH9" s="22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</row>
    <row r="10" spans="1:72" s="15" customFormat="1" x14ac:dyDescent="0.25">
      <c r="A10" s="19" t="s">
        <v>5</v>
      </c>
      <c r="B10" s="18" t="s">
        <v>8</v>
      </c>
      <c r="C10" s="18"/>
      <c r="D10" s="18"/>
      <c r="E10" s="18"/>
      <c r="F10" s="18"/>
      <c r="G10" s="18"/>
      <c r="H10" s="18"/>
      <c r="I10" s="18"/>
      <c r="J10" s="18"/>
      <c r="K10" s="22"/>
      <c r="L10" s="22"/>
      <c r="M10" s="18"/>
      <c r="N10" s="16"/>
      <c r="O10" s="18"/>
      <c r="P10" s="18"/>
      <c r="Q10" s="18"/>
      <c r="R10" s="18"/>
      <c r="S10" s="18"/>
      <c r="T10" s="18"/>
      <c r="U10" s="18"/>
      <c r="V10" s="22"/>
      <c r="W10" s="22">
        <v>1101475</v>
      </c>
      <c r="X10" s="18"/>
      <c r="Y10" s="16">
        <v>43895</v>
      </c>
      <c r="Z10" s="17">
        <v>0</v>
      </c>
      <c r="AA10" s="16"/>
      <c r="AB10" s="17">
        <v>1124000</v>
      </c>
      <c r="AC10" s="16">
        <v>43895</v>
      </c>
      <c r="AD10" s="17">
        <f t="shared" ref="AD10:AF47" si="0">ROUNDUP(Z10/Z$3*AD$3,-3)</f>
        <v>0</v>
      </c>
      <c r="AE10" s="16"/>
      <c r="AF10" s="17">
        <f t="shared" si="0"/>
        <v>1171000</v>
      </c>
      <c r="AG10" s="16">
        <v>43895</v>
      </c>
      <c r="AH10" s="22" t="s">
        <v>84</v>
      </c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</row>
    <row r="11" spans="1:72" ht="25" x14ac:dyDescent="0.25">
      <c r="A11" s="19"/>
      <c r="B11" s="18" t="s">
        <v>56</v>
      </c>
      <c r="C11" s="18"/>
      <c r="D11" s="18"/>
      <c r="E11" s="18"/>
      <c r="F11" s="18"/>
      <c r="G11" s="18"/>
      <c r="H11" s="18"/>
      <c r="I11" s="18"/>
      <c r="J11" s="18">
        <v>23000000</v>
      </c>
      <c r="K11" s="22">
        <v>24342000</v>
      </c>
      <c r="L11" s="22">
        <f>ROUNDUP(K11*124/114.3,-3)</f>
        <v>26408000</v>
      </c>
      <c r="M11" s="18" t="s">
        <v>57</v>
      </c>
      <c r="N11" s="16">
        <v>44343</v>
      </c>
      <c r="O11" s="18"/>
      <c r="P11" s="18"/>
      <c r="Q11" s="18"/>
      <c r="R11" s="18"/>
      <c r="S11" s="18"/>
      <c r="T11" s="18"/>
      <c r="U11" s="18"/>
      <c r="V11" s="22"/>
      <c r="W11" s="22"/>
      <c r="X11" s="18"/>
      <c r="Y11" s="16"/>
      <c r="Z11" s="17">
        <v>27346000</v>
      </c>
      <c r="AA11" s="16">
        <v>44343</v>
      </c>
      <c r="AB11" s="17">
        <v>0</v>
      </c>
      <c r="AC11" s="16"/>
      <c r="AD11" s="17">
        <f t="shared" si="0"/>
        <v>28411000</v>
      </c>
      <c r="AE11" s="16">
        <v>44343</v>
      </c>
      <c r="AF11" s="17">
        <f t="shared" si="0"/>
        <v>0</v>
      </c>
      <c r="AG11" s="16">
        <v>44343</v>
      </c>
      <c r="AH11" s="23" t="s">
        <v>58</v>
      </c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</row>
    <row r="12" spans="1:72" x14ac:dyDescent="0.25">
      <c r="A12" s="19" t="s">
        <v>16</v>
      </c>
      <c r="B12" s="18"/>
      <c r="C12" s="18"/>
      <c r="D12" s="18"/>
      <c r="E12" s="18"/>
      <c r="F12" s="18"/>
      <c r="G12" s="18">
        <v>353300</v>
      </c>
      <c r="H12" s="18">
        <f>CEILING(((G12/$G$2)*$H$2),100)</f>
        <v>366400</v>
      </c>
      <c r="I12" s="18">
        <f>CEILING(((H12/$H$2)*$I$3),100)</f>
        <v>373000</v>
      </c>
      <c r="J12" s="18">
        <v>391300</v>
      </c>
      <c r="K12" s="22">
        <v>2450000</v>
      </c>
      <c r="L12" s="22">
        <f>ROUNDUP(K12*124/114.3,-3)</f>
        <v>2658000</v>
      </c>
      <c r="M12" s="18"/>
      <c r="N12" s="16"/>
      <c r="O12" s="18"/>
      <c r="P12" s="18"/>
      <c r="Q12" s="18"/>
      <c r="R12" s="18"/>
      <c r="S12" s="18"/>
      <c r="T12" s="18"/>
      <c r="U12" s="18" t="s">
        <v>46</v>
      </c>
      <c r="V12" s="22" t="s">
        <v>46</v>
      </c>
      <c r="W12" s="22" t="s">
        <v>46</v>
      </c>
      <c r="X12" s="18"/>
      <c r="Y12" s="16"/>
      <c r="Z12" s="17">
        <v>2753000</v>
      </c>
      <c r="AA12" s="16"/>
      <c r="AB12" s="17">
        <v>0</v>
      </c>
      <c r="AC12" s="16"/>
      <c r="AD12" s="17">
        <f t="shared" si="0"/>
        <v>2861000</v>
      </c>
      <c r="AE12" s="16"/>
      <c r="AF12" s="17">
        <f t="shared" si="0"/>
        <v>0</v>
      </c>
      <c r="AG12" s="16"/>
      <c r="AH12" s="18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</row>
    <row r="13" spans="1:72" s="15" customFormat="1" x14ac:dyDescent="0.25">
      <c r="A13" s="19" t="s">
        <v>5</v>
      </c>
      <c r="B13" s="18" t="s">
        <v>9</v>
      </c>
      <c r="C13" s="18"/>
      <c r="D13" s="18">
        <v>67489000</v>
      </c>
      <c r="E13" s="18">
        <v>71420398</v>
      </c>
      <c r="F13" s="18">
        <f>E13*106/104</f>
        <v>72793867.192307696</v>
      </c>
      <c r="G13" s="18"/>
      <c r="H13" s="18"/>
      <c r="I13" s="18"/>
      <c r="J13" s="18" t="s">
        <v>46</v>
      </c>
      <c r="K13" s="22"/>
      <c r="L13" s="22"/>
      <c r="M13" s="18" t="s">
        <v>39</v>
      </c>
      <c r="N13" s="16">
        <v>44756</v>
      </c>
      <c r="O13" s="18">
        <v>12318000</v>
      </c>
      <c r="P13" s="18">
        <f>O13*146/145</f>
        <v>12402951.72413793</v>
      </c>
      <c r="Q13" s="18">
        <f t="shared" ref="Q13" si="1">P13*141/146</f>
        <v>11978193.103448275</v>
      </c>
      <c r="R13" s="18">
        <v>13143000</v>
      </c>
      <c r="S13" s="18">
        <f>CEILING(((R13/$R$2)*$S$2),100)</f>
        <v>13718700</v>
      </c>
      <c r="T13" s="18">
        <f>CEILING(((S13/$S$2)*$T$3),100)</f>
        <v>14198400</v>
      </c>
      <c r="U13" s="18">
        <v>13335000</v>
      </c>
      <c r="V13" s="22">
        <v>14096000</v>
      </c>
      <c r="W13" s="22">
        <v>13606000</v>
      </c>
      <c r="X13" s="18" t="s">
        <v>36</v>
      </c>
      <c r="Y13" s="16">
        <v>43895</v>
      </c>
      <c r="Z13" s="17">
        <v>0</v>
      </c>
      <c r="AA13" s="16">
        <v>44756</v>
      </c>
      <c r="AB13" s="17">
        <v>20008590</v>
      </c>
      <c r="AC13" s="16">
        <v>45306</v>
      </c>
      <c r="AD13" s="17">
        <f t="shared" si="0"/>
        <v>0</v>
      </c>
      <c r="AE13" s="16">
        <v>44756</v>
      </c>
      <c r="AF13" s="17">
        <f t="shared" si="0"/>
        <v>20845000</v>
      </c>
      <c r="AG13" s="16">
        <v>45306</v>
      </c>
      <c r="AH13" s="22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</row>
    <row r="14" spans="1:72" s="15" customFormat="1" x14ac:dyDescent="0.25">
      <c r="A14" s="19" t="s">
        <v>5</v>
      </c>
      <c r="B14" s="18" t="s">
        <v>9</v>
      </c>
      <c r="C14" s="18"/>
      <c r="D14" s="18"/>
      <c r="E14" s="18"/>
      <c r="F14" s="18"/>
      <c r="G14" s="18"/>
      <c r="H14" s="18"/>
      <c r="I14" s="18"/>
      <c r="J14" s="18"/>
      <c r="K14" s="22"/>
      <c r="L14" s="22"/>
      <c r="M14" s="18"/>
      <c r="N14" s="16"/>
      <c r="O14" s="18"/>
      <c r="P14" s="18"/>
      <c r="Q14" s="18"/>
      <c r="R14" s="18"/>
      <c r="S14" s="18"/>
      <c r="T14" s="18"/>
      <c r="U14" s="18"/>
      <c r="V14" s="22"/>
      <c r="W14" s="22">
        <v>1154265</v>
      </c>
      <c r="X14" s="18"/>
      <c r="Y14" s="16">
        <v>43895</v>
      </c>
      <c r="Z14" s="17">
        <v>0</v>
      </c>
      <c r="AA14" s="16"/>
      <c r="AB14" s="17">
        <v>1601410</v>
      </c>
      <c r="AC14" s="16">
        <v>45306</v>
      </c>
      <c r="AD14" s="17">
        <f t="shared" si="0"/>
        <v>0</v>
      </c>
      <c r="AE14" s="16"/>
      <c r="AF14" s="17">
        <f t="shared" si="0"/>
        <v>1669000</v>
      </c>
      <c r="AG14" s="16">
        <v>45306</v>
      </c>
      <c r="AH14" s="22" t="s">
        <v>84</v>
      </c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</row>
    <row r="15" spans="1:72" x14ac:dyDescent="0.25">
      <c r="A15" s="18"/>
      <c r="B15" s="18" t="s">
        <v>10</v>
      </c>
      <c r="C15" s="18">
        <v>32500000</v>
      </c>
      <c r="D15" s="18"/>
      <c r="E15" s="18"/>
      <c r="F15" s="18"/>
      <c r="G15" s="18">
        <v>33470000</v>
      </c>
      <c r="H15" s="18">
        <f t="shared" ref="H15:H29" si="2">CEILING(((G15/$G$2)*$H$2),100)</f>
        <v>34709700</v>
      </c>
      <c r="I15" s="18">
        <f t="shared" ref="I15:I29" si="3">CEILING(((H15/$H$2)*$I$3),100)</f>
        <v>35329600</v>
      </c>
      <c r="J15" s="18">
        <v>37050000</v>
      </c>
      <c r="K15" s="24">
        <v>57375000</v>
      </c>
      <c r="L15" s="24">
        <f>ROUNDUP(K15*124/114.3,-3)</f>
        <v>62245000</v>
      </c>
      <c r="M15" s="18"/>
      <c r="N15" s="16"/>
      <c r="O15" s="18"/>
      <c r="P15" s="18"/>
      <c r="Q15" s="18"/>
      <c r="R15" s="18"/>
      <c r="S15" s="18"/>
      <c r="T15" s="18"/>
      <c r="U15" s="18"/>
      <c r="V15" s="24"/>
      <c r="W15" s="24"/>
      <c r="X15" s="18"/>
      <c r="Y15" s="16"/>
      <c r="Z15" s="17">
        <v>64454000</v>
      </c>
      <c r="AA15" s="16"/>
      <c r="AB15" s="17">
        <v>0</v>
      </c>
      <c r="AC15" s="16"/>
      <c r="AD15" s="17">
        <f t="shared" si="0"/>
        <v>66964000</v>
      </c>
      <c r="AE15" s="16"/>
      <c r="AF15" s="17">
        <f t="shared" si="0"/>
        <v>0</v>
      </c>
      <c r="AG15" s="16"/>
      <c r="AH15" s="18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</row>
    <row r="16" spans="1:72" x14ac:dyDescent="0.25">
      <c r="A16" s="18"/>
      <c r="B16" s="18" t="s">
        <v>77</v>
      </c>
      <c r="C16" s="18">
        <v>2600000</v>
      </c>
      <c r="D16" s="18"/>
      <c r="E16" s="18"/>
      <c r="F16" s="18"/>
      <c r="G16" s="18">
        <v>2745500</v>
      </c>
      <c r="H16" s="18">
        <f t="shared" si="2"/>
        <v>2847200</v>
      </c>
      <c r="I16" s="18">
        <f t="shared" si="3"/>
        <v>2898100</v>
      </c>
      <c r="J16" s="18">
        <v>3039300</v>
      </c>
      <c r="K16" s="24">
        <v>16900000</v>
      </c>
      <c r="L16" s="24">
        <f t="shared" ref="L16:L31" si="4">ROUNDUP(K16*124/114.3,-3)</f>
        <v>18335000</v>
      </c>
      <c r="M16" s="18"/>
      <c r="N16" s="16"/>
      <c r="O16" s="18"/>
      <c r="P16" s="18"/>
      <c r="Q16" s="18"/>
      <c r="R16" s="18"/>
      <c r="S16" s="18"/>
      <c r="T16" s="18"/>
      <c r="U16" s="18"/>
      <c r="V16" s="24"/>
      <c r="W16" s="24"/>
      <c r="X16" s="18"/>
      <c r="Y16" s="16"/>
      <c r="Z16" s="17">
        <v>18986000</v>
      </c>
      <c r="AA16" s="16"/>
      <c r="AB16" s="17">
        <v>0</v>
      </c>
      <c r="AC16" s="16"/>
      <c r="AD16" s="17">
        <f t="shared" si="0"/>
        <v>19726000</v>
      </c>
      <c r="AE16" s="16"/>
      <c r="AF16" s="17">
        <f t="shared" si="0"/>
        <v>0</v>
      </c>
      <c r="AG16" s="16"/>
      <c r="AH16" s="18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</row>
    <row r="17" spans="1:34" x14ac:dyDescent="0.25">
      <c r="A17" s="18"/>
      <c r="B17" s="18" t="s">
        <v>11</v>
      </c>
      <c r="C17" s="18">
        <v>4900000</v>
      </c>
      <c r="D17" s="18"/>
      <c r="E17" s="18"/>
      <c r="F17" s="18"/>
      <c r="G17" s="18">
        <v>5945100</v>
      </c>
      <c r="H17" s="18">
        <f t="shared" si="2"/>
        <v>6165300</v>
      </c>
      <c r="I17" s="18">
        <f t="shared" si="3"/>
        <v>6275400</v>
      </c>
      <c r="J17" s="18">
        <v>6581000</v>
      </c>
      <c r="K17" s="24">
        <v>9400000</v>
      </c>
      <c r="L17" s="24">
        <f t="shared" si="4"/>
        <v>10198000</v>
      </c>
      <c r="M17" s="18"/>
      <c r="N17" s="16"/>
      <c r="O17" s="18"/>
      <c r="P17" s="18"/>
      <c r="Q17" s="18"/>
      <c r="R17" s="18"/>
      <c r="S17" s="18"/>
      <c r="T17" s="18"/>
      <c r="U17" s="18"/>
      <c r="V17" s="24"/>
      <c r="W17" s="24"/>
      <c r="X17" s="18"/>
      <c r="Y17" s="16"/>
      <c r="Z17" s="17">
        <v>10560000</v>
      </c>
      <c r="AA17" s="16"/>
      <c r="AB17" s="17">
        <v>0</v>
      </c>
      <c r="AC17" s="16"/>
      <c r="AD17" s="17">
        <f t="shared" si="0"/>
        <v>10972000</v>
      </c>
      <c r="AE17" s="16"/>
      <c r="AF17" s="17">
        <f t="shared" si="0"/>
        <v>0</v>
      </c>
      <c r="AG17" s="16"/>
      <c r="AH17" s="18"/>
    </row>
    <row r="18" spans="1:34" x14ac:dyDescent="0.25">
      <c r="A18" s="18"/>
      <c r="B18" s="18" t="s">
        <v>12</v>
      </c>
      <c r="C18" s="18">
        <v>80000</v>
      </c>
      <c r="D18" s="18"/>
      <c r="E18" s="18"/>
      <c r="F18" s="18"/>
      <c r="G18" s="18">
        <v>85800</v>
      </c>
      <c r="H18" s="18">
        <f t="shared" si="2"/>
        <v>89000</v>
      </c>
      <c r="I18" s="18">
        <f t="shared" si="3"/>
        <v>90600</v>
      </c>
      <c r="J18" s="18">
        <v>95100</v>
      </c>
      <c r="K18" s="24">
        <v>100000</v>
      </c>
      <c r="L18" s="24">
        <f t="shared" si="4"/>
        <v>109000</v>
      </c>
      <c r="M18" s="18"/>
      <c r="N18" s="16"/>
      <c r="O18" s="18"/>
      <c r="P18" s="18"/>
      <c r="Q18" s="18"/>
      <c r="R18" s="18"/>
      <c r="S18" s="18"/>
      <c r="T18" s="18"/>
      <c r="U18" s="18"/>
      <c r="V18" s="24"/>
      <c r="W18" s="24"/>
      <c r="X18" s="18"/>
      <c r="Y18" s="16"/>
      <c r="Z18" s="17">
        <v>113000</v>
      </c>
      <c r="AA18" s="16"/>
      <c r="AB18" s="17">
        <v>0</v>
      </c>
      <c r="AC18" s="16"/>
      <c r="AD18" s="17">
        <f t="shared" si="0"/>
        <v>118000</v>
      </c>
      <c r="AE18" s="16"/>
      <c r="AF18" s="17">
        <f t="shared" si="0"/>
        <v>0</v>
      </c>
      <c r="AG18" s="16"/>
      <c r="AH18" s="18"/>
    </row>
    <row r="19" spans="1:34" x14ac:dyDescent="0.25">
      <c r="A19" s="18"/>
      <c r="B19" s="18" t="s">
        <v>13</v>
      </c>
      <c r="C19" s="18">
        <v>4500000</v>
      </c>
      <c r="D19" s="18"/>
      <c r="E19" s="18"/>
      <c r="F19" s="18"/>
      <c r="G19" s="18">
        <v>4643000</v>
      </c>
      <c r="H19" s="18">
        <f t="shared" si="2"/>
        <v>4815000</v>
      </c>
      <c r="I19" s="18">
        <f t="shared" si="3"/>
        <v>4901000</v>
      </c>
      <c r="J19" s="18">
        <v>5139700</v>
      </c>
      <c r="K19" s="24">
        <v>6950000</v>
      </c>
      <c r="L19" s="24">
        <f t="shared" si="4"/>
        <v>7540000</v>
      </c>
      <c r="M19" s="18"/>
      <c r="N19" s="16"/>
      <c r="O19" s="18"/>
      <c r="P19" s="18"/>
      <c r="Q19" s="18"/>
      <c r="R19" s="18"/>
      <c r="S19" s="18"/>
      <c r="T19" s="18"/>
      <c r="U19" s="18"/>
      <c r="V19" s="24"/>
      <c r="W19" s="24"/>
      <c r="X19" s="18"/>
      <c r="Y19" s="16"/>
      <c r="Z19" s="17">
        <v>7808000</v>
      </c>
      <c r="AA19" s="16"/>
      <c r="AB19" s="17">
        <v>0</v>
      </c>
      <c r="AC19" s="16"/>
      <c r="AD19" s="17">
        <f t="shared" si="0"/>
        <v>8113000</v>
      </c>
      <c r="AE19" s="16"/>
      <c r="AF19" s="17">
        <f t="shared" si="0"/>
        <v>0</v>
      </c>
      <c r="AG19" s="16"/>
      <c r="AH19" s="18"/>
    </row>
    <row r="20" spans="1:34" x14ac:dyDescent="0.25">
      <c r="A20" s="18"/>
      <c r="B20" s="18" t="s">
        <v>82</v>
      </c>
      <c r="C20" s="18"/>
      <c r="D20" s="18"/>
      <c r="E20" s="18"/>
      <c r="F20" s="18"/>
      <c r="G20" s="18"/>
      <c r="H20" s="18"/>
      <c r="I20" s="18"/>
      <c r="J20" s="18"/>
      <c r="K20" s="24">
        <v>100000</v>
      </c>
      <c r="L20" s="24">
        <f t="shared" si="4"/>
        <v>109000</v>
      </c>
      <c r="M20" s="18"/>
      <c r="N20" s="16"/>
      <c r="O20" s="18"/>
      <c r="P20" s="18"/>
      <c r="Q20" s="18"/>
      <c r="R20" s="18"/>
      <c r="S20" s="18"/>
      <c r="T20" s="18"/>
      <c r="U20" s="18"/>
      <c r="V20" s="24"/>
      <c r="W20" s="24"/>
      <c r="X20" s="18"/>
      <c r="Y20" s="16"/>
      <c r="Z20" s="17">
        <v>113000</v>
      </c>
      <c r="AA20" s="16"/>
      <c r="AB20" s="17">
        <v>0</v>
      </c>
      <c r="AC20" s="16"/>
      <c r="AD20" s="17">
        <f t="shared" si="0"/>
        <v>118000</v>
      </c>
      <c r="AE20" s="16"/>
      <c r="AF20" s="17">
        <f t="shared" si="0"/>
        <v>0</v>
      </c>
      <c r="AG20" s="16"/>
      <c r="AH20" s="18"/>
    </row>
    <row r="21" spans="1:34" x14ac:dyDescent="0.25">
      <c r="A21" s="18"/>
      <c r="B21" s="18" t="s">
        <v>79</v>
      </c>
      <c r="C21" s="18"/>
      <c r="D21" s="18"/>
      <c r="E21" s="18"/>
      <c r="F21" s="18"/>
      <c r="G21" s="18"/>
      <c r="H21" s="18"/>
      <c r="I21" s="18"/>
      <c r="J21" s="18"/>
      <c r="K21" s="24">
        <v>825000</v>
      </c>
      <c r="L21" s="24">
        <f t="shared" si="4"/>
        <v>896000</v>
      </c>
      <c r="M21" s="18"/>
      <c r="N21" s="16"/>
      <c r="O21" s="18"/>
      <c r="P21" s="18"/>
      <c r="Q21" s="18"/>
      <c r="R21" s="18"/>
      <c r="S21" s="18"/>
      <c r="T21" s="18"/>
      <c r="U21" s="18"/>
      <c r="V21" s="24"/>
      <c r="W21" s="24"/>
      <c r="X21" s="18"/>
      <c r="Y21" s="16"/>
      <c r="Z21" s="17">
        <v>928000</v>
      </c>
      <c r="AA21" s="16"/>
      <c r="AB21" s="17">
        <v>0</v>
      </c>
      <c r="AC21" s="16"/>
      <c r="AD21" s="17">
        <f t="shared" si="0"/>
        <v>965000</v>
      </c>
      <c r="AE21" s="16"/>
      <c r="AF21" s="17">
        <f t="shared" si="0"/>
        <v>0</v>
      </c>
      <c r="AG21" s="16"/>
      <c r="AH21" s="18"/>
    </row>
    <row r="22" spans="1:34" x14ac:dyDescent="0.25">
      <c r="A22" s="18"/>
      <c r="B22" s="18" t="s">
        <v>80</v>
      </c>
      <c r="C22" s="18">
        <v>5500000</v>
      </c>
      <c r="D22" s="18"/>
      <c r="E22" s="18"/>
      <c r="F22" s="18"/>
      <c r="G22" s="18">
        <v>5551500</v>
      </c>
      <c r="H22" s="18">
        <f t="shared" si="2"/>
        <v>5757200</v>
      </c>
      <c r="I22" s="18">
        <f t="shared" si="3"/>
        <v>5860100</v>
      </c>
      <c r="J22" s="18">
        <v>6145600</v>
      </c>
      <c r="K22" s="24">
        <v>11500000</v>
      </c>
      <c r="L22" s="24">
        <f t="shared" si="4"/>
        <v>12476000</v>
      </c>
      <c r="M22" s="18"/>
      <c r="N22" s="16"/>
      <c r="O22" s="18"/>
      <c r="P22" s="18"/>
      <c r="Q22" s="18"/>
      <c r="R22" s="18"/>
      <c r="S22" s="18"/>
      <c r="T22" s="18"/>
      <c r="U22" s="18"/>
      <c r="V22" s="24"/>
      <c r="W22" s="24"/>
      <c r="X22" s="18"/>
      <c r="Y22" s="16"/>
      <c r="Z22" s="17">
        <v>12919000</v>
      </c>
      <c r="AA22" s="16"/>
      <c r="AB22" s="17">
        <v>0</v>
      </c>
      <c r="AC22" s="16"/>
      <c r="AD22" s="17">
        <f t="shared" si="0"/>
        <v>13423000</v>
      </c>
      <c r="AE22" s="16"/>
      <c r="AF22" s="17">
        <f t="shared" si="0"/>
        <v>0</v>
      </c>
      <c r="AG22" s="16"/>
      <c r="AH22" s="18"/>
    </row>
    <row r="23" spans="1:34" x14ac:dyDescent="0.25">
      <c r="A23" s="18"/>
      <c r="B23" s="18" t="s">
        <v>14</v>
      </c>
      <c r="C23" s="18">
        <v>325000</v>
      </c>
      <c r="D23" s="18"/>
      <c r="E23" s="18"/>
      <c r="F23" s="18"/>
      <c r="G23" s="18">
        <v>383600</v>
      </c>
      <c r="H23" s="18">
        <f t="shared" si="2"/>
        <v>397900</v>
      </c>
      <c r="I23" s="18">
        <f t="shared" si="3"/>
        <v>405100</v>
      </c>
      <c r="J23" s="18">
        <v>425000</v>
      </c>
      <c r="K23" s="24">
        <v>450000</v>
      </c>
      <c r="L23" s="24">
        <f t="shared" si="4"/>
        <v>489000</v>
      </c>
      <c r="M23" s="18"/>
      <c r="N23" s="16"/>
      <c r="O23" s="18"/>
      <c r="P23" s="18"/>
      <c r="Q23" s="18"/>
      <c r="R23" s="18"/>
      <c r="S23" s="18"/>
      <c r="T23" s="18"/>
      <c r="U23" s="18"/>
      <c r="V23" s="24"/>
      <c r="W23" s="24"/>
      <c r="X23" s="18"/>
      <c r="Y23" s="16"/>
      <c r="Z23" s="17">
        <v>507000</v>
      </c>
      <c r="AA23" s="16"/>
      <c r="AB23" s="17">
        <v>0</v>
      </c>
      <c r="AC23" s="16"/>
      <c r="AD23" s="17">
        <f t="shared" si="0"/>
        <v>527000</v>
      </c>
      <c r="AE23" s="16"/>
      <c r="AF23" s="17">
        <f t="shared" si="0"/>
        <v>0</v>
      </c>
      <c r="AG23" s="16"/>
      <c r="AH23" s="18"/>
    </row>
    <row r="24" spans="1:34" x14ac:dyDescent="0.25">
      <c r="A24" s="18"/>
      <c r="B24" s="18" t="s">
        <v>78</v>
      </c>
      <c r="C24" s="18"/>
      <c r="D24" s="18"/>
      <c r="E24" s="18"/>
      <c r="F24" s="18"/>
      <c r="G24" s="18"/>
      <c r="H24" s="18"/>
      <c r="I24" s="18"/>
      <c r="J24" s="18"/>
      <c r="K24" s="24">
        <v>150000</v>
      </c>
      <c r="L24" s="24">
        <f t="shared" si="4"/>
        <v>163000</v>
      </c>
      <c r="M24" s="18"/>
      <c r="N24" s="16"/>
      <c r="O24" s="18"/>
      <c r="P24" s="18"/>
      <c r="Q24" s="18"/>
      <c r="R24" s="18"/>
      <c r="S24" s="18"/>
      <c r="T24" s="18"/>
      <c r="U24" s="18"/>
      <c r="V24" s="24"/>
      <c r="W24" s="24"/>
      <c r="X24" s="18"/>
      <c r="Y24" s="16"/>
      <c r="Z24" s="17">
        <v>169000</v>
      </c>
      <c r="AA24" s="16"/>
      <c r="AB24" s="17">
        <v>0</v>
      </c>
      <c r="AC24" s="16"/>
      <c r="AD24" s="17">
        <f t="shared" si="0"/>
        <v>176000</v>
      </c>
      <c r="AE24" s="16"/>
      <c r="AF24" s="17">
        <f t="shared" si="0"/>
        <v>0</v>
      </c>
      <c r="AG24" s="16"/>
      <c r="AH24" s="18"/>
    </row>
    <row r="25" spans="1:34" x14ac:dyDescent="0.25">
      <c r="A25" s="18"/>
      <c r="B25" s="18" t="s">
        <v>81</v>
      </c>
      <c r="C25" s="18"/>
      <c r="D25" s="18"/>
      <c r="E25" s="18"/>
      <c r="F25" s="18"/>
      <c r="G25" s="18"/>
      <c r="H25" s="18"/>
      <c r="I25" s="18"/>
      <c r="J25" s="18"/>
      <c r="K25" s="24">
        <v>50000</v>
      </c>
      <c r="L25" s="24">
        <f t="shared" si="4"/>
        <v>55000</v>
      </c>
      <c r="M25" s="18"/>
      <c r="N25" s="16"/>
      <c r="O25" s="18"/>
      <c r="P25" s="18"/>
      <c r="Q25" s="18"/>
      <c r="R25" s="18"/>
      <c r="S25" s="18"/>
      <c r="T25" s="18"/>
      <c r="U25" s="18"/>
      <c r="V25" s="24"/>
      <c r="W25" s="24"/>
      <c r="X25" s="18"/>
      <c r="Y25" s="16"/>
      <c r="Z25" s="17">
        <v>57000</v>
      </c>
      <c r="AA25" s="16"/>
      <c r="AB25" s="17">
        <v>0</v>
      </c>
      <c r="AC25" s="16"/>
      <c r="AD25" s="17">
        <f t="shared" si="0"/>
        <v>60000</v>
      </c>
      <c r="AE25" s="16"/>
      <c r="AF25" s="17">
        <f t="shared" si="0"/>
        <v>0</v>
      </c>
      <c r="AG25" s="16"/>
      <c r="AH25" s="18"/>
    </row>
    <row r="26" spans="1:34" x14ac:dyDescent="0.25">
      <c r="A26" s="18"/>
      <c r="B26" s="18" t="s">
        <v>15</v>
      </c>
      <c r="C26" s="18">
        <v>5900000</v>
      </c>
      <c r="D26" s="18"/>
      <c r="E26" s="18"/>
      <c r="F26" s="18"/>
      <c r="G26" s="18">
        <v>6232800</v>
      </c>
      <c r="H26" s="18">
        <f t="shared" si="2"/>
        <v>6463700</v>
      </c>
      <c r="I26" s="18">
        <f t="shared" si="3"/>
        <v>6579200</v>
      </c>
      <c r="J26" s="18">
        <v>6899700</v>
      </c>
      <c r="K26" s="24">
        <v>11550000</v>
      </c>
      <c r="L26" s="24">
        <f t="shared" si="4"/>
        <v>12531000</v>
      </c>
      <c r="M26" s="18"/>
      <c r="N26" s="16"/>
      <c r="O26" s="18"/>
      <c r="P26" s="18"/>
      <c r="Q26" s="18"/>
      <c r="R26" s="18"/>
      <c r="S26" s="18"/>
      <c r="T26" s="18"/>
      <c r="U26" s="18"/>
      <c r="V26" s="24"/>
      <c r="W26" s="24"/>
      <c r="X26" s="18"/>
      <c r="Y26" s="16"/>
      <c r="Z26" s="17">
        <v>12976000</v>
      </c>
      <c r="AA26" s="16"/>
      <c r="AB26" s="17">
        <v>0</v>
      </c>
      <c r="AC26" s="16"/>
      <c r="AD26" s="17">
        <f t="shared" si="0"/>
        <v>13482000</v>
      </c>
      <c r="AE26" s="16"/>
      <c r="AF26" s="17">
        <f t="shared" si="0"/>
        <v>0</v>
      </c>
      <c r="AG26" s="16"/>
      <c r="AH26" s="18"/>
    </row>
    <row r="27" spans="1:34" x14ac:dyDescent="0.25">
      <c r="A27" s="18"/>
      <c r="B27" s="18" t="s">
        <v>61</v>
      </c>
      <c r="C27" s="18"/>
      <c r="D27" s="18"/>
      <c r="E27" s="18"/>
      <c r="F27" s="18"/>
      <c r="G27" s="18"/>
      <c r="H27" s="18"/>
      <c r="I27" s="18"/>
      <c r="J27" s="18">
        <v>5410800</v>
      </c>
      <c r="K27" s="24">
        <v>5727000</v>
      </c>
      <c r="L27" s="24">
        <f t="shared" si="4"/>
        <v>6214000</v>
      </c>
      <c r="M27" s="18" t="s">
        <v>44</v>
      </c>
      <c r="N27" s="16">
        <v>44181</v>
      </c>
      <c r="O27" s="18"/>
      <c r="P27" s="18"/>
      <c r="Q27" s="18"/>
      <c r="R27" s="18"/>
      <c r="S27" s="18"/>
      <c r="T27" s="18"/>
      <c r="U27" s="18">
        <v>14188200</v>
      </c>
      <c r="V27" s="24">
        <v>14997000</v>
      </c>
      <c r="W27" s="24">
        <f>ROUNDUP(V27*122/109.4,-3)</f>
        <v>16725000</v>
      </c>
      <c r="X27" s="18" t="s">
        <v>55</v>
      </c>
      <c r="Y27" s="16">
        <v>43866</v>
      </c>
      <c r="Z27" s="17">
        <v>6435000</v>
      </c>
      <c r="AA27" s="16">
        <v>44181</v>
      </c>
      <c r="AB27" s="17">
        <v>17055000</v>
      </c>
      <c r="AC27" s="16">
        <v>43866</v>
      </c>
      <c r="AD27" s="17">
        <f t="shared" si="0"/>
        <v>6686000</v>
      </c>
      <c r="AE27" s="16">
        <v>44181</v>
      </c>
      <c r="AF27" s="17">
        <f t="shared" si="0"/>
        <v>17768000</v>
      </c>
      <c r="AG27" s="16">
        <v>43866</v>
      </c>
      <c r="AH27" s="18"/>
    </row>
    <row r="28" spans="1:34" x14ac:dyDescent="0.25">
      <c r="A28" s="18" t="s">
        <v>83</v>
      </c>
      <c r="B28" s="18"/>
      <c r="C28" s="18"/>
      <c r="D28" s="18"/>
      <c r="E28" s="18"/>
      <c r="F28" s="18"/>
      <c r="G28" s="18"/>
      <c r="H28" s="18"/>
      <c r="I28" s="18"/>
      <c r="J28" s="18"/>
      <c r="K28" s="24">
        <v>3500000</v>
      </c>
      <c r="L28" s="24">
        <f t="shared" si="4"/>
        <v>3798000</v>
      </c>
      <c r="M28" s="18"/>
      <c r="N28" s="16"/>
      <c r="O28" s="18"/>
      <c r="P28" s="18"/>
      <c r="Q28" s="18"/>
      <c r="R28" s="18"/>
      <c r="S28" s="18"/>
      <c r="T28" s="18"/>
      <c r="U28" s="18"/>
      <c r="V28" s="25"/>
      <c r="W28" s="25"/>
      <c r="X28" s="18"/>
      <c r="Y28" s="16"/>
      <c r="Z28" s="17">
        <v>3933000</v>
      </c>
      <c r="AA28" s="16"/>
      <c r="AB28" s="17">
        <v>0</v>
      </c>
      <c r="AC28" s="16"/>
      <c r="AD28" s="17">
        <f t="shared" si="0"/>
        <v>4087000</v>
      </c>
      <c r="AE28" s="16"/>
      <c r="AF28" s="17">
        <f t="shared" si="0"/>
        <v>0</v>
      </c>
      <c r="AG28" s="16"/>
      <c r="AH28" s="18"/>
    </row>
    <row r="29" spans="1:34" x14ac:dyDescent="0.25">
      <c r="A29" s="18" t="s">
        <v>16</v>
      </c>
      <c r="B29" s="18"/>
      <c r="C29" s="18">
        <v>350000</v>
      </c>
      <c r="D29" s="18">
        <v>362000</v>
      </c>
      <c r="E29" s="18">
        <v>383087</v>
      </c>
      <c r="F29" s="18">
        <f>E29*106/104</f>
        <v>390454.05769230769</v>
      </c>
      <c r="G29" s="18">
        <v>401700</v>
      </c>
      <c r="H29" s="18">
        <f t="shared" si="2"/>
        <v>416600</v>
      </c>
      <c r="I29" s="18">
        <f t="shared" si="3"/>
        <v>424100</v>
      </c>
      <c r="J29" s="18">
        <v>444900</v>
      </c>
      <c r="K29" s="24">
        <v>4000000</v>
      </c>
      <c r="L29" s="24">
        <f t="shared" si="4"/>
        <v>4340000</v>
      </c>
      <c r="M29" s="18"/>
      <c r="N29" s="16"/>
      <c r="O29" s="18"/>
      <c r="P29" s="18"/>
      <c r="Q29" s="18"/>
      <c r="R29" s="18"/>
      <c r="S29" s="18"/>
      <c r="T29" s="18"/>
      <c r="U29" s="18" t="s">
        <v>46</v>
      </c>
      <c r="V29" s="25"/>
      <c r="W29" s="25"/>
      <c r="X29" s="18"/>
      <c r="Y29" s="16"/>
      <c r="Z29" s="17">
        <v>4494000</v>
      </c>
      <c r="AA29" s="16"/>
      <c r="AB29" s="17">
        <v>0</v>
      </c>
      <c r="AC29" s="16"/>
      <c r="AD29" s="17">
        <f t="shared" si="0"/>
        <v>4669000</v>
      </c>
      <c r="AE29" s="16"/>
      <c r="AF29" s="17">
        <f t="shared" si="0"/>
        <v>0</v>
      </c>
      <c r="AG29" s="16"/>
      <c r="AH29" s="18"/>
    </row>
    <row r="30" spans="1:34" x14ac:dyDescent="0.25">
      <c r="A30" s="18" t="s">
        <v>45</v>
      </c>
      <c r="B30" s="18" t="s">
        <v>59</v>
      </c>
      <c r="C30" s="18"/>
      <c r="D30" s="18"/>
      <c r="E30" s="18"/>
      <c r="F30" s="18"/>
      <c r="G30" s="18"/>
      <c r="H30" s="18"/>
      <c r="I30" s="18"/>
      <c r="J30" s="18">
        <v>1674800</v>
      </c>
      <c r="K30" s="24">
        <v>1773000</v>
      </c>
      <c r="L30" s="24">
        <f t="shared" si="4"/>
        <v>1924000</v>
      </c>
      <c r="M30" s="18" t="s">
        <v>44</v>
      </c>
      <c r="N30" s="16">
        <v>44181</v>
      </c>
      <c r="O30" s="18"/>
      <c r="P30" s="18"/>
      <c r="Q30" s="18"/>
      <c r="R30" s="18"/>
      <c r="S30" s="18"/>
      <c r="T30" s="18"/>
      <c r="U30" s="18">
        <v>138900</v>
      </c>
      <c r="V30" s="24">
        <v>147000</v>
      </c>
      <c r="W30" s="24">
        <f>ROUNDUP(V30*122/109.4,-3)</f>
        <v>164000</v>
      </c>
      <c r="X30" s="18" t="s">
        <v>48</v>
      </c>
      <c r="Y30" s="16">
        <v>43901</v>
      </c>
      <c r="Z30" s="17">
        <v>1993000</v>
      </c>
      <c r="AA30" s="16">
        <v>44181</v>
      </c>
      <c r="AB30" s="17">
        <v>168000</v>
      </c>
      <c r="AC30" s="16">
        <v>43901</v>
      </c>
      <c r="AD30" s="17">
        <f t="shared" si="0"/>
        <v>2071000</v>
      </c>
      <c r="AE30" s="16">
        <v>44181</v>
      </c>
      <c r="AF30" s="17">
        <f t="shared" si="0"/>
        <v>176000</v>
      </c>
      <c r="AG30" s="16">
        <v>43901</v>
      </c>
      <c r="AH30" s="18"/>
    </row>
    <row r="31" spans="1:34" x14ac:dyDescent="0.25">
      <c r="A31" s="18" t="s">
        <v>45</v>
      </c>
      <c r="B31" s="18" t="s">
        <v>49</v>
      </c>
      <c r="C31" s="18"/>
      <c r="D31" s="18"/>
      <c r="E31" s="18"/>
      <c r="F31" s="18"/>
      <c r="G31" s="18"/>
      <c r="H31" s="18"/>
      <c r="I31" s="18"/>
      <c r="J31" s="18">
        <v>3607200</v>
      </c>
      <c r="K31" s="24">
        <v>3818000</v>
      </c>
      <c r="L31" s="24">
        <f t="shared" si="4"/>
        <v>4143000</v>
      </c>
      <c r="M31" s="18" t="s">
        <v>44</v>
      </c>
      <c r="N31" s="16">
        <v>44181</v>
      </c>
      <c r="O31" s="18"/>
      <c r="P31" s="18"/>
      <c r="Q31" s="18"/>
      <c r="R31" s="18"/>
      <c r="S31" s="18"/>
      <c r="T31" s="18"/>
      <c r="U31" s="18">
        <v>313500</v>
      </c>
      <c r="V31" s="24">
        <v>332000</v>
      </c>
      <c r="W31" s="24">
        <f t="shared" ref="W31:W34" si="5">ROUNDUP(V31*122/109.4,-3)</f>
        <v>371000</v>
      </c>
      <c r="X31" s="18" t="s">
        <v>48</v>
      </c>
      <c r="Y31" s="16">
        <v>43901</v>
      </c>
      <c r="Z31" s="17">
        <v>4291000</v>
      </c>
      <c r="AA31" s="16">
        <v>44181</v>
      </c>
      <c r="AB31" s="17">
        <v>379000</v>
      </c>
      <c r="AC31" s="16">
        <v>43901</v>
      </c>
      <c r="AD31" s="17">
        <f t="shared" si="0"/>
        <v>4459000</v>
      </c>
      <c r="AE31" s="16">
        <v>44181</v>
      </c>
      <c r="AF31" s="17">
        <f t="shared" si="0"/>
        <v>395000</v>
      </c>
      <c r="AG31" s="16">
        <v>43901</v>
      </c>
      <c r="AH31" s="18"/>
    </row>
    <row r="32" spans="1:34" x14ac:dyDescent="0.25">
      <c r="A32" s="18" t="s">
        <v>45</v>
      </c>
      <c r="B32" s="18" t="s">
        <v>60</v>
      </c>
      <c r="C32" s="18"/>
      <c r="D32" s="18"/>
      <c r="E32" s="18"/>
      <c r="F32" s="18"/>
      <c r="G32" s="18"/>
      <c r="H32" s="18"/>
      <c r="I32" s="18"/>
      <c r="J32" s="18"/>
      <c r="K32" s="24"/>
      <c r="L32" s="24"/>
      <c r="M32" s="18"/>
      <c r="N32" s="16"/>
      <c r="O32" s="18"/>
      <c r="P32" s="18"/>
      <c r="Q32" s="18"/>
      <c r="R32" s="18"/>
      <c r="S32" s="18"/>
      <c r="T32" s="18"/>
      <c r="U32" s="18">
        <v>278500</v>
      </c>
      <c r="V32" s="24">
        <v>295000</v>
      </c>
      <c r="W32" s="24">
        <f t="shared" si="5"/>
        <v>329000</v>
      </c>
      <c r="X32" s="18" t="s">
        <v>50</v>
      </c>
      <c r="Y32" s="16"/>
      <c r="Z32" s="17">
        <v>0</v>
      </c>
      <c r="AA32" s="16"/>
      <c r="AB32" s="17">
        <v>765000</v>
      </c>
      <c r="AC32" s="16">
        <v>45313</v>
      </c>
      <c r="AD32" s="17">
        <f t="shared" si="0"/>
        <v>0</v>
      </c>
      <c r="AE32" s="16"/>
      <c r="AF32" s="17">
        <f t="shared" si="0"/>
        <v>797000</v>
      </c>
      <c r="AG32" s="16">
        <v>45313</v>
      </c>
      <c r="AH32" s="18"/>
    </row>
    <row r="33" spans="1:34" x14ac:dyDescent="0.25">
      <c r="A33" s="18" t="s">
        <v>28</v>
      </c>
      <c r="B33" s="18" t="s">
        <v>51</v>
      </c>
      <c r="C33" s="18"/>
      <c r="D33" s="18"/>
      <c r="E33" s="18"/>
      <c r="F33" s="18"/>
      <c r="G33" s="18"/>
      <c r="H33" s="18"/>
      <c r="I33" s="18"/>
      <c r="J33" s="18"/>
      <c r="K33" s="24"/>
      <c r="L33" s="24"/>
      <c r="M33" s="18"/>
      <c r="N33" s="16"/>
      <c r="O33" s="18"/>
      <c r="P33" s="18"/>
      <c r="Q33" s="18"/>
      <c r="R33" s="18"/>
      <c r="S33" s="18"/>
      <c r="T33" s="18"/>
      <c r="U33" s="18">
        <v>128700</v>
      </c>
      <c r="V33" s="24">
        <v>137000</v>
      </c>
      <c r="W33" s="24">
        <f t="shared" si="5"/>
        <v>153000</v>
      </c>
      <c r="X33" s="18" t="s">
        <v>52</v>
      </c>
      <c r="Y33" s="16">
        <v>43901</v>
      </c>
      <c r="Z33" s="17">
        <v>0</v>
      </c>
      <c r="AA33" s="16"/>
      <c r="AB33" s="17">
        <v>170000</v>
      </c>
      <c r="AC33" s="16">
        <v>45306</v>
      </c>
      <c r="AD33" s="17">
        <f t="shared" si="0"/>
        <v>0</v>
      </c>
      <c r="AE33" s="16"/>
      <c r="AF33" s="17">
        <f t="shared" si="0"/>
        <v>178000</v>
      </c>
      <c r="AG33" s="16">
        <v>45306</v>
      </c>
      <c r="AH33" s="18"/>
    </row>
    <row r="34" spans="1:34" x14ac:dyDescent="0.25">
      <c r="A34" s="19" t="s">
        <v>5</v>
      </c>
      <c r="B34" s="18" t="s">
        <v>53</v>
      </c>
      <c r="C34" s="18"/>
      <c r="D34" s="18"/>
      <c r="E34" s="18"/>
      <c r="F34" s="18"/>
      <c r="G34" s="18"/>
      <c r="H34" s="18"/>
      <c r="I34" s="18"/>
      <c r="J34" s="18"/>
      <c r="K34" s="24"/>
      <c r="L34" s="24"/>
      <c r="M34" s="18"/>
      <c r="N34" s="16"/>
      <c r="O34" s="18"/>
      <c r="P34" s="18"/>
      <c r="Q34" s="18"/>
      <c r="R34" s="18"/>
      <c r="S34" s="18"/>
      <c r="T34" s="18"/>
      <c r="U34" s="18">
        <v>694100</v>
      </c>
      <c r="V34" s="24">
        <v>734000</v>
      </c>
      <c r="W34" s="24">
        <f t="shared" si="5"/>
        <v>819000</v>
      </c>
      <c r="X34" s="18" t="s">
        <v>54</v>
      </c>
      <c r="Y34" s="16">
        <v>43901</v>
      </c>
      <c r="Z34" s="17">
        <v>0</v>
      </c>
      <c r="AA34" s="16"/>
      <c r="AB34" s="17">
        <v>1205000</v>
      </c>
      <c r="AC34" s="16">
        <v>45306</v>
      </c>
      <c r="AD34" s="17">
        <f t="shared" si="0"/>
        <v>0</v>
      </c>
      <c r="AE34" s="16"/>
      <c r="AF34" s="17">
        <f t="shared" si="0"/>
        <v>1256000</v>
      </c>
      <c r="AG34" s="16">
        <v>45306</v>
      </c>
      <c r="AH34" s="18"/>
    </row>
    <row r="35" spans="1:34" s="3" customFormat="1" ht="13" hidden="1" x14ac:dyDescent="0.3">
      <c r="A35" s="26" t="s">
        <v>22</v>
      </c>
      <c r="B35" s="26"/>
      <c r="C35" s="26"/>
      <c r="D35" s="26"/>
      <c r="E35" s="26"/>
      <c r="F35" s="26"/>
      <c r="G35" s="26"/>
      <c r="H35" s="26"/>
      <c r="I35" s="26"/>
      <c r="J35" s="26"/>
      <c r="K35" s="27"/>
      <c r="L35" s="27"/>
      <c r="M35" s="26"/>
      <c r="N35" s="31"/>
      <c r="O35" s="26"/>
      <c r="P35" s="26"/>
      <c r="Q35" s="26"/>
      <c r="R35" s="26"/>
      <c r="S35" s="26"/>
      <c r="T35" s="26"/>
      <c r="U35" s="26"/>
      <c r="V35" s="27"/>
      <c r="W35" s="27"/>
      <c r="X35" s="26"/>
      <c r="Y35" s="31"/>
      <c r="Z35" s="33"/>
      <c r="AA35" s="31"/>
      <c r="AB35" s="33"/>
      <c r="AC35" s="31"/>
      <c r="AD35" s="17">
        <f t="shared" si="0"/>
        <v>0</v>
      </c>
      <c r="AE35" s="31"/>
      <c r="AF35" s="17">
        <f t="shared" si="0"/>
        <v>0</v>
      </c>
      <c r="AG35" s="31"/>
      <c r="AH35" s="26"/>
    </row>
    <row r="36" spans="1:34" x14ac:dyDescent="0.25">
      <c r="A36" s="19" t="s">
        <v>23</v>
      </c>
      <c r="B36" s="18" t="s">
        <v>7</v>
      </c>
      <c r="C36" s="18">
        <v>0</v>
      </c>
      <c r="D36" s="18">
        <v>212000</v>
      </c>
      <c r="E36" s="18">
        <v>224350</v>
      </c>
      <c r="F36" s="18">
        <f t="shared" ref="F36:F39" si="6">E36*106/104</f>
        <v>228664.42307692306</v>
      </c>
      <c r="G36" s="18">
        <f>CEILING(((F36/105)*107),100)</f>
        <v>233100</v>
      </c>
      <c r="H36" s="18" t="e">
        <f>CEILING(((G36/#REF!)*#REF!),100)</f>
        <v>#REF!</v>
      </c>
      <c r="I36" s="18" t="e">
        <f>CEILING(((H36/$H$2)*$I$3),100)</f>
        <v>#REF!</v>
      </c>
      <c r="J36" s="18">
        <v>258300</v>
      </c>
      <c r="K36" s="24">
        <v>274000</v>
      </c>
      <c r="L36" s="24">
        <f t="shared" ref="L36" si="7">ROUNDUP(K36*124/114.3,-3)</f>
        <v>298000</v>
      </c>
      <c r="M36" s="18"/>
      <c r="N36" s="16"/>
      <c r="O36" s="18">
        <v>400000</v>
      </c>
      <c r="P36" s="18">
        <f t="shared" ref="P36:P39" si="8">O36*146/145</f>
        <v>402758.62068965519</v>
      </c>
      <c r="Q36" s="18">
        <f t="shared" ref="Q36:Q39" si="9">P36*141/146</f>
        <v>388965.5172413793</v>
      </c>
      <c r="R36" s="18">
        <f t="shared" ref="R36:R38" si="10">CEILING(((Q36/141)*137),100)</f>
        <v>378000</v>
      </c>
      <c r="S36" s="18" t="e">
        <f>CEILING(((R36/#REF!)*#REF!),100)</f>
        <v>#REF!</v>
      </c>
      <c r="T36" s="18" t="e">
        <f t="shared" ref="T36:T38" si="11">CEILING(((S36/$S$2)*$T$3),100)</f>
        <v>#REF!</v>
      </c>
      <c r="U36" s="18">
        <v>383600</v>
      </c>
      <c r="V36" s="24">
        <v>406000</v>
      </c>
      <c r="W36" s="24">
        <f>ROUNDUP(V36*122/109.4,-3)</f>
        <v>453000</v>
      </c>
      <c r="X36" s="18"/>
      <c r="Y36" s="16"/>
      <c r="Z36" s="17">
        <v>309000</v>
      </c>
      <c r="AA36" s="16"/>
      <c r="AB36" s="17">
        <v>462000</v>
      </c>
      <c r="AC36" s="16"/>
      <c r="AD36" s="17">
        <f t="shared" si="0"/>
        <v>322000</v>
      </c>
      <c r="AE36" s="16"/>
      <c r="AF36" s="17">
        <f t="shared" si="0"/>
        <v>482000</v>
      </c>
      <c r="AG36" s="16"/>
      <c r="AH36" s="18" t="s">
        <v>26</v>
      </c>
    </row>
    <row r="37" spans="1:34" x14ac:dyDescent="0.25">
      <c r="A37" s="19" t="s">
        <v>23</v>
      </c>
      <c r="B37" s="18" t="s">
        <v>60</v>
      </c>
      <c r="C37" s="18"/>
      <c r="D37" s="18"/>
      <c r="E37" s="18"/>
      <c r="F37" s="18"/>
      <c r="G37" s="18"/>
      <c r="H37" s="18"/>
      <c r="I37" s="18"/>
      <c r="J37" s="18"/>
      <c r="K37" s="24"/>
      <c r="L37" s="24"/>
      <c r="M37" s="18"/>
      <c r="N37" s="16"/>
      <c r="O37" s="18"/>
      <c r="P37" s="18"/>
      <c r="Q37" s="18"/>
      <c r="R37" s="18"/>
      <c r="S37" s="18"/>
      <c r="T37" s="18"/>
      <c r="U37" s="18">
        <v>73616</v>
      </c>
      <c r="V37" s="24">
        <v>78000</v>
      </c>
      <c r="W37" s="24">
        <f t="shared" ref="W37:W38" si="12">ROUNDUP(V37*122/109.4,-3)</f>
        <v>87000</v>
      </c>
      <c r="X37" s="18" t="s">
        <v>48</v>
      </c>
      <c r="Y37" s="16">
        <v>43901</v>
      </c>
      <c r="Z37" s="17">
        <v>0</v>
      </c>
      <c r="AA37" s="16"/>
      <c r="AB37" s="17">
        <v>89000</v>
      </c>
      <c r="AC37" s="16">
        <v>43901</v>
      </c>
      <c r="AD37" s="17">
        <f t="shared" si="0"/>
        <v>0</v>
      </c>
      <c r="AE37" s="16"/>
      <c r="AF37" s="17">
        <f t="shared" si="0"/>
        <v>93000</v>
      </c>
      <c r="AG37" s="16">
        <v>43901</v>
      </c>
      <c r="AH37" s="18"/>
    </row>
    <row r="38" spans="1:34" x14ac:dyDescent="0.25">
      <c r="A38" s="19" t="s">
        <v>23</v>
      </c>
      <c r="B38" s="18" t="s">
        <v>24</v>
      </c>
      <c r="C38" s="18">
        <v>0</v>
      </c>
      <c r="D38" s="18">
        <v>180000</v>
      </c>
      <c r="E38" s="18">
        <v>190485</v>
      </c>
      <c r="F38" s="18">
        <f t="shared" si="6"/>
        <v>194148.17307692306</v>
      </c>
      <c r="G38" s="18">
        <f>CEILING(((F38/105)*107),100)</f>
        <v>197900</v>
      </c>
      <c r="H38" s="18" t="e">
        <f>CEILING(((G38/#REF!)*#REF!),100)</f>
        <v>#REF!</v>
      </c>
      <c r="I38" s="18" t="e">
        <f>CEILING(((H38/$H$2)*$I$3),100)</f>
        <v>#REF!</v>
      </c>
      <c r="J38" s="18">
        <v>219300</v>
      </c>
      <c r="K38" s="24">
        <v>233000</v>
      </c>
      <c r="L38" s="24">
        <f t="shared" ref="L38" si="13">ROUNDUP(K38*124/114.3,-3)</f>
        <v>253000</v>
      </c>
      <c r="M38" s="18"/>
      <c r="N38" s="16"/>
      <c r="O38" s="18">
        <v>150000</v>
      </c>
      <c r="P38" s="18">
        <f t="shared" si="8"/>
        <v>151034.4827586207</v>
      </c>
      <c r="Q38" s="18">
        <f t="shared" si="9"/>
        <v>145862.06896551725</v>
      </c>
      <c r="R38" s="18">
        <f t="shared" si="10"/>
        <v>141800</v>
      </c>
      <c r="S38" s="18" t="e">
        <f>CEILING(((R38/#REF!)*#REF!),100)</f>
        <v>#REF!</v>
      </c>
      <c r="T38" s="18" t="e">
        <f t="shared" si="11"/>
        <v>#REF!</v>
      </c>
      <c r="U38" s="18">
        <v>144000</v>
      </c>
      <c r="V38" s="24">
        <v>153000</v>
      </c>
      <c r="W38" s="24">
        <f t="shared" si="12"/>
        <v>171000</v>
      </c>
      <c r="X38" s="18"/>
      <c r="Y38" s="16"/>
      <c r="Z38" s="17">
        <v>262000</v>
      </c>
      <c r="AA38" s="16"/>
      <c r="AB38" s="17">
        <v>705000</v>
      </c>
      <c r="AC38" s="16">
        <v>45306</v>
      </c>
      <c r="AD38" s="17">
        <f t="shared" si="0"/>
        <v>273000</v>
      </c>
      <c r="AE38" s="16"/>
      <c r="AF38" s="17">
        <f t="shared" si="0"/>
        <v>735000</v>
      </c>
      <c r="AG38" s="16">
        <v>45306</v>
      </c>
      <c r="AH38" s="18" t="s">
        <v>27</v>
      </c>
    </row>
    <row r="39" spans="1:34" x14ac:dyDescent="0.25">
      <c r="A39" s="19" t="s">
        <v>28</v>
      </c>
      <c r="B39" s="18" t="s">
        <v>29</v>
      </c>
      <c r="C39" s="18">
        <v>0</v>
      </c>
      <c r="D39" s="18">
        <v>50000</v>
      </c>
      <c r="E39" s="18">
        <v>52913</v>
      </c>
      <c r="F39" s="18">
        <f t="shared" si="6"/>
        <v>53930.557692307695</v>
      </c>
      <c r="G39" s="18">
        <f>CEILING(((F39/105)*107),100)</f>
        <v>55000</v>
      </c>
      <c r="H39" s="18" t="e">
        <f>CEILING(((G39/#REF!)*#REF!),100)</f>
        <v>#REF!</v>
      </c>
      <c r="I39" s="18" t="e">
        <f>CEILING(((H39/$H$2)*$I$3),100)</f>
        <v>#REF!</v>
      </c>
      <c r="J39" s="18">
        <v>61200</v>
      </c>
      <c r="K39" s="24">
        <v>65000</v>
      </c>
      <c r="L39" s="24">
        <f t="shared" ref="L39" si="14">ROUNDUP(K39*124/114.3,-3)</f>
        <v>71000</v>
      </c>
      <c r="M39" s="18"/>
      <c r="N39" s="16"/>
      <c r="O39" s="18">
        <v>140000</v>
      </c>
      <c r="P39" s="18">
        <f t="shared" si="8"/>
        <v>140965.5172413793</v>
      </c>
      <c r="Q39" s="18">
        <f t="shared" si="9"/>
        <v>136137.93103448275</v>
      </c>
      <c r="R39" s="18">
        <f>CEILING(((Q39/141)*137),100)</f>
        <v>132300</v>
      </c>
      <c r="S39" s="18" t="e">
        <f>CEILING(((R39/#REF!)*#REF!),100)</f>
        <v>#REF!</v>
      </c>
      <c r="T39" s="18" t="e">
        <f>CEILING(((S39/$S$2)*$T$3),100)</f>
        <v>#REF!</v>
      </c>
      <c r="U39" s="18">
        <v>134400</v>
      </c>
      <c r="V39" s="24">
        <v>143000</v>
      </c>
      <c r="W39" s="24">
        <f t="shared" ref="W39:W47" si="15">ROUNDUP(V39*122/109.4,-3)</f>
        <v>160000</v>
      </c>
      <c r="X39" s="18"/>
      <c r="Y39" s="16"/>
      <c r="Z39" s="17">
        <v>74000</v>
      </c>
      <c r="AA39" s="16"/>
      <c r="AB39" s="17">
        <v>425000</v>
      </c>
      <c r="AC39" s="16">
        <v>45306</v>
      </c>
      <c r="AD39" s="17">
        <f t="shared" si="0"/>
        <v>77000</v>
      </c>
      <c r="AE39" s="16"/>
      <c r="AF39" s="17">
        <f t="shared" si="0"/>
        <v>443000</v>
      </c>
      <c r="AG39" s="16">
        <v>45306</v>
      </c>
      <c r="AH39" s="18" t="s">
        <v>30</v>
      </c>
    </row>
    <row r="40" spans="1:34" hidden="1" x14ac:dyDescent="0.25">
      <c r="A40" s="18"/>
      <c r="B40" s="18"/>
      <c r="C40" s="18">
        <f>SUM(C35:C39)</f>
        <v>0</v>
      </c>
      <c r="D40" s="18">
        <f>SUM(D35:D39)</f>
        <v>442000</v>
      </c>
      <c r="E40" s="18">
        <v>109645514</v>
      </c>
      <c r="F40" s="18">
        <f>SUM(F35:F39)</f>
        <v>476743.15384615381</v>
      </c>
      <c r="G40" s="18" t="e">
        <f>SUM(G36:G39)+#REF!</f>
        <v>#REF!</v>
      </c>
      <c r="H40" s="18" t="e">
        <f>SUM(H36:H39)+#REF!</f>
        <v>#REF!</v>
      </c>
      <c r="I40" s="18" t="e">
        <f>SUM(I36:I39)+#REF!</f>
        <v>#REF!</v>
      </c>
      <c r="J40" s="18">
        <v>121740200</v>
      </c>
      <c r="K40" s="24" t="e">
        <v>#REF!</v>
      </c>
      <c r="L40" s="24" t="e">
        <f>SUM(L36:L39)+#REF!</f>
        <v>#REF!</v>
      </c>
      <c r="M40" s="18"/>
      <c r="N40" s="16"/>
      <c r="O40" s="18">
        <f>SUM(O35:O39)</f>
        <v>690000</v>
      </c>
      <c r="P40" s="18">
        <v>33525920</v>
      </c>
      <c r="Q40" s="18">
        <f>SUM(Q35:Q39)</f>
        <v>670965.51724137936</v>
      </c>
      <c r="R40" s="18">
        <f>SUM(R35:R39)</f>
        <v>652100</v>
      </c>
      <c r="S40" s="18" t="e">
        <f>SUM(S36:S39)+#REF!</f>
        <v>#REF!</v>
      </c>
      <c r="T40" s="18" t="e">
        <f>SUM(T36:T39)+#REF!</f>
        <v>#REF!</v>
      </c>
      <c r="U40" s="24" t="e">
        <f>SUM(U36:U39)+#REF!</f>
        <v>#REF!</v>
      </c>
      <c r="V40" s="24" t="e">
        <v>#REF!</v>
      </c>
      <c r="W40" s="24" t="e">
        <f t="shared" si="15"/>
        <v>#REF!</v>
      </c>
      <c r="X40" s="18"/>
      <c r="Y40" s="16"/>
      <c r="Z40" s="17"/>
      <c r="AA40" s="16"/>
      <c r="AB40" s="17"/>
      <c r="AC40" s="16"/>
      <c r="AD40" s="17">
        <f t="shared" si="0"/>
        <v>0</v>
      </c>
      <c r="AE40" s="16"/>
      <c r="AF40" s="17">
        <f t="shared" si="0"/>
        <v>0</v>
      </c>
      <c r="AG40" s="16"/>
      <c r="AH40" s="18"/>
    </row>
    <row r="41" spans="1:34" x14ac:dyDescent="0.25">
      <c r="A41" s="18" t="s">
        <v>63</v>
      </c>
      <c r="B41" s="18" t="s">
        <v>66</v>
      </c>
      <c r="C41" s="18"/>
      <c r="D41" s="18"/>
      <c r="E41" s="18"/>
      <c r="F41" s="18"/>
      <c r="G41" s="18"/>
      <c r="H41" s="18"/>
      <c r="I41" s="18"/>
      <c r="J41" s="18"/>
      <c r="K41" s="24">
        <v>27500000</v>
      </c>
      <c r="L41" s="24">
        <f t="shared" ref="L41" si="16">ROUNDUP(K41*124/114.3,-3)</f>
        <v>29834000</v>
      </c>
      <c r="M41" s="18"/>
      <c r="N41" s="16">
        <v>42801</v>
      </c>
      <c r="O41" s="18"/>
      <c r="P41" s="18"/>
      <c r="Q41" s="18"/>
      <c r="R41" s="18"/>
      <c r="S41" s="18"/>
      <c r="T41" s="18"/>
      <c r="U41" s="18"/>
      <c r="V41" s="24">
        <v>9670000</v>
      </c>
      <c r="W41" s="24">
        <f t="shared" si="15"/>
        <v>10784000</v>
      </c>
      <c r="X41" s="18"/>
      <c r="Y41" s="16">
        <v>44278</v>
      </c>
      <c r="Z41" s="17">
        <v>30893000</v>
      </c>
      <c r="AA41" s="16">
        <v>42801</v>
      </c>
      <c r="AB41" s="17">
        <v>9615000</v>
      </c>
      <c r="AC41" s="16">
        <v>45306</v>
      </c>
      <c r="AD41" s="17">
        <f t="shared" si="0"/>
        <v>32096000</v>
      </c>
      <c r="AE41" s="16">
        <v>42801</v>
      </c>
      <c r="AF41" s="17">
        <f t="shared" si="0"/>
        <v>10017000</v>
      </c>
      <c r="AG41" s="16">
        <v>45306</v>
      </c>
      <c r="AH41" s="18"/>
    </row>
    <row r="42" spans="1:34" x14ac:dyDescent="0.25">
      <c r="A42" s="18" t="s">
        <v>63</v>
      </c>
      <c r="B42" s="18" t="s">
        <v>67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6"/>
      <c r="O42" s="18"/>
      <c r="P42" s="18"/>
      <c r="Q42" s="18"/>
      <c r="R42" s="18"/>
      <c r="S42" s="18"/>
      <c r="T42" s="18"/>
      <c r="U42" s="18"/>
      <c r="V42" s="24">
        <v>1490000</v>
      </c>
      <c r="W42" s="24">
        <f>ROUNDUP(V42*122/111.7,-3)</f>
        <v>1628000</v>
      </c>
      <c r="X42" s="18"/>
      <c r="Y42" s="16">
        <v>44809</v>
      </c>
      <c r="Z42" s="17">
        <v>0</v>
      </c>
      <c r="AA42" s="16"/>
      <c r="AB42" s="17">
        <v>1580000</v>
      </c>
      <c r="AC42" s="16">
        <v>45306</v>
      </c>
      <c r="AD42" s="17">
        <f t="shared" si="0"/>
        <v>0</v>
      </c>
      <c r="AE42" s="16"/>
      <c r="AF42" s="17">
        <f t="shared" si="0"/>
        <v>1647000</v>
      </c>
      <c r="AG42" s="16">
        <v>45306</v>
      </c>
      <c r="AH42" s="18" t="s">
        <v>74</v>
      </c>
    </row>
    <row r="43" spans="1:34" x14ac:dyDescent="0.25">
      <c r="A43" s="18" t="s">
        <v>64</v>
      </c>
      <c r="B43" s="18" t="s">
        <v>65</v>
      </c>
      <c r="C43" s="18"/>
      <c r="D43" s="18"/>
      <c r="E43" s="18"/>
      <c r="F43" s="18"/>
      <c r="G43" s="18"/>
      <c r="H43" s="18"/>
      <c r="I43" s="18"/>
      <c r="J43" s="18"/>
      <c r="K43" s="24">
        <v>18800000</v>
      </c>
      <c r="L43" s="24">
        <f t="shared" ref="L43:L46" si="17">ROUNDUP(K43*124/114.3,-3)</f>
        <v>20396000</v>
      </c>
      <c r="M43" s="18"/>
      <c r="N43" s="16">
        <v>42802</v>
      </c>
      <c r="O43" s="18"/>
      <c r="P43" s="18"/>
      <c r="Q43" s="18"/>
      <c r="R43" s="18"/>
      <c r="S43" s="18"/>
      <c r="T43" s="18"/>
      <c r="U43" s="18"/>
      <c r="V43" s="24">
        <v>9770000</v>
      </c>
      <c r="W43" s="24">
        <f t="shared" si="15"/>
        <v>10896000</v>
      </c>
      <c r="X43" s="18"/>
      <c r="Y43" s="16">
        <v>44280</v>
      </c>
      <c r="Z43" s="17">
        <v>21120000</v>
      </c>
      <c r="AA43" s="16">
        <v>42802</v>
      </c>
      <c r="AB43" s="17">
        <v>8100000</v>
      </c>
      <c r="AC43" s="16">
        <v>45306</v>
      </c>
      <c r="AD43" s="17">
        <f t="shared" si="0"/>
        <v>21943000</v>
      </c>
      <c r="AE43" s="16">
        <v>42802</v>
      </c>
      <c r="AF43" s="17">
        <f t="shared" si="0"/>
        <v>8439000</v>
      </c>
      <c r="AG43" s="16">
        <v>45306</v>
      </c>
      <c r="AH43" s="18"/>
    </row>
    <row r="44" spans="1:34" x14ac:dyDescent="0.25">
      <c r="A44" s="18" t="s">
        <v>64</v>
      </c>
      <c r="B44" s="18" t="s">
        <v>72</v>
      </c>
      <c r="C44" s="18"/>
      <c r="D44" s="18"/>
      <c r="E44" s="18"/>
      <c r="F44" s="18"/>
      <c r="G44" s="18"/>
      <c r="H44" s="18"/>
      <c r="I44" s="18"/>
      <c r="J44" s="18"/>
      <c r="K44" s="28">
        <v>620000</v>
      </c>
      <c r="L44" s="28">
        <f>ROUNDUP(K44*124/110.4,-3)</f>
        <v>697000</v>
      </c>
      <c r="M44" s="18"/>
      <c r="N44" s="20">
        <v>44651</v>
      </c>
      <c r="O44" s="18"/>
      <c r="P44" s="18"/>
      <c r="Q44" s="18"/>
      <c r="R44" s="18"/>
      <c r="S44" s="18"/>
      <c r="T44" s="18"/>
      <c r="U44" s="18"/>
      <c r="V44" s="24">
        <v>1830000</v>
      </c>
      <c r="W44" s="24">
        <f>ROUNDUP(V44*122/105.2,-3)</f>
        <v>2123000</v>
      </c>
      <c r="X44" s="18"/>
      <c r="Y44" s="20">
        <v>44651</v>
      </c>
      <c r="Z44" s="17">
        <v>722000</v>
      </c>
      <c r="AA44" s="20">
        <v>44651</v>
      </c>
      <c r="AB44" s="17">
        <v>1575000</v>
      </c>
      <c r="AC44" s="20">
        <v>45306</v>
      </c>
      <c r="AD44" s="17">
        <f t="shared" si="0"/>
        <v>751000</v>
      </c>
      <c r="AE44" s="20">
        <v>44651</v>
      </c>
      <c r="AF44" s="17">
        <f t="shared" si="0"/>
        <v>1641000</v>
      </c>
      <c r="AG44" s="20">
        <v>45306</v>
      </c>
      <c r="AH44" s="18" t="s">
        <v>75</v>
      </c>
    </row>
    <row r="45" spans="1:34" ht="14.5" x14ac:dyDescent="0.35">
      <c r="A45" s="18" t="s">
        <v>68</v>
      </c>
      <c r="B45" s="18" t="s">
        <v>71</v>
      </c>
      <c r="C45" s="18"/>
      <c r="D45" s="18"/>
      <c r="E45" s="18"/>
      <c r="F45" s="18"/>
      <c r="G45" s="18"/>
      <c r="H45" s="18"/>
      <c r="I45" s="18"/>
      <c r="J45" s="18"/>
      <c r="K45" s="24">
        <v>4350000</v>
      </c>
      <c r="L45" s="24">
        <f t="shared" si="17"/>
        <v>4720000</v>
      </c>
      <c r="M45" s="18"/>
      <c r="N45" s="16">
        <v>43515</v>
      </c>
      <c r="O45" s="18"/>
      <c r="P45" s="18"/>
      <c r="Q45" s="18"/>
      <c r="R45" s="18"/>
      <c r="S45" s="18"/>
      <c r="T45" s="18"/>
      <c r="U45" s="18"/>
      <c r="V45" s="24">
        <v>1680000</v>
      </c>
      <c r="W45" s="24">
        <f t="shared" si="15"/>
        <v>1874000</v>
      </c>
      <c r="X45" s="18"/>
      <c r="Y45" s="21">
        <v>43901</v>
      </c>
      <c r="Z45" s="17">
        <v>4888000</v>
      </c>
      <c r="AA45" s="16">
        <v>43515</v>
      </c>
      <c r="AB45" s="17">
        <v>1911000</v>
      </c>
      <c r="AC45" s="16">
        <v>43515</v>
      </c>
      <c r="AD45" s="17">
        <f t="shared" si="0"/>
        <v>5079000</v>
      </c>
      <c r="AE45" s="16">
        <v>43515</v>
      </c>
      <c r="AF45" s="17">
        <f t="shared" si="0"/>
        <v>1991000</v>
      </c>
      <c r="AG45" s="16">
        <v>43515</v>
      </c>
      <c r="AH45" s="18"/>
    </row>
    <row r="46" spans="1:34" x14ac:dyDescent="0.25">
      <c r="A46" s="18" t="s">
        <v>68</v>
      </c>
      <c r="B46" s="18" t="s">
        <v>76</v>
      </c>
      <c r="C46" s="18"/>
      <c r="D46" s="18"/>
      <c r="E46" s="18"/>
      <c r="F46" s="18"/>
      <c r="G46" s="18"/>
      <c r="H46" s="18"/>
      <c r="I46" s="18"/>
      <c r="J46" s="18"/>
      <c r="K46" s="28">
        <v>100000</v>
      </c>
      <c r="L46" s="28">
        <f t="shared" si="17"/>
        <v>109000</v>
      </c>
      <c r="M46" s="18"/>
      <c r="N46" s="20">
        <v>44677</v>
      </c>
      <c r="O46" s="18"/>
      <c r="P46" s="18"/>
      <c r="Q46" s="18"/>
      <c r="R46" s="18"/>
      <c r="S46" s="18"/>
      <c r="T46" s="18"/>
      <c r="U46" s="18"/>
      <c r="V46" s="24">
        <v>1320000</v>
      </c>
      <c r="W46" s="24">
        <f t="shared" si="15"/>
        <v>1473000</v>
      </c>
      <c r="X46" s="18"/>
      <c r="Y46" s="20">
        <v>44677</v>
      </c>
      <c r="Z46" s="17">
        <v>113000</v>
      </c>
      <c r="AA46" s="20">
        <v>44677</v>
      </c>
      <c r="AB46" s="34">
        <v>1502000</v>
      </c>
      <c r="AC46" s="20">
        <v>44677</v>
      </c>
      <c r="AD46" s="17">
        <f t="shared" si="0"/>
        <v>118000</v>
      </c>
      <c r="AE46" s="20">
        <v>44677</v>
      </c>
      <c r="AF46" s="17">
        <f t="shared" si="0"/>
        <v>1565000</v>
      </c>
      <c r="AG46" s="20">
        <v>44677</v>
      </c>
      <c r="AH46" s="18" t="s">
        <v>75</v>
      </c>
    </row>
    <row r="47" spans="1:34" x14ac:dyDescent="0.25">
      <c r="A47" s="18" t="s">
        <v>63</v>
      </c>
      <c r="B47" s="18" t="s">
        <v>86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6"/>
      <c r="O47" s="18"/>
      <c r="P47" s="18"/>
      <c r="Q47" s="18"/>
      <c r="R47" s="18"/>
      <c r="S47" s="18"/>
      <c r="T47" s="18"/>
      <c r="U47" s="18"/>
      <c r="V47" s="24">
        <v>20374</v>
      </c>
      <c r="W47" s="24">
        <f t="shared" si="15"/>
        <v>23000</v>
      </c>
      <c r="X47" s="18"/>
      <c r="Y47" s="16"/>
      <c r="Z47" s="17">
        <v>0</v>
      </c>
      <c r="AA47" s="16"/>
      <c r="AB47" s="17">
        <v>24000</v>
      </c>
      <c r="AC47" s="16"/>
      <c r="AD47" s="17">
        <f t="shared" si="0"/>
        <v>0</v>
      </c>
      <c r="AE47" s="16"/>
      <c r="AF47" s="17">
        <f t="shared" si="0"/>
        <v>26000</v>
      </c>
      <c r="AG47" s="16"/>
      <c r="AH47" s="18" t="s">
        <v>73</v>
      </c>
    </row>
    <row r="49" spans="1:33" ht="13" x14ac:dyDescent="0.3">
      <c r="B49" s="32" t="s">
        <v>87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17">
        <f>SUM(Z9:Z47)</f>
        <v>310327000</v>
      </c>
      <c r="AA49" s="2"/>
      <c r="AB49" s="17">
        <f>SUM(AB9:AB47)</f>
        <v>92321000</v>
      </c>
      <c r="AC49" s="2"/>
      <c r="AD49" s="17">
        <f>SUM(AD9:AD47)</f>
        <v>322428000</v>
      </c>
      <c r="AE49" s="2"/>
      <c r="AF49" s="17">
        <f>SUM(AF9:AF47)</f>
        <v>96189000</v>
      </c>
      <c r="AG49" s="2"/>
    </row>
    <row r="50" spans="1:33" ht="13.5" thickBot="1" x14ac:dyDescent="0.35">
      <c r="B50" s="12"/>
      <c r="C50" s="2"/>
      <c r="D50" s="2"/>
      <c r="E50" s="2"/>
      <c r="F50" s="2"/>
      <c r="G50" s="4"/>
      <c r="H50" s="4"/>
      <c r="I50" s="4"/>
      <c r="J50" s="4"/>
      <c r="K50" s="4"/>
      <c r="M50" s="2"/>
      <c r="N50" s="2"/>
      <c r="O50" s="2"/>
      <c r="P50" s="2"/>
      <c r="Q50" s="2"/>
      <c r="R50" s="2"/>
      <c r="S50" s="2"/>
      <c r="T50" s="2"/>
      <c r="U50" s="2"/>
      <c r="V50" s="13"/>
      <c r="X50" s="2"/>
      <c r="Y50" s="14"/>
      <c r="Z50" s="14"/>
      <c r="AA50" s="14"/>
      <c r="AB50" s="14"/>
      <c r="AC50" s="14"/>
      <c r="AD50" s="14"/>
      <c r="AE50" s="14"/>
      <c r="AF50" s="14"/>
      <c r="AG50" s="14"/>
    </row>
    <row r="51" spans="1:33" ht="13.5" thickTop="1" x14ac:dyDescent="0.3">
      <c r="A51" s="12"/>
    </row>
  </sheetData>
  <printOptions gridLines="1"/>
  <pageMargins left="0.23622047244094491" right="0.23622047244094491" top="1.3385826771653544" bottom="0.74803149606299213" header="0.31496062992125984" footer="0.31496062992125984"/>
  <pageSetup paperSize="9" scale="77" fitToHeight="0" orientation="landscape" r:id="rId1"/>
  <headerFooter>
    <oddFooter>&amp;L&amp;F
Uniek nr e-ABS XXXXXXXXXXXXXXXXXXX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6" sqref="C6:F11"/>
    </sheetView>
  </sheetViews>
  <sheetFormatPr defaultRowHeight="12.5" x14ac:dyDescent="0.25"/>
  <cols>
    <col min="3" max="3" width="10" bestFit="1" customWidth="1"/>
  </cols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c54bdf2b-38ad-4380-9bec-d9ff9941e112</TitusGUID>
  <TitusMetadata xmlns="">eyJucyI6Imh0dHA6XC9cL3d3dy50aXR1cy5jb21cL25zXC9BT04iLCJwcm9wcyI6W3sibiI6IkFvbkNsYXNzaWZpY2F0aW9uIiwidmFscyI6W3sidmFsdWUiOiJBRENfY2xhc3NfMjAwIn1dfSx7Im4iOiJBb25SZXN0cmljdGVkIiwidmFscyI6W119LHsibiI6IkFvblZpc3VhbE1hcmtpbmdzIiwidmFscyI6W119XX0=</TitusMetadata>
</titus>
</file>

<file path=customXml/itemProps1.xml><?xml version="1.0" encoding="utf-8"?>
<ds:datastoreItem xmlns:ds="http://schemas.openxmlformats.org/officeDocument/2006/customXml" ds:itemID="{B799FF19-DEB3-4A5C-B6DD-58AFEBCE610A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2025-08-28T07:56:38Z</dcterms:created>
  <dcterms:modified xsi:type="dcterms:W3CDTF">2025-08-28T07:56:40Z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3f10a-881e-4653-a55e-02ca2cc829dc_Enabled">
    <vt:lpwstr>true</vt:lpwstr>
  </property>
  <property fmtid="{D5CDD505-2E9C-101B-9397-08002B2CF9AE}" pid="3" name="MSIP_Label_9043f10a-881e-4653-a55e-02ca2cc829dc_SetDate">
    <vt:lpwstr>2025-08-28T07:56:40Z</vt:lpwstr>
  </property>
  <property fmtid="{D5CDD505-2E9C-101B-9397-08002B2CF9AE}" pid="4" name="MSIP_Label_9043f10a-881e-4653-a55e-02ca2cc829dc_Method">
    <vt:lpwstr>Standard</vt:lpwstr>
  </property>
  <property fmtid="{D5CDD505-2E9C-101B-9397-08002B2CF9AE}" pid="5" name="MSIP_Label_9043f10a-881e-4653-a55e-02ca2cc829dc_Name">
    <vt:lpwstr>ADC_class_200</vt:lpwstr>
  </property>
  <property fmtid="{D5CDD505-2E9C-101B-9397-08002B2CF9AE}" pid="6" name="MSIP_Label_9043f10a-881e-4653-a55e-02ca2cc829dc_SiteId">
    <vt:lpwstr>94cfddbc-0627-494a-ad7a-29aea3aea832</vt:lpwstr>
  </property>
  <property fmtid="{D5CDD505-2E9C-101B-9397-08002B2CF9AE}" pid="7" name="MSIP_Label_9043f10a-881e-4653-a55e-02ca2cc829dc_ActionId">
    <vt:lpwstr>ccd9a7f2-98e9-4254-b747-0fe9cfe640b1</vt:lpwstr>
  </property>
  <property fmtid="{D5CDD505-2E9C-101B-9397-08002B2CF9AE}" pid="8" name="MSIP_Label_9043f10a-881e-4653-a55e-02ca2cc829dc_ContentBits">
    <vt:lpwstr>0</vt:lpwstr>
  </property>
</Properties>
</file>